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bekog82\Downloads\"/>
    </mc:Choice>
  </mc:AlternateContent>
  <xr:revisionPtr revIDLastSave="0" documentId="8_{68FBC580-C659-45FC-B495-8831CC35CC59}" xr6:coauthVersionLast="47" xr6:coauthVersionMax="47" xr10:uidLastSave="{00000000-0000-0000-0000-000000000000}"/>
  <bookViews>
    <workbookView xWindow="14563" yWindow="11289" windowWidth="26300" windowHeight="14169" tabRatio="635" firstSheet="2" activeTab="7" xr2:uid="{00000000-000D-0000-FFFF-FFFF00000000}"/>
  </bookViews>
  <sheets>
    <sheet name="Retirees" sheetId="38" r:id="rId1"/>
    <sheet name="Disabled Retirees (No Election)" sheetId="37" r:id="rId2"/>
    <sheet name="Disabled Retirees (NRD &gt; DOPT)" sheetId="21" r:id="rId3"/>
    <sheet name="Beneficiaries" sheetId="39" r:id="rId4"/>
    <sheet name="Benes of Dis Ret" sheetId="34" r:id="rId5"/>
    <sheet name="All Vesteds" sheetId="41" r:id="rId6"/>
    <sheet name="QDROs" sheetId="40" r:id="rId7"/>
    <sheet name="V1Useful" sheetId="15" r:id="rId8"/>
    <sheet name="mySort" sheetId="3" state="hidden" r:id="rId9"/>
  </sheets>
  <externalReferences>
    <externalReference r:id="rId10"/>
  </externalReferences>
  <definedNames>
    <definedName name="_xlnm._FilterDatabase" localSheetId="5" hidden="1">'All Vesteds'!$A$35:$XFC$165</definedName>
    <definedName name="_xlnm._FilterDatabase" localSheetId="3" hidden="1">Beneficiaries!$A$12:$JP$43</definedName>
    <definedName name="_xlnm._FilterDatabase" localSheetId="4" hidden="1">'Benes of Dis Ret'!$A$12:$JM$43</definedName>
    <definedName name="_xlnm._FilterDatabase" localSheetId="1" hidden="1">'Disabled Retirees (No Election)'!$A$12:$NJ$96</definedName>
    <definedName name="_xlnm._FilterDatabase" localSheetId="6" hidden="1">QDROs!$A$32:$AAD$41</definedName>
    <definedName name="_xlnm._FilterDatabase" localSheetId="0" hidden="1">Retirees!$A$12:$NU$91</definedName>
    <definedName name="AgeDiffFactor">V1Useful!$Q$4:$R$144</definedName>
    <definedName name="bfcfpbgc">V1Useful!$T$3:$U$183</definedName>
    <definedName name="CS">V1Useful!$K$2:$L$12</definedName>
    <definedName name="DOBF">V1Useful!$B$5</definedName>
    <definedName name="DOPT">V1Useful!$B$1</definedName>
    <definedName name="DOPT2">V1Useful!$B$2</definedName>
    <definedName name="DOPT3">V1Useful!$B$3</definedName>
    <definedName name="DOPT4">V1Useful!$B$4</definedName>
    <definedName name="erftable1">V1Useful!$D$2:$E$122</definedName>
    <definedName name="erftable2">V1Useful!$F$2:$G$122</definedName>
    <definedName name="FMORT">V1Useful!$B$14</definedName>
    <definedName name="GROWIN">V1Useful!$B$19</definedName>
    <definedName name="LOADING">V1Useful!$B$7</definedName>
    <definedName name="Medicare">V1Useful!$N$14:$O$17</definedName>
    <definedName name="MMORT">V1Useful!$B$13</definedName>
    <definedName name="monthsadd">V1Useful!$N$1:$O$11</definedName>
    <definedName name="PBGCMAX">V1Useful!$B$8</definedName>
    <definedName name="PBGCOptionalFormRate">V1Useful!$A$11:$B$12</definedName>
    <definedName name="PC34022CAR">V1Useful!$B$16</definedName>
    <definedName name="PC34044AR">V1Useful!$B$20</definedName>
    <definedName name="PC54044AR">V1Useful!$B$18</definedName>
    <definedName name="PC5AAR">V1Useful!$B$17</definedName>
    <definedName name="SPARR">V1Useful!$B$9</definedName>
    <definedName name="STALE">V1Useful!$B$6</definedName>
    <definedName name="VS">V1Useful!$I$2:$J$9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Y2" i="40" l="1"/>
  <c r="HQ2" i="40"/>
  <c r="HJ2" i="40"/>
  <c r="HB2" i="40"/>
  <c r="GY2" i="40"/>
  <c r="FY2" i="40"/>
  <c r="FW2" i="40"/>
  <c r="UX2" i="41"/>
  <c r="UB2" i="41"/>
  <c r="UA2" i="41"/>
  <c r="TY2" i="41"/>
  <c r="TX2" i="41"/>
  <c r="KN2" i="41"/>
  <c r="KO2" i="41" s="1"/>
  <c r="KL2" i="41"/>
  <c r="KK2" i="41"/>
  <c r="GA2" i="41"/>
  <c r="FS2" i="41"/>
  <c r="FP2" i="41"/>
  <c r="ES2" i="41"/>
  <c r="EQ2" i="41"/>
  <c r="FM2" i="34"/>
  <c r="CL2" i="34"/>
  <c r="CJ2" i="34"/>
  <c r="BW2" i="34"/>
  <c r="BV2" i="39"/>
  <c r="IY2" i="21"/>
  <c r="IX2" i="21"/>
  <c r="IW2" i="21"/>
  <c r="IV2" i="21"/>
  <c r="IT2" i="21"/>
  <c r="IS2" i="21"/>
  <c r="IR2" i="21"/>
  <c r="IQ2" i="21"/>
  <c r="EW2" i="21"/>
  <c r="EM2" i="21"/>
  <c r="CQ2" i="21"/>
  <c r="BP2" i="21"/>
  <c r="LZ2" i="37"/>
  <c r="LY2" i="37"/>
  <c r="LX2" i="37"/>
  <c r="LW2" i="37"/>
  <c r="HT2" i="37"/>
  <c r="HU2" i="37" s="1"/>
  <c r="HR2" i="37"/>
  <c r="HK2" i="37"/>
  <c r="HJ2" i="37"/>
  <c r="HH2" i="37"/>
  <c r="HG2" i="37"/>
  <c r="GX2" i="37"/>
  <c r="EO2" i="37"/>
  <c r="EP2" i="37" s="1"/>
  <c r="EL2" i="37"/>
  <c r="EG2" i="37"/>
  <c r="EE2" i="37"/>
  <c r="CA2" i="37"/>
  <c r="DP3" i="38"/>
  <c r="HG2" i="38"/>
  <c r="DX2" i="38"/>
  <c r="DY2" i="38" s="1"/>
  <c r="DU2" i="38"/>
  <c r="DP2" i="38"/>
  <c r="DM2" i="38"/>
  <c r="BW2" i="38"/>
  <c r="BP2" i="38"/>
  <c r="AX2" i="38"/>
  <c r="CQ2" i="40"/>
  <c r="CO2" i="40"/>
  <c r="CM2" i="40"/>
  <c r="VW2" i="40"/>
  <c r="BH2" i="40"/>
  <c r="DD2" i="40"/>
  <c r="IC2" i="40"/>
  <c r="OQ2" i="40"/>
  <c r="DC2" i="40"/>
  <c r="VH2" i="40"/>
  <c r="JC2" i="40"/>
  <c r="IK2" i="40"/>
  <c r="CY2" i="40"/>
  <c r="WI2" i="41"/>
  <c r="GQ2" i="41"/>
  <c r="BP2" i="41"/>
  <c r="BN2" i="41"/>
  <c r="BM2" i="41"/>
  <c r="TK2" i="41"/>
  <c r="GY2" i="41"/>
  <c r="BX2" i="41"/>
  <c r="NB2" i="41"/>
  <c r="AH2" i="41"/>
  <c r="TV2" i="41"/>
  <c r="TJ2" i="41"/>
  <c r="CD2" i="41"/>
  <c r="HO2" i="41"/>
  <c r="CC2" i="41"/>
  <c r="FV2" i="34"/>
  <c r="AS2" i="34"/>
  <c r="AQ2" i="34"/>
  <c r="AN2" i="34"/>
  <c r="AV2" i="34"/>
  <c r="FK2" i="34"/>
  <c r="AW2" i="34"/>
  <c r="FL2" i="34"/>
  <c r="FC2" i="34"/>
  <c r="BH2" i="34"/>
  <c r="BE2" i="34"/>
  <c r="BD2" i="34"/>
  <c r="BA2" i="34"/>
  <c r="FN2" i="34"/>
  <c r="JN2" i="39"/>
  <c r="BG2" i="39"/>
  <c r="AU2" i="39"/>
  <c r="AP2" i="39"/>
  <c r="AN2" i="39"/>
  <c r="FI2" i="39"/>
  <c r="BD2" i="39"/>
  <c r="EZ2" i="39"/>
  <c r="BC2" i="39"/>
  <c r="AZ2" i="39"/>
  <c r="AV2" i="39"/>
  <c r="FK2" i="21"/>
  <c r="FJ2" i="21"/>
  <c r="BW2" i="21"/>
  <c r="BV2" i="21"/>
  <c r="BA2" i="21"/>
  <c r="AU2" i="21"/>
  <c r="EZ2" i="21"/>
  <c r="AP2" i="21"/>
  <c r="AO2" i="21"/>
  <c r="HC2" i="21"/>
  <c r="HZ2" i="21"/>
  <c r="DF2" i="21"/>
  <c r="DH2" i="21" s="1"/>
  <c r="HT2" i="21"/>
  <c r="FG2" i="21"/>
  <c r="EN2" i="21"/>
  <c r="BB2" i="21"/>
  <c r="FE2" i="21"/>
  <c r="AW2" i="21"/>
  <c r="AR2" i="21"/>
  <c r="HN2" i="21"/>
  <c r="HE2" i="21"/>
  <c r="ID2" i="21"/>
  <c r="ET2" i="21"/>
  <c r="BB2" i="37"/>
  <c r="AK2" i="37"/>
  <c r="AU2" i="37"/>
  <c r="FW2" i="37"/>
  <c r="AT2" i="37"/>
  <c r="KW2" i="37" s="1"/>
  <c r="AY2" i="37"/>
  <c r="JF2" i="37"/>
  <c r="FJ2" i="38"/>
  <c r="BV2" i="38"/>
  <c r="BE2" i="38"/>
  <c r="AW2" i="38"/>
  <c r="AL2" i="38"/>
  <c r="BB2" i="38"/>
  <c r="GM2" i="38"/>
  <c r="AN2" i="38"/>
  <c r="ES2" i="21"/>
  <c r="FF2" i="21"/>
  <c r="EP2" i="21"/>
  <c r="HQ2" i="21"/>
  <c r="HU2" i="21"/>
  <c r="EQ2" i="21"/>
  <c r="IA2" i="21"/>
  <c r="GH2" i="40" l="1"/>
  <c r="CN2" i="40"/>
  <c r="FB2" i="41"/>
  <c r="CU2" i="34"/>
  <c r="CS2" i="34"/>
  <c r="CO2" i="39"/>
  <c r="CQ2" i="39"/>
  <c r="EA2" i="21"/>
  <c r="DH2" i="37"/>
  <c r="CQ2" i="38"/>
  <c r="CO2" i="38"/>
  <c r="IX2" i="37"/>
  <c r="CH2" i="37"/>
  <c r="CI2" i="37"/>
  <c r="CJ2" i="37"/>
  <c r="DZ2" i="41"/>
  <c r="GI2" i="40"/>
  <c r="FC2" i="41"/>
  <c r="CV2" i="34"/>
  <c r="CT2" i="34"/>
  <c r="CP2" i="39"/>
  <c r="CR2" i="39"/>
  <c r="EU2" i="21"/>
  <c r="HR2" i="21"/>
  <c r="FI2" i="21"/>
  <c r="FL2" i="21"/>
  <c r="FH2" i="21"/>
  <c r="FM2" i="21"/>
  <c r="IC2" i="21"/>
  <c r="IE2" i="21"/>
  <c r="IB2" i="21"/>
  <c r="FA2" i="21"/>
  <c r="IM2" i="21"/>
  <c r="EX2" i="21"/>
  <c r="HO2" i="21"/>
  <c r="EY2" i="21"/>
  <c r="HV2" i="21"/>
  <c r="CV2" i="21"/>
  <c r="DK2" i="21"/>
  <c r="CX2" i="21"/>
  <c r="IF2" i="21"/>
  <c r="DJ2" i="37"/>
  <c r="DK2" i="37" s="1"/>
  <c r="KX2" i="37"/>
  <c r="DI2" i="37"/>
  <c r="CP2" i="38"/>
  <c r="CR2" i="38"/>
  <c r="DM2" i="21"/>
  <c r="CY2" i="21"/>
  <c r="VB2" i="41" l="1"/>
  <c r="ZP3" i="40" l="1"/>
  <c r="ZO3" i="40"/>
  <c r="ZN3" i="40"/>
  <c r="ZM3" i="40"/>
  <c r="ZL3" i="40"/>
  <c r="UW2" i="40" l="1"/>
  <c r="VX2" i="41"/>
  <c r="JA2" i="21"/>
  <c r="MG2" i="37" l="1"/>
  <c r="LJ2" i="38"/>
  <c r="NM2" i="37" l="1"/>
  <c r="AAB2" i="40" l="1"/>
  <c r="YR2" i="41"/>
  <c r="JO2" i="39"/>
  <c r="KX2" i="21"/>
  <c r="NP2" i="37"/>
  <c r="NS2" i="38"/>
  <c r="YN2" i="41" l="1"/>
  <c r="YM2" i="41"/>
  <c r="ZZ2" i="40" l="1"/>
  <c r="ZX2" i="40"/>
  <c r="ZW2" i="40"/>
  <c r="JL2" i="39"/>
  <c r="JK2" i="39"/>
  <c r="KW2" i="21"/>
  <c r="KT2" i="21"/>
  <c r="KS2" i="21"/>
  <c r="NL2" i="37"/>
  <c r="NK2" i="37"/>
  <c r="NO2" i="38"/>
  <c r="NN2" i="38"/>
  <c r="NO2" i="37"/>
  <c r="NR2" i="38"/>
  <c r="YQ2" i="41"/>
  <c r="UY2" i="41" l="1"/>
  <c r="YP2" i="41" l="1"/>
  <c r="AAA2" i="40"/>
  <c r="KV2" i="21"/>
  <c r="NN2" i="37"/>
  <c r="NQ2" i="38"/>
  <c r="CA2" i="39" l="1"/>
  <c r="BX2" i="38" l="1"/>
  <c r="DM2" i="40" l="1"/>
  <c r="DN2" i="40"/>
  <c r="CM2" i="41"/>
  <c r="BL2" i="21"/>
  <c r="TI2" i="41" l="1"/>
  <c r="NJ2" i="37" l="1"/>
  <c r="YK2" i="41" l="1"/>
  <c r="KQ2" i="21"/>
  <c r="JL2" i="34"/>
  <c r="JG2" i="39"/>
  <c r="GH2" i="37" l="1"/>
  <c r="MX2" i="37" l="1"/>
  <c r="LO10" i="41" l="1"/>
  <c r="XD2" i="41" l="1"/>
  <c r="LS10" i="41" l="1"/>
  <c r="LR10" i="41"/>
  <c r="MF2" i="38"/>
  <c r="ME2" i="38"/>
  <c r="MS4" i="38" l="1"/>
  <c r="MR4" i="38"/>
  <c r="MI2" i="38"/>
  <c r="LP10" i="41" l="1"/>
  <c r="JE2" i="34"/>
  <c r="JG2" i="34" s="1"/>
  <c r="LT10" i="41" l="1"/>
  <c r="LU10" i="41"/>
  <c r="LQ10" i="41"/>
  <c r="IZ2" i="34"/>
  <c r="XT2" i="41" l="1"/>
  <c r="JN9" i="34" l="1"/>
  <c r="JI9" i="39"/>
  <c r="NS9" i="37"/>
  <c r="JO9" i="34"/>
  <c r="JJ9" i="39"/>
  <c r="NT9" i="37"/>
  <c r="NM9" i="38"/>
  <c r="NL9" i="38"/>
  <c r="GY2" i="21" l="1"/>
  <c r="BT2" i="38"/>
  <c r="BU2" i="38" s="1"/>
  <c r="IV2" i="34" l="1"/>
  <c r="IQ2" i="39"/>
  <c r="WT2" i="41" l="1"/>
  <c r="WU2" i="41" s="1"/>
  <c r="XR2" i="41" l="1"/>
  <c r="MZ2" i="37" l="1"/>
  <c r="ND2" i="37"/>
  <c r="EV2" i="38" l="1"/>
  <c r="IT2" i="41" l="1"/>
  <c r="IO2" i="41"/>
  <c r="C11" i="40" l="1"/>
  <c r="C10" i="40"/>
  <c r="DS2" i="40" l="1"/>
  <c r="C10" i="41" l="1"/>
  <c r="XO2" i="41"/>
  <c r="XK2" i="41"/>
  <c r="XJ2" i="41"/>
  <c r="XH2" i="41"/>
  <c r="XG2" i="41"/>
  <c r="XF2" i="41"/>
  <c r="RY2" i="41"/>
  <c r="RX2" i="41"/>
  <c r="NG2" i="41"/>
  <c r="NE2" i="41"/>
  <c r="ND2" i="41"/>
  <c r="NC2" i="41"/>
  <c r="MF2" i="41"/>
  <c r="LN2" i="41"/>
  <c r="IU2" i="41"/>
  <c r="IS2" i="41"/>
  <c r="IP2" i="41"/>
  <c r="IN2" i="41"/>
  <c r="IL2" i="41"/>
  <c r="FN2" i="41"/>
  <c r="EU2" i="41"/>
  <c r="ET2" i="41"/>
  <c r="ER2" i="41"/>
  <c r="EB2" i="41"/>
  <c r="EA2" i="41"/>
  <c r="DY2" i="41"/>
  <c r="EE2" i="41" s="1"/>
  <c r="DX2" i="41"/>
  <c r="DW2" i="41"/>
  <c r="EC2" i="41" s="1"/>
  <c r="DV2" i="41"/>
  <c r="DU2" i="41"/>
  <c r="DT2" i="41"/>
  <c r="CZ2" i="41"/>
  <c r="CS2" i="41"/>
  <c r="CQ2" i="41"/>
  <c r="CU2" i="41" s="1"/>
  <c r="CN2" i="41"/>
  <c r="CI2" i="41"/>
  <c r="CA2" i="41"/>
  <c r="CB2" i="41" s="1"/>
  <c r="BW2" i="41"/>
  <c r="BH2" i="41"/>
  <c r="BD2" i="41"/>
  <c r="BE2" i="41" s="1"/>
  <c r="BF2" i="41" s="1"/>
  <c r="BG2" i="41" s="1"/>
  <c r="AZ2" i="41"/>
  <c r="BA2" i="41" s="1"/>
  <c r="BB2" i="41" s="1"/>
  <c r="BC2" i="41" s="1"/>
  <c r="AU2" i="41"/>
  <c r="AY2" i="41" s="1"/>
  <c r="AR2" i="41"/>
  <c r="AS2" i="41" s="1"/>
  <c r="AO2" i="41"/>
  <c r="AN2" i="41"/>
  <c r="NF2" i="41" s="1"/>
  <c r="AJ2" i="41"/>
  <c r="AC2" i="41"/>
  <c r="L2" i="41"/>
  <c r="IM2" i="41"/>
  <c r="YF2" i="41" l="1"/>
  <c r="DG2" i="41"/>
  <c r="BY2" i="41" s="1"/>
  <c r="WV2" i="41"/>
  <c r="RE10" i="40"/>
  <c r="RG10" i="40"/>
  <c r="RI10" i="40"/>
  <c r="RE11" i="40"/>
  <c r="RG11" i="40"/>
  <c r="RI11" i="40"/>
  <c r="RD10" i="40"/>
  <c r="RF10" i="40"/>
  <c r="RH10" i="40"/>
  <c r="RD11" i="40"/>
  <c r="RF11" i="40"/>
  <c r="RH11" i="40"/>
  <c r="CR2" i="41"/>
  <c r="EH2" i="41"/>
  <c r="AT2" i="41"/>
  <c r="AV2" i="41"/>
  <c r="AX2" i="41"/>
  <c r="IW2" i="41"/>
  <c r="BK2" i="41"/>
  <c r="HA2" i="41" s="1"/>
  <c r="NH2" i="41"/>
  <c r="BI2" i="41"/>
  <c r="CE2" i="41"/>
  <c r="ED2" i="41"/>
  <c r="FI2" i="41"/>
  <c r="TN2" i="41" s="1"/>
  <c r="FR2" i="41"/>
  <c r="FT2" i="41"/>
  <c r="FV2" i="41"/>
  <c r="FY2" i="41"/>
  <c r="GB2" i="41"/>
  <c r="GI2" i="41"/>
  <c r="TB2" i="41" s="1"/>
  <c r="IR2" i="41"/>
  <c r="IX2" i="41" s="1"/>
  <c r="JV2" i="41" s="1"/>
  <c r="JJ2" i="41"/>
  <c r="OC2" i="41"/>
  <c r="BL2" i="41"/>
  <c r="CV2" i="41" s="1"/>
  <c r="EW2" i="41" s="1"/>
  <c r="AW2" i="41"/>
  <c r="BO2" i="41"/>
  <c r="FQ2" i="41"/>
  <c r="FU2" i="41"/>
  <c r="GE2" i="41"/>
  <c r="GJ2" i="41"/>
  <c r="TC2" i="41" s="1"/>
  <c r="CM2" i="34"/>
  <c r="KW2" i="41" l="1"/>
  <c r="KV2" i="41"/>
  <c r="KU2" i="41"/>
  <c r="JX2" i="41"/>
  <c r="KT2" i="41"/>
  <c r="KS2" i="41"/>
  <c r="UO2" i="41"/>
  <c r="UP2" i="41" s="1"/>
  <c r="UN2" i="41"/>
  <c r="UE2" i="41"/>
  <c r="UM2" i="41"/>
  <c r="UL2" i="41"/>
  <c r="UK2" i="41"/>
  <c r="UG2" i="41"/>
  <c r="UF2" i="41"/>
  <c r="HD2" i="41"/>
  <c r="JZ2" i="41"/>
  <c r="HB2" i="41"/>
  <c r="YO2" i="41"/>
  <c r="YS2" i="41"/>
  <c r="UI2" i="41"/>
  <c r="UH2" i="41"/>
  <c r="UJ2" i="41"/>
  <c r="US2" i="41"/>
  <c r="UU2" i="41"/>
  <c r="KX2" i="41"/>
  <c r="KZ2" i="41" s="1"/>
  <c r="KY2" i="41"/>
  <c r="BJ2" i="41"/>
  <c r="EN2" i="41"/>
  <c r="EJ2" i="41"/>
  <c r="EK2" i="41" s="1"/>
  <c r="EM2" i="41" s="1"/>
  <c r="FJ2" i="41"/>
  <c r="TO2" i="41"/>
  <c r="BR2" i="41"/>
  <c r="CO2" i="41" s="1"/>
  <c r="JY2" i="41"/>
  <c r="JW2" i="41"/>
  <c r="OD2" i="41"/>
  <c r="NP2" i="41"/>
  <c r="NQ2" i="41" s="1"/>
  <c r="NJ2" i="41"/>
  <c r="PZ2" i="41"/>
  <c r="OA2" i="41"/>
  <c r="NK2" i="41"/>
  <c r="NI2" i="41"/>
  <c r="ON2" i="41" s="1"/>
  <c r="OT2" i="41" s="1"/>
  <c r="OS2" i="41"/>
  <c r="HE2" i="41"/>
  <c r="HC2" i="41"/>
  <c r="BQ2" i="41"/>
  <c r="NU2" i="41"/>
  <c r="NV2" i="41"/>
  <c r="NM2" i="41"/>
  <c r="NW2" i="41" l="1"/>
  <c r="HF2" i="41"/>
  <c r="HG2" i="41" s="1"/>
  <c r="KA2" i="41"/>
  <c r="LC2" i="41"/>
  <c r="LB2" i="41"/>
  <c r="LA2" i="41"/>
  <c r="LJ2" i="41"/>
  <c r="LI2" i="41"/>
  <c r="LE2" i="41"/>
  <c r="LF2" i="41" s="1"/>
  <c r="LD2" i="41"/>
  <c r="OG2" i="41"/>
  <c r="OE2" i="41"/>
  <c r="OF2" i="41"/>
  <c r="OI2" i="41"/>
  <c r="LL2" i="41"/>
  <c r="LK2" i="41"/>
  <c r="LM2" i="41" s="1"/>
  <c r="XI2" i="41"/>
  <c r="BS2" i="41"/>
  <c r="IV2" i="41"/>
  <c r="IY2" i="41" s="1"/>
  <c r="NL2" i="41"/>
  <c r="EL2" i="41"/>
  <c r="TP2" i="41"/>
  <c r="RN2" i="41"/>
  <c r="MU2" i="41"/>
  <c r="QO2" i="41" s="1"/>
  <c r="HT2" i="41"/>
  <c r="OU2" i="41"/>
  <c r="OH2" i="41"/>
  <c r="PL2" i="41"/>
  <c r="LX2" i="41"/>
  <c r="DV2" i="21"/>
  <c r="NX2" i="41"/>
  <c r="BT2" i="41"/>
  <c r="DA2" i="41" s="1"/>
  <c r="IZ2" i="41"/>
  <c r="BZ2" i="41" l="1"/>
  <c r="CW2" i="41" s="1"/>
  <c r="LH2" i="41"/>
  <c r="LG2" i="41"/>
  <c r="YT2" i="41"/>
  <c r="KU2" i="21"/>
  <c r="EX2" i="41"/>
  <c r="DW2" i="21"/>
  <c r="KB2" i="41"/>
  <c r="BU2" i="41"/>
  <c r="NN2" i="41"/>
  <c r="BV2" i="41"/>
  <c r="CP2" i="41" s="1"/>
  <c r="WW10" i="40"/>
  <c r="WW11" i="40"/>
  <c r="SZ2" i="41"/>
  <c r="SK2" i="41"/>
  <c r="JC2" i="41"/>
  <c r="JA2" i="41"/>
  <c r="JB2" i="41" s="1"/>
  <c r="ZR2" i="40"/>
  <c r="NO2" i="41"/>
  <c r="NY2" i="41" l="1"/>
  <c r="DB2" i="41"/>
  <c r="DC2" i="41" s="1"/>
  <c r="DD2" i="41" s="1"/>
  <c r="NR2" i="41"/>
  <c r="PU10" i="41"/>
  <c r="FR10" i="21"/>
  <c r="ZT2" i="40"/>
  <c r="ZS2" i="40"/>
  <c r="ZD2" i="40"/>
  <c r="ZB2" i="40"/>
  <c r="YX2" i="40"/>
  <c r="YW2" i="40"/>
  <c r="YU2" i="40"/>
  <c r="YT2" i="40"/>
  <c r="YS2" i="40"/>
  <c r="XC2" i="40"/>
  <c r="VF2" i="40"/>
  <c r="TP2" i="40"/>
  <c r="TK2" i="40"/>
  <c r="TJ2" i="40"/>
  <c r="OV2" i="40"/>
  <c r="OT2" i="40"/>
  <c r="OS2" i="40"/>
  <c r="OR2" i="40"/>
  <c r="NU2" i="40"/>
  <c r="NC2" i="40"/>
  <c r="KH2" i="40"/>
  <c r="KG2" i="40"/>
  <c r="KF2" i="40"/>
  <c r="KD2" i="40"/>
  <c r="KC2" i="40"/>
  <c r="KB2" i="40"/>
  <c r="JZ2" i="40"/>
  <c r="GT2" i="40"/>
  <c r="GA2" i="40"/>
  <c r="FZ2" i="40"/>
  <c r="FX2" i="40"/>
  <c r="FR2" i="40"/>
  <c r="FQ2" i="40"/>
  <c r="FB2" i="40"/>
  <c r="FA2" i="40"/>
  <c r="EY2" i="40"/>
  <c r="FE2" i="40" s="1"/>
  <c r="EX2" i="40"/>
  <c r="FD2" i="40" s="1"/>
  <c r="EW2" i="40"/>
  <c r="EV2" i="40"/>
  <c r="EU2" i="40"/>
  <c r="ET2" i="40"/>
  <c r="EZ2" i="40" s="1"/>
  <c r="DZ2" i="40"/>
  <c r="DQ2" i="40"/>
  <c r="DI2" i="40"/>
  <c r="DA2" i="40"/>
  <c r="DB2" i="40" s="1"/>
  <c r="CX2" i="40"/>
  <c r="CH2" i="40"/>
  <c r="CD2" i="40"/>
  <c r="CE2" i="40" s="1"/>
  <c r="CF2" i="40" s="1"/>
  <c r="CG2" i="40" s="1"/>
  <c r="BZ2" i="40"/>
  <c r="CA2" i="40" s="1"/>
  <c r="CB2" i="40" s="1"/>
  <c r="CC2" i="40" s="1"/>
  <c r="BU2" i="40"/>
  <c r="BX2" i="40" s="1"/>
  <c r="BR2" i="40"/>
  <c r="BS2" i="40" s="1"/>
  <c r="BO2" i="40"/>
  <c r="BN2" i="40"/>
  <c r="OU2" i="40" s="1"/>
  <c r="BJ2" i="40"/>
  <c r="BC2" i="40"/>
  <c r="AM2" i="40"/>
  <c r="L2" i="40"/>
  <c r="KA2" i="40"/>
  <c r="NS2" i="41"/>
  <c r="DE2" i="41"/>
  <c r="DF2" i="41" s="1"/>
  <c r="DH2" i="41" s="1"/>
  <c r="HE2" i="40" l="1"/>
  <c r="VK2" i="40"/>
  <c r="VE2" i="40"/>
  <c r="PV12" i="41"/>
  <c r="C11" i="41"/>
  <c r="PU12" i="41"/>
  <c r="C12" i="41"/>
  <c r="PV10" i="41"/>
  <c r="FT10" i="21"/>
  <c r="GD10" i="21"/>
  <c r="DU2" i="40"/>
  <c r="FS2" i="40" s="1"/>
  <c r="FT2" i="40" s="1"/>
  <c r="DR2" i="40"/>
  <c r="HV2" i="40"/>
  <c r="UM2" i="40" s="1"/>
  <c r="HK2" i="40"/>
  <c r="HA2" i="40"/>
  <c r="BT2" i="40"/>
  <c r="HC2" i="40"/>
  <c r="HH2" i="40"/>
  <c r="WZ2" i="40"/>
  <c r="KJ2" i="40"/>
  <c r="CK2" i="40"/>
  <c r="IO2" i="40" s="1"/>
  <c r="OW2" i="40"/>
  <c r="BW2" i="40"/>
  <c r="BY2" i="40"/>
  <c r="CI2" i="40" s="1"/>
  <c r="DE2" i="40"/>
  <c r="FC2" i="40"/>
  <c r="FH2" i="40" s="1"/>
  <c r="ZU2" i="40" s="1"/>
  <c r="BV2" i="40"/>
  <c r="CL2" i="40"/>
  <c r="CP2" i="40"/>
  <c r="GO2" i="40"/>
  <c r="GV2" i="40"/>
  <c r="GZ2" i="40"/>
  <c r="HD2" i="40"/>
  <c r="HN2" i="40"/>
  <c r="HU2" i="40"/>
  <c r="UL2" i="40" s="1"/>
  <c r="KE2" i="40"/>
  <c r="KY2" i="40"/>
  <c r="NT2" i="41"/>
  <c r="PB2" i="40" l="1"/>
  <c r="OZ2" i="40"/>
  <c r="PJ2" i="40"/>
  <c r="PI2" i="40"/>
  <c r="PF2" i="40"/>
  <c r="PK2" i="40"/>
  <c r="PH2" i="40"/>
  <c r="ZY2" i="40"/>
  <c r="WS2" i="40"/>
  <c r="WF2" i="40"/>
  <c r="WR2" i="40"/>
  <c r="WP2" i="40"/>
  <c r="WQ2" i="40" s="1"/>
  <c r="WG2" i="40"/>
  <c r="IR2" i="40"/>
  <c r="WO2" i="40"/>
  <c r="WN2" i="40"/>
  <c r="WM2" i="40"/>
  <c r="WL2" i="40"/>
  <c r="WH2" i="40"/>
  <c r="KK2" i="40"/>
  <c r="LK2" i="40" s="1"/>
  <c r="CS2" i="40"/>
  <c r="DO2" i="40" s="1"/>
  <c r="WU2" i="40"/>
  <c r="WV2" i="40"/>
  <c r="WT2" i="40"/>
  <c r="IP2" i="40"/>
  <c r="WJ2" i="40"/>
  <c r="WI2" i="40"/>
  <c r="WK2" i="40"/>
  <c r="RD2" i="40"/>
  <c r="RF2" i="40"/>
  <c r="SJ2" i="40" s="1"/>
  <c r="SO2" i="40" s="1"/>
  <c r="SQ2" i="40" s="1"/>
  <c r="XN2" i="41"/>
  <c r="NZ2" i="41"/>
  <c r="OB2" i="41" s="1"/>
  <c r="SE10" i="40"/>
  <c r="SF10" i="40"/>
  <c r="GF10" i="21"/>
  <c r="DV2" i="40"/>
  <c r="FU2" i="40"/>
  <c r="FV2" i="40" s="1"/>
  <c r="GC2" i="40" s="1"/>
  <c r="FJ2" i="40"/>
  <c r="FK2" i="40" s="1"/>
  <c r="FM2" i="40" s="1"/>
  <c r="VL2" i="40"/>
  <c r="FN2" i="40"/>
  <c r="GP2" i="40"/>
  <c r="GW2" i="40"/>
  <c r="GX2" i="40"/>
  <c r="IS2" i="40"/>
  <c r="IQ2" i="40"/>
  <c r="CJ2" i="40"/>
  <c r="RP2" i="40"/>
  <c r="RN2" i="40"/>
  <c r="RL2" i="40"/>
  <c r="RH2" i="40"/>
  <c r="SK2" i="40" s="1"/>
  <c r="RB2" i="40"/>
  <c r="QS2" i="40"/>
  <c r="QQ2" i="40"/>
  <c r="QO2" i="40"/>
  <c r="QP2" i="40" s="1"/>
  <c r="QK2" i="40"/>
  <c r="QI2" i="40"/>
  <c r="QG2" i="40"/>
  <c r="QE2" i="40"/>
  <c r="QC2" i="40"/>
  <c r="QA2" i="40"/>
  <c r="QW2" i="40" s="1"/>
  <c r="PY2" i="40"/>
  <c r="PW2" i="40"/>
  <c r="PQ2" i="40"/>
  <c r="PO2" i="40"/>
  <c r="QL2" i="40" s="1"/>
  <c r="QM2" i="40" s="1"/>
  <c r="PM2" i="40"/>
  <c r="PG2" i="40"/>
  <c r="PE2" i="40"/>
  <c r="PC2" i="40"/>
  <c r="PA2" i="40"/>
  <c r="OY2" i="40"/>
  <c r="RQ2" i="40"/>
  <c r="RO2" i="40"/>
  <c r="RM2" i="40"/>
  <c r="RK2" i="40"/>
  <c r="RI2" i="40"/>
  <c r="RG2" i="40"/>
  <c r="RE2" i="40"/>
  <c r="SI2" i="40" s="1"/>
  <c r="RC2" i="40"/>
  <c r="QX2" i="40"/>
  <c r="QR2" i="40"/>
  <c r="QN2" i="40"/>
  <c r="QJ2" i="40"/>
  <c r="QH2" i="40"/>
  <c r="QF2" i="40"/>
  <c r="QB2" i="40"/>
  <c r="PZ2" i="40"/>
  <c r="PX2" i="40"/>
  <c r="PP2" i="40"/>
  <c r="PN2" i="40"/>
  <c r="PL2" i="40"/>
  <c r="PD2" i="40"/>
  <c r="OX2" i="40"/>
  <c r="CR2" i="40"/>
  <c r="IT2" i="40" l="1"/>
  <c r="MK2" i="40"/>
  <c r="MJ2" i="40"/>
  <c r="LM2" i="40"/>
  <c r="AAC2" i="40" s="1"/>
  <c r="ML2" i="40"/>
  <c r="MN2" i="40" s="1"/>
  <c r="MO2" i="40" s="1"/>
  <c r="MI2" i="40"/>
  <c r="MH2" i="40"/>
  <c r="LO2" i="40"/>
  <c r="LL2" i="40"/>
  <c r="NM2" i="40" s="1"/>
  <c r="MM2" i="40"/>
  <c r="LN2" i="40"/>
  <c r="PT2" i="40"/>
  <c r="PV2" i="40" s="1"/>
  <c r="PR2" i="40"/>
  <c r="PS2" i="40" s="1"/>
  <c r="DI2" i="41"/>
  <c r="IU2" i="40"/>
  <c r="MZ2" i="40"/>
  <c r="RA2" i="40"/>
  <c r="QY2" i="40"/>
  <c r="QZ2" i="40" s="1"/>
  <c r="JH2" i="40"/>
  <c r="VM2" i="40"/>
  <c r="PU11" i="41"/>
  <c r="SE11" i="40"/>
  <c r="TD10" i="40"/>
  <c r="SF11" i="40"/>
  <c r="TE10" i="40"/>
  <c r="JZ9" i="41"/>
  <c r="OY2" i="41"/>
  <c r="OZ2" i="41" s="1"/>
  <c r="OL2" i="41"/>
  <c r="FL2" i="40"/>
  <c r="PU2" i="40"/>
  <c r="SM2" i="40"/>
  <c r="SN2" i="40" s="1"/>
  <c r="SP2" i="40" s="1"/>
  <c r="SL2" i="40"/>
  <c r="QT2" i="40"/>
  <c r="FI2" i="40" s="1"/>
  <c r="QD2" i="40"/>
  <c r="YV2" i="40"/>
  <c r="KI2" i="40"/>
  <c r="CT2" i="40"/>
  <c r="SY2" i="40"/>
  <c r="UD2" i="40" s="1"/>
  <c r="OJ2" i="40"/>
  <c r="RZ2" i="40" s="1"/>
  <c r="UZ2" i="40" s="1"/>
  <c r="CU2" i="40"/>
  <c r="EA2" i="40" s="1"/>
  <c r="IK2" i="41"/>
  <c r="DJ2" i="41"/>
  <c r="DK2" i="41"/>
  <c r="DL2" i="41"/>
  <c r="CZ2" i="40" l="1"/>
  <c r="LP2" i="40"/>
  <c r="MX2" i="40"/>
  <c r="NA2" i="40" s="1"/>
  <c r="NB2" i="40" s="1"/>
  <c r="MR2" i="40"/>
  <c r="MQ2" i="40"/>
  <c r="MY2" i="40"/>
  <c r="MT2" i="40"/>
  <c r="MU2" i="40" s="1"/>
  <c r="MS2" i="40"/>
  <c r="MP2" i="40"/>
  <c r="KQ2" i="41"/>
  <c r="UD2" i="41" s="1"/>
  <c r="FD2" i="41"/>
  <c r="DW2" i="40"/>
  <c r="FO2" i="40"/>
  <c r="FP2" i="40"/>
  <c r="LQ2" i="40"/>
  <c r="UC2" i="41"/>
  <c r="HJ2" i="41"/>
  <c r="HU2" i="41" s="1"/>
  <c r="HI2" i="41"/>
  <c r="HL2" i="41"/>
  <c r="GR2" i="41" a="1"/>
  <c r="GR2" i="41" s="1"/>
  <c r="JR2" i="41"/>
  <c r="KR2" i="41" s="1"/>
  <c r="XV2" i="41"/>
  <c r="XW2" i="41" s="1"/>
  <c r="DM2" i="41"/>
  <c r="HQ2" i="41"/>
  <c r="OM2" i="41"/>
  <c r="OQ2" i="41" s="1"/>
  <c r="KC2" i="41"/>
  <c r="KD2" i="41"/>
  <c r="JU2" i="40"/>
  <c r="JV2" i="40" s="1"/>
  <c r="PV11" i="41"/>
  <c r="TA2" i="40"/>
  <c r="YE2" i="40"/>
  <c r="YI2" i="40"/>
  <c r="YH2" i="40"/>
  <c r="YC2" i="40"/>
  <c r="YK2" i="40"/>
  <c r="YD2" i="40"/>
  <c r="YJ2" i="40"/>
  <c r="CW2" i="40"/>
  <c r="DP2" i="40" s="1"/>
  <c r="QU2" i="40"/>
  <c r="QV2" i="40"/>
  <c r="GD2" i="40"/>
  <c r="CV2" i="40"/>
  <c r="KL2" i="40"/>
  <c r="KH2" i="21"/>
  <c r="KM2" i="40"/>
  <c r="FX2" i="41"/>
  <c r="JD2" i="41"/>
  <c r="EY2" i="41"/>
  <c r="KF2" i="41"/>
  <c r="FE2" i="41"/>
  <c r="MW2" i="40" l="1"/>
  <c r="MV2" i="40"/>
  <c r="AAD2" i="40"/>
  <c r="KP2" i="41"/>
  <c r="JW2" i="40"/>
  <c r="JX2" i="40" s="1"/>
  <c r="VG2" i="40"/>
  <c r="JU2" i="41"/>
  <c r="HV2" i="41"/>
  <c r="IA2" i="41"/>
  <c r="GS2" i="41"/>
  <c r="JS2" i="41"/>
  <c r="GU2" i="41"/>
  <c r="PI2" i="41"/>
  <c r="EI2" i="41" s="1"/>
  <c r="KG2" i="41" s="1"/>
  <c r="OP2" i="41"/>
  <c r="OR2" i="41" s="1"/>
  <c r="FF2" i="41"/>
  <c r="JT2" i="41"/>
  <c r="GV2" i="41"/>
  <c r="QN2" i="41" s="1"/>
  <c r="SX2" i="41" s="1"/>
  <c r="GT2" i="41"/>
  <c r="GW2" i="41"/>
  <c r="GX2" i="41" s="1"/>
  <c r="TM2" i="41"/>
  <c r="TL2" i="41"/>
  <c r="NN2" i="40"/>
  <c r="YM2" i="40"/>
  <c r="OK2" i="40"/>
  <c r="SA2" i="40" s="1"/>
  <c r="VA2" i="40" s="1"/>
  <c r="SZ2" i="40"/>
  <c r="UE2" i="40" s="1"/>
  <c r="ZC2" i="40"/>
  <c r="YO2" i="40"/>
  <c r="YQ2" i="40" s="1"/>
  <c r="ON10" i="40"/>
  <c r="SC10" i="40"/>
  <c r="EB2" i="40"/>
  <c r="EC2" i="40" s="1"/>
  <c r="ED2" i="40" s="1"/>
  <c r="YL2" i="40"/>
  <c r="KP2" i="40"/>
  <c r="KN2" i="40"/>
  <c r="KO2" i="40" s="1"/>
  <c r="AF2" i="21"/>
  <c r="EE2" i="40"/>
  <c r="EF2" i="40" s="1"/>
  <c r="KI2" i="41"/>
  <c r="EZ2" i="41"/>
  <c r="JE2" i="41"/>
  <c r="LU2" i="40"/>
  <c r="EH2" i="40"/>
  <c r="JY2" i="40"/>
  <c r="EI2" i="40"/>
  <c r="EJ2" i="40"/>
  <c r="EL2" i="40"/>
  <c r="EK2" i="40" l="1"/>
  <c r="GJ2" i="40"/>
  <c r="EG2" i="40"/>
  <c r="IG2" i="41" a="1"/>
  <c r="IG2" i="41" s="1"/>
  <c r="ZM2" i="40"/>
  <c r="ZP2" i="40"/>
  <c r="ZN2" i="40"/>
  <c r="ZL2" i="40"/>
  <c r="EO2" i="41"/>
  <c r="YH2" i="41"/>
  <c r="RL2" i="41"/>
  <c r="YG2" i="41"/>
  <c r="FG2" i="41"/>
  <c r="GG2" i="41" s="1"/>
  <c r="OJ2" i="41" s="1"/>
  <c r="LW2" i="41"/>
  <c r="MT2" i="41"/>
  <c r="SV2" i="41"/>
  <c r="SY2" i="41" s="1"/>
  <c r="HP2" i="41"/>
  <c r="WK2" i="41"/>
  <c r="OK2" i="41"/>
  <c r="WG2" i="41"/>
  <c r="JF2" i="41"/>
  <c r="JH2" i="41" s="1"/>
  <c r="JP2" i="41" s="1"/>
  <c r="WE2" i="41"/>
  <c r="WB2" i="41"/>
  <c r="WN2" i="41"/>
  <c r="XB2" i="41" s="1"/>
  <c r="PJ2" i="41"/>
  <c r="WO8" i="41"/>
  <c r="WL2" i="41"/>
  <c r="EP2" i="41"/>
  <c r="WO2" i="41"/>
  <c r="WF2" i="41"/>
  <c r="WW2" i="41" s="1"/>
  <c r="WM2" i="41"/>
  <c r="XQ2" i="41" s="1"/>
  <c r="XZ2" i="41" s="1"/>
  <c r="PK2" i="41"/>
  <c r="IF2" i="41"/>
  <c r="HK2" i="41"/>
  <c r="YC2" i="41"/>
  <c r="IB2" i="41"/>
  <c r="LR2" i="41" s="1"/>
  <c r="LS2" i="41" s="1"/>
  <c r="HH2" i="41"/>
  <c r="KM2" i="41"/>
  <c r="TZ2" i="41"/>
  <c r="ZJ2" i="40"/>
  <c r="ZV2" i="40"/>
  <c r="ZE2" i="40"/>
  <c r="YN2" i="40"/>
  <c r="ZF2" i="40"/>
  <c r="ZG2" i="40" s="1"/>
  <c r="SG10" i="40"/>
  <c r="TB10" i="40"/>
  <c r="NA10" i="41"/>
  <c r="KC2" i="21"/>
  <c r="KR2" i="21"/>
  <c r="KB2" i="21"/>
  <c r="KP2" i="21"/>
  <c r="KJ2" i="21"/>
  <c r="KF2" i="21"/>
  <c r="KE2" i="21"/>
  <c r="LV2" i="40"/>
  <c r="HG2" i="40"/>
  <c r="GK2" i="40"/>
  <c r="KQ2" i="40"/>
  <c r="MF2" i="40"/>
  <c r="GE2" i="40"/>
  <c r="PM2" i="41" l="1" a="1"/>
  <c r="PM2" i="41" s="1"/>
  <c r="IH2" i="41"/>
  <c r="WR2" i="41"/>
  <c r="WR3" i="41"/>
  <c r="WP2" i="41"/>
  <c r="GN2" i="41"/>
  <c r="MP2" i="41" s="1"/>
  <c r="KH2" i="41"/>
  <c r="KJ2" i="41" s="1"/>
  <c r="FL2" i="41"/>
  <c r="HM2" i="41" s="1"/>
  <c r="VC2" i="41"/>
  <c r="SW2" i="41"/>
  <c r="MV2" i="41"/>
  <c r="QP2" i="41" s="1"/>
  <c r="TA2" i="41" s="1"/>
  <c r="LY2" i="41"/>
  <c r="II2" i="41"/>
  <c r="IJ2" i="41" s="1"/>
  <c r="YI2" i="41"/>
  <c r="RM2" i="41"/>
  <c r="RO2" i="41"/>
  <c r="YL2" i="41"/>
  <c r="YB2" i="41"/>
  <c r="YE2" i="41" s="1"/>
  <c r="XS2" i="41"/>
  <c r="XX2" i="41" s="1"/>
  <c r="YD2" i="41"/>
  <c r="JG2" i="41"/>
  <c r="JK2" i="41" s="1"/>
  <c r="WX2" i="41"/>
  <c r="WY2" i="41"/>
  <c r="XU2" i="41"/>
  <c r="ZK2" i="40"/>
  <c r="SC11" i="40"/>
  <c r="MY10" i="41"/>
  <c r="HS9" i="34"/>
  <c r="MY11" i="41"/>
  <c r="MY12" i="41"/>
  <c r="SD10" i="40"/>
  <c r="OP10" i="40"/>
  <c r="SH10" i="40"/>
  <c r="RJ10" i="40"/>
  <c r="SG11" i="40"/>
  <c r="TB11" i="40"/>
  <c r="ON11" i="40"/>
  <c r="TC10" i="40"/>
  <c r="VJ2" i="40"/>
  <c r="ZA2" i="40"/>
  <c r="KD2" i="21"/>
  <c r="VD2" i="41"/>
  <c r="VE2" i="41"/>
  <c r="VF2" i="41"/>
  <c r="VG2" i="41"/>
  <c r="UQ2" i="41" l="1"/>
  <c r="UR2" i="41"/>
  <c r="MM2" i="41"/>
  <c r="VI2" i="40"/>
  <c r="UT2" i="41"/>
  <c r="HR2" i="41"/>
  <c r="HY2" i="41" s="1"/>
  <c r="GH2" i="41"/>
  <c r="GO2" i="41" s="1"/>
  <c r="XY2" i="41"/>
  <c r="XX9" i="41"/>
  <c r="SL2" i="41"/>
  <c r="JI2" i="41"/>
  <c r="JL2" i="41" s="1"/>
  <c r="JM2" i="41" s="1"/>
  <c r="YA2" i="41"/>
  <c r="WZ2" i="41"/>
  <c r="TH10" i="40"/>
  <c r="TI10" i="40"/>
  <c r="NA11" i="41"/>
  <c r="NA12" i="41"/>
  <c r="PS12" i="41"/>
  <c r="TE11" i="40"/>
  <c r="TD11" i="40"/>
  <c r="SD11" i="40"/>
  <c r="SH11" i="40"/>
  <c r="TC11" i="40"/>
  <c r="EM2" i="40"/>
  <c r="ZH2" i="40"/>
  <c r="ZI2" i="40" s="1"/>
  <c r="IZ2" i="40"/>
  <c r="ID2" i="40"/>
  <c r="IE2" i="40" s="1"/>
  <c r="LG2" i="40"/>
  <c r="MG2" i="40" s="1"/>
  <c r="JE2" i="40"/>
  <c r="KG2" i="21"/>
  <c r="MS2" i="37"/>
  <c r="VZ2" i="40"/>
  <c r="WE2" i="40"/>
  <c r="WB2" i="40"/>
  <c r="VY2" i="40"/>
  <c r="HN2" i="41" l="1"/>
  <c r="HX2" i="41" s="1"/>
  <c r="GK2" i="41"/>
  <c r="TD2" i="41" s="1"/>
  <c r="VH2" i="41"/>
  <c r="OV2" i="41"/>
  <c r="OW2" i="41" s="1"/>
  <c r="OO2" i="41"/>
  <c r="MN2" i="41"/>
  <c r="MW2" i="41" s="1"/>
  <c r="HS2" i="41"/>
  <c r="HZ2" i="41" s="1"/>
  <c r="LR2" i="40"/>
  <c r="JO2" i="40"/>
  <c r="SW2" i="40" s="1"/>
  <c r="UB2" i="40" s="1"/>
  <c r="IC2" i="41"/>
  <c r="MQ2" i="41" s="1"/>
  <c r="MS2" i="41"/>
  <c r="IE2" i="41"/>
  <c r="MR2" i="41" s="1"/>
  <c r="LS2" i="40"/>
  <c r="LJ2" i="40"/>
  <c r="II2" i="40"/>
  <c r="IJ2" i="40" s="1"/>
  <c r="IH2" i="40"/>
  <c r="RY2" i="40" s="1"/>
  <c r="SE2" i="40" s="1"/>
  <c r="IG2" i="40"/>
  <c r="HT9" i="34"/>
  <c r="PS10" i="41"/>
  <c r="PT12" i="41"/>
  <c r="RJ11" i="40"/>
  <c r="OP11" i="40"/>
  <c r="NZ10" i="40"/>
  <c r="IF2" i="40"/>
  <c r="LH2" i="40"/>
  <c r="LI2" i="40"/>
  <c r="WA2" i="40"/>
  <c r="WC2" i="40"/>
  <c r="MC2" i="40"/>
  <c r="LZ2" i="40"/>
  <c r="VR2" i="41" l="1"/>
  <c r="VQ2" i="41"/>
  <c r="VP2" i="41"/>
  <c r="VO2" i="41"/>
  <c r="VM2" i="41"/>
  <c r="GL2" i="40"/>
  <c r="LW2" i="40"/>
  <c r="VK2" i="41"/>
  <c r="HW2" i="41"/>
  <c r="VJ2" i="41"/>
  <c r="OI2" i="40"/>
  <c r="RX2" i="40" s="1"/>
  <c r="UX2" i="40" s="1"/>
  <c r="OX2" i="41"/>
  <c r="PF2" i="41" s="1"/>
  <c r="LO2" i="41"/>
  <c r="MB2" i="41" s="1"/>
  <c r="GL2" i="41"/>
  <c r="MO2" i="41"/>
  <c r="MX2" i="41" s="1"/>
  <c r="QQ2" i="41" s="1"/>
  <c r="VN2" i="41"/>
  <c r="VL2" i="41"/>
  <c r="JD2" i="40"/>
  <c r="ID2" i="41"/>
  <c r="RJ2" i="41" s="1"/>
  <c r="RR2" i="41" s="1"/>
  <c r="RS2" i="41" s="1"/>
  <c r="RI2" i="41"/>
  <c r="PA2" i="41"/>
  <c r="PB2" i="41" s="1"/>
  <c r="PC2" i="41" s="1"/>
  <c r="NL2" i="40"/>
  <c r="JP2" i="40"/>
  <c r="JT2" i="40"/>
  <c r="IV2" i="40"/>
  <c r="IY2" i="40"/>
  <c r="PY12" i="41"/>
  <c r="HJ9" i="39"/>
  <c r="RZ10" i="41"/>
  <c r="MK10" i="41"/>
  <c r="TH11" i="40"/>
  <c r="TI11" i="40"/>
  <c r="TL10" i="40"/>
  <c r="TN10" i="40"/>
  <c r="PS11" i="41"/>
  <c r="PT10" i="41"/>
  <c r="PW12" i="41"/>
  <c r="OA10" i="40"/>
  <c r="UG10" i="40"/>
  <c r="PY10" i="41"/>
  <c r="UY2" i="40"/>
  <c r="SF2" i="40"/>
  <c r="LO9" i="40"/>
  <c r="K2" i="39"/>
  <c r="MD2" i="40"/>
  <c r="MA2" i="40"/>
  <c r="LX2" i="40"/>
  <c r="VT2" i="41"/>
  <c r="VS2" i="41"/>
  <c r="VV2" i="41"/>
  <c r="TW2" i="41"/>
  <c r="KE2" i="41"/>
  <c r="VU2" i="41"/>
  <c r="KR2" i="40"/>
  <c r="GF2" i="40"/>
  <c r="GM2" i="41" l="1"/>
  <c r="MG2" i="41"/>
  <c r="MJ2" i="41" s="1"/>
  <c r="MB2" i="40"/>
  <c r="GM2" i="40"/>
  <c r="GR2" i="40" s="1"/>
  <c r="IW2" i="40" s="1"/>
  <c r="ZQ2" i="40"/>
  <c r="ZO2" i="40" s="1"/>
  <c r="LP2" i="41"/>
  <c r="VW2" i="41"/>
  <c r="KS2" i="40"/>
  <c r="KT2" i="40" s="1"/>
  <c r="JN2" i="41"/>
  <c r="MY2" i="41"/>
  <c r="MZ2" i="41" s="1"/>
  <c r="NA2" i="41" s="1"/>
  <c r="ME2" i="40"/>
  <c r="WD2" i="40"/>
  <c r="SG2" i="41"/>
  <c r="LY2" i="40"/>
  <c r="PD2" i="41"/>
  <c r="PG2" i="41" s="1"/>
  <c r="PN2" i="41" s="1"/>
  <c r="SX2" i="40"/>
  <c r="SA10" i="41"/>
  <c r="HK9" i="39"/>
  <c r="TM10" i="40"/>
  <c r="TO10" i="40"/>
  <c r="PW10" i="41"/>
  <c r="PT11" i="41"/>
  <c r="PX10" i="41"/>
  <c r="ML10" i="41"/>
  <c r="VC10" i="40"/>
  <c r="GT9" i="39"/>
  <c r="E9" i="39"/>
  <c r="ED7" i="39"/>
  <c r="JF2" i="39"/>
  <c r="IU2" i="39"/>
  <c r="IP2" i="39"/>
  <c r="IM2" i="39"/>
  <c r="IL2" i="39"/>
  <c r="IK2" i="39"/>
  <c r="IJ2" i="39"/>
  <c r="II2" i="39"/>
  <c r="IH2" i="39"/>
  <c r="IE2" i="39"/>
  <c r="ID2" i="39"/>
  <c r="HH2" i="39"/>
  <c r="GU2" i="39"/>
  <c r="GT2" i="39"/>
  <c r="GS2" i="39"/>
  <c r="EY2" i="39"/>
  <c r="EX2" i="39"/>
  <c r="EI2" i="39"/>
  <c r="DJ2" i="39"/>
  <c r="CE2" i="39"/>
  <c r="CC2" i="39"/>
  <c r="CB2" i="39"/>
  <c r="BX2" i="39"/>
  <c r="BR2" i="39"/>
  <c r="BM2" i="39"/>
  <c r="BJ2" i="39"/>
  <c r="BH2" i="39"/>
  <c r="BF2" i="39"/>
  <c r="BA2" i="39"/>
  <c r="BB2" i="39" s="1"/>
  <c r="AY2" i="39"/>
  <c r="AS2" i="39"/>
  <c r="AQ2" i="39"/>
  <c r="AM2" i="39"/>
  <c r="AO2" i="39" s="1"/>
  <c r="AL2" i="39"/>
  <c r="AB2" i="39"/>
  <c r="KH9" i="38"/>
  <c r="KG9" i="38"/>
  <c r="E9" i="38"/>
  <c r="NE2" i="38"/>
  <c r="MC2" i="38"/>
  <c r="LT2" i="38"/>
  <c r="LS2" i="38"/>
  <c r="LR2" i="38"/>
  <c r="LQ2" i="38"/>
  <c r="LP2" i="38"/>
  <c r="LO2" i="38"/>
  <c r="LL2" i="38"/>
  <c r="LK2" i="38"/>
  <c r="KE2" i="38"/>
  <c r="JS2" i="38"/>
  <c r="IK2" i="38"/>
  <c r="GL2" i="38"/>
  <c r="GF2" i="38"/>
  <c r="FK2" i="38"/>
  <c r="EI2" i="38"/>
  <c r="DS2" i="38"/>
  <c r="DL2" i="38"/>
  <c r="DI2" i="38"/>
  <c r="DE2" i="38"/>
  <c r="CX2" i="38"/>
  <c r="EX2" i="38" s="1"/>
  <c r="CF2" i="38"/>
  <c r="CD2" i="38"/>
  <c r="CB2" i="38"/>
  <c r="BY2" i="38"/>
  <c r="BN2" i="38"/>
  <c r="BI2" i="38"/>
  <c r="BC2" i="38"/>
  <c r="BD2" i="38" s="1"/>
  <c r="BF2" i="38" s="1"/>
  <c r="BA2" i="38"/>
  <c r="AU2" i="38"/>
  <c r="AM2" i="38" s="1"/>
  <c r="AT2" i="38"/>
  <c r="AP2" i="38"/>
  <c r="AO2" i="38"/>
  <c r="AC2" i="38"/>
  <c r="Z2" i="38"/>
  <c r="K2" i="38"/>
  <c r="AR2" i="39"/>
  <c r="AQ2" i="38"/>
  <c r="HP2" i="40" l="1"/>
  <c r="HR2" i="40" s="1"/>
  <c r="XD2" i="40" s="1"/>
  <c r="HS2" i="40"/>
  <c r="HT2" i="40" s="1"/>
  <c r="XI2" i="40" s="1"/>
  <c r="JF2" i="40"/>
  <c r="JM2" i="40" s="1"/>
  <c r="JA2" i="40"/>
  <c r="OB2" i="40"/>
  <c r="VY3" i="41"/>
  <c r="WD2" i="41"/>
  <c r="VW3" i="41"/>
  <c r="LQ2" i="41"/>
  <c r="LU2" i="41" s="1"/>
  <c r="MD2" i="41" s="1"/>
  <c r="ME2" i="41" s="1"/>
  <c r="LT2" i="41"/>
  <c r="KU2" i="40"/>
  <c r="KV2" i="40" s="1"/>
  <c r="LE2" i="40" s="1"/>
  <c r="VY2" i="41"/>
  <c r="WC5" i="41"/>
  <c r="WC2" i="41"/>
  <c r="WH2" i="41" s="1"/>
  <c r="WJ2" i="41" s="1"/>
  <c r="WD5" i="41"/>
  <c r="CJ2" i="39"/>
  <c r="BW2" i="39"/>
  <c r="FH2" i="39"/>
  <c r="TD2" i="40"/>
  <c r="PP2" i="41"/>
  <c r="PE2" i="41"/>
  <c r="JO2" i="41"/>
  <c r="JQ2" i="41"/>
  <c r="LZ2" i="41" s="1"/>
  <c r="PH2" i="41"/>
  <c r="PR2" i="41" s="1"/>
  <c r="XA2" i="41"/>
  <c r="WQ2" i="41"/>
  <c r="HZ2" i="40"/>
  <c r="OE2" i="40" s="1"/>
  <c r="UC2" i="40"/>
  <c r="MD2" i="38"/>
  <c r="DT2" i="38"/>
  <c r="DZ2" i="38" s="1"/>
  <c r="TN11" i="40"/>
  <c r="PY11" i="41"/>
  <c r="QV10" i="41"/>
  <c r="PW11" i="41"/>
  <c r="VD10" i="40"/>
  <c r="UH10" i="40"/>
  <c r="NZ11" i="40"/>
  <c r="TL11" i="40"/>
  <c r="UG11" i="40"/>
  <c r="XA10" i="40"/>
  <c r="XB10" i="40"/>
  <c r="PX11" i="41"/>
  <c r="KZ2" i="40"/>
  <c r="KW2" i="40"/>
  <c r="KX2" i="40" s="1"/>
  <c r="AV2" i="38"/>
  <c r="FN2" i="38" s="1"/>
  <c r="JZ9" i="38"/>
  <c r="BO2" i="38"/>
  <c r="AY2" i="38"/>
  <c r="BH2" i="38"/>
  <c r="LM2" i="38" s="1"/>
  <c r="AT2" i="39"/>
  <c r="FA2" i="39" s="1"/>
  <c r="JM2" i="39" s="1"/>
  <c r="BK2" i="39"/>
  <c r="BI2" i="39"/>
  <c r="BE2" i="39"/>
  <c r="BS2" i="38"/>
  <c r="BQ2" i="38"/>
  <c r="DV2" i="38"/>
  <c r="ED2" i="38"/>
  <c r="EK2" i="38" s="1"/>
  <c r="EG2" i="38"/>
  <c r="BJ2" i="38"/>
  <c r="CG2" i="38"/>
  <c r="CW2" i="38"/>
  <c r="DJ2" i="38"/>
  <c r="HE2" i="38" s="1"/>
  <c r="DO2" i="38"/>
  <c r="DQ2" i="38"/>
  <c r="EB2" i="38"/>
  <c r="GO2" i="38"/>
  <c r="GQ2" i="38"/>
  <c r="CI2" i="38"/>
  <c r="DN2" i="38"/>
  <c r="GN2" i="38"/>
  <c r="GP2" i="38"/>
  <c r="FJ2" i="39"/>
  <c r="AW2" i="39"/>
  <c r="CV2" i="39"/>
  <c r="CW2" i="39" s="1"/>
  <c r="CH2" i="39"/>
  <c r="XE2" i="40"/>
  <c r="GX2" i="39"/>
  <c r="HT2" i="39"/>
  <c r="AX2" i="39"/>
  <c r="AZ2" i="38"/>
  <c r="XG2" i="40"/>
  <c r="XH2" i="40"/>
  <c r="XF2" i="40"/>
  <c r="OC2" i="40" l="1"/>
  <c r="XS2" i="40"/>
  <c r="XR2" i="40"/>
  <c r="XQ2" i="40"/>
  <c r="XP2" i="40"/>
  <c r="XN2" i="40"/>
  <c r="HW2" i="40"/>
  <c r="HX2" i="40" s="1"/>
  <c r="JB2" i="40"/>
  <c r="JK2" i="40" s="1"/>
  <c r="JG2" i="40"/>
  <c r="JN2" i="40" s="1"/>
  <c r="IX2" i="40"/>
  <c r="JJ2" i="40" s="1"/>
  <c r="FP7" i="38"/>
  <c r="JA2" i="38"/>
  <c r="FR2" i="38"/>
  <c r="KP2" i="38"/>
  <c r="KO2" i="38"/>
  <c r="KQ2" i="38"/>
  <c r="IV2" i="38"/>
  <c r="NU2" i="38"/>
  <c r="IU2" i="38"/>
  <c r="KL2" i="38"/>
  <c r="KM2" i="38"/>
  <c r="FL2" i="39"/>
  <c r="NP2" i="38"/>
  <c r="FB2" i="38"/>
  <c r="CK2" i="39"/>
  <c r="BY2" i="39"/>
  <c r="BZ2" i="39"/>
  <c r="FK2" i="39"/>
  <c r="FM2" i="39" s="1"/>
  <c r="FB2" i="39"/>
  <c r="GY2" i="39" s="1"/>
  <c r="HH2" i="38"/>
  <c r="NT2" i="38"/>
  <c r="FS2" i="38"/>
  <c r="FC2" i="38"/>
  <c r="KS2" i="38"/>
  <c r="KT2" i="38" s="1"/>
  <c r="KR2" i="38"/>
  <c r="LW2" i="38"/>
  <c r="LI2" i="38"/>
  <c r="TE2" i="40"/>
  <c r="TV2" i="40" s="1"/>
  <c r="PQ2" i="41"/>
  <c r="PS2" i="41"/>
  <c r="PT2" i="41" s="1"/>
  <c r="PO2" i="41"/>
  <c r="PU2" i="41" s="1"/>
  <c r="IA2" i="40"/>
  <c r="JS2" i="40" s="1"/>
  <c r="MC2" i="41"/>
  <c r="MH2" i="41" s="1"/>
  <c r="LV2" i="41"/>
  <c r="MA2" i="41" s="1"/>
  <c r="LV2" i="38"/>
  <c r="LU2" i="38"/>
  <c r="FD2" i="38"/>
  <c r="EU2" i="38"/>
  <c r="FE2" i="38"/>
  <c r="TO11" i="40"/>
  <c r="QV12" i="41"/>
  <c r="QW10" i="41"/>
  <c r="MK12" i="41"/>
  <c r="RZ12" i="41"/>
  <c r="MK11" i="41"/>
  <c r="SB10" i="41"/>
  <c r="PX12" i="41"/>
  <c r="RV10" i="41"/>
  <c r="RZ11" i="41"/>
  <c r="OA11" i="40"/>
  <c r="TM11" i="40"/>
  <c r="VC11" i="40"/>
  <c r="LA2" i="40"/>
  <c r="OL2" i="40"/>
  <c r="RS2" i="40"/>
  <c r="SR2" i="40" s="1"/>
  <c r="RR2" i="40"/>
  <c r="XL2" i="40"/>
  <c r="XM2" i="40"/>
  <c r="XO2" i="40"/>
  <c r="XK2" i="40"/>
  <c r="HK2" i="38"/>
  <c r="CJ2" i="38"/>
  <c r="CS2" i="39"/>
  <c r="GR2" i="38"/>
  <c r="CS2" i="38"/>
  <c r="IF2" i="39"/>
  <c r="FT2" i="38"/>
  <c r="FP2" i="38"/>
  <c r="IX2" i="38" s="1"/>
  <c r="FW2" i="38"/>
  <c r="FQ2" i="38"/>
  <c r="FO2" i="38"/>
  <c r="HF2" i="38"/>
  <c r="EF2" i="38"/>
  <c r="KN2" i="38"/>
  <c r="IW2" i="38"/>
  <c r="HQ2" i="38"/>
  <c r="HR2" i="38" s="1"/>
  <c r="HS2" i="38" s="1"/>
  <c r="EY2" i="38"/>
  <c r="EZ2" i="38" s="1"/>
  <c r="BZ2" i="38"/>
  <c r="BR2" i="38"/>
  <c r="LT2" i="40"/>
  <c r="VX2" i="40"/>
  <c r="LB2" i="40"/>
  <c r="XW2" i="40"/>
  <c r="XV2" i="40"/>
  <c r="XT2" i="40"/>
  <c r="XU2" i="40"/>
  <c r="CL2" i="39"/>
  <c r="CK2" i="38"/>
  <c r="JI2" i="40" l="1"/>
  <c r="OD2" i="40"/>
  <c r="OM2" i="40" s="1"/>
  <c r="SB2" i="40" s="1"/>
  <c r="ND2" i="40"/>
  <c r="NQ2" i="40" s="1"/>
  <c r="UN2" i="40"/>
  <c r="VB2" i="40" s="1"/>
  <c r="JL2" i="40"/>
  <c r="HC2" i="39"/>
  <c r="HA2" i="39"/>
  <c r="GZ2" i="39"/>
  <c r="IZ2" i="38"/>
  <c r="JB2" i="38"/>
  <c r="IY2" i="38"/>
  <c r="KZ2" i="38"/>
  <c r="JF2" i="38"/>
  <c r="JN2" i="38"/>
  <c r="JG2" i="38"/>
  <c r="JM2" i="38"/>
  <c r="KY2" i="38"/>
  <c r="KX2" i="38"/>
  <c r="JJ2" i="38"/>
  <c r="KW2" i="38"/>
  <c r="JI2" i="38"/>
  <c r="KV2" i="38"/>
  <c r="JH2" i="38"/>
  <c r="KU2" i="38"/>
  <c r="HI2" i="38"/>
  <c r="HJ2" i="38" s="1"/>
  <c r="GY2" i="38"/>
  <c r="FC2" i="39"/>
  <c r="FG2" i="39"/>
  <c r="GR2" i="39" s="1"/>
  <c r="GW2" i="39" s="1"/>
  <c r="LB2" i="38"/>
  <c r="LC2" i="38" s="1"/>
  <c r="FN2" i="39"/>
  <c r="LX2" i="38"/>
  <c r="LY2" i="38" s="1"/>
  <c r="LZ2" i="38" s="1"/>
  <c r="LA2" i="38"/>
  <c r="JP2" i="38"/>
  <c r="JQ2" i="38" s="1"/>
  <c r="JO2" i="38"/>
  <c r="HD2" i="39"/>
  <c r="JD2" i="38"/>
  <c r="JE2" i="38" s="1"/>
  <c r="JC2" i="38"/>
  <c r="OH2" i="40"/>
  <c r="RW2" i="40" s="1"/>
  <c r="OF2" i="40"/>
  <c r="RT2" i="40" s="1"/>
  <c r="SS2" i="40" s="1"/>
  <c r="JQ2" i="40"/>
  <c r="QY2" i="41"/>
  <c r="RD2" i="41" s="1"/>
  <c r="RF2" i="41" s="1"/>
  <c r="PV2" i="41"/>
  <c r="PW2" i="41" s="1"/>
  <c r="QA2" i="41" s="1"/>
  <c r="PY2" i="41"/>
  <c r="QD2" i="41"/>
  <c r="MK2" i="41"/>
  <c r="MI2" i="41"/>
  <c r="RZ2" i="41"/>
  <c r="SA12" i="41"/>
  <c r="ML11" i="41"/>
  <c r="QW12" i="41"/>
  <c r="SB12" i="41"/>
  <c r="ML12" i="41"/>
  <c r="SC10" i="41"/>
  <c r="RV12" i="41"/>
  <c r="RW10" i="41"/>
  <c r="SA11" i="41"/>
  <c r="VD11" i="40"/>
  <c r="UH11" i="40"/>
  <c r="XA11" i="40"/>
  <c r="XB11" i="40"/>
  <c r="XX2" i="40"/>
  <c r="HL2" i="38"/>
  <c r="HX9" i="34"/>
  <c r="HM2" i="38"/>
  <c r="HP2" i="38" s="1"/>
  <c r="CM2" i="38"/>
  <c r="CM2" i="39"/>
  <c r="HT2" i="38"/>
  <c r="IH2" i="38"/>
  <c r="GH2" i="38"/>
  <c r="ID2" i="38" s="1"/>
  <c r="IN2" i="38" s="1"/>
  <c r="II2" i="38"/>
  <c r="GI2" i="38"/>
  <c r="IE2" i="38" s="1"/>
  <c r="IO2" i="38" s="1"/>
  <c r="IJ2" i="38"/>
  <c r="GJ2" i="38"/>
  <c r="IF2" i="38" s="1"/>
  <c r="IP2" i="38" s="1"/>
  <c r="FY2" i="38"/>
  <c r="FZ2" i="38" s="1"/>
  <c r="FX2" i="38"/>
  <c r="HX2" i="38"/>
  <c r="IA2" i="38"/>
  <c r="GS2" i="38"/>
  <c r="HZ2" i="38" s="1"/>
  <c r="HO2" i="38"/>
  <c r="GT2" i="38"/>
  <c r="GU2" i="38"/>
  <c r="HC2" i="38"/>
  <c r="FF2" i="38"/>
  <c r="IR2" i="38"/>
  <c r="IS2" i="38" s="1"/>
  <c r="HY2" i="40"/>
  <c r="GZ2" i="38"/>
  <c r="GV2" i="38"/>
  <c r="IT2" i="38"/>
  <c r="KK2" i="38"/>
  <c r="NV2" i="40" l="1"/>
  <c r="NY2" i="40" s="1"/>
  <c r="NE2" i="40"/>
  <c r="NF2" i="40" s="1"/>
  <c r="HW2" i="39"/>
  <c r="HU2" i="39"/>
  <c r="HV2" i="39"/>
  <c r="JP2" i="39"/>
  <c r="HB2" i="39"/>
  <c r="TB2" i="40"/>
  <c r="TF2" i="40" s="1"/>
  <c r="FG2" i="38"/>
  <c r="ON2" i="40"/>
  <c r="OO2" i="40" s="1"/>
  <c r="OP2" i="40" s="1"/>
  <c r="RJ2" i="40" s="1"/>
  <c r="JL2" i="38"/>
  <c r="JK2" i="38"/>
  <c r="LC2" i="40"/>
  <c r="LD2" i="40" s="1"/>
  <c r="FD2" i="39"/>
  <c r="FE2" i="39" s="1"/>
  <c r="FP2" i="39"/>
  <c r="HY2" i="39"/>
  <c r="HX2" i="39"/>
  <c r="GO2" i="39"/>
  <c r="FQ2" i="39"/>
  <c r="HZ2" i="39"/>
  <c r="FO2" i="39"/>
  <c r="GN2" i="39" s="1"/>
  <c r="FY2" i="39"/>
  <c r="HF2" i="39"/>
  <c r="HE2" i="39"/>
  <c r="GA2" i="38"/>
  <c r="SV2" i="40"/>
  <c r="UA2" i="40" s="1"/>
  <c r="UU2" i="40" s="1"/>
  <c r="VV2" i="40" s="1"/>
  <c r="SC2" i="40"/>
  <c r="SD2" i="40" s="1"/>
  <c r="SH2" i="40" s="1"/>
  <c r="JR2" i="40"/>
  <c r="NG2" i="40" s="1"/>
  <c r="NH2" i="40" s="1"/>
  <c r="OG2" i="40"/>
  <c r="RU2" i="40" s="1"/>
  <c r="QB2" i="41"/>
  <c r="QE2" i="41" s="1"/>
  <c r="QM2" i="41"/>
  <c r="QL2" i="41"/>
  <c r="QJ2" i="41"/>
  <c r="QG2" i="41"/>
  <c r="QH2" i="41"/>
  <c r="RG2" i="41" s="1"/>
  <c r="QI2" i="41"/>
  <c r="RH2" i="41" s="1"/>
  <c r="SA2" i="41"/>
  <c r="ML2" i="41"/>
  <c r="PX2" i="41" s="1"/>
  <c r="MA2" i="38"/>
  <c r="SC12" i="41"/>
  <c r="RW12" i="41"/>
  <c r="XY2" i="40"/>
  <c r="YB2" i="40"/>
  <c r="XZ2" i="40"/>
  <c r="YA2" i="40"/>
  <c r="HO9" i="39"/>
  <c r="HU2" i="38"/>
  <c r="HA2" i="38"/>
  <c r="FH2" i="38"/>
  <c r="JC2" i="39"/>
  <c r="CT2" i="39"/>
  <c r="CY2" i="39" s="1"/>
  <c r="CT2" i="38"/>
  <c r="HY2" i="38"/>
  <c r="FU2" i="39"/>
  <c r="FV2" i="39" s="1"/>
  <c r="FR2" i="39"/>
  <c r="FS2" i="39"/>
  <c r="GW2" i="38"/>
  <c r="TC2" i="40" l="1"/>
  <c r="TU2" i="40" s="1"/>
  <c r="SG2" i="40"/>
  <c r="NJ2" i="40"/>
  <c r="TI2" i="40" s="1"/>
  <c r="TR2" i="40" s="1"/>
  <c r="RV2" i="40"/>
  <c r="SU2" i="40" s="1"/>
  <c r="TZ2" i="40" s="1"/>
  <c r="NI2" i="40"/>
  <c r="ST2" i="40"/>
  <c r="SU2" i="41"/>
  <c r="SJ2" i="41"/>
  <c r="YJ2" i="41" s="1"/>
  <c r="RP2" i="41"/>
  <c r="RQ2" i="41" s="1"/>
  <c r="RU2" i="41" s="1"/>
  <c r="QR2" i="41"/>
  <c r="QS2" i="41" s="1"/>
  <c r="QC2" i="41"/>
  <c r="QF2" i="41" s="1"/>
  <c r="RK2" i="41"/>
  <c r="SH2" i="41" s="1"/>
  <c r="SQ2" i="41"/>
  <c r="TS2" i="41" s="1"/>
  <c r="QK2" i="41"/>
  <c r="SI2" i="41"/>
  <c r="QV11" i="41"/>
  <c r="YF2" i="40"/>
  <c r="YG2" i="40" s="1"/>
  <c r="LF2" i="40"/>
  <c r="NK2" i="40"/>
  <c r="GX2" i="38"/>
  <c r="HB2" i="38" s="1"/>
  <c r="HD2" i="38" s="1"/>
  <c r="CV2" i="38"/>
  <c r="CZ2" i="38"/>
  <c r="DB2" i="38" s="1"/>
  <c r="DA2" i="39"/>
  <c r="FI2" i="38"/>
  <c r="HV2" i="38"/>
  <c r="TG2" i="40" l="1"/>
  <c r="FT2" i="39"/>
  <c r="FW2" i="39"/>
  <c r="TH2" i="40"/>
  <c r="NS2" i="40"/>
  <c r="NT2" i="40" s="1"/>
  <c r="UT2" i="40"/>
  <c r="VU2" i="40" s="1"/>
  <c r="SR2" i="41"/>
  <c r="TT2" i="41" s="1"/>
  <c r="QT2" i="41"/>
  <c r="QU2" i="41" s="1"/>
  <c r="QW2" i="41" s="1"/>
  <c r="RT2" i="41"/>
  <c r="QX2" i="41"/>
  <c r="SM10" i="41"/>
  <c r="QW11" i="41"/>
  <c r="NO2" i="40"/>
  <c r="NP2" i="40" s="1"/>
  <c r="NR2" i="40"/>
  <c r="NW2" i="40" s="1"/>
  <c r="TQ2" i="40"/>
  <c r="TS2" i="40"/>
  <c r="EJ2" i="38"/>
  <c r="EL2" i="38" s="1"/>
  <c r="DC2" i="38"/>
  <c r="EH2" i="38"/>
  <c r="EO2" i="38" s="1"/>
  <c r="EP2" i="38" s="1"/>
  <c r="EQ2" i="38" s="1"/>
  <c r="MB2" i="38" s="1"/>
  <c r="NF2" i="38" s="1"/>
  <c r="DG2" i="39"/>
  <c r="DB2" i="39"/>
  <c r="DT2" i="39" l="1"/>
  <c r="FX2" i="39"/>
  <c r="FZ2" i="39" s="1"/>
  <c r="GJ2" i="39" s="1"/>
  <c r="TT2" i="40"/>
  <c r="RW2" i="41"/>
  <c r="SC2" i="41" s="1"/>
  <c r="QZ2" i="41"/>
  <c r="RA2" i="41" s="1"/>
  <c r="RB2" i="41" s="1"/>
  <c r="RC2" i="41" s="1"/>
  <c r="RE2" i="41" s="1"/>
  <c r="QV2" i="41"/>
  <c r="RV2" i="41" s="1"/>
  <c r="SB2" i="41" s="1"/>
  <c r="MX2" i="38"/>
  <c r="MT2" i="38"/>
  <c r="NG2" i="38"/>
  <c r="NC2" i="38"/>
  <c r="NB2" i="38"/>
  <c r="MY2" i="38"/>
  <c r="TH10" i="41"/>
  <c r="SM12" i="41"/>
  <c r="SB11" i="41"/>
  <c r="TG10" i="41"/>
  <c r="RV11" i="41"/>
  <c r="SN10" i="41"/>
  <c r="TG12" i="41"/>
  <c r="NX2" i="40"/>
  <c r="TL2" i="40"/>
  <c r="TN2" i="40" s="1"/>
  <c r="NZ2" i="40"/>
  <c r="ES2" i="38"/>
  <c r="ET2" i="38"/>
  <c r="GG2" i="38" s="1"/>
  <c r="DH2" i="39"/>
  <c r="EC2" i="39"/>
  <c r="DU2" i="39"/>
  <c r="GC2" i="39"/>
  <c r="DQ2" i="39"/>
  <c r="DK2" i="39"/>
  <c r="GE2" i="39"/>
  <c r="TX2" i="40" l="1"/>
  <c r="TY2" i="40" s="1"/>
  <c r="US2" i="40" s="1"/>
  <c r="VT2" i="40" s="1"/>
  <c r="TW2" i="40"/>
  <c r="SD2" i="41"/>
  <c r="SS2" i="41"/>
  <c r="TU2" i="41" s="1"/>
  <c r="SE2" i="41"/>
  <c r="TH12" i="41"/>
  <c r="UV10" i="41"/>
  <c r="UZ10" i="41"/>
  <c r="VA10" i="41"/>
  <c r="SN12" i="41"/>
  <c r="SC11" i="41"/>
  <c r="RW11" i="41"/>
  <c r="OA2" i="40"/>
  <c r="TM2" i="40"/>
  <c r="TO2" i="40" s="1"/>
  <c r="DR2" i="39"/>
  <c r="DL2" i="39"/>
  <c r="JR2" i="38"/>
  <c r="JU2" i="38"/>
  <c r="FA2" i="38"/>
  <c r="HN2" i="38"/>
  <c r="MZ2" i="38"/>
  <c r="EW2" i="38"/>
  <c r="NA2" i="38"/>
  <c r="GF2" i="39"/>
  <c r="DM2" i="39"/>
  <c r="UG2" i="40" l="1"/>
  <c r="UP2" i="40"/>
  <c r="UR2" i="40" s="1"/>
  <c r="UI2" i="40"/>
  <c r="UK2" i="40" s="1"/>
  <c r="SP2" i="41"/>
  <c r="SF2" i="41"/>
  <c r="SM2" i="41"/>
  <c r="SO2" i="41"/>
  <c r="VI2" i="41" s="1"/>
  <c r="MG2" i="38"/>
  <c r="UZ12" i="41"/>
  <c r="VA12" i="41"/>
  <c r="UV12" i="41"/>
  <c r="JV2" i="38"/>
  <c r="GD2" i="39"/>
  <c r="IB2" i="38"/>
  <c r="HW2" i="38"/>
  <c r="ND2" i="38"/>
  <c r="GK2" i="38"/>
  <c r="JT2" i="38"/>
  <c r="JZ2" i="38" s="1"/>
  <c r="TR2" i="41" l="1"/>
  <c r="UV2" i="40"/>
  <c r="UO2" i="40"/>
  <c r="XJ2" i="40"/>
  <c r="VN2" i="40"/>
  <c r="UH2" i="40"/>
  <c r="VC2" i="40"/>
  <c r="TE2" i="41"/>
  <c r="TQ2" i="41"/>
  <c r="SN2" i="41"/>
  <c r="TG2" i="41"/>
  <c r="ST2" i="41"/>
  <c r="MV2" i="38"/>
  <c r="MM2" i="38"/>
  <c r="MN2" i="38" s="1"/>
  <c r="MO2" i="38" s="1"/>
  <c r="MJ2" i="38"/>
  <c r="MP2" i="38" s="1"/>
  <c r="MR2" i="38" s="1"/>
  <c r="MH2" i="38"/>
  <c r="MU2" i="38"/>
  <c r="DN2" i="39"/>
  <c r="IC2" i="38"/>
  <c r="JW2" i="38"/>
  <c r="VQ2" i="40" l="1"/>
  <c r="VS2" i="40" s="1"/>
  <c r="VP2" i="40"/>
  <c r="XA2" i="40"/>
  <c r="XB2" i="40"/>
  <c r="VD2" i="40"/>
  <c r="UV2" i="41"/>
  <c r="UW2" i="41" s="1"/>
  <c r="VA2" i="41"/>
  <c r="UZ2" i="41"/>
  <c r="TH2" i="41"/>
  <c r="SM11" i="41"/>
  <c r="JX2" i="38"/>
  <c r="JY2" i="38" s="1"/>
  <c r="DO2" i="39"/>
  <c r="DV2" i="39" s="1"/>
  <c r="DY2" i="39" s="1"/>
  <c r="GA2" i="39"/>
  <c r="GB2" i="39" s="1"/>
  <c r="GG2" i="39" s="1"/>
  <c r="IM2" i="38"/>
  <c r="KA2" i="38"/>
  <c r="IG2" i="38"/>
  <c r="LD2" i="38" l="1"/>
  <c r="LJ3" i="38"/>
  <c r="MK2" i="38"/>
  <c r="MQ2" i="38" s="1"/>
  <c r="MS2" i="38" s="1"/>
  <c r="WW2" i="40"/>
  <c r="WX2" i="40" s="1"/>
  <c r="SN11" i="41"/>
  <c r="TG11" i="41"/>
  <c r="IQ2" i="38"/>
  <c r="EA2" i="39"/>
  <c r="EB2" i="39"/>
  <c r="ED2" i="39"/>
  <c r="EF2" i="39" s="1"/>
  <c r="EG2" i="39" s="1"/>
  <c r="EJ2" i="39" s="1"/>
  <c r="JR9" i="38"/>
  <c r="KB2" i="38"/>
  <c r="KI2" i="38"/>
  <c r="LG2" i="38" s="1"/>
  <c r="LH2" i="38" s="1"/>
  <c r="KC2" i="38"/>
  <c r="GH2" i="39"/>
  <c r="GI2" i="39" s="1"/>
  <c r="GK2" i="39" s="1"/>
  <c r="JV9" i="38"/>
  <c r="JU9" i="38"/>
  <c r="ML2" i="38" l="1"/>
  <c r="MW2" i="38" s="1"/>
  <c r="NI4" i="38"/>
  <c r="NI2" i="38"/>
  <c r="NK2" i="38" s="1"/>
  <c r="UV11" i="41"/>
  <c r="UZ11" i="41"/>
  <c r="VA11" i="41"/>
  <c r="TH11" i="41"/>
  <c r="KJ2" i="38"/>
  <c r="KD2" i="38"/>
  <c r="KF2" i="38" s="1"/>
  <c r="JT9" i="38"/>
  <c r="EL2" i="39"/>
  <c r="EK2" i="39"/>
  <c r="IO2" i="39" l="1"/>
  <c r="EN2" i="39"/>
  <c r="FF2" i="39" s="1"/>
  <c r="EM2" i="39"/>
  <c r="IZ2" i="39" l="1"/>
  <c r="IY2" i="39"/>
  <c r="IV2" i="39"/>
  <c r="IX2" i="39"/>
  <c r="JB2" i="39"/>
  <c r="HG2" i="39"/>
  <c r="JE2" i="39"/>
  <c r="GL2" i="39"/>
  <c r="GM2" i="39" s="1"/>
  <c r="JW9" i="38"/>
  <c r="JY9" i="38"/>
  <c r="JH2" i="39"/>
  <c r="JA2" i="39"/>
  <c r="IS2" i="39"/>
  <c r="IT2" i="39" s="1"/>
  <c r="JD2" i="39"/>
  <c r="IR2" i="39"/>
  <c r="EO2" i="39"/>
  <c r="EP2" i="39"/>
  <c r="HG9" i="39"/>
  <c r="ES2" i="39" l="1"/>
  <c r="HP9" i="39"/>
  <c r="KA9" i="38"/>
  <c r="IW2" i="39"/>
  <c r="IA9" i="39"/>
  <c r="HI9" i="39"/>
  <c r="JX9" i="38"/>
  <c r="GQ2" i="39"/>
  <c r="GV2" i="39" s="1"/>
  <c r="IA2" i="39" s="1"/>
  <c r="GP2" i="39"/>
  <c r="HL2" i="39"/>
  <c r="HJ2" i="39"/>
  <c r="HP2" i="39" s="1"/>
  <c r="HR2" i="39" s="1"/>
  <c r="IB2" i="39" s="1"/>
  <c r="IC2" i="39" s="1"/>
  <c r="HI2" i="39"/>
  <c r="HL9" i="39"/>
  <c r="HK2" i="39" l="1"/>
  <c r="HQ2" i="39" s="1"/>
  <c r="HS2" i="39" s="1"/>
  <c r="HO2" i="39"/>
  <c r="HN9" i="39"/>
  <c r="LD9" i="38"/>
  <c r="HS9" i="39"/>
  <c r="HQ9" i="39"/>
  <c r="KC9" i="38"/>
  <c r="KB9" i="38"/>
  <c r="HM9" i="39"/>
  <c r="HM2" i="39"/>
  <c r="HN2" i="39" s="1"/>
  <c r="KI9" i="38"/>
  <c r="HR9" i="39"/>
  <c r="IC9" i="39" l="1"/>
  <c r="IB9" i="39"/>
  <c r="KF9" i="38"/>
  <c r="KD9" i="38"/>
  <c r="KJ9" i="38"/>
  <c r="LH9" i="38"/>
  <c r="LG9" i="38"/>
  <c r="T2" i="21" l="1"/>
  <c r="CT2" i="21"/>
  <c r="GG2" i="21"/>
  <c r="GH2" i="21" s="1"/>
  <c r="JH2" i="21" l="1"/>
  <c r="JI2" i="21"/>
  <c r="JG2" i="21"/>
  <c r="JF2" i="21"/>
  <c r="JE2" i="21"/>
  <c r="FU2" i="21"/>
  <c r="GJ2" i="21" s="1"/>
  <c r="GR2" i="21" s="1"/>
  <c r="JJ2" i="21" l="1"/>
  <c r="JL2" i="21" s="1"/>
  <c r="IO2" i="21"/>
  <c r="DG2" i="21"/>
  <c r="CP2" i="21"/>
  <c r="AC2" i="21"/>
  <c r="HB2" i="21" l="1"/>
  <c r="DE2" i="21"/>
  <c r="DI2" i="21" l="1"/>
  <c r="BW2" i="37"/>
  <c r="LT2" i="37"/>
  <c r="DJ2" i="21" l="1"/>
  <c r="LV2" i="37"/>
  <c r="GW2" i="37" l="1"/>
  <c r="HZ2" i="37" l="1"/>
  <c r="FQ10" i="21"/>
  <c r="ED2" i="37"/>
  <c r="GI10" i="21" l="1"/>
  <c r="CP2" i="37"/>
  <c r="CN2" i="37"/>
  <c r="CM2" i="37"/>
  <c r="CK2" i="37"/>
  <c r="AD2" i="37"/>
  <c r="KS9" i="37"/>
  <c r="KR9" i="37"/>
  <c r="E9" i="37"/>
  <c r="NH2" i="37"/>
  <c r="MW2" i="37"/>
  <c r="MQ2" i="37"/>
  <c r="MP2" i="37"/>
  <c r="MO2" i="37"/>
  <c r="MN2" i="37"/>
  <c r="MM2" i="37"/>
  <c r="ML2" i="37"/>
  <c r="MI2" i="37"/>
  <c r="MH2" i="37"/>
  <c r="KP2" i="37"/>
  <c r="KD2" i="37"/>
  <c r="IU2" i="37"/>
  <c r="GR2" i="37"/>
  <c r="EJ2" i="37"/>
  <c r="EA2" i="37"/>
  <c r="DW2" i="37"/>
  <c r="CY2" i="37"/>
  <c r="CW2" i="37"/>
  <c r="CU2" i="37"/>
  <c r="BY2" i="37"/>
  <c r="BV2" i="37"/>
  <c r="AZ2" i="37"/>
  <c r="BA2" i="37" s="1"/>
  <c r="BC2" i="37" s="1"/>
  <c r="AX2" i="37"/>
  <c r="AR2" i="37"/>
  <c r="AJ2" i="37" s="1"/>
  <c r="AQ2" i="37"/>
  <c r="AM2" i="37"/>
  <c r="AL2" i="37"/>
  <c r="AA2" i="37"/>
  <c r="K2" i="37"/>
  <c r="AN2" i="37"/>
  <c r="EM2" i="37" l="1"/>
  <c r="CF2" i="37"/>
  <c r="CL2" i="37" s="1"/>
  <c r="MA2" i="37"/>
  <c r="NI2" i="37"/>
  <c r="EK2" i="37"/>
  <c r="FD2" i="37" s="1"/>
  <c r="FE2" i="37" s="1"/>
  <c r="NF2" i="37"/>
  <c r="DP2" i="37"/>
  <c r="DQ2" i="37" s="1"/>
  <c r="FK2" i="37" s="1"/>
  <c r="GZ2" i="37"/>
  <c r="FX2" i="37"/>
  <c r="DB2" i="37"/>
  <c r="EF2" i="37"/>
  <c r="EH2" i="37"/>
  <c r="BZ2" i="37"/>
  <c r="EX2" i="37"/>
  <c r="BU2" i="37"/>
  <c r="MJ2" i="37" s="1"/>
  <c r="CS2" i="37"/>
  <c r="CZ2" i="37"/>
  <c r="ES2" i="37"/>
  <c r="EB2" i="37"/>
  <c r="EU2" i="37"/>
  <c r="MB2" i="37" l="1"/>
  <c r="ME2" i="37"/>
  <c r="MD2" i="37"/>
  <c r="MC2" i="37"/>
  <c r="CO2" i="37"/>
  <c r="CQ2" i="37" s="1"/>
  <c r="EQ2" i="37"/>
  <c r="FQ2" i="37"/>
  <c r="AS2" i="37"/>
  <c r="AV2" i="37"/>
  <c r="HB2" i="37"/>
  <c r="HA2" i="37"/>
  <c r="GY2" i="37"/>
  <c r="HP2" i="37"/>
  <c r="BX2" i="37"/>
  <c r="DC2" i="37"/>
  <c r="FB2" i="37" s="1"/>
  <c r="HC2" i="37"/>
  <c r="HS2" i="37"/>
  <c r="HV2" i="37"/>
  <c r="EW2" i="37"/>
  <c r="HQ2" i="37"/>
  <c r="AW2" i="37"/>
  <c r="JG2" i="37"/>
  <c r="DD2" i="37" l="1"/>
  <c r="CR2" i="37"/>
  <c r="FA2" i="37"/>
  <c r="FF2" i="37"/>
  <c r="FH2" i="37" s="1"/>
  <c r="FC2" i="37"/>
  <c r="FG2" i="37" s="1"/>
  <c r="FI2" i="37" s="1"/>
  <c r="GA2" i="37"/>
  <c r="DL2" i="37"/>
  <c r="JH2" i="37"/>
  <c r="KY2" i="37"/>
  <c r="HX2" i="37"/>
  <c r="IA2" i="37" s="1"/>
  <c r="HW2" i="37"/>
  <c r="IL2" i="37"/>
  <c r="HD2" i="37"/>
  <c r="HN2" i="37"/>
  <c r="HF2" i="37"/>
  <c r="HE2" i="37"/>
  <c r="FI2" i="34"/>
  <c r="GC7" i="37" l="1"/>
  <c r="LB2" i="37"/>
  <c r="LA2" i="37"/>
  <c r="KZ2" i="37"/>
  <c r="GE2" i="37"/>
  <c r="GF2" i="37" s="1"/>
  <c r="NQ2" i="37"/>
  <c r="GK2" i="37"/>
  <c r="LC2" i="37"/>
  <c r="LD2" i="37"/>
  <c r="GC2" i="37"/>
  <c r="FJ2" i="37"/>
  <c r="GB2" i="37"/>
  <c r="GG2" i="37"/>
  <c r="GD2" i="37"/>
  <c r="DF2" i="37"/>
  <c r="HL2" i="37"/>
  <c r="AR2" i="34"/>
  <c r="JL2" i="37"/>
  <c r="JJ2" i="37" l="1"/>
  <c r="JM2" i="37"/>
  <c r="JK2" i="37"/>
  <c r="JI2" i="37"/>
  <c r="LF2" i="37"/>
  <c r="JR2" i="37"/>
  <c r="JX2" i="37"/>
  <c r="LK2" i="37"/>
  <c r="JS2" i="37"/>
  <c r="JQ2" i="37"/>
  <c r="JY2" i="37"/>
  <c r="LH2" i="37"/>
  <c r="LI2" i="37"/>
  <c r="JU2" i="37"/>
  <c r="JT2" i="37"/>
  <c r="LG2" i="37"/>
  <c r="KA2" i="37"/>
  <c r="LJ2" i="37" s="1"/>
  <c r="JN2" i="37"/>
  <c r="JO2" i="37"/>
  <c r="LN2" i="37"/>
  <c r="LL2" i="37"/>
  <c r="LE2" i="37"/>
  <c r="JZ2" i="37"/>
  <c r="GL2" i="37"/>
  <c r="DM2" i="37"/>
  <c r="EY2" i="37" s="1"/>
  <c r="NE2" i="37"/>
  <c r="IK2" i="37"/>
  <c r="IT2" i="37"/>
  <c r="GU2" i="37"/>
  <c r="IO2" i="37" s="1"/>
  <c r="IZ2" i="37" s="1"/>
  <c r="IJ2" i="37"/>
  <c r="GM2" i="37"/>
  <c r="GN2" i="37" s="1"/>
  <c r="GV2" i="37"/>
  <c r="IP2" i="37" s="1"/>
  <c r="JA2" i="37" s="1"/>
  <c r="IS2" i="37"/>
  <c r="HI2" i="37"/>
  <c r="HM2" i="37" s="1"/>
  <c r="HO2" i="37" s="1"/>
  <c r="CK2" i="34"/>
  <c r="BN2" i="34"/>
  <c r="CB2" i="34" s="1"/>
  <c r="K2" i="34"/>
  <c r="JW2" i="37" l="1"/>
  <c r="JV2" i="37"/>
  <c r="LM2" i="37"/>
  <c r="JP2" i="37"/>
  <c r="NR2" i="37"/>
  <c r="DO2" i="37"/>
  <c r="KB2" i="37"/>
  <c r="DS2" i="37"/>
  <c r="DU2" i="37" s="1"/>
  <c r="FP2" i="37" s="1"/>
  <c r="FR2" i="37" s="1"/>
  <c r="FL2" i="37"/>
  <c r="FM2" i="37" s="1"/>
  <c r="FN2" i="37" s="1"/>
  <c r="HG9" i="34"/>
  <c r="E9" i="34"/>
  <c r="EH7" i="34"/>
  <c r="JK2" i="34"/>
  <c r="IU2" i="34"/>
  <c r="IS2" i="34"/>
  <c r="IR2" i="34"/>
  <c r="IQ2" i="34"/>
  <c r="IP2" i="34"/>
  <c r="IO2" i="34"/>
  <c r="IN2" i="34"/>
  <c r="IK2" i="34"/>
  <c r="IJ2" i="34"/>
  <c r="HQ2" i="34"/>
  <c r="HH2" i="34"/>
  <c r="HG2" i="34"/>
  <c r="HF2" i="34"/>
  <c r="FB2" i="34"/>
  <c r="FA2" i="34"/>
  <c r="EM2" i="34"/>
  <c r="DN2" i="34"/>
  <c r="CF2" i="34"/>
  <c r="CC2" i="34"/>
  <c r="BY2" i="34"/>
  <c r="BS2" i="34"/>
  <c r="BK2" i="34"/>
  <c r="BI2" i="34"/>
  <c r="BG2" i="34"/>
  <c r="BB2" i="34"/>
  <c r="BC2" i="34" s="1"/>
  <c r="AZ2" i="34"/>
  <c r="AT2" i="34"/>
  <c r="AM2" i="34"/>
  <c r="AO2" i="34" s="1"/>
  <c r="AL2" i="34"/>
  <c r="AB2" i="34"/>
  <c r="FJ2" i="34" l="1"/>
  <c r="BX2" i="34"/>
  <c r="DV2" i="37"/>
  <c r="EZ2" i="37"/>
  <c r="FO2" i="37" s="1"/>
  <c r="AX2" i="34"/>
  <c r="CZ2" i="34"/>
  <c r="DA2" i="34" s="1"/>
  <c r="AU2" i="34"/>
  <c r="FD2" i="34" s="1"/>
  <c r="BL2" i="34"/>
  <c r="BJ2" i="34"/>
  <c r="BF2" i="34"/>
  <c r="FU2" i="34"/>
  <c r="CI2" i="34"/>
  <c r="CO2" i="34" s="1"/>
  <c r="AY2" i="34"/>
  <c r="HK2" i="34"/>
  <c r="IC2" i="34"/>
  <c r="BZ2" i="34" l="1"/>
  <c r="CA2" i="34"/>
  <c r="HY2" i="37"/>
  <c r="IB2" i="37" s="1"/>
  <c r="II2" i="37"/>
  <c r="FS2" i="37"/>
  <c r="GS2" i="37"/>
  <c r="FE2" i="34"/>
  <c r="HL2" i="34" s="1"/>
  <c r="NC2" i="37"/>
  <c r="FX2" i="34"/>
  <c r="FW2" i="34"/>
  <c r="FY2" i="34"/>
  <c r="IL2" i="34"/>
  <c r="CP2" i="34"/>
  <c r="FO2" i="34"/>
  <c r="FQ2" i="34"/>
  <c r="KV2" i="37"/>
  <c r="JE2" i="37"/>
  <c r="HN2" i="34" l="1"/>
  <c r="HM2" i="34"/>
  <c r="KC2" i="37"/>
  <c r="FF2" i="34"/>
  <c r="FT2" i="34"/>
  <c r="HE2" i="34" s="1"/>
  <c r="HJ2" i="34" s="1"/>
  <c r="KK9" i="37"/>
  <c r="MU2" i="37"/>
  <c r="MT2" i="37"/>
  <c r="NB2" i="37"/>
  <c r="NA2" i="37"/>
  <c r="IC2" i="37"/>
  <c r="ID2" i="37" s="1"/>
  <c r="GT2" i="37"/>
  <c r="FZ2" i="34"/>
  <c r="FT2" i="37"/>
  <c r="IE2" i="34" l="1"/>
  <c r="ID2" i="34"/>
  <c r="KF2" i="37"/>
  <c r="FG2" i="34"/>
  <c r="FH2" i="34" s="1"/>
  <c r="MV2" i="37"/>
  <c r="MY2" i="37" s="1"/>
  <c r="IF2" i="34"/>
  <c r="HO2" i="34"/>
  <c r="JC2" i="37"/>
  <c r="JD2" i="37" s="1"/>
  <c r="IE2" i="37"/>
  <c r="FU2" i="37" l="1"/>
  <c r="IF2" i="37"/>
  <c r="IG2" i="37"/>
  <c r="IH2" i="37" l="1"/>
  <c r="KH2" i="37" s="1"/>
  <c r="KH9" i="37" l="1"/>
  <c r="IM2" i="37"/>
  <c r="IN2" i="37"/>
  <c r="KG9" i="37"/>
  <c r="KF9" i="37"/>
  <c r="KC9" i="37"/>
  <c r="IQ2" i="37" l="1"/>
  <c r="KL2" i="37"/>
  <c r="KE2" i="37"/>
  <c r="KK2" i="37" s="1"/>
  <c r="KI2" i="37"/>
  <c r="KJ2" i="37" s="1"/>
  <c r="FV2" i="37"/>
  <c r="FP2" i="34"/>
  <c r="FR2" i="34" s="1"/>
  <c r="KG2" i="37"/>
  <c r="CW2" i="34"/>
  <c r="GA2" i="34"/>
  <c r="KJ9" i="37"/>
  <c r="KL9" i="37"/>
  <c r="IY2" i="37"/>
  <c r="IR2" i="37"/>
  <c r="IW2" i="37"/>
  <c r="MG3" i="37" s="1"/>
  <c r="KE9" i="37"/>
  <c r="MF2" i="37" l="1"/>
  <c r="LO2" i="37"/>
  <c r="GL2" i="34"/>
  <c r="GC2" i="34"/>
  <c r="HB2" i="34"/>
  <c r="GB2" i="34"/>
  <c r="HA2" i="34" s="1"/>
  <c r="GD2" i="34"/>
  <c r="KN9" i="37"/>
  <c r="KI9" i="37"/>
  <c r="LO9" i="37"/>
  <c r="KM2" i="37"/>
  <c r="KT2" i="37"/>
  <c r="LR2" i="37" s="1"/>
  <c r="LS2" i="37" s="1"/>
  <c r="KN2" i="37"/>
  <c r="JB2" i="37"/>
  <c r="KM9" i="37"/>
  <c r="GE2" i="34"/>
  <c r="GH2" i="34"/>
  <c r="GI2" i="34" s="1"/>
  <c r="GF2" i="34"/>
  <c r="CQ2" i="34" l="1"/>
  <c r="JH2" i="34" s="1"/>
  <c r="KU9" i="37"/>
  <c r="KT9" i="37"/>
  <c r="KU2" i="37"/>
  <c r="KO2" i="37"/>
  <c r="KQ2" i="37" s="1"/>
  <c r="LS9" i="37"/>
  <c r="LR9" i="37"/>
  <c r="GJ2" i="34" l="1"/>
  <c r="GG2" i="34"/>
  <c r="CX2" i="34"/>
  <c r="DC2" i="34" s="1"/>
  <c r="DE2" i="34" s="1"/>
  <c r="DF2" i="34" s="1"/>
  <c r="KQ9" i="37"/>
  <c r="KO9" i="37"/>
  <c r="GK2" i="34" l="1"/>
  <c r="GM2" i="34" s="1"/>
  <c r="GW2" i="34" s="1"/>
  <c r="DK2" i="34"/>
  <c r="DX2" i="34" l="1"/>
  <c r="DL2" i="34"/>
  <c r="EF2" i="34"/>
  <c r="DP2" i="34"/>
  <c r="DU2" i="34"/>
  <c r="DO2" i="34"/>
  <c r="DQ2" i="34" s="1"/>
  <c r="DY2" i="34"/>
  <c r="GR2" i="34"/>
  <c r="GP2" i="34"/>
  <c r="GQ2" i="34" l="1"/>
  <c r="DV2" i="34"/>
  <c r="GS2" i="34"/>
  <c r="DR2" i="34" l="1"/>
  <c r="DS2" i="34" s="1"/>
  <c r="DZ2" i="34" s="1"/>
  <c r="EC2" i="34" s="1"/>
  <c r="EG2" i="34" s="1"/>
  <c r="GN2" i="34" l="1"/>
  <c r="GO2" i="34" s="1"/>
  <c r="GT2" i="34" s="1"/>
  <c r="EE2" i="34"/>
  <c r="EH2" i="34"/>
  <c r="EJ2" i="34" s="1"/>
  <c r="EK2" i="34" s="1"/>
  <c r="EN2" i="34" s="1"/>
  <c r="GU2" i="34" l="1"/>
  <c r="GV2" i="34" s="1"/>
  <c r="GX2" i="34" s="1"/>
  <c r="EO2" i="34"/>
  <c r="EP2" i="34"/>
  <c r="EQ2" i="34" l="1"/>
  <c r="ER2" i="34"/>
  <c r="IT2" i="34"/>
  <c r="ET2" i="34" l="1"/>
  <c r="EV2" i="34" s="1"/>
  <c r="JM2" i="34"/>
  <c r="JI2" i="34"/>
  <c r="JA2" i="34"/>
  <c r="IX2" i="34"/>
  <c r="IY2" i="34" s="1"/>
  <c r="JB2" i="34" s="1"/>
  <c r="JC2" i="34"/>
  <c r="JF2" i="34"/>
  <c r="IW2" i="34"/>
  <c r="ES2" i="34"/>
  <c r="FS2" i="34"/>
  <c r="JJ2" i="34" s="1"/>
  <c r="HP2" i="34"/>
  <c r="GY2" i="34"/>
  <c r="GZ2" i="34" s="1"/>
  <c r="KI2" i="21" l="1"/>
  <c r="HS2" i="34"/>
  <c r="HY2" i="34" s="1"/>
  <c r="IA2" i="34" s="1"/>
  <c r="IH2" i="34" s="1"/>
  <c r="II2" i="34" s="1"/>
  <c r="HR2" i="34"/>
  <c r="HD2" i="34"/>
  <c r="HI2" i="34" s="1"/>
  <c r="IG2" i="34" s="1"/>
  <c r="HU2" i="34"/>
  <c r="HV2" i="34" s="1"/>
  <c r="HW2" i="34" s="1"/>
  <c r="HC2" i="34"/>
  <c r="BQ2" i="21"/>
  <c r="HT2" i="34" l="1"/>
  <c r="HZ2" i="34" s="1"/>
  <c r="IB2" i="34" s="1"/>
  <c r="HX2" i="34"/>
  <c r="E10" i="21" l="1"/>
  <c r="AV2" i="21" l="1"/>
  <c r="AQ2" i="21"/>
  <c r="JD2" i="21" l="1"/>
  <c r="CK2" i="21" l="1"/>
  <c r="CS2" i="21" l="1"/>
  <c r="GP10" i="21" l="1"/>
  <c r="IJ10" i="21"/>
  <c r="JU2" i="21"/>
  <c r="GZ10" i="21" l="1"/>
  <c r="GQ10" i="21"/>
  <c r="HA10" i="21"/>
  <c r="JN10" i="21" l="1"/>
  <c r="JM10" i="21"/>
  <c r="BU2" i="21"/>
  <c r="HD2" i="21" l="1"/>
  <c r="DL2" i="21" l="1"/>
  <c r="FS2" i="21"/>
  <c r="DN2" i="21" l="1"/>
  <c r="BR2" i="21"/>
  <c r="AN2" i="21" l="1"/>
  <c r="BS2" i="21" l="1"/>
  <c r="CO2" i="21" l="1"/>
  <c r="CL2" i="21"/>
  <c r="CJ2" i="21"/>
  <c r="CR2" i="21" s="1"/>
  <c r="CI2" i="21"/>
  <c r="CH2" i="21"/>
  <c r="CG2" i="21"/>
  <c r="BE2" i="21"/>
  <c r="BG2" i="21" s="1"/>
  <c r="BM2" i="21"/>
  <c r="AZ2" i="21"/>
  <c r="AM2" i="21"/>
  <c r="AL2" i="21"/>
  <c r="CM2" i="21" l="1"/>
  <c r="BI2" i="21"/>
  <c r="BJ2" i="21" s="1"/>
  <c r="BK2" i="21" s="1"/>
  <c r="CU2" i="21"/>
  <c r="GX2" i="21" s="1"/>
  <c r="AX2" i="21"/>
  <c r="BH2" i="21"/>
  <c r="HF2" i="21" l="1"/>
  <c r="HG2" i="21" s="1"/>
  <c r="JK2" i="21"/>
  <c r="CN2" i="21"/>
  <c r="DA2" i="21"/>
  <c r="DB2" i="21" s="1"/>
  <c r="KN2" i="21" s="1"/>
  <c r="DY2" i="21"/>
  <c r="DX2" i="21"/>
  <c r="AT2" i="21"/>
  <c r="BN2" i="21" s="1"/>
  <c r="AS2" i="21"/>
  <c r="AY2" i="21"/>
  <c r="BO2" i="21" s="1"/>
  <c r="KY2" i="21" l="1"/>
  <c r="EG2" i="21"/>
  <c r="EI2" i="21"/>
  <c r="HS2" i="21"/>
  <c r="EV2" i="21"/>
  <c r="DZ2" i="21"/>
  <c r="FZ2" i="21"/>
  <c r="GM2" i="21" s="1"/>
  <c r="GV2" i="21" s="1"/>
  <c r="JX2" i="21"/>
  <c r="HW2" i="21" l="1"/>
  <c r="ER2" i="21"/>
  <c r="EB2" i="21"/>
  <c r="GA2" i="21"/>
  <c r="GN2" i="21" s="1"/>
  <c r="GW2" i="21" s="1"/>
  <c r="EJ2" i="21"/>
  <c r="DO2" i="21"/>
  <c r="KK2" i="21" s="1"/>
  <c r="CW2" i="21"/>
  <c r="KM2" i="21" s="1"/>
  <c r="HX2" i="21" l="1"/>
  <c r="KZ2" i="21"/>
  <c r="HY2" i="21"/>
  <c r="EK2" i="21"/>
  <c r="EL2" i="21" s="1"/>
  <c r="FB2" i="21"/>
  <c r="FC2" i="21"/>
  <c r="ED2" i="21"/>
  <c r="HK2" i="21"/>
  <c r="CZ2" i="21"/>
  <c r="DP2" i="21" s="1"/>
  <c r="DR2" i="21" s="1"/>
  <c r="HH2" i="21"/>
  <c r="FO2" i="21" l="1"/>
  <c r="IH2" i="21"/>
  <c r="FD2" i="21"/>
  <c r="DC2" i="21"/>
  <c r="IG2" i="21" l="1"/>
  <c r="II2" i="21" s="1"/>
  <c r="FN2" i="21"/>
  <c r="EC2" i="21"/>
  <c r="EE2" i="21" s="1"/>
  <c r="HJ2" i="21"/>
  <c r="HL2" i="21" s="1"/>
  <c r="DQ2" i="21"/>
  <c r="DS2" i="21" s="1"/>
  <c r="FP2" i="21" l="1"/>
  <c r="GT2" i="21"/>
  <c r="FV2" i="21"/>
  <c r="GB2" i="21" l="1"/>
  <c r="GK2" i="21"/>
  <c r="GS2" i="21" s="1"/>
  <c r="FW2" i="21"/>
  <c r="EF2" i="21"/>
  <c r="FQ2" i="21"/>
  <c r="GC2" i="21" s="1"/>
  <c r="GO2" i="21" s="1"/>
  <c r="FX2" i="21"/>
  <c r="FY2" i="21"/>
  <c r="GL2" i="21" s="1"/>
  <c r="GU2" i="21" s="1"/>
  <c r="EO2" i="21"/>
  <c r="HP2" i="21"/>
  <c r="IU2" i="21" l="1"/>
  <c r="IZ2" i="21"/>
  <c r="IP2" i="21"/>
  <c r="HI2" i="21"/>
  <c r="FR2" i="21"/>
  <c r="FT2" i="21" s="1"/>
  <c r="GI2" i="21" s="1"/>
  <c r="IJ2" i="21" l="1"/>
  <c r="IK2" i="21" s="1"/>
  <c r="GE2" i="21"/>
  <c r="GF2" i="21"/>
  <c r="GQ2" i="21" s="1"/>
  <c r="HA2" i="21" s="1"/>
  <c r="GD2" i="21"/>
  <c r="GP2" i="21" s="1"/>
  <c r="GZ2" i="21" s="1"/>
  <c r="JM2" i="21" s="1"/>
  <c r="JN2" i="21" s="1"/>
  <c r="JB2" i="21" l="1"/>
  <c r="JC2" i="21" s="1"/>
  <c r="HM2" i="21"/>
  <c r="IN2" i="21"/>
  <c r="IG9" i="34" l="1"/>
  <c r="HV9" i="34"/>
  <c r="HW9" i="34"/>
  <c r="IB9" i="34"/>
  <c r="II9" i="34"/>
  <c r="HU9" i="34"/>
  <c r="IA9" i="34"/>
  <c r="HP9" i="34"/>
  <c r="HR9" i="34"/>
  <c r="HY9" i="34"/>
  <c r="HZ9" i="34"/>
  <c r="IH9" i="3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<sst xmlns="http://schemas.openxmlformats.org/spreadsheetml/2006/main" count="30281" uniqueCount="2796">
  <si>
    <t>FIELDS</t>
  </si>
  <si>
    <t>C1.RETSTAT</t>
  </si>
  <si>
    <t>C1.CUSNUM</t>
  </si>
  <si>
    <t>C1.ID</t>
  </si>
  <si>
    <t>FNAME</t>
  </si>
  <si>
    <t>LNAME</t>
  </si>
  <si>
    <t>DOB</t>
  </si>
  <si>
    <t>SDOB</t>
  </si>
  <si>
    <t>PSEX</t>
  </si>
  <si>
    <t>SSEX</t>
  </si>
  <si>
    <t>FORMULAS</t>
  </si>
  <si>
    <t>DOPT:</t>
  </si>
  <si>
    <t>I/O/B</t>
  </si>
  <si>
    <t>I</t>
  </si>
  <si>
    <t>Field Name</t>
  </si>
  <si>
    <t>Plan Name:</t>
  </si>
  <si>
    <t>Group:</t>
  </si>
  <si>
    <t>1</t>
  </si>
  <si>
    <t>Case #:</t>
  </si>
  <si>
    <t>VAL_SDOB</t>
  </si>
  <si>
    <t>O</t>
  </si>
  <si>
    <t>MSTAT</t>
  </si>
  <si>
    <t>DOH</t>
  </si>
  <si>
    <t>DOTE</t>
  </si>
  <si>
    <t>FORM_CODE_NSF</t>
  </si>
  <si>
    <t>FORM_CODE_NMF</t>
  </si>
  <si>
    <t>SPCNSF</t>
  </si>
  <si>
    <t>SPCNMF</t>
  </si>
  <si>
    <t>MTHSNSF</t>
  </si>
  <si>
    <t>MTHSNMF</t>
  </si>
  <si>
    <t>FORM_CODE</t>
  </si>
  <si>
    <t>B</t>
  </si>
  <si>
    <t>SPC_VAL</t>
  </si>
  <si>
    <t>MTHS</t>
  </si>
  <si>
    <t>ANB</t>
  </si>
  <si>
    <t>SANB</t>
  </si>
  <si>
    <t>NRA</t>
  </si>
  <si>
    <t>NRD</t>
  </si>
  <si>
    <t>BDEUAS</t>
  </si>
  <si>
    <t>EURA_XRA</t>
  </si>
  <si>
    <t>BDERDLEV</t>
  </si>
  <si>
    <t>ERA_XRA</t>
  </si>
  <si>
    <t>XRA</t>
  </si>
  <si>
    <t>XRD</t>
  </si>
  <si>
    <t>SXRA</t>
  </si>
  <si>
    <t>SAGELEV</t>
  </si>
  <si>
    <t>BL</t>
  </si>
  <si>
    <t>ME_XRD</t>
  </si>
  <si>
    <t>ERF_XRD</t>
  </si>
  <si>
    <t>BFCF_XRD</t>
  </si>
  <si>
    <t>XRD_MB_TERM</t>
  </si>
  <si>
    <t>PVF_LEV_LS</t>
  </si>
  <si>
    <t>LS_TERM</t>
  </si>
  <si>
    <t>LSOPTION</t>
  </si>
  <si>
    <t>TERM_LW_ANB</t>
  </si>
  <si>
    <t>TERM_LW_XRA</t>
  </si>
  <si>
    <t>RETRO_EURD_IND</t>
  </si>
  <si>
    <t>ML_XRD</t>
  </si>
  <si>
    <t>LRF_XRD</t>
  </si>
  <si>
    <t>N</t>
  </si>
  <si>
    <t>DOPT</t>
  </si>
  <si>
    <t>TERM_MB_ARD</t>
  </si>
  <si>
    <t>QPSA_PVF</t>
  </si>
  <si>
    <t>RETTYP</t>
  </si>
  <si>
    <t>AMB</t>
  </si>
  <si>
    <t>VB</t>
  </si>
  <si>
    <t>SARA</t>
  </si>
  <si>
    <t>ANB_XRD</t>
  </si>
  <si>
    <t>SANB_XRD</t>
  </si>
  <si>
    <t>VS</t>
  </si>
  <si>
    <t>VP</t>
  </si>
  <si>
    <t>SSSN</t>
  </si>
  <si>
    <t>SFNAME</t>
  </si>
  <si>
    <t>SLNAME</t>
  </si>
  <si>
    <t>M</t>
  </si>
  <si>
    <t>DOD</t>
  </si>
  <si>
    <t>SJSWC</t>
  </si>
  <si>
    <t>SSN</t>
  </si>
  <si>
    <t>XRD_MB_4022C</t>
  </si>
  <si>
    <t>S001</t>
  </si>
  <si>
    <t>S002</t>
  </si>
  <si>
    <t>S003</t>
  </si>
  <si>
    <t>XRD_MB_TITLE_IV</t>
  </si>
  <si>
    <t>PBGC_OPT_SLA</t>
  </si>
  <si>
    <t>PBGC_OPT_5CC</t>
  </si>
  <si>
    <t>PBGC_OPT_10CC</t>
  </si>
  <si>
    <t>PBGC_OPT_15CC</t>
  </si>
  <si>
    <t>PBGC_OPT_JS50</t>
  </si>
  <si>
    <t>PBGC_OPT_JS75</t>
  </si>
  <si>
    <t>PBGC_OPT_JS100</t>
  </si>
  <si>
    <t>PBGC_OPT_JSPOPUP</t>
  </si>
  <si>
    <t>PC3_CS</t>
  </si>
  <si>
    <t>PC3_AMB</t>
  </si>
  <si>
    <t>PA_AMB</t>
  </si>
  <si>
    <t>PC3_VS</t>
  </si>
  <si>
    <t>PL_EURD</t>
  </si>
  <si>
    <t>PL_ERD</t>
  </si>
  <si>
    <t>XRD_PMB</t>
  </si>
  <si>
    <t>PVPBL_ANN_RATES_QPSA</t>
  </si>
  <si>
    <t>PVPBL_ANN_RATES_NO_LOAD</t>
  </si>
  <si>
    <t>XRD_MB_LS</t>
  </si>
  <si>
    <t>SPC_ARD</t>
  </si>
  <si>
    <t>BSSN</t>
  </si>
  <si>
    <t>BFNAME</t>
  </si>
  <si>
    <t>BLNAME</t>
  </si>
  <si>
    <t>NON_SPOUSE_BENF</t>
  </si>
  <si>
    <t>BSEX</t>
  </si>
  <si>
    <t>BDOB</t>
  </si>
  <si>
    <t>SDOD</t>
  </si>
  <si>
    <t>BDOD</t>
  </si>
  <si>
    <t>PHS</t>
  </si>
  <si>
    <t>XRD_SURV_MB_TERM</t>
  </si>
  <si>
    <t>TERM_SURV_MB_ARD</t>
  </si>
  <si>
    <t>QPSA_INDICATOR</t>
  </si>
  <si>
    <t>REASON</t>
  </si>
  <si>
    <t>T001</t>
  </si>
  <si>
    <t>TERM_MB_NSF</t>
  </si>
  <si>
    <t>AADOTE</t>
  </si>
  <si>
    <t>ML at 1st of the month after DOTE</t>
  </si>
  <si>
    <t>LRF for 1st of the month after DOTE</t>
  </si>
  <si>
    <t>DOPT2</t>
  </si>
  <si>
    <t>Medicare Supplement</t>
  </si>
  <si>
    <t>CALC_INDICATOR</t>
  </si>
  <si>
    <t>PVF_QPSA_LS</t>
  </si>
  <si>
    <t>LS_QPSA</t>
  </si>
  <si>
    <t>TERM_MB_POPUP</t>
  </si>
  <si>
    <t>DOBF</t>
  </si>
  <si>
    <t>ERD</t>
  </si>
  <si>
    <t>CURRENT_DATE</t>
  </si>
  <si>
    <t>STALE</t>
  </si>
  <si>
    <t>LOADING</t>
  </si>
  <si>
    <t>PBGCMAX</t>
  </si>
  <si>
    <t>SPARR</t>
  </si>
  <si>
    <t>PBGCOptionalFormRate</t>
  </si>
  <si>
    <t>Participant's RBD</t>
  </si>
  <si>
    <t>RBD_DT</t>
  </si>
  <si>
    <t>DOR</t>
  </si>
  <si>
    <t>PPA Accrued Annual Benefit</t>
  </si>
  <si>
    <t>Vested Accrued Monthly Benefit</t>
  </si>
  <si>
    <t>Stale Date</t>
  </si>
  <si>
    <t>NSF</t>
  </si>
  <si>
    <t>NMF</t>
  </si>
  <si>
    <t>PL_EURA</t>
  </si>
  <si>
    <t>EURD</t>
  </si>
  <si>
    <t>PL_ERA</t>
  </si>
  <si>
    <t>SDOB_LS</t>
  </si>
  <si>
    <t>BFCF_XRD_LS</t>
  </si>
  <si>
    <t>BFCF_RATIO_LS</t>
  </si>
  <si>
    <t>Spouse Date of Birth Used for Calculating the Lump Sum BFCF</t>
  </si>
  <si>
    <t>PVF for Termination Benefit</t>
  </si>
  <si>
    <t>PVFJSPOP</t>
  </si>
  <si>
    <t>PVF_SUPP1</t>
  </si>
  <si>
    <t>PVF_SUPP2</t>
  </si>
  <si>
    <t>PVF_MED</t>
  </si>
  <si>
    <t>PVF_MED_BENE</t>
  </si>
  <si>
    <t>PVF for Additional Pop-up Benefit</t>
  </si>
  <si>
    <t>PVF for Participant's Medicare Benefit</t>
  </si>
  <si>
    <t>Is Participant Eligible for Medicare Supplement?</t>
  </si>
  <si>
    <t>2</t>
  </si>
  <si>
    <t>PVF_LEV_ANN</t>
  </si>
  <si>
    <t>PVF for QPSA Benefit</t>
  </si>
  <si>
    <t>SLA</t>
  </si>
  <si>
    <t>5CC</t>
  </si>
  <si>
    <t>10CC</t>
  </si>
  <si>
    <t>15CC</t>
  </si>
  <si>
    <t>PBGC Optional Form Benefit</t>
  </si>
  <si>
    <t>JS50</t>
  </si>
  <si>
    <t>JS75</t>
  </si>
  <si>
    <t>JS100</t>
  </si>
  <si>
    <t>JSP50</t>
  </si>
  <si>
    <t>Is Participant Eligible for Supplemental Early Retirement Benefit?</t>
  </si>
  <si>
    <t>ANL</t>
  </si>
  <si>
    <t>Accrued at Normal Limitation</t>
  </si>
  <si>
    <t>Plan Supplemental Early Retirement Benefit</t>
  </si>
  <si>
    <t>Affected by ANL?</t>
  </si>
  <si>
    <t>Last Possible Payment Date for Supplemental Early Retirement Benefit</t>
  </si>
  <si>
    <t>If Participant is Eligible for Supplemental Early Retirement Benefit, is XRD/ARD before 62?</t>
  </si>
  <si>
    <t>PVF for Basic Supplemental Early Retirement Benefit</t>
  </si>
  <si>
    <t>ED_XRD_SUPP1</t>
  </si>
  <si>
    <t>OFFSET1</t>
  </si>
  <si>
    <t>Monthly Benefit in NMF after Barnes Offset</t>
  </si>
  <si>
    <t>Monthly Benefit in NMF before Barnes Offset</t>
  </si>
  <si>
    <t>N021</t>
  </si>
  <si>
    <t>N023</t>
  </si>
  <si>
    <t>Barnes MB in NSF</t>
  </si>
  <si>
    <t>Barnes MB in NMF</t>
  </si>
  <si>
    <t>Barnes AMB after QPSA charge</t>
  </si>
  <si>
    <t>N024</t>
  </si>
  <si>
    <t>N025</t>
  </si>
  <si>
    <t>N026</t>
  </si>
  <si>
    <t>N027</t>
  </si>
  <si>
    <t>N029</t>
  </si>
  <si>
    <t>N030</t>
  </si>
  <si>
    <t>Barnes ERF</t>
  </si>
  <si>
    <t>N032</t>
  </si>
  <si>
    <t>N033</t>
  </si>
  <si>
    <t>N034</t>
  </si>
  <si>
    <t>N035</t>
  </si>
  <si>
    <t>N038</t>
  </si>
  <si>
    <t>N039</t>
  </si>
  <si>
    <t>N040</t>
  </si>
  <si>
    <t>N041</t>
  </si>
  <si>
    <t>N042</t>
  </si>
  <si>
    <t>N043</t>
  </si>
  <si>
    <t>BS_IND</t>
  </si>
  <si>
    <t>BR_IND</t>
  </si>
  <si>
    <t>T012</t>
  </si>
  <si>
    <t>T013</t>
  </si>
  <si>
    <t>SBCD</t>
  </si>
  <si>
    <t>One Month Level Life Factor (if born on the 1st of the month)</t>
  </si>
  <si>
    <t>Months from XRD to Earliest Possible Start Date of Surviving Spouse's Medicare Benefit</t>
  </si>
  <si>
    <t>N031</t>
  </si>
  <si>
    <t>Participant's Medicare Supplement Adjustment Factor (if born on the 1st of the month)</t>
  </si>
  <si>
    <t>LLAF</t>
  </si>
  <si>
    <t>P</t>
  </si>
  <si>
    <t>Monthly Benefit in NSF after Barnes Offset</t>
  </si>
  <si>
    <t>N045</t>
  </si>
  <si>
    <t>Calculate the Optional Form Benefits?</t>
  </si>
  <si>
    <t>Pop up amount for NSF</t>
  </si>
  <si>
    <t>Monthly Benefit in NSF before Barnes Offset</t>
  </si>
  <si>
    <t>ERF for Post 4/10/1989 or Pre 4/10/1989 with (less than 10 yrs VS or AADOTE&lt;55)</t>
  </si>
  <si>
    <t>ERF for Pre 4/10/1989 with more than 10 yrs VS and AADOTE&gt;=55</t>
  </si>
  <si>
    <t>MONTHS EARLY (from NRD)</t>
  </si>
  <si>
    <t>MONTHS EARLY (from 58 or 62)</t>
  </si>
  <si>
    <t>BD_XRD_MED_BENE</t>
  </si>
  <si>
    <t>BD_XRD_MED</t>
  </si>
  <si>
    <t>XRD_MED_TITLE_IV</t>
  </si>
  <si>
    <t>ARD_SUPP1</t>
  </si>
  <si>
    <t>XRD_SUPP1_TITLE_IV</t>
  </si>
  <si>
    <t>Determines SPCNMF</t>
  </si>
  <si>
    <t>N047</t>
  </si>
  <si>
    <t>Barnes LRF</t>
  </si>
  <si>
    <t>Theis ERF</t>
  </si>
  <si>
    <t>BFCF for both Theis and Barnes</t>
  </si>
  <si>
    <t>PCI</t>
  </si>
  <si>
    <t>AADOPT</t>
  </si>
  <si>
    <t>Beneficiary's PBGC Benefit</t>
  </si>
  <si>
    <t>JS XX.XX%</t>
  </si>
  <si>
    <t>PJVSA</t>
  </si>
  <si>
    <t>N022</t>
  </si>
  <si>
    <t>N028</t>
  </si>
  <si>
    <t>Difference  between NSF after offset and NMF after offset</t>
  </si>
  <si>
    <t>If receiving the Supplemental Early Retirement Benefit (SERB) and the Beneficiary dies prior to the P's age 62, will the Pop up amount be limited by the ANL until the P's age 62?</t>
  </si>
  <si>
    <t>Present Value of Temporary Pop up in NMF</t>
  </si>
  <si>
    <t>Complete Months from XRD to P's age 62</t>
  </si>
  <si>
    <t>Temporary Pop up NMF PVF</t>
  </si>
  <si>
    <t>Temporary Pop up as PBGC JS50</t>
  </si>
  <si>
    <t>Temporary Pop up as PBGC JS75</t>
  </si>
  <si>
    <t>Temporary Pop up as PBGC JS100</t>
  </si>
  <si>
    <t>Temporary Pop up as PBGC JS50 w/Pop up</t>
  </si>
  <si>
    <t>T011</t>
  </si>
  <si>
    <t>Theis Initial LRF</t>
  </si>
  <si>
    <t>Theis Final LRF</t>
  </si>
  <si>
    <t>N048</t>
  </si>
  <si>
    <t>DOM</t>
  </si>
  <si>
    <t>Barnes QPSA charge (1/24th of 1% per month)</t>
  </si>
  <si>
    <t>Full or Partial Months of QPSA coverage (Max of 240)</t>
  </si>
  <si>
    <t>QPSAF</t>
  </si>
  <si>
    <t>FDOMCWNF Age 45</t>
  </si>
  <si>
    <t>VSPA</t>
  </si>
  <si>
    <t>CSPA</t>
  </si>
  <si>
    <t>SS_DISABILITY_DATE</t>
  </si>
  <si>
    <t>AAXRD</t>
  </si>
  <si>
    <t>C1.CASE</t>
  </si>
  <si>
    <t>F</t>
  </si>
  <si>
    <t>U</t>
  </si>
  <si>
    <t>V</t>
  </si>
  <si>
    <t>ARD</t>
  </si>
  <si>
    <t>FORM_CODE_ARD</t>
  </si>
  <si>
    <t>MTHS_ARD</t>
  </si>
  <si>
    <t>EDCC</t>
  </si>
  <si>
    <t>MTHSREM</t>
  </si>
  <si>
    <t>End Date of the Certain Period</t>
  </si>
  <si>
    <t>First of the Month After the End of the Certain Period</t>
  </si>
  <si>
    <t>Number of Months Remaining in Certain Period at DOPT</t>
  </si>
  <si>
    <t>ARA</t>
  </si>
  <si>
    <t>T028</t>
  </si>
  <si>
    <t>FORM_DESC</t>
  </si>
  <si>
    <t>MMORT</t>
  </si>
  <si>
    <t>FMORT</t>
  </si>
  <si>
    <t>AA06</t>
  </si>
  <si>
    <t>ME_ARD</t>
  </si>
  <si>
    <t>ERF_ARD</t>
  </si>
  <si>
    <t>ML_ARD</t>
  </si>
  <si>
    <t>ML_DOTE</t>
  </si>
  <si>
    <t>Is Participant Receiving Supplemental Early Retirement Benefit?</t>
  </si>
  <si>
    <t>ED_ARD_SUPP1</t>
  </si>
  <si>
    <t>Start Date for Supplemental Early Retirement Benefit</t>
  </si>
  <si>
    <t>BD_ARD_SUPP1</t>
  </si>
  <si>
    <t>ARD_MED</t>
  </si>
  <si>
    <t>BD_ARD_MED</t>
  </si>
  <si>
    <t>Tolerance</t>
  </si>
  <si>
    <t>Difference Between Calculated In-Pay Benefit and Actual In-Pay Benefit</t>
  </si>
  <si>
    <t>Percent Difference</t>
  </si>
  <si>
    <t>Is Benefit within Tolerance?</t>
  </si>
  <si>
    <t>Does the Pay Status Benefit Increase, Decrease, Match, No Change</t>
  </si>
  <si>
    <t>BEN_TOT</t>
  </si>
  <si>
    <t>BEN_CHNG_IND</t>
  </si>
  <si>
    <t>N012</t>
  </si>
  <si>
    <t>N013</t>
  </si>
  <si>
    <t>N011</t>
  </si>
  <si>
    <t>LEV_MB_ARD</t>
  </si>
  <si>
    <t>N050</t>
  </si>
  <si>
    <t>N051</t>
  </si>
  <si>
    <t>N052</t>
  </si>
  <si>
    <t>N053</t>
  </si>
  <si>
    <t>Months from XRD to S 65</t>
  </si>
  <si>
    <t>JSJ PVF for Spouse's Medicare supplement</t>
  </si>
  <si>
    <t>Deferred Level Life SLA Based on PP</t>
  </si>
  <si>
    <t>Deferred JSJ with no Survivor %</t>
  </si>
  <si>
    <t>Deferred PVF for Level Life Pop Up</t>
  </si>
  <si>
    <t>N054</t>
  </si>
  <si>
    <t>N056</t>
  </si>
  <si>
    <t>N058</t>
  </si>
  <si>
    <t>ED_XRD_MED</t>
  </si>
  <si>
    <t>Post 65 Benefit Without Medicare After Pop Up</t>
  </si>
  <si>
    <t>ARD_MED_BENE</t>
  </si>
  <si>
    <t>BD_ARD_MED_BENE</t>
  </si>
  <si>
    <t>Spouse's Medicare Supplement</t>
  </si>
  <si>
    <t>Start Date of Spouse's Medicare Benefit</t>
  </si>
  <si>
    <t>Spouse's Basic Benefit upon Participant's Death</t>
  </si>
  <si>
    <t>Spouse's XRD Medicare Supplement</t>
  </si>
  <si>
    <t>End Date of Participant's XRD Medicare Benefit</t>
  </si>
  <si>
    <t>End Date of Spouse's XRD Medicare Benefit</t>
  </si>
  <si>
    <t>Start Date of Spouse's XRD Medicare Benefit</t>
  </si>
  <si>
    <t>N059</t>
  </si>
  <si>
    <t>ED_XRD_MED_BENE</t>
  </si>
  <si>
    <t>BFCF_ARD</t>
  </si>
  <si>
    <t>LRF_ARD</t>
  </si>
  <si>
    <t>Actual In-Pay Benefit without Medicare Supplement</t>
  </si>
  <si>
    <t>LOAD_PCT</t>
  </si>
  <si>
    <t>Loading Percentage</t>
  </si>
  <si>
    <t>PVPBL_ANN_RATES</t>
  </si>
  <si>
    <t>PVMB_TITLE_IV_NO_LOAD</t>
  </si>
  <si>
    <t>PVMB_TITLE_IV</t>
  </si>
  <si>
    <t>N060</t>
  </si>
  <si>
    <t>N061</t>
  </si>
  <si>
    <t>XRD_MED_BENE_TITLE_IV</t>
  </si>
  <si>
    <t>Present Value of Benefit Liabilities After Loading</t>
  </si>
  <si>
    <t>Participant's Title IV Medicare Benefit</t>
  </si>
  <si>
    <t>Spouse's Title IV Medicare Benefit</t>
  </si>
  <si>
    <t>Present Value of Title IV Benefit After Loading</t>
  </si>
  <si>
    <t>Present Value of Title IV Benefit Before Loading</t>
  </si>
  <si>
    <t>Amount to be Allocated due to SPARR</t>
  </si>
  <si>
    <t>PLAN</t>
  </si>
  <si>
    <t>Title IV</t>
  </si>
  <si>
    <t>N055</t>
  </si>
  <si>
    <t>Termination</t>
  </si>
  <si>
    <t>XRD_MED_TERM</t>
  </si>
  <si>
    <t>XRD_MED_BENE_TERM</t>
  </si>
  <si>
    <t>PVMB_TERM_NO_LOAD</t>
  </si>
  <si>
    <t>PVMB_TERM</t>
  </si>
  <si>
    <t>Present Value Factor Using Lump Sum Rates and Mortality Assumptions</t>
  </si>
  <si>
    <t>N062</t>
  </si>
  <si>
    <t>N063</t>
  </si>
  <si>
    <t>N064</t>
  </si>
  <si>
    <t>Beneficiary's Actual Survivor Percentage</t>
  </si>
  <si>
    <t>JSPOPUP</t>
  </si>
  <si>
    <t>POPLIM</t>
  </si>
  <si>
    <t>PRSAC</t>
  </si>
  <si>
    <t>EAGELEV</t>
  </si>
  <si>
    <t>CE_TRACK1</t>
  </si>
  <si>
    <t>CE_TRACK2</t>
  </si>
  <si>
    <t>CE_TRACK3</t>
  </si>
  <si>
    <t>CE_TRACK4</t>
  </si>
  <si>
    <t>CE_TRACK5</t>
  </si>
  <si>
    <t>CE_TRACK6</t>
  </si>
  <si>
    <t>XRD I/O/B</t>
  </si>
  <si>
    <t>XRD Field Name</t>
  </si>
  <si>
    <t>DOR I/O/B</t>
  </si>
  <si>
    <t>DOR Field Name</t>
  </si>
  <si>
    <t>DORNSF Field Name</t>
  </si>
  <si>
    <t>DORNSF I/O/B</t>
  </si>
  <si>
    <t>ERD Field Name</t>
  </si>
  <si>
    <t>ERD I/O/B</t>
  </si>
  <si>
    <t>EURD Field Name</t>
  </si>
  <si>
    <t>EURD I/O/B</t>
  </si>
  <si>
    <t>NRD Field Name</t>
  </si>
  <si>
    <t>NRD I/O/B</t>
  </si>
  <si>
    <t>CALCULATION</t>
  </si>
  <si>
    <t>ANB_EURD</t>
  </si>
  <si>
    <t>ANB_ERD</t>
  </si>
  <si>
    <t>SANB_ERD</t>
  </si>
  <si>
    <t>SANB_EURD</t>
  </si>
  <si>
    <t>SNRA</t>
  </si>
  <si>
    <t>BD_EURD_MED</t>
  </si>
  <si>
    <t>BD_ERD_MED</t>
  </si>
  <si>
    <t>ME_ERD</t>
  </si>
  <si>
    <t>ERF_ERD</t>
  </si>
  <si>
    <t>ML_EURD</t>
  </si>
  <si>
    <t>ML_ERD</t>
  </si>
  <si>
    <t>LRF_EURD</t>
  </si>
  <si>
    <t>LRF_ERD</t>
  </si>
  <si>
    <t>N007</t>
  </si>
  <si>
    <t>N008</t>
  </si>
  <si>
    <t>BFCF_NRD</t>
  </si>
  <si>
    <t>BFCF_EURD</t>
  </si>
  <si>
    <t>BFCF_ERD</t>
  </si>
  <si>
    <t>ARD_PMB</t>
  </si>
  <si>
    <t>N009</t>
  </si>
  <si>
    <t>N010</t>
  </si>
  <si>
    <t>N014</t>
  </si>
  <si>
    <t>N015</t>
  </si>
  <si>
    <t>N066</t>
  </si>
  <si>
    <t>N067</t>
  </si>
  <si>
    <t>N068</t>
  </si>
  <si>
    <t>N069</t>
  </si>
  <si>
    <t>N070</t>
  </si>
  <si>
    <t>N071</t>
  </si>
  <si>
    <t>N081</t>
  </si>
  <si>
    <t>N091</t>
  </si>
  <si>
    <t>N072</t>
  </si>
  <si>
    <t>N073</t>
  </si>
  <si>
    <t>N074</t>
  </si>
  <si>
    <t>N075</t>
  </si>
  <si>
    <t>N076</t>
  </si>
  <si>
    <t>N077</t>
  </si>
  <si>
    <t>N078</t>
  </si>
  <si>
    <t>N079</t>
  </si>
  <si>
    <t>N080</t>
  </si>
  <si>
    <t>N090</t>
  </si>
  <si>
    <t>N082</t>
  </si>
  <si>
    <t>N083</t>
  </si>
  <si>
    <t>N084</t>
  </si>
  <si>
    <t>N085</t>
  </si>
  <si>
    <t>N086</t>
  </si>
  <si>
    <t>N087</t>
  </si>
  <si>
    <t>N088</t>
  </si>
  <si>
    <t>N089</t>
  </si>
  <si>
    <t>N093</t>
  </si>
  <si>
    <t>N094</t>
  </si>
  <si>
    <t>N095</t>
  </si>
  <si>
    <t>VBNF</t>
  </si>
  <si>
    <t>EURD_PMB</t>
  </si>
  <si>
    <t>ERD_PMB</t>
  </si>
  <si>
    <t>AUX_DIS_COMMENCE_DATE</t>
  </si>
  <si>
    <t>N096</t>
  </si>
  <si>
    <t>AUX_DIS_BEN</t>
  </si>
  <si>
    <t>AUX_DIS_CHANGE_DATE</t>
  </si>
  <si>
    <t>Months from XRD to MED</t>
  </si>
  <si>
    <t>PVF for Auxiliary Benefit</t>
  </si>
  <si>
    <t>QPSA Prob of Death in Deferral Period</t>
  </si>
  <si>
    <t>Final Level QPSA Present Value Factor</t>
  </si>
  <si>
    <t>PVF_QPSA_ANN</t>
  </si>
  <si>
    <t>PROB_DEATH</t>
  </si>
  <si>
    <t>N100</t>
  </si>
  <si>
    <t>TERM_MB_NRD_NSF</t>
  </si>
  <si>
    <t>TERM_MB_EURD_NSF</t>
  </si>
  <si>
    <t>TERM_MB_ERD_NSF</t>
  </si>
  <si>
    <t>Temp to 65 Annuity LS PV Factor</t>
  </si>
  <si>
    <t>N103</t>
  </si>
  <si>
    <t>N105</t>
  </si>
  <si>
    <t>OFA_INDICATOR</t>
  </si>
  <si>
    <t>TERM_SURV_MB_NRD</t>
  </si>
  <si>
    <t>TERM_SURV_MB_EURD</t>
  </si>
  <si>
    <t>TERM_SURV_MB_ERD</t>
  </si>
  <si>
    <t>PVMB_TITLE_IV_QPSA</t>
  </si>
  <si>
    <t>TITLE IV</t>
  </si>
  <si>
    <t>Present Value of Plan QPSA Benefit Liability</t>
  </si>
  <si>
    <t>Present Value of Benefit Liabilities Before Loading</t>
  </si>
  <si>
    <t>Present Value of Title IV QPSA Benefit Liability</t>
  </si>
  <si>
    <t>Participant's Termination Medicare Benefit</t>
  </si>
  <si>
    <t>Spouse's Termination Medicare Benefit</t>
  </si>
  <si>
    <t>Present Value of Termination Benefit Before Loading</t>
  </si>
  <si>
    <t>Present Value of Termination Benefit After Loading</t>
  </si>
  <si>
    <t>NRD_MB_TITLE_IV_NSF</t>
  </si>
  <si>
    <t>EURD_MB_TITLE_IV_NSF</t>
  </si>
  <si>
    <t>ERD_MB_TITLE_IV_NSF</t>
  </si>
  <si>
    <t>ARD_MB_TITLE_IV</t>
  </si>
  <si>
    <t>N110</t>
  </si>
  <si>
    <t>N111</t>
  </si>
  <si>
    <t>N112</t>
  </si>
  <si>
    <t>N113</t>
  </si>
  <si>
    <t>N114</t>
  </si>
  <si>
    <t>N115</t>
  </si>
  <si>
    <t>Earliest Possible Start Date of Surviving Spouse's Medicare Benefit</t>
  </si>
  <si>
    <t>FORM_CODE_PTP</t>
  </si>
  <si>
    <t>SPC_PTP</t>
  </si>
  <si>
    <t>MTHS_PTP</t>
  </si>
  <si>
    <t>CALC DATE</t>
  </si>
  <si>
    <t>Beneficiary's Monthly Benefit at SBCD after Barnes Offset</t>
  </si>
  <si>
    <t>Eligible for Medicare Supplement?</t>
  </si>
  <si>
    <t>RBD I/O/B</t>
  </si>
  <si>
    <t>RBD Field Name</t>
  </si>
  <si>
    <t>RBD_MB_TITLE_IV</t>
  </si>
  <si>
    <t>RBD_MB_TERM</t>
  </si>
  <si>
    <t>QPSA I/O/B</t>
  </si>
  <si>
    <t>QPSA Field Name</t>
  </si>
  <si>
    <t>FORM_CODE_QPSA</t>
  </si>
  <si>
    <t>MTHS_QPSA</t>
  </si>
  <si>
    <t>QPSA</t>
  </si>
  <si>
    <t>VAL</t>
  </si>
  <si>
    <t>N118</t>
  </si>
  <si>
    <t>T015</t>
  </si>
  <si>
    <t>N123</t>
  </si>
  <si>
    <t>N124</t>
  </si>
  <si>
    <t>N125</t>
  </si>
  <si>
    <t>N126</t>
  </si>
  <si>
    <t>T003</t>
  </si>
  <si>
    <t>T004</t>
  </si>
  <si>
    <t>T005</t>
  </si>
  <si>
    <t>T006</t>
  </si>
  <si>
    <t>N127</t>
  </si>
  <si>
    <t>N128</t>
  </si>
  <si>
    <t>N129</t>
  </si>
  <si>
    <t>N130</t>
  </si>
  <si>
    <t>FORM_CODE_PTP_QPSA</t>
  </si>
  <si>
    <t>SPC_PTP_QPSA</t>
  </si>
  <si>
    <t>MTHS_PTP_QPSA</t>
  </si>
  <si>
    <t>N131</t>
  </si>
  <si>
    <t>N132</t>
  </si>
  <si>
    <t>End Date of 62-65 Benefit</t>
  </si>
  <si>
    <t>Start Date of Post 65 Benefit</t>
  </si>
  <si>
    <t>N133</t>
  </si>
  <si>
    <t>D010</t>
  </si>
  <si>
    <t>N134</t>
  </si>
  <si>
    <t>D011</t>
  </si>
  <si>
    <t>D012</t>
  </si>
  <si>
    <t>D015</t>
  </si>
  <si>
    <t>D013</t>
  </si>
  <si>
    <t>D014</t>
  </si>
  <si>
    <t>N135</t>
  </si>
  <si>
    <t>N136</t>
  </si>
  <si>
    <t>D016</t>
  </si>
  <si>
    <t>D017</t>
  </si>
  <si>
    <t>D018</t>
  </si>
  <si>
    <t>D019</t>
  </si>
  <si>
    <t>N137</t>
  </si>
  <si>
    <t>N138</t>
  </si>
  <si>
    <t>Basic 62-65 Benefit after Barnes Offset and after ANL</t>
  </si>
  <si>
    <t>Basic Post 65 Benefit after Barnes Offset and after ANL</t>
  </si>
  <si>
    <t>N139</t>
  </si>
  <si>
    <t>N140</t>
  </si>
  <si>
    <t>N141</t>
  </si>
  <si>
    <t>N142</t>
  </si>
  <si>
    <t>Spouse's Medicare Benefit</t>
  </si>
  <si>
    <t>Months from XRD to P 62</t>
  </si>
  <si>
    <t>Months from XRD to P 65</t>
  </si>
  <si>
    <t>PVF of QPSA Benefit Using Surviving Spouse Mortality and Annuity Rates For Level Benefit</t>
  </si>
  <si>
    <t>BD_XRD_SUPP1</t>
  </si>
  <si>
    <t>ED_ERD_SUPP1</t>
  </si>
  <si>
    <t>N144</t>
  </si>
  <si>
    <t>PC5A_4022C_AR</t>
  </si>
  <si>
    <t>PC5A ARR</t>
  </si>
  <si>
    <t>Plan PC5A Asset Allocation Ratio</t>
  </si>
  <si>
    <t>N152</t>
  </si>
  <si>
    <t>N153</t>
  </si>
  <si>
    <t>N154</t>
  </si>
  <si>
    <t>N155</t>
  </si>
  <si>
    <t>N156</t>
  </si>
  <si>
    <t>PVMB_4022C</t>
  </si>
  <si>
    <t>PVMB_4022C_NO_LOAD</t>
  </si>
  <si>
    <t>XRD_MED_4022C</t>
  </si>
  <si>
    <t>XRD_SUPP1_4022C</t>
  </si>
  <si>
    <t>EURD_MB_4022C_NSF</t>
  </si>
  <si>
    <t>ERD_MB_4022C_NSF</t>
  </si>
  <si>
    <t>RBD_MB_4022C</t>
  </si>
  <si>
    <t>ARD_MB_4022C</t>
  </si>
  <si>
    <t>N157</t>
  </si>
  <si>
    <t>N158</t>
  </si>
  <si>
    <t>N159</t>
  </si>
  <si>
    <t>N160</t>
  </si>
  <si>
    <t>Total 4022(c) Amount to be Allocated to PC5A</t>
  </si>
  <si>
    <t>4022(c) Amount to be Allocated to Basic PC5A</t>
  </si>
  <si>
    <t>4022(c) Amount to be Allocated to Non-Basic PC5A</t>
  </si>
  <si>
    <t>4022(c) Basic Asset Allocation Ratio</t>
  </si>
  <si>
    <t>4022(c) Non-Basic Asset Allocation Ratio</t>
  </si>
  <si>
    <t>4022(c) Level Benefit</t>
  </si>
  <si>
    <t>4022(c) Additional Medicare Benefit</t>
  </si>
  <si>
    <t>Present Value of 4022(c) Benefits Without Loading</t>
  </si>
  <si>
    <t>Present Value of 4022(c) Benefits With Loading</t>
  </si>
  <si>
    <t>Termination Level Benefit</t>
  </si>
  <si>
    <t>Beneficiary's Termination Benefit</t>
  </si>
  <si>
    <t>Termination Medicare Benefit</t>
  </si>
  <si>
    <t>XRD_SUPP1_TERM</t>
  </si>
  <si>
    <t>XRD_MB_QPSA_TERM</t>
  </si>
  <si>
    <t>N161</t>
  </si>
  <si>
    <t>N171</t>
  </si>
  <si>
    <t>N162</t>
  </si>
  <si>
    <t>Termination Liability Weighted ANB at DOPT</t>
  </si>
  <si>
    <t>Termination Liability Weighted XRA at DOPT</t>
  </si>
  <si>
    <t>TERM_MB_NMF</t>
  </si>
  <si>
    <t>N169</t>
  </si>
  <si>
    <t>TERM_MB_ARD_FF</t>
  </si>
  <si>
    <t>N170</t>
  </si>
  <si>
    <t>Final Level Amount in Elected Form</t>
  </si>
  <si>
    <t>Final Pre-62 Payment Stream</t>
  </si>
  <si>
    <t>Final 62-65 Payment Stream</t>
  </si>
  <si>
    <t>Final Post-65 Payment Stream</t>
  </si>
  <si>
    <t>Accrued Monthly Benefit</t>
  </si>
  <si>
    <t>PAYMENT_ADM_INDICATOR</t>
  </si>
  <si>
    <t>Start Date of Pre-62 Benefit</t>
  </si>
  <si>
    <t>End Date of Pre-62 Benefit</t>
  </si>
  <si>
    <t>Basic Pre-62 Benefit after Barnes Offset and after ANL</t>
  </si>
  <si>
    <t>PC54044AR</t>
  </si>
  <si>
    <t>N172</t>
  </si>
  <si>
    <t>N173</t>
  </si>
  <si>
    <t>N174</t>
  </si>
  <si>
    <t>TEMP_QPSA</t>
  </si>
  <si>
    <t>ANNUITY_TYPE</t>
  </si>
  <si>
    <t>APSSN</t>
  </si>
  <si>
    <t>APFNAME</t>
  </si>
  <si>
    <t>APLNAME</t>
  </si>
  <si>
    <t>APDOB</t>
  </si>
  <si>
    <t>APDOD</t>
  </si>
  <si>
    <t>APSEX</t>
  </si>
  <si>
    <t>QDRO_INDICATOR</t>
  </si>
  <si>
    <t>QDRO_TYPE</t>
  </si>
  <si>
    <t>AP_PERCENT</t>
  </si>
  <si>
    <t>AP_VAL_IND</t>
  </si>
  <si>
    <t>QDRO_SUB_TYPE</t>
  </si>
  <si>
    <t>D001</t>
  </si>
  <si>
    <t>QDRO_SPLIT_DATE</t>
  </si>
  <si>
    <t>QDRO Field</t>
  </si>
  <si>
    <t>AMB_SPLIT_DATE</t>
  </si>
  <si>
    <t>PVMB_4022C_QPSA</t>
  </si>
  <si>
    <t>Retirees</t>
  </si>
  <si>
    <t>Disabled Retirees</t>
  </si>
  <si>
    <t>Beneficiaries</t>
  </si>
  <si>
    <t>Beneficiary's Plan Benefit (If DOTE &gt;= 4/15/2001 and PP has a Barnes Offset)</t>
  </si>
  <si>
    <t>Beneficiary's Barnes Benefit (If DOTE &gt;= 4/15/2001 and PP has a Barnes Offset)</t>
  </si>
  <si>
    <t>If DOTE &lt; 04/15/2001, the SPC is 55%, o/w 60%</t>
  </si>
  <si>
    <t>Absolute Age Difference Rounded Down</t>
  </si>
  <si>
    <t>Accepted Monthly Benefit in Elected Form without Medicare Supplement</t>
  </si>
  <si>
    <t>Absolute Age Difference Used for Calculating the Lump Sum BFCF</t>
  </si>
  <si>
    <t>N120</t>
  </si>
  <si>
    <t>N121</t>
  </si>
  <si>
    <t>N122</t>
  </si>
  <si>
    <t>BD_ERD_SUPP1</t>
  </si>
  <si>
    <t>N016</t>
  </si>
  <si>
    <t>ERF</t>
  </si>
  <si>
    <t>LRF</t>
  </si>
  <si>
    <t>BFCF</t>
  </si>
  <si>
    <t>POPUP</t>
  </si>
  <si>
    <t>SERB</t>
  </si>
  <si>
    <t>BARNES</t>
  </si>
  <si>
    <t>AUXILIARY</t>
  </si>
  <si>
    <t>LUMP SUM</t>
  </si>
  <si>
    <t>OFA</t>
  </si>
  <si>
    <t>Level Life Present Value Factor for the Level Benefit (not including Medicare)</t>
  </si>
  <si>
    <t>Deferred PVF for the Spouse's Medicare supplement</t>
  </si>
  <si>
    <t>Deferred PVF for the Spouse's Medicare supplement Using Lump Sum Rates</t>
  </si>
  <si>
    <t>NSF Present Value Factor for Spouse's Medicare supplement</t>
  </si>
  <si>
    <t>Temporary NSF PVF for the Spouse's Medicare supplement</t>
  </si>
  <si>
    <t>Temporary JSJ PVF for the Spouse's Medicare supplement</t>
  </si>
  <si>
    <t>Deferred PVF for the Medicare supplement Using Lump Sum Rates</t>
  </si>
  <si>
    <t>NSF Present Value Factor for Spouse's Medicare supplement Using Lump Sum Rates</t>
  </si>
  <si>
    <t>JSJ PVF for Spouse's Medicare supplement Using Lump Sum Rates</t>
  </si>
  <si>
    <t>Temporary NSF PVF for the Spouse's Medicare supplement Using Lump Sum Rates</t>
  </si>
  <si>
    <t>Temporary JSJ PVF for the Spouse's Medicare supplement Using Lump Sum Rates</t>
  </si>
  <si>
    <t>Deferred PVF for Level Life Pop-up</t>
  </si>
  <si>
    <t>Start Date of 62-65 Benefit</t>
  </si>
  <si>
    <t>NSF Present Value Factor for Medicare supplement Using Lump Sum Rates</t>
  </si>
  <si>
    <t>Temporary NSF PVF for the Medicare supplement Using Lump Sum Rates</t>
  </si>
  <si>
    <t>Plan Early Unreduced</t>
  </si>
  <si>
    <t>Plan Normal</t>
  </si>
  <si>
    <t>0 = No eligibility for unreduced benefits before NRA
1 = A plan-defined early unreduced benefit is available</t>
  </si>
  <si>
    <t>Start Date of Participant's Medicare Benefit (First of the month after Age 65, not First of the month on or after)</t>
  </si>
  <si>
    <t>Barnes AAB</t>
  </si>
  <si>
    <t>Barnes AMB</t>
  </si>
  <si>
    <t>Beginning of QPSA coverage</t>
  </si>
  <si>
    <t>Barnes Months Early</t>
  </si>
  <si>
    <t>Start Date of Participant's XRD Medicare Benefit</t>
  </si>
  <si>
    <t>Additional Benefit from Pop-Up</t>
  </si>
  <si>
    <t>Plan Early</t>
  </si>
  <si>
    <t>PBGC Early</t>
  </si>
  <si>
    <t>PBGC Early Unreduced</t>
  </si>
  <si>
    <t>PBGC Early for statements</t>
  </si>
  <si>
    <t>PBGC Early Unreduced for statements</t>
  </si>
  <si>
    <t>Theis Hourly</t>
  </si>
  <si>
    <t>All Vesteds</t>
  </si>
  <si>
    <t>PVF for the Additional Benefit Prior to 62</t>
  </si>
  <si>
    <t>Pay Stream Indicator</t>
  </si>
  <si>
    <t>Pay Stream for Comparison</t>
  </si>
  <si>
    <t>4022C</t>
  </si>
  <si>
    <t>Form of Annuity</t>
  </si>
  <si>
    <t>N001</t>
  </si>
  <si>
    <t>PPA BFCF at ARD</t>
  </si>
  <si>
    <t>Actual In-Pay Benefit</t>
  </si>
  <si>
    <t>BR</t>
  </si>
  <si>
    <t>Benefit Rate</t>
  </si>
  <si>
    <t>FORM_CODE_DEATH</t>
  </si>
  <si>
    <t>MTHSREM_DEATH</t>
  </si>
  <si>
    <t>Y</t>
  </si>
  <si>
    <t>0</t>
  </si>
  <si>
    <t>Participant's XRD Medicare Benefit</t>
  </si>
  <si>
    <t>PC6</t>
  </si>
  <si>
    <t>GROW-IN</t>
  </si>
  <si>
    <t>N197</t>
  </si>
  <si>
    <t>PC6_TOTAL_PV</t>
  </si>
  <si>
    <t>PV of Total PC6 Benefits Before Loading</t>
  </si>
  <si>
    <t>PV of Total PC6 Benefits After Loading</t>
  </si>
  <si>
    <t>CS</t>
  </si>
  <si>
    <t>CS though 12/31/09</t>
  </si>
  <si>
    <t>CS from 1/1/10 to 6/15/10</t>
  </si>
  <si>
    <t>N003</t>
  </si>
  <si>
    <t>2010 Hours</t>
  </si>
  <si>
    <t>N238</t>
  </si>
  <si>
    <t>N239</t>
  </si>
  <si>
    <t>N354</t>
  </si>
  <si>
    <t>N355</t>
  </si>
  <si>
    <t>N345</t>
  </si>
  <si>
    <t>N346</t>
  </si>
  <si>
    <t>T002</t>
  </si>
  <si>
    <t>N198</t>
  </si>
  <si>
    <t>N199</t>
  </si>
  <si>
    <t>MAXLIM_DOPT</t>
  </si>
  <si>
    <t>D020</t>
  </si>
  <si>
    <t>ME_XRD_MAXLIM</t>
  </si>
  <si>
    <t>ERF_XRD_MAXLIM</t>
  </si>
  <si>
    <t>ML_XRD_MAXLIM</t>
  </si>
  <si>
    <t>LRF_XRD_MAXLIM</t>
  </si>
  <si>
    <t>BFCF_XRD_MAXLIM</t>
  </si>
  <si>
    <t>MAXLIM_XRD</t>
  </si>
  <si>
    <t>PC3_ATT</t>
  </si>
  <si>
    <t>MGB</t>
  </si>
  <si>
    <t>Exact Age 65</t>
  </si>
  <si>
    <t>DOPT3</t>
  </si>
  <si>
    <t>N200</t>
  </si>
  <si>
    <t>PVF_SUPP3</t>
  </si>
  <si>
    <t>Guar</t>
  </si>
  <si>
    <t>Medicare Benefit</t>
  </si>
  <si>
    <t>Spouse's  Medicare Benefit</t>
  </si>
  <si>
    <t>Present Value of  QPSA Benefit Liability</t>
  </si>
  <si>
    <t>Present Value of  Benefit Before Loading</t>
  </si>
  <si>
    <t>Present Value of  Benefit After Loading</t>
  </si>
  <si>
    <t>Present Value of  Benefits Before Loading</t>
  </si>
  <si>
    <t>Present Value of  Benefits After Loading</t>
  </si>
  <si>
    <t>Present Value of QPSA Benefits Before Loading</t>
  </si>
  <si>
    <t xml:space="preserve"> Level Monthly Beneft</t>
  </si>
  <si>
    <t>Popup Benefit</t>
  </si>
  <si>
    <t>Participant's  Medicare Benefit</t>
  </si>
  <si>
    <t>Pre-62 Supplement</t>
  </si>
  <si>
    <t>PC3</t>
  </si>
  <si>
    <t>PC3_ELG_IND</t>
  </si>
  <si>
    <t>VS in 2011</t>
  </si>
  <si>
    <t>VS in 2012</t>
  </si>
  <si>
    <t>VS in 2013</t>
  </si>
  <si>
    <t>Is DOTE or DOPT-3 Earlier?</t>
  </si>
  <si>
    <t>Type of Retirement</t>
  </si>
  <si>
    <t>PC3 Eligible?</t>
  </si>
  <si>
    <t>EURA</t>
  </si>
  <si>
    <t>PC3_ERD</t>
  </si>
  <si>
    <t>PC3_EURD</t>
  </si>
  <si>
    <t>DOPT4</t>
  </si>
  <si>
    <t>PC3_ME</t>
  </si>
  <si>
    <t>PC3_ERF</t>
  </si>
  <si>
    <t>Months Early</t>
  </si>
  <si>
    <t>Early Retirement Factor</t>
  </si>
  <si>
    <t>PC3_ML</t>
  </si>
  <si>
    <t>PC3_LRF</t>
  </si>
  <si>
    <t>ML</t>
  </si>
  <si>
    <t>PC3_LEVEL_MB</t>
  </si>
  <si>
    <t>PC3_BFCF</t>
  </si>
  <si>
    <t>Eligible for Supplemental Early Retirement Benefit</t>
  </si>
  <si>
    <t>Supplemental Early Retirement Benefit</t>
  </si>
  <si>
    <t>PC3_BAS_SUPP1_MB</t>
  </si>
  <si>
    <t>PC3_NBAS_SUPP1_MB</t>
  </si>
  <si>
    <r>
      <t>Supplemental Early Retirement Benefit</t>
    </r>
    <r>
      <rPr>
        <sz val="8"/>
        <color rgb="FF0000FF"/>
        <rFont val="Arial"/>
        <family val="2"/>
      </rPr>
      <t xml:space="preserve"> (Basic)</t>
    </r>
  </si>
  <si>
    <r>
      <t>Supplemental Early Retirement Benefit</t>
    </r>
    <r>
      <rPr>
        <sz val="8"/>
        <color rgb="FFFF0000"/>
        <rFont val="Arial"/>
        <family val="2"/>
      </rPr>
      <t xml:space="preserve"> (Non-Basic)</t>
    </r>
  </si>
  <si>
    <t>PC3_BAS_MED_MB</t>
  </si>
  <si>
    <t>Participant's Medicare Benefit</t>
  </si>
  <si>
    <t>BD_EURD_SUPP1</t>
  </si>
  <si>
    <t>Begin Date of Supplemental Early Retirement Benefit</t>
  </si>
  <si>
    <t>ED_EURD_SUPP1</t>
  </si>
  <si>
    <t>End Date of Supplemental Early Retirement Benefit</t>
  </si>
  <si>
    <t>ED_ERD_MED</t>
  </si>
  <si>
    <t>ED_EURD_MED</t>
  </si>
  <si>
    <t>ED_ARD_MED</t>
  </si>
  <si>
    <t>End Date</t>
  </si>
  <si>
    <t>Level MB</t>
  </si>
  <si>
    <t>Annuity</t>
  </si>
  <si>
    <t>Supp</t>
  </si>
  <si>
    <t>Survivor Percentage</t>
  </si>
  <si>
    <t>Certain Period</t>
  </si>
  <si>
    <t>0 = NSF
1 = NMF
2 = Plan Optional
3 = PBGC Optional</t>
  </si>
  <si>
    <t>One Month LLF (if born on the 1st of the month)</t>
  </si>
  <si>
    <t>LLF (if born on the 1st of the month)</t>
  </si>
  <si>
    <t># of Pmts Remaining for Supplemental Benefit</t>
  </si>
  <si>
    <t>Participant's April 1st Age 70.5</t>
  </si>
  <si>
    <t>Participant's Age 70.5</t>
  </si>
  <si>
    <t>Affected by MGB?</t>
  </si>
  <si>
    <t>PC3 MB in NSF before Barnes Offset</t>
  </si>
  <si>
    <t>PC3 MB in FF before Barnes Offset</t>
  </si>
  <si>
    <t>Barnes</t>
  </si>
  <si>
    <t>Number of Months Early</t>
  </si>
  <si>
    <t>PC3 Benefit in FF after Barnes Offset</t>
  </si>
  <si>
    <t>Load</t>
  </si>
  <si>
    <t>PC3_BAS_ANNUITY_PVMB</t>
  </si>
  <si>
    <t>PC3_BAS_LOAD_PVMB</t>
  </si>
  <si>
    <t>PC3_TOTAL_PV</t>
  </si>
  <si>
    <t>PC3_BAS_4044_AR</t>
  </si>
  <si>
    <t>BSRS</t>
  </si>
  <si>
    <t>Entitled/ Not Entitled</t>
  </si>
  <si>
    <t>Apply ERF, LRF, BFCF</t>
  </si>
  <si>
    <t>Apply QPSA,ERF, LRF, BFCF</t>
  </si>
  <si>
    <t>Actual PBGC Limitations</t>
  </si>
  <si>
    <t>Allocations</t>
  </si>
  <si>
    <t>Theis</t>
  </si>
  <si>
    <t>Groups</t>
  </si>
  <si>
    <t>T016</t>
  </si>
  <si>
    <t>T017</t>
  </si>
  <si>
    <t>T018</t>
  </si>
  <si>
    <t>T019</t>
  </si>
  <si>
    <t>T020</t>
  </si>
  <si>
    <t>T021</t>
  </si>
  <si>
    <t>T022</t>
  </si>
  <si>
    <t>T007</t>
  </si>
  <si>
    <t>Barnes MB in FF</t>
  </si>
  <si>
    <t>PC34044AR</t>
  </si>
  <si>
    <t>Final RBD</t>
  </si>
  <si>
    <t>Worked past RBD?</t>
  </si>
  <si>
    <t>DOH &lt; 10/1/1986</t>
  </si>
  <si>
    <t>AA_DOR</t>
  </si>
  <si>
    <t>N204</t>
  </si>
  <si>
    <t>N203</t>
  </si>
  <si>
    <t>N205</t>
  </si>
  <si>
    <t>N206</t>
  </si>
  <si>
    <t>N207</t>
  </si>
  <si>
    <t>N210</t>
  </si>
  <si>
    <t>N209</t>
  </si>
  <si>
    <t>N211</t>
  </si>
  <si>
    <t>N212</t>
  </si>
  <si>
    <t>N213</t>
  </si>
  <si>
    <t>PPA Barnes ERF</t>
  </si>
  <si>
    <t>PPA Barnes NSF</t>
  </si>
  <si>
    <t>PPA Barnes BFCF</t>
  </si>
  <si>
    <t>PPA Theis NMF</t>
  </si>
  <si>
    <t>PPA Theis BFCF</t>
  </si>
  <si>
    <t>PPA Theis NSF</t>
  </si>
  <si>
    <t>PPA Theis ERF</t>
  </si>
  <si>
    <t>Recalculate Barnes</t>
  </si>
  <si>
    <t>PPA Barnes PRSA</t>
  </si>
  <si>
    <t>End of QPSA Coverage</t>
  </si>
  <si>
    <t>ML for Barnes Offset</t>
  </si>
  <si>
    <t>Barnes NSF</t>
  </si>
  <si>
    <t>PPA Barnes FF</t>
  </si>
  <si>
    <t>Is PC3 Benefit larger?</t>
  </si>
  <si>
    <t>Pop-up</t>
  </si>
  <si>
    <t>PC5 UNGB</t>
  </si>
  <si>
    <t>PC5_LEVEL_MB</t>
  </si>
  <si>
    <t>PC5_ANNUITY_PVMB</t>
  </si>
  <si>
    <t>PC5_TOTAL_PV</t>
  </si>
  <si>
    <t>Monthly 4022C Amount</t>
  </si>
  <si>
    <t>PPA Barnes AMB</t>
  </si>
  <si>
    <t>N214</t>
  </si>
  <si>
    <t>T023</t>
  </si>
  <si>
    <t>Can the Reason for the change be determined?</t>
  </si>
  <si>
    <t>N215</t>
  </si>
  <si>
    <t>N216</t>
  </si>
  <si>
    <t>N217</t>
  </si>
  <si>
    <t>N218</t>
  </si>
  <si>
    <t>N219</t>
  </si>
  <si>
    <t>N220</t>
  </si>
  <si>
    <t>N221</t>
  </si>
  <si>
    <t>N222</t>
  </si>
  <si>
    <t>N223</t>
  </si>
  <si>
    <t>N227</t>
  </si>
  <si>
    <t>N228</t>
  </si>
  <si>
    <t>Numer of Months Late</t>
  </si>
  <si>
    <t>N229</t>
  </si>
  <si>
    <t>N230</t>
  </si>
  <si>
    <t>N231</t>
  </si>
  <si>
    <t>N232</t>
  </si>
  <si>
    <t>T008</t>
  </si>
  <si>
    <t>Systematic Error</t>
  </si>
  <si>
    <t>T009</t>
  </si>
  <si>
    <t>POST_DOPT_DOTE</t>
  </si>
  <si>
    <t>D003</t>
  </si>
  <si>
    <t>PPA Theis PRSA Charge</t>
  </si>
  <si>
    <t>Calclated Barnes AMB</t>
  </si>
  <si>
    <t>Calcualted Barnes AMB</t>
  </si>
  <si>
    <t>Barnes Offset?</t>
  </si>
  <si>
    <t>Participant's ANB</t>
  </si>
  <si>
    <t>Immediate SLA PVF based on PP</t>
  </si>
  <si>
    <t>Temporary SLA PVF based on PP</t>
  </si>
  <si>
    <t>N233</t>
  </si>
  <si>
    <t>N234</t>
  </si>
  <si>
    <t>I001</t>
  </si>
  <si>
    <t>Months from XRD to SD of PP's Medicare Benefit</t>
  </si>
  <si>
    <t>PSERV</t>
  </si>
  <si>
    <t>Prior Credited Service with Barnes Group</t>
  </si>
  <si>
    <t>Total Credited Service with Barnes Group and Theis</t>
  </si>
  <si>
    <t>T024</t>
  </si>
  <si>
    <t>T025</t>
  </si>
  <si>
    <t>Estimated DOTE Based on VS or CS</t>
  </si>
  <si>
    <t>Final DOTE</t>
  </si>
  <si>
    <t>Months Worked Based on VSPA and then CSPA</t>
  </si>
  <si>
    <t>ML from NRD to FMCWNF DOTE</t>
  </si>
  <si>
    <t>LRF from NRD to FMCWNF DOTE</t>
  </si>
  <si>
    <t>ML from NRD to DOR</t>
  </si>
  <si>
    <t>LRF from NRD to DOR</t>
  </si>
  <si>
    <t>LRF from Later of FMCWNF DOTE and NRD to DOR</t>
  </si>
  <si>
    <t>Medicare</t>
  </si>
  <si>
    <t>Level</t>
  </si>
  <si>
    <t>MED - SP</t>
  </si>
  <si>
    <t>MED - PP</t>
  </si>
  <si>
    <t>Medicare Benefit - PP</t>
  </si>
  <si>
    <t>Medicare Benefit - SP</t>
  </si>
  <si>
    <t>PC4_MED_MB</t>
  </si>
  <si>
    <t>Attained Age at 12/31/10</t>
  </si>
  <si>
    <t>PC3 Eligibility</t>
  </si>
  <si>
    <t>ME</t>
  </si>
  <si>
    <t>Spouse's Barnes MB</t>
  </si>
  <si>
    <t>Spouse's MB before Barnes Offset</t>
  </si>
  <si>
    <t>Spouse MB after Barnes Offset</t>
  </si>
  <si>
    <t>N235</t>
  </si>
  <si>
    <t>N236</t>
  </si>
  <si>
    <t>N237</t>
  </si>
  <si>
    <t>N240</t>
  </si>
  <si>
    <t>N241</t>
  </si>
  <si>
    <t>PBGC BFCF Based on P%</t>
  </si>
  <si>
    <t>AgeDiffFactor (AgeDiffFactor)</t>
  </si>
  <si>
    <t>Age Difference</t>
  </si>
  <si>
    <t>Younger</t>
  </si>
  <si>
    <t>Check of BFCF</t>
  </si>
  <si>
    <r>
      <t>BFCFPBGC</t>
    </r>
    <r>
      <rPr>
        <b/>
        <sz val="10"/>
        <color indexed="12"/>
        <rFont val="Arial"/>
        <family val="2"/>
      </rPr>
      <t xml:space="preserve"> (bfcfpbgc)</t>
    </r>
  </si>
  <si>
    <t>Converts SLA to C&amp;C</t>
  </si>
  <si>
    <t>N242</t>
  </si>
  <si>
    <t>Spouse's MB after Barnes Offset</t>
  </si>
  <si>
    <t>p% due to different survivor percentages payable from Theis and Barnes</t>
  </si>
  <si>
    <t>Normalization Factor for PC3 MB</t>
  </si>
  <si>
    <t>N243</t>
  </si>
  <si>
    <t>N244</t>
  </si>
  <si>
    <t>Normalized MB</t>
  </si>
  <si>
    <t>N245</t>
  </si>
  <si>
    <t>N246</t>
  </si>
  <si>
    <t>N247</t>
  </si>
  <si>
    <t>N248</t>
  </si>
  <si>
    <t>PBGC Immediate SLA Lump Sum PVF for PP Medicare Benefit</t>
  </si>
  <si>
    <t>PBGC Temporary SLA Lump Sum PVF for PP Medicare Benefit</t>
  </si>
  <si>
    <t>N249</t>
  </si>
  <si>
    <t>Final Lump Sum PVF for PP Medicare Benefit</t>
  </si>
  <si>
    <t>Final Lump Sum PVF for SP Medicare Benefit</t>
  </si>
  <si>
    <t>Recalculate Total Theis Portion of Benefit</t>
  </si>
  <si>
    <t>Normal Retirement Age</t>
  </si>
  <si>
    <t>Normal Retirement Date</t>
  </si>
  <si>
    <t>Plan Early Unreduced Retirement Age</t>
  </si>
  <si>
    <t>Plan Early Unreduced Retirement Date</t>
  </si>
  <si>
    <t>Participant Age Nearest Birthday</t>
  </si>
  <si>
    <t>Spouse Age Nearest Birthday</t>
  </si>
  <si>
    <t>Prior Plan Administrator Vesting Service</t>
  </si>
  <si>
    <t>ARD Type of Retirement</t>
  </si>
  <si>
    <t>Attained Age at DOTE</t>
  </si>
  <si>
    <t>Plan Benefit Freeze Date</t>
  </si>
  <si>
    <t>Date of Termination of Employment</t>
  </si>
  <si>
    <t>Date of Hire</t>
  </si>
  <si>
    <t>Beneficiary Date of Birth</t>
  </si>
  <si>
    <t>Spouse Date of Death</t>
  </si>
  <si>
    <t>Beneficiary Date of Death</t>
  </si>
  <si>
    <t>Valuation Spouse Date of Birth</t>
  </si>
  <si>
    <t>Spouse Date of Birth</t>
  </si>
  <si>
    <t>Participant Date of Birth</t>
  </si>
  <si>
    <t>Participant Date of Death</t>
  </si>
  <si>
    <t>Date of Marriage</t>
  </si>
  <si>
    <t>Marital Status</t>
  </si>
  <si>
    <t>Beneficiary Gender</t>
  </si>
  <si>
    <t>Spouse Gender</t>
  </si>
  <si>
    <t>Participant Gender</t>
  </si>
  <si>
    <t>Participant Health Status at DOPT</t>
  </si>
  <si>
    <t>Non-Spouse Beneficiary Indicator</t>
  </si>
  <si>
    <t>Beneficiary Last Name</t>
  </si>
  <si>
    <t>Beneficiary First Name</t>
  </si>
  <si>
    <t>Beneficiary Social Security Number</t>
  </si>
  <si>
    <t>Spouse Last Name</t>
  </si>
  <si>
    <t>Spouse First Name</t>
  </si>
  <si>
    <t>Spouse Social Security Number</t>
  </si>
  <si>
    <t>Participant Last Name</t>
  </si>
  <si>
    <t>Participant First Name</t>
  </si>
  <si>
    <t>Participant Social Security Number</t>
  </si>
  <si>
    <t>Participant Date of Retirement</t>
  </si>
  <si>
    <t>Beneficiary Benefit Commencement Date</t>
  </si>
  <si>
    <t>Participant's Level In-Pay Monthly Benefit</t>
  </si>
  <si>
    <t>Prior Plan Administrator AMB (Taken from Census Data File)</t>
  </si>
  <si>
    <t xml:space="preserve">Expected Retirement Age </t>
  </si>
  <si>
    <t>Expected Retirement Date</t>
  </si>
  <si>
    <t>Spouse Expected Retirement Age</t>
  </si>
  <si>
    <t>Participant Age Nearest Birth at DOR</t>
  </si>
  <si>
    <t>Spouse Age Nearest Birth at DOR</t>
  </si>
  <si>
    <t>Elected Form of Annuity</t>
  </si>
  <si>
    <t>Prior Plan Administrator Theis PRSA</t>
  </si>
  <si>
    <t>Theis Months Early</t>
  </si>
  <si>
    <t>Age Difference between PP and SP (Based on DOBs)</t>
  </si>
  <si>
    <t>Prior Plan Administrator Theis BFCF</t>
  </si>
  <si>
    <t>Before Offset</t>
  </si>
  <si>
    <t>FF</t>
  </si>
  <si>
    <t>After Offset</t>
  </si>
  <si>
    <t>PC3 Basic 4044 Allocation Ratio</t>
  </si>
  <si>
    <t>Termination Liability Weighted ANB</t>
  </si>
  <si>
    <t>Termination Liability Weighted XRA</t>
  </si>
  <si>
    <t>PRSA</t>
  </si>
  <si>
    <t>Calculated Monthly Benefit in NMF before Barnes Offset</t>
  </si>
  <si>
    <t>Prior Plan Administrator Monthly Benefit in NSF before Barnes Offset</t>
  </si>
  <si>
    <t>Prior Plan Administrator Monthly Benefit in FF before Barnes Offset</t>
  </si>
  <si>
    <t>Final MB in FF before Barnes Offset</t>
  </si>
  <si>
    <t>Difference Between Calculated and PPA Monthly Benefit in NSF before Barnes Offset</t>
  </si>
  <si>
    <t>Difference Between Calculated and PPA Monthly Benefit in FF before Barnes Offset</t>
  </si>
  <si>
    <t>Calculated Barnes QPSA charge (1/24th of 1% per month)</t>
  </si>
  <si>
    <t>Final Barnes MB in FF</t>
  </si>
  <si>
    <t>Is DOH b4 10/1/86 (Does PP have Barnes Offset)</t>
  </si>
  <si>
    <t>Yes</t>
  </si>
  <si>
    <t>null</t>
  </si>
  <si>
    <t>MB after PRSA before Barnes Offset</t>
  </si>
  <si>
    <t>Reason Milliman's Theis MB differs from PPAs</t>
  </si>
  <si>
    <t>Calculated Barnes AMB ("Barnes LS with PII.xlsx")</t>
  </si>
  <si>
    <t>D004</t>
  </si>
  <si>
    <t>PC4_LEVEL_MB</t>
  </si>
  <si>
    <t>PC4_ANNUITY_PVMB</t>
  </si>
  <si>
    <t>PC4_TOTAL_PV</t>
  </si>
  <si>
    <r>
      <t xml:space="preserve">Present Value </t>
    </r>
    <r>
      <rPr>
        <sz val="8"/>
        <color rgb="FFFF0000"/>
        <rFont val="Arial"/>
        <family val="2"/>
      </rPr>
      <t>After</t>
    </r>
    <r>
      <rPr>
        <sz val="8"/>
        <rFont val="Arial"/>
        <family val="2"/>
      </rPr>
      <t xml:space="preserve"> Loading</t>
    </r>
  </si>
  <si>
    <r>
      <t xml:space="preserve">Present Value </t>
    </r>
    <r>
      <rPr>
        <sz val="8"/>
        <color rgb="FF0000FF"/>
        <rFont val="Arial"/>
        <family val="2"/>
      </rPr>
      <t>Before</t>
    </r>
    <r>
      <rPr>
        <sz val="8"/>
        <rFont val="Arial"/>
        <family val="2"/>
      </rPr>
      <t xml:space="preserve"> Loading</t>
    </r>
  </si>
  <si>
    <t>N250</t>
  </si>
  <si>
    <t>PC4</t>
  </si>
  <si>
    <t>N251</t>
  </si>
  <si>
    <t>N252</t>
  </si>
  <si>
    <t>PAY_AMT3</t>
  </si>
  <si>
    <t>PPA Accrued Monthly Benefit (from Authorization of Monthly Pension Benefits)</t>
  </si>
  <si>
    <t>I002</t>
  </si>
  <si>
    <t>T010</t>
  </si>
  <si>
    <t>Systematic Error in PPA's Theis AMB Calculation (Y/N)</t>
  </si>
  <si>
    <t>Benefit Rate for All CS</t>
  </si>
  <si>
    <t>N257</t>
  </si>
  <si>
    <t>N258</t>
  </si>
  <si>
    <t>PPA's CS with Theis Backed out from Annual Benefits in Census File (See Section 3 of Case Memo)</t>
  </si>
  <si>
    <t>Date of Barnes Offset as Calculated by PPA</t>
  </si>
  <si>
    <t>Barnes Offset Calculated at Same Date as Theis</t>
  </si>
  <si>
    <t>Diff Between PPA's Barnes Offset and Calculated Barnes Offset</t>
  </si>
  <si>
    <t>DOR &lt; DOPT-3</t>
  </si>
  <si>
    <t>Attained Age at DOR</t>
  </si>
  <si>
    <t>Match PPA Barnes PRSA</t>
  </si>
  <si>
    <t>Barnes MB in FF (Calculated)</t>
  </si>
  <si>
    <r>
      <t>Barnes MB in FF (</t>
    </r>
    <r>
      <rPr>
        <sz val="8"/>
        <color rgb="FFFF0000"/>
        <rFont val="Arial"/>
        <family val="2"/>
      </rPr>
      <t>Prior Plan Administrator</t>
    </r>
    <r>
      <rPr>
        <sz val="8"/>
        <rFont val="Arial"/>
        <family val="2"/>
      </rPr>
      <t>)</t>
    </r>
  </si>
  <si>
    <t>Monthly Benefit after Popup</t>
  </si>
  <si>
    <t>Reason For Difference</t>
  </si>
  <si>
    <t xml:space="preserve">Benefit Without Medicare After Pop Up </t>
  </si>
  <si>
    <t>Spouse's Theis MB before Barnes Offset</t>
  </si>
  <si>
    <t>Indicator for Participant Benefiting from the Disability Max or from not applying the Accrued-at-Normal Limitation solely due to SSA Disability (Y or N)</t>
  </si>
  <si>
    <t>Indicator for Participant Receiving Plan Disability Benefit (Y or N)</t>
  </si>
  <si>
    <t>Indicator for SSA Disability Eligibility being Required for the Plan Disability Benefit (Y or N)</t>
  </si>
  <si>
    <t>Indicator for Participant Receiving Temporary Supplement subject to Earnings Limitation Offset (Y or N)</t>
  </si>
  <si>
    <t>Indicator for Participant Receiving Benefit subject to Worker’s Compensation Offset (Y or N)</t>
  </si>
  <si>
    <t>Indicator for Participant Receiving Benefit subject to Some Other Future Offset (Y or N)</t>
  </si>
  <si>
    <t>Final PVF for Medicare Supplement</t>
  </si>
  <si>
    <t>Estimated VS in 2011</t>
  </si>
  <si>
    <t>Estimated VS in 2012</t>
  </si>
  <si>
    <t>Estimated VS in 2013</t>
  </si>
  <si>
    <t>Months Late</t>
  </si>
  <si>
    <t>Level Benefit</t>
  </si>
  <si>
    <t>PC5_MED_MB</t>
  </si>
  <si>
    <t>FORM_CODE_MED</t>
  </si>
  <si>
    <t>EED_XRD_MED_BENE</t>
  </si>
  <si>
    <t>Eligibility End Date of Spouse's XRD Medicare Benefit</t>
  </si>
  <si>
    <t>Worked Past Age 70.5?</t>
  </si>
  <si>
    <t>Was PP born 1st Day of Month</t>
  </si>
  <si>
    <t>Calculated PRSA</t>
  </si>
  <si>
    <t>N163</t>
  </si>
  <si>
    <t>Statement goes to Participant / Beneficiary / Estate</t>
  </si>
  <si>
    <t>Statement goes to Participant's or Beneficiary's Estate</t>
  </si>
  <si>
    <t>Date to be shown on PBGC Monthly Benefit line of Summary Section and Last Line (PP or BE) of Statement</t>
  </si>
  <si>
    <t>Date Shown on Last Participant Line in Benefit Calculation Section (ARD / BCD / RBD / DOPT)</t>
  </si>
  <si>
    <t>Benefit Calculation Line on which "PBGC" is First Displayed in the Benefit Calculation Section</t>
  </si>
  <si>
    <t>Date shown on first line of Summary Section (Spelled Out)</t>
  </si>
  <si>
    <t>Summary</t>
  </si>
  <si>
    <t>Date(s) to be shown on Benefit Statement (EBSD / EURD / NRD / RBD / ARD)</t>
  </si>
  <si>
    <t>Benefit Calc</t>
  </si>
  <si>
    <t>Summary / Benefit Calc</t>
  </si>
  <si>
    <t>PPs Info</t>
  </si>
  <si>
    <t>Show NRD in PP's Information Section</t>
  </si>
  <si>
    <t>Date to be Shown in the Participant Lines of Benefit Calculation Section (except first line) (ARD / BCD / RBD)</t>
  </si>
  <si>
    <t>Date Shown on First Line of Benefit Calculation Section (Age 70.5 / DOTE / NRD)</t>
  </si>
  <si>
    <t>N099</t>
  </si>
  <si>
    <t>Theis MB in NSF before Barnes Offset (Used to determine Pop-up)</t>
  </si>
  <si>
    <t>Level Life Present Value Factor</t>
  </si>
  <si>
    <t>N269</t>
  </si>
  <si>
    <t>PC5_4022C_AR</t>
  </si>
  <si>
    <t>D027</t>
  </si>
  <si>
    <t>T027</t>
  </si>
  <si>
    <t>N224</t>
  </si>
  <si>
    <t>N225</t>
  </si>
  <si>
    <t>N226</t>
  </si>
  <si>
    <t>I003</t>
  </si>
  <si>
    <t>N275</t>
  </si>
  <si>
    <t>N279</t>
  </si>
  <si>
    <t>N280</t>
  </si>
  <si>
    <t>SP FOA</t>
  </si>
  <si>
    <t>PP FOA</t>
  </si>
  <si>
    <t>XRD FOA</t>
  </si>
  <si>
    <t>N281</t>
  </si>
  <si>
    <t>Prior Plan Administrator AMB (See Section 3 of ACM)</t>
  </si>
  <si>
    <t>Beneficiary's Barnes Benefit</t>
  </si>
  <si>
    <t>Beneficiary's Plan Monthly Benefit before Barnes Offset</t>
  </si>
  <si>
    <t>Bene</t>
  </si>
  <si>
    <t>N002</t>
  </si>
  <si>
    <t>PPA's Beneficiary Barnes Benefit</t>
  </si>
  <si>
    <t>Final Beneficiary Barnes Benefit</t>
  </si>
  <si>
    <t>First of the Month after SP's 65th Birthday</t>
  </si>
  <si>
    <t>N285</t>
  </si>
  <si>
    <t>D031</t>
  </si>
  <si>
    <t>NSF MB</t>
  </si>
  <si>
    <t>FF MB</t>
  </si>
  <si>
    <t>T036</t>
  </si>
  <si>
    <t>T037</t>
  </si>
  <si>
    <t>T038</t>
  </si>
  <si>
    <t>T039</t>
  </si>
  <si>
    <t>T040</t>
  </si>
  <si>
    <t>T041</t>
  </si>
  <si>
    <t>T042</t>
  </si>
  <si>
    <t>T043</t>
  </si>
  <si>
    <t>use BS_Paragraph_1 for software closeout</t>
  </si>
  <si>
    <t>Abbreviated Elected Form of Annuity</t>
  </si>
  <si>
    <t>PPA Months Early</t>
  </si>
  <si>
    <t>Number of Months Late</t>
  </si>
  <si>
    <t>T044</t>
  </si>
  <si>
    <t>Beneficiary's Level In-Pay Monthly Benefit</t>
  </si>
  <si>
    <t>Beneficiary</t>
  </si>
  <si>
    <t>Beneficiary's Barnes MB</t>
  </si>
  <si>
    <t>Beneficiary's Total MB</t>
  </si>
  <si>
    <t>Beneficiary's Final MB</t>
  </si>
  <si>
    <t>Beneficiary's Difference</t>
  </si>
  <si>
    <t>Beneficiary's Percent Difference</t>
  </si>
  <si>
    <t>Beneficiary's Monthy Benefit in Elected Form without Medicare</t>
  </si>
  <si>
    <t>N352</t>
  </si>
  <si>
    <t>T049</t>
  </si>
  <si>
    <t>PP made an election - Disability Retiree</t>
  </si>
  <si>
    <t>SD of Auxiliary Disability Benefit</t>
  </si>
  <si>
    <t>Date at Which Participant was Required to Start Receiving Non-Disability Benefit</t>
  </si>
  <si>
    <t>Begin Date of PRSA Coverage</t>
  </si>
  <si>
    <t>End Date of PRSA Coverage</t>
  </si>
  <si>
    <t>Months of Coverage</t>
  </si>
  <si>
    <t>Commencement Date of Auxiliary Disability Benefit</t>
  </si>
  <si>
    <t>Auxiliary Disability Benefit In-Pay at DOPT</t>
  </si>
  <si>
    <t>Start Date of Non-Auxiliary Disability Benefit</t>
  </si>
  <si>
    <t>Non-Disability Calculation Date</t>
  </si>
  <si>
    <t>N374</t>
  </si>
  <si>
    <t>Present Value of Plan Benefit Liabilities After Loading for Participants Eligible for PC3 Benefits</t>
  </si>
  <si>
    <t>N376</t>
  </si>
  <si>
    <t>Expected Retirement Date for Disability Monthly Benefit</t>
  </si>
  <si>
    <t>Date at Which Participant Starts Receiving Non-Disability Monthly Benefit (ADCD)</t>
  </si>
  <si>
    <t>Spouse's Expected Retirement Age for Non-Disability Monthly Benefit</t>
  </si>
  <si>
    <t>Pariticpant's Expected Retirement Age for Non-Disability Monthly Benefit</t>
  </si>
  <si>
    <t>Participant's Expected Retirement age for Disability Monthly Benefit</t>
  </si>
  <si>
    <t>Auxiliary Disability Commencement Date</t>
  </si>
  <si>
    <t>Auxiliary Disability Monthly Benefit In-Pay at DOPT</t>
  </si>
  <si>
    <t>Barnes Credited Service</t>
  </si>
  <si>
    <t>Spouse's Expected Retirement age for Disability Monthly Benefit</t>
  </si>
  <si>
    <t>End of QPSA coverage</t>
  </si>
  <si>
    <t>Months of QPSA coverage</t>
  </si>
  <si>
    <t>Months from XRD to P65</t>
  </si>
  <si>
    <t>Non-Disability</t>
  </si>
  <si>
    <t>PVF of SLA to SP</t>
  </si>
  <si>
    <t xml:space="preserve"> Level Monthly Beneft after Barnes Offset</t>
  </si>
  <si>
    <t>N267</t>
  </si>
  <si>
    <t>SP MB</t>
  </si>
  <si>
    <t>Beneficiary's Benefit after Barnes Offset</t>
  </si>
  <si>
    <t>Auxiliary Disability MB</t>
  </si>
  <si>
    <t>N377</t>
  </si>
  <si>
    <t>N268</t>
  </si>
  <si>
    <t>PC4_QPSA_PVMB</t>
  </si>
  <si>
    <t>PC4_LOAD_PVMB</t>
  </si>
  <si>
    <t>Present Value of Load</t>
  </si>
  <si>
    <t>N378</t>
  </si>
  <si>
    <t>Auxiliary Disability Monthly Benefit</t>
  </si>
  <si>
    <t>Additional Monthly Benefit Due to Pop up</t>
  </si>
  <si>
    <t>N379</t>
  </si>
  <si>
    <t>Prob of Death in Deferral Period</t>
  </si>
  <si>
    <t>Participant's Non-Disability In-Pay Benefit</t>
  </si>
  <si>
    <t>Spouse's Non-Disability In-Pay Benefit</t>
  </si>
  <si>
    <t>Participant's Final PBGC Monthly Benefit after Tolerance</t>
  </si>
  <si>
    <t>Beneficiary's Final PBGC Monthly Benefit after Tolerance</t>
  </si>
  <si>
    <t>N380</t>
  </si>
  <si>
    <t>End Date of Spouse's Medicare Benefit</t>
  </si>
  <si>
    <t>End Date of Participant's Medicare Benefit</t>
  </si>
  <si>
    <t>Start Date of Participant's Medicare Benefit (First of the month after Age 65)</t>
  </si>
  <si>
    <t>N381</t>
  </si>
  <si>
    <t>N382</t>
  </si>
  <si>
    <t>Participant's Medicare Benefit In-Pay at DOPT</t>
  </si>
  <si>
    <t>Spouse's Medicare Benefit In-Pay at DOPT</t>
  </si>
  <si>
    <t>T075</t>
  </si>
  <si>
    <t>Start Date of Participant's Medicare Benefit In-Pay at DOPT</t>
  </si>
  <si>
    <t>Start Date of Spouse's Medicare Benefit In-Pay at DOPT</t>
  </si>
  <si>
    <t>D042</t>
  </si>
  <si>
    <t>D043</t>
  </si>
  <si>
    <t>N383</t>
  </si>
  <si>
    <t>N384</t>
  </si>
  <si>
    <t>N385</t>
  </si>
  <si>
    <t>N386</t>
  </si>
  <si>
    <t>N387</t>
  </si>
  <si>
    <t>N388</t>
  </si>
  <si>
    <t>N389</t>
  </si>
  <si>
    <t>N390</t>
  </si>
  <si>
    <t>T076</t>
  </si>
  <si>
    <t>N391</t>
  </si>
  <si>
    <t>Difference Between Calculated Auxiliary Disability MB and Auxiliary Disability Monthly Benefit In-Pay at DOPT</t>
  </si>
  <si>
    <t>Is In-Pay Benefit at DOPT within Tolerance?</t>
  </si>
  <si>
    <t>Final Auxiliary Disability Monthly Benefit</t>
  </si>
  <si>
    <t>N392</t>
  </si>
  <si>
    <t>N393</t>
  </si>
  <si>
    <t>N394</t>
  </si>
  <si>
    <t>N395</t>
  </si>
  <si>
    <t>N396</t>
  </si>
  <si>
    <t>S</t>
  </si>
  <si>
    <t>N375</t>
  </si>
  <si>
    <t>Participant's Monthly Benefit at DOR after Barnes Offset</t>
  </si>
  <si>
    <t>Match</t>
  </si>
  <si>
    <t>PAY_AMT6</t>
  </si>
  <si>
    <t>PAY_AMT4</t>
  </si>
  <si>
    <t>N331</t>
  </si>
  <si>
    <t>N335</t>
  </si>
  <si>
    <t>1st Payment</t>
  </si>
  <si>
    <t>2nd Payment</t>
  </si>
  <si>
    <t>3rd Payment</t>
  </si>
  <si>
    <t>4th Payment</t>
  </si>
  <si>
    <t>1st QPSA Payment</t>
  </si>
  <si>
    <t>N296</t>
  </si>
  <si>
    <t>N297</t>
  </si>
  <si>
    <t>D034</t>
  </si>
  <si>
    <t>D035</t>
  </si>
  <si>
    <t>ER_SUBSIDY_IND</t>
  </si>
  <si>
    <t>T031</t>
  </si>
  <si>
    <t>T032</t>
  </si>
  <si>
    <t>T033</t>
  </si>
  <si>
    <t>T079</t>
  </si>
  <si>
    <t>T080</t>
  </si>
  <si>
    <t>T083</t>
  </si>
  <si>
    <t>DOBS1</t>
  </si>
  <si>
    <t>DORH1</t>
  </si>
  <si>
    <t>N474</t>
  </si>
  <si>
    <t>N475</t>
  </si>
  <si>
    <t>I005</t>
  </si>
  <si>
    <t>N282</t>
  </si>
  <si>
    <t>N283</t>
  </si>
  <si>
    <t>D028</t>
  </si>
  <si>
    <t>RETRO_DOR</t>
  </si>
  <si>
    <t>I006</t>
  </si>
  <si>
    <t>N397</t>
  </si>
  <si>
    <t>N298</t>
  </si>
  <si>
    <t>N165</t>
  </si>
  <si>
    <t>PBGC_AP_PERCENT</t>
  </si>
  <si>
    <t>N286</t>
  </si>
  <si>
    <t>N471</t>
  </si>
  <si>
    <t>N293</t>
  </si>
  <si>
    <t>N294</t>
  </si>
  <si>
    <t>N295</t>
  </si>
  <si>
    <t>N418</t>
  </si>
  <si>
    <t>N402</t>
  </si>
  <si>
    <t>N407</t>
  </si>
  <si>
    <t>N412</t>
  </si>
  <si>
    <t>D024</t>
  </si>
  <si>
    <t>D046</t>
  </si>
  <si>
    <t>D047</t>
  </si>
  <si>
    <t>T035</t>
  </si>
  <si>
    <t>D044</t>
  </si>
  <si>
    <t>D045</t>
  </si>
  <si>
    <t>N483</t>
  </si>
  <si>
    <t>D048</t>
  </si>
  <si>
    <t>D049</t>
  </si>
  <si>
    <t>N310</t>
  </si>
  <si>
    <t>N311</t>
  </si>
  <si>
    <t>N315</t>
  </si>
  <si>
    <t>N317</t>
  </si>
  <si>
    <t>N274</t>
  </si>
  <si>
    <t>N323</t>
  </si>
  <si>
    <t>PC5_4044_AR</t>
  </si>
  <si>
    <t>N484</t>
  </si>
  <si>
    <t>T057</t>
  </si>
  <si>
    <t>T063</t>
  </si>
  <si>
    <t>T069</t>
  </si>
  <si>
    <t>T074</t>
  </si>
  <si>
    <t>SI</t>
  </si>
  <si>
    <t>NMF MB</t>
  </si>
  <si>
    <t>p%</t>
  </si>
  <si>
    <t>Nomalization</t>
  </si>
  <si>
    <t>Nomalized Level MB</t>
  </si>
  <si>
    <t>MED-PP</t>
  </si>
  <si>
    <t>Nomalized</t>
  </si>
  <si>
    <t>CS from 6/15/10 to DOTE</t>
  </si>
  <si>
    <t>Theis PRSA Charge</t>
  </si>
  <si>
    <t>w/o Grow-In</t>
  </si>
  <si>
    <t>Grow in</t>
  </si>
  <si>
    <t>PC5</t>
  </si>
  <si>
    <t>Separate Interest (SI) or Shared Payment (SP)</t>
  </si>
  <si>
    <t>Percent of PP's Benefit Assigned to AP</t>
  </si>
  <si>
    <t>Inidicator for AP being Included in the Valuation</t>
  </si>
  <si>
    <t>AP_VAL_IND for Recalcs</t>
  </si>
  <si>
    <t>Percent (P) or Fixed Amount (F) QDRO</t>
  </si>
  <si>
    <t>Date QDRO was Signed</t>
  </si>
  <si>
    <t>Division Date (Date AP Stops Accruing Service)</t>
  </si>
  <si>
    <t>AMB at QDRO Split Date</t>
  </si>
  <si>
    <t>Years of Credited Service During Marriage</t>
  </si>
  <si>
    <t>Years of Credited Service as of Date of Divorce</t>
  </si>
  <si>
    <t>Date of Divorce</t>
  </si>
  <si>
    <t>Is AP Eligible for Early Retirement Subsidy</t>
  </si>
  <si>
    <t>Does Benefit Revert Back to Participant</t>
  </si>
  <si>
    <t>Is AP to be treated as surviving spouse for QJSA Benefit</t>
  </si>
  <si>
    <t>Is AP to be treated as surviving spouse for QPSA Benefit</t>
  </si>
  <si>
    <t>Is Marital Portion based on Credited Service or Participation? (C or P)</t>
  </si>
  <si>
    <t>Does QDRO State AP Shares in the Early Retirement Supplement?</t>
  </si>
  <si>
    <t>Does QDRO State AP Shares in the Medicare Benefit?</t>
  </si>
  <si>
    <t>Date of Break-in-Service</t>
  </si>
  <si>
    <t>Date of Rehire</t>
  </si>
  <si>
    <t>Calculated CS as of 1/1/10 (See Section 3 of ACM)</t>
  </si>
  <si>
    <t>Hours Worked from 1/1/10 to 6/15/10</t>
  </si>
  <si>
    <t>Total CS (for AMB purposes Only)</t>
  </si>
  <si>
    <t>SD of CS in 2010</t>
  </si>
  <si>
    <t>ED of CS in 2010</t>
  </si>
  <si>
    <t>2010 Hours (Calculated)</t>
  </si>
  <si>
    <t>Total CS in 2010</t>
  </si>
  <si>
    <t>Additional CS after 6/15/10 to 12/31/10</t>
  </si>
  <si>
    <t>SD of CS in 2011</t>
  </si>
  <si>
    <t>ED of CS in 2011</t>
  </si>
  <si>
    <t>2011 Hours (Calculated)</t>
  </si>
  <si>
    <t>Additional CS in 2011</t>
  </si>
  <si>
    <t>SD of CS in 2012</t>
  </si>
  <si>
    <t>ED of CS in 2012</t>
  </si>
  <si>
    <t>2012 Hours (Calculated)</t>
  </si>
  <si>
    <t>Additional CS in 2012</t>
  </si>
  <si>
    <t>Additional CS in 2013</t>
  </si>
  <si>
    <t>Additional CS from 6/15/10 to DOTE</t>
  </si>
  <si>
    <t>CS used to Determine Eligibility for Subsidized ERF and Early Retirement Supplement</t>
  </si>
  <si>
    <t>Participant's / Alternate Payee's ANB</t>
  </si>
  <si>
    <t>Did participant work past Age 70.5</t>
  </si>
  <si>
    <t>Participant's Initial In-Pay Amount</t>
  </si>
  <si>
    <t>Participant's Benefit after Pop-up</t>
  </si>
  <si>
    <t>Start Date for Pop-up Benefit (N283)</t>
  </si>
  <si>
    <t>PPA AMB</t>
  </si>
  <si>
    <t>Retroactive Retirement Date</t>
  </si>
  <si>
    <t># of Months Early at EURA for Barnes Benefit (For Determining XRA)</t>
  </si>
  <si>
    <t>ERF at EURA for Barnes Benefit (For Determining XRA)</t>
  </si>
  <si>
    <t>Barnes Guaranteed Monthly Benefit at EURA (For Determining XRA)</t>
  </si>
  <si>
    <t>Guaranteed Monthly Benefit at EURA after Barnes Offset (For Determining XRA)</t>
  </si>
  <si>
    <t>Participant's XRA</t>
  </si>
  <si>
    <t>Participant's / Alternate Payee's XRA</t>
  </si>
  <si>
    <t>Participant's Age Nearest Birthday at XRD</t>
  </si>
  <si>
    <t>Participant's / Alternate Payee's Age Nearest Birthday at XRD</t>
  </si>
  <si>
    <t>End Date of Certain Period</t>
  </si>
  <si>
    <t>First of Month after Certain Period</t>
  </si>
  <si>
    <t>AMB as of the Division Date</t>
  </si>
  <si>
    <t>Marital Portion</t>
  </si>
  <si>
    <t>AP's Portion of AMB after QDRO</t>
  </si>
  <si>
    <t>PP's Portion of AMB after QDRO</t>
  </si>
  <si>
    <t>PP/AP AMB after QDRO</t>
  </si>
  <si>
    <t>Full or Partial Months of QPSA coverage</t>
  </si>
  <si>
    <t>Thies QPSA charge (1/24th of 1% per month)</t>
  </si>
  <si>
    <t>Calculated Theis PRSA Charge</t>
  </si>
  <si>
    <t>MB after Theis PRSA Charge</t>
  </si>
  <si>
    <t>ERF Table</t>
  </si>
  <si>
    <t>ML from NRD to XRD</t>
  </si>
  <si>
    <t>LRF from NRD to XRD</t>
  </si>
  <si>
    <t>LRF from Later of NRD and FMCWNF DOTE to XRD</t>
  </si>
  <si>
    <t>PP/AP Portion of AMB after QDRO</t>
  </si>
  <si>
    <t>End Date of QPSA Coverage</t>
  </si>
  <si>
    <t>PRSA Charge</t>
  </si>
  <si>
    <t>Barnes LRF from NRD to XRD</t>
  </si>
  <si>
    <t>Monthly Benefit in NSF after Barnes Offset before Age Adjustment Factor</t>
  </si>
  <si>
    <t>Age Adjustment Factor for QDRO</t>
  </si>
  <si>
    <t>Monthly Benefit in NSF after Barnes Offset after Age Adjustment Factor</t>
  </si>
  <si>
    <t>Monthly Benefit in NMF after Barnes Offset before Age Adjustment Factor</t>
  </si>
  <si>
    <t>Monthly Benefit in NMF after Barnes Offset after Age Adjustment Factor</t>
  </si>
  <si>
    <t>Beneficiary's Plan Benefit before Barnes Offset</t>
  </si>
  <si>
    <t>Early Retirement Supplement In-Pay</t>
  </si>
  <si>
    <t>Date at Which Supplemental Early Retirement Benefit is no Longer Payable</t>
  </si>
  <si>
    <t>First of the Month after PP's 65th Birthday</t>
  </si>
  <si>
    <t>Medicare Supplement In-Pay</t>
  </si>
  <si>
    <t>Begin Date for Medicare Supplement</t>
  </si>
  <si>
    <t>Total Pre-62 Benefit before Offset</t>
  </si>
  <si>
    <t>Pre-62 Benefit after offset</t>
  </si>
  <si>
    <t>Total 62-65 Benefit before Offset</t>
  </si>
  <si>
    <t>62-65 Benefit after Offset</t>
  </si>
  <si>
    <t>First of the Month after Age 65</t>
  </si>
  <si>
    <t>Total Post 65 Benefit Before Offset</t>
  </si>
  <si>
    <t>Post 65 Benefit after Offset</t>
  </si>
  <si>
    <t>Basic Pre-62 Benefit before Barnes Offset and after ANL</t>
  </si>
  <si>
    <t>Basic 62-65 Benefit Before Barnes Offset and after ANL</t>
  </si>
  <si>
    <t>Basic Post 65 Benefit before Barnes Offset and after ANL</t>
  </si>
  <si>
    <r>
      <t>Supplemental Early Retirement Benefit</t>
    </r>
    <r>
      <rPr>
        <sz val="8"/>
        <color rgb="FF0000FF"/>
        <rFont val="Arial"/>
        <family val="2"/>
      </rPr>
      <t xml:space="preserve"> (</t>
    </r>
    <r>
      <rPr>
        <sz val="8"/>
        <color rgb="FFFF0000"/>
        <rFont val="Arial"/>
        <family val="2"/>
      </rPr>
      <t>Non-Basic</t>
    </r>
    <r>
      <rPr>
        <sz val="8"/>
        <color rgb="FF0000FF"/>
        <rFont val="Arial"/>
        <family val="2"/>
      </rPr>
      <t>)</t>
    </r>
  </si>
  <si>
    <t>Start Date of Surviving Spouse's Medicare Benefit</t>
  </si>
  <si>
    <t>End Date of Surviving Spouse's Medicare Benefit</t>
  </si>
  <si>
    <t>DOTE (SVs) or XRD (AVs)</t>
  </si>
  <si>
    <t>Participant's Attained Age for Grow-In</t>
  </si>
  <si>
    <t>Additonal VS from year after DOTE to Year before XRD</t>
  </si>
  <si>
    <t>Additional VS in Year of XRD</t>
  </si>
  <si>
    <t>additional vesting service</t>
  </si>
  <si>
    <t>Vesting Service for Grow-In</t>
  </si>
  <si>
    <t>Additonal CS from year after DOTE to Year before XRD</t>
  </si>
  <si>
    <t>Additional CS in Year of XRD</t>
  </si>
  <si>
    <t>additional credited service</t>
  </si>
  <si>
    <t>Credited Service for Grow-In</t>
  </si>
  <si>
    <t>Early Retirement Eligible at DOTE?</t>
  </si>
  <si>
    <t>Retirement Type</t>
  </si>
  <si>
    <t>EURA for Grow-In</t>
  </si>
  <si>
    <t>Earliest Unreduced Retirement Date for Grow-In</t>
  </si>
  <si>
    <t>Is there a EURA Grow-In?</t>
  </si>
  <si>
    <t>Is there a ERF Grow-In?</t>
  </si>
  <si>
    <t>AMB in NSF before Barnes Offset</t>
  </si>
  <si>
    <t>AMB in NMF before Barnes Offset</t>
  </si>
  <si>
    <t>Beneficiary's Benefit before Barnes Offset</t>
  </si>
  <si>
    <t>P% due to different survivor percentages payable from Theis and Barnes</t>
  </si>
  <si>
    <t>Normalization Factor</t>
  </si>
  <si>
    <t>Normalized XRD_PMB</t>
  </si>
  <si>
    <t>Eligible for ERS at Grow-in?</t>
  </si>
  <si>
    <t>Begin Date of ERS for Grow-In</t>
  </si>
  <si>
    <t>End Date for ERS for Grow-In</t>
  </si>
  <si>
    <t>Eligilble for Medicare with Grow-In?</t>
  </si>
  <si>
    <t>Start Date</t>
  </si>
  <si>
    <t>PVF for the Additional Supp Prior to 62</t>
  </si>
  <si>
    <t>Prob of Participant's Death in Deferral Period</t>
  </si>
  <si>
    <r>
      <t xml:space="preserve">Present Value of QPSA Plan Benefit without Grow-in </t>
    </r>
    <r>
      <rPr>
        <sz val="8"/>
        <color rgb="FF0000FF"/>
        <rFont val="Arial"/>
        <family val="2"/>
      </rPr>
      <t>Before</t>
    </r>
    <r>
      <rPr>
        <sz val="8"/>
        <rFont val="Arial"/>
        <family val="2"/>
      </rPr>
      <t xml:space="preserve"> Loading</t>
    </r>
  </si>
  <si>
    <r>
      <t xml:space="preserve">Present Value of Plan Benefit without Grow-in </t>
    </r>
    <r>
      <rPr>
        <sz val="8"/>
        <color rgb="FF0000FF"/>
        <rFont val="Arial"/>
        <family val="2"/>
      </rPr>
      <t>Before</t>
    </r>
    <r>
      <rPr>
        <sz val="8"/>
        <rFont val="Arial"/>
        <family val="2"/>
      </rPr>
      <t xml:space="preserve"> Loading</t>
    </r>
  </si>
  <si>
    <r>
      <t xml:space="preserve">Present Value of Plan Benefit without Grow-in </t>
    </r>
    <r>
      <rPr>
        <sz val="8"/>
        <color rgb="FFFF0000"/>
        <rFont val="Arial"/>
        <family val="2"/>
      </rPr>
      <t>After</t>
    </r>
    <r>
      <rPr>
        <sz val="8"/>
        <rFont val="Arial"/>
        <family val="2"/>
      </rPr>
      <t xml:space="preserve"> Loading</t>
    </r>
  </si>
  <si>
    <t>MB</t>
  </si>
  <si>
    <t>Med-PP</t>
  </si>
  <si>
    <t>Med-SP</t>
  </si>
  <si>
    <t>Popup</t>
  </si>
  <si>
    <t>Do the Benefits before Grow-in Match the Benefits after Grow-in?</t>
  </si>
  <si>
    <r>
      <t xml:space="preserve">Present Value of QPSA Plan Benefit with Grow-in </t>
    </r>
    <r>
      <rPr>
        <sz val="8"/>
        <color rgb="FF0000FF"/>
        <rFont val="Arial"/>
        <family val="2"/>
      </rPr>
      <t>Before</t>
    </r>
    <r>
      <rPr>
        <sz val="8"/>
        <rFont val="Arial"/>
        <family val="2"/>
      </rPr>
      <t xml:space="preserve"> Survivability and </t>
    </r>
    <r>
      <rPr>
        <sz val="8"/>
        <color rgb="FF0000FF"/>
        <rFont val="Arial"/>
        <family val="2"/>
      </rPr>
      <t>Before</t>
    </r>
    <r>
      <rPr>
        <sz val="8"/>
        <rFont val="Arial"/>
        <family val="2"/>
      </rPr>
      <t xml:space="preserve"> Loading</t>
    </r>
  </si>
  <si>
    <r>
      <t xml:space="preserve">Present Value of Plan Benefit with Grow-in </t>
    </r>
    <r>
      <rPr>
        <sz val="8"/>
        <color rgb="FF0000FF"/>
        <rFont val="Arial"/>
        <family val="2"/>
      </rPr>
      <t>Before</t>
    </r>
    <r>
      <rPr>
        <sz val="8"/>
        <rFont val="Arial"/>
        <family val="2"/>
      </rPr>
      <t xml:space="preserve"> Survivability and </t>
    </r>
    <r>
      <rPr>
        <sz val="8"/>
        <color rgb="FF0000FF"/>
        <rFont val="Arial"/>
        <family val="2"/>
      </rPr>
      <t>Before</t>
    </r>
    <r>
      <rPr>
        <sz val="8"/>
        <rFont val="Arial"/>
        <family val="2"/>
      </rPr>
      <t xml:space="preserve"> Loading</t>
    </r>
  </si>
  <si>
    <r>
      <t xml:space="preserve">Present Value of Plan Benefit with Grow-in </t>
    </r>
    <r>
      <rPr>
        <sz val="8"/>
        <color rgb="FF0000FF"/>
        <rFont val="Arial"/>
        <family val="2"/>
      </rPr>
      <t>Before</t>
    </r>
    <r>
      <rPr>
        <sz val="8"/>
        <rFont val="Arial"/>
        <family val="2"/>
      </rPr>
      <t xml:space="preserve"> Survivability and </t>
    </r>
    <r>
      <rPr>
        <sz val="8"/>
        <color rgb="FFFF0000"/>
        <rFont val="Arial"/>
        <family val="2"/>
      </rPr>
      <t>After</t>
    </r>
    <r>
      <rPr>
        <sz val="8"/>
        <rFont val="Arial"/>
        <family val="2"/>
      </rPr>
      <t xml:space="preserve"> Loading</t>
    </r>
  </si>
  <si>
    <t>Does PV w/o Grow-in Match PVF w/ Grow-in?</t>
  </si>
  <si>
    <t>Probability of Survival</t>
  </si>
  <si>
    <r>
      <t xml:space="preserve">Present Value of QPSA Grow-in Benefit </t>
    </r>
    <r>
      <rPr>
        <sz val="8"/>
        <color rgb="FF0000FF"/>
        <rFont val="Arial"/>
        <family val="2"/>
      </rPr>
      <t>Before</t>
    </r>
    <r>
      <rPr>
        <sz val="8"/>
        <rFont val="Arial"/>
        <family val="2"/>
      </rPr>
      <t xml:space="preserve"> Loading</t>
    </r>
  </si>
  <si>
    <r>
      <t xml:space="preserve">Present Value of Grow-in Benefit </t>
    </r>
    <r>
      <rPr>
        <sz val="8"/>
        <color rgb="FF0000FF"/>
        <rFont val="Arial"/>
        <family val="2"/>
      </rPr>
      <t>Before</t>
    </r>
    <r>
      <rPr>
        <sz val="8"/>
        <rFont val="Arial"/>
        <family val="2"/>
      </rPr>
      <t xml:space="preserve"> Loading</t>
    </r>
  </si>
  <si>
    <r>
      <t xml:space="preserve">Present Value of Grow-in Benefit </t>
    </r>
    <r>
      <rPr>
        <sz val="8"/>
        <color rgb="FFFF0000"/>
        <rFont val="Arial"/>
        <family val="2"/>
      </rPr>
      <t>After</t>
    </r>
    <r>
      <rPr>
        <sz val="8"/>
        <rFont val="Arial"/>
        <family val="2"/>
      </rPr>
      <t xml:space="preserve"> Loading</t>
    </r>
  </si>
  <si>
    <t xml:space="preserve"> Level Monthly Beneft before Barnes Offset</t>
  </si>
  <si>
    <t>PC3 AMB after Theis PRSA Charge</t>
  </si>
  <si>
    <t>ML at FMCWNF Earlier of DOTE and DOPT-3</t>
  </si>
  <si>
    <t>LRF from NRD to FMCWNF Earlier of DOTE and DOPT-3</t>
  </si>
  <si>
    <t>Level MB before Barnes Offset in NSF</t>
  </si>
  <si>
    <t>Level MB before Barnes Offset in NMF</t>
  </si>
  <si>
    <t>Monthly Benefit in NSF after Barnes Offset (before Limiting to XRD benefit)</t>
  </si>
  <si>
    <t>Eligible for Medicare Supplement</t>
  </si>
  <si>
    <t>Is PC3 Benefit &gt; DOPT Benefit</t>
  </si>
  <si>
    <t>XRD Supp</t>
  </si>
  <si>
    <t>PC3 Supp</t>
  </si>
  <si>
    <t>XRD Med</t>
  </si>
  <si>
    <t>PC3 Med</t>
  </si>
  <si>
    <t>Is PC3 &gt; DOPT Benefit and are DOPT and PC3 Shape the Same?</t>
  </si>
  <si>
    <t>Normalized PC3 MB</t>
  </si>
  <si>
    <t>Is the PC3 Benefit greater than the Guar Benefit?</t>
  </si>
  <si>
    <r>
      <t xml:space="preserve">Present Value of QPSA Benefit </t>
    </r>
    <r>
      <rPr>
        <sz val="8"/>
        <color rgb="FF0000FF"/>
        <rFont val="Arial"/>
        <family val="2"/>
      </rPr>
      <t>Before</t>
    </r>
    <r>
      <rPr>
        <sz val="8"/>
        <rFont val="Arial"/>
        <family val="2"/>
      </rPr>
      <t xml:space="preserve"> Loading</t>
    </r>
  </si>
  <si>
    <t>Expense Load</t>
  </si>
  <si>
    <r>
      <t xml:space="preserve">Total Present Value </t>
    </r>
    <r>
      <rPr>
        <sz val="8"/>
        <color rgb="FFFF0000"/>
        <rFont val="Arial"/>
        <family val="2"/>
      </rPr>
      <t>After</t>
    </r>
    <r>
      <rPr>
        <sz val="8"/>
        <rFont val="Arial"/>
        <family val="2"/>
      </rPr>
      <t xml:space="preserve"> Loading</t>
    </r>
  </si>
  <si>
    <r>
      <t xml:space="preserve">Present Value of Net PC4 Benefits </t>
    </r>
    <r>
      <rPr>
        <sz val="8"/>
        <color rgb="FFFF0000"/>
        <rFont val="Arial"/>
        <family val="2"/>
      </rPr>
      <t>After</t>
    </r>
    <r>
      <rPr>
        <sz val="8"/>
        <rFont val="Arial"/>
        <family val="2"/>
      </rPr>
      <t xml:space="preserve"> Loading</t>
    </r>
  </si>
  <si>
    <t>PC3 Asset Allocation Ratio</t>
  </si>
  <si>
    <t>Assets Allocated to PC3</t>
  </si>
  <si>
    <t>Basis for Title IV Basic Benefit</t>
  </si>
  <si>
    <t>4044 PC3 Funding Percentage</t>
  </si>
  <si>
    <t>Monthly Benefit as a J&amp;P P% Annuity</t>
  </si>
  <si>
    <r>
      <t xml:space="preserve">Present Value of </t>
    </r>
    <r>
      <rPr>
        <sz val="8"/>
        <color rgb="FF0000FF"/>
        <rFont val="Arial"/>
        <family val="2"/>
      </rPr>
      <t>Basic</t>
    </r>
    <r>
      <rPr>
        <sz val="8"/>
        <rFont val="Arial"/>
        <family val="2"/>
      </rPr>
      <t xml:space="preserve"> Benefits </t>
    </r>
    <r>
      <rPr>
        <sz val="8"/>
        <color rgb="FF0000FF"/>
        <rFont val="Arial"/>
        <family val="2"/>
      </rPr>
      <t>Before</t>
    </r>
    <r>
      <rPr>
        <sz val="8"/>
        <rFont val="Arial"/>
        <family val="2"/>
      </rPr>
      <t xml:space="preserve"> Loading</t>
    </r>
  </si>
  <si>
    <r>
      <t xml:space="preserve">Present Value of </t>
    </r>
    <r>
      <rPr>
        <sz val="8"/>
        <color rgb="FF0000FF"/>
        <rFont val="Arial"/>
        <family val="2"/>
      </rPr>
      <t>Basic</t>
    </r>
    <r>
      <rPr>
        <sz val="8"/>
        <rFont val="Arial"/>
        <family val="2"/>
      </rPr>
      <t xml:space="preserve"> Benefits </t>
    </r>
    <r>
      <rPr>
        <sz val="8"/>
        <color rgb="FFFF0000"/>
        <rFont val="Arial"/>
        <family val="2"/>
      </rPr>
      <t>After</t>
    </r>
    <r>
      <rPr>
        <sz val="8"/>
        <rFont val="Arial"/>
        <family val="2"/>
      </rPr>
      <t xml:space="preserve"> Loading</t>
    </r>
  </si>
  <si>
    <r>
      <t xml:space="preserve">Present Value of </t>
    </r>
    <r>
      <rPr>
        <sz val="8"/>
        <color rgb="FFFF0000"/>
        <rFont val="Arial"/>
        <family val="2"/>
      </rPr>
      <t>Non-Basic</t>
    </r>
    <r>
      <rPr>
        <sz val="8"/>
        <rFont val="Arial"/>
        <family val="2"/>
      </rPr>
      <t xml:space="preserve"> Benefits </t>
    </r>
    <r>
      <rPr>
        <sz val="8"/>
        <color rgb="FF0000FF"/>
        <rFont val="Arial"/>
        <family val="2"/>
      </rPr>
      <t>Before</t>
    </r>
    <r>
      <rPr>
        <sz val="8"/>
        <rFont val="Arial"/>
        <family val="2"/>
      </rPr>
      <t xml:space="preserve"> Loading</t>
    </r>
  </si>
  <si>
    <r>
      <t xml:space="preserve">Present Value of </t>
    </r>
    <r>
      <rPr>
        <sz val="8"/>
        <color rgb="FFFF0000"/>
        <rFont val="Arial"/>
        <family val="2"/>
      </rPr>
      <t>Non-Basic</t>
    </r>
    <r>
      <rPr>
        <sz val="8"/>
        <rFont val="Arial"/>
        <family val="2"/>
      </rPr>
      <t xml:space="preserve"> Benefits </t>
    </r>
    <r>
      <rPr>
        <sz val="8"/>
        <color rgb="FFFF0000"/>
        <rFont val="Arial"/>
        <family val="2"/>
      </rPr>
      <t>After</t>
    </r>
    <r>
      <rPr>
        <sz val="8"/>
        <rFont val="Arial"/>
        <family val="2"/>
      </rPr>
      <t xml:space="preserve"> Loading</t>
    </r>
  </si>
  <si>
    <r>
      <t xml:space="preserve">Present Value of </t>
    </r>
    <r>
      <rPr>
        <sz val="8"/>
        <color rgb="FF0000FF"/>
        <rFont val="Arial"/>
        <family val="2"/>
      </rPr>
      <t>Basic</t>
    </r>
    <r>
      <rPr>
        <sz val="8"/>
        <rFont val="Arial"/>
        <family val="2"/>
      </rPr>
      <t xml:space="preserve"> UNGB PC3 Benefits </t>
    </r>
    <r>
      <rPr>
        <sz val="8"/>
        <color rgb="FFFF0000"/>
        <rFont val="Arial"/>
        <family val="2"/>
      </rPr>
      <t>After</t>
    </r>
    <r>
      <rPr>
        <sz val="8"/>
        <rFont val="Arial"/>
        <family val="2"/>
      </rPr>
      <t xml:space="preserve"> Loading</t>
    </r>
  </si>
  <si>
    <r>
      <t xml:space="preserve">Present Value of </t>
    </r>
    <r>
      <rPr>
        <sz val="8"/>
        <color rgb="FFFF0000"/>
        <rFont val="Arial"/>
        <family val="2"/>
      </rPr>
      <t>Non-Basic</t>
    </r>
    <r>
      <rPr>
        <sz val="8"/>
        <rFont val="Arial"/>
        <family val="2"/>
      </rPr>
      <t xml:space="preserve"> UNGB PC3 Benefits </t>
    </r>
    <r>
      <rPr>
        <sz val="8"/>
        <color rgb="FFFF0000"/>
        <rFont val="Arial"/>
        <family val="2"/>
      </rPr>
      <t>After</t>
    </r>
    <r>
      <rPr>
        <sz val="8"/>
        <rFont val="Arial"/>
        <family val="2"/>
      </rPr>
      <t xml:space="preserve"> Loading</t>
    </r>
  </si>
  <si>
    <r>
      <t xml:space="preserve">Present Value of UNGB PC3 Benefits </t>
    </r>
    <r>
      <rPr>
        <sz val="8"/>
        <color rgb="FFFF0000"/>
        <rFont val="Arial"/>
        <family val="2"/>
      </rPr>
      <t>After</t>
    </r>
    <r>
      <rPr>
        <sz val="8"/>
        <rFont val="Arial"/>
        <family val="2"/>
      </rPr>
      <t xml:space="preserve"> Loading</t>
    </r>
  </si>
  <si>
    <t>4022(c) Asset Allocation Ratio for PC3</t>
  </si>
  <si>
    <t>4022(c) Amount Allocated to PC3</t>
  </si>
  <si>
    <r>
      <t xml:space="preserve">4022(c) Amount Allocated to PC3 </t>
    </r>
    <r>
      <rPr>
        <sz val="8"/>
        <color rgb="FF0000FF"/>
        <rFont val="Arial"/>
        <family val="2"/>
      </rPr>
      <t>Basic</t>
    </r>
    <r>
      <rPr>
        <sz val="8"/>
        <rFont val="Arial"/>
        <family val="2"/>
      </rPr>
      <t xml:space="preserve"> Unfunded Non-Guaranteed Benefits</t>
    </r>
  </si>
  <si>
    <r>
      <t xml:space="preserve">4022(c) Amount Allocated to PC3 </t>
    </r>
    <r>
      <rPr>
        <sz val="8"/>
        <color rgb="FFFF0000"/>
        <rFont val="Arial"/>
        <family val="2"/>
      </rPr>
      <t>Non-Basic</t>
    </r>
    <r>
      <rPr>
        <sz val="8"/>
        <rFont val="Arial"/>
        <family val="2"/>
      </rPr>
      <t xml:space="preserve"> Unfunded Non-Guaranteed Benefits</t>
    </r>
  </si>
  <si>
    <r>
      <t xml:space="preserve">4022(c) Asset Allocation Ratio for PC3 </t>
    </r>
    <r>
      <rPr>
        <sz val="8"/>
        <color rgb="FF0000FF"/>
        <rFont val="Arial"/>
        <family val="2"/>
      </rPr>
      <t>Basic</t>
    </r>
  </si>
  <si>
    <r>
      <t xml:space="preserve">4022(c) Asset Allocation Ratio for PC3 </t>
    </r>
    <r>
      <rPr>
        <sz val="8"/>
        <color rgb="FFFF0000"/>
        <rFont val="Arial"/>
        <family val="2"/>
      </rPr>
      <t>Non-Basic</t>
    </r>
  </si>
  <si>
    <t>PV of Total PC5 Benefits Before Loading</t>
  </si>
  <si>
    <t>PV of Total PC5 Benefits After Loading</t>
  </si>
  <si>
    <t>Plan PC5 Asset Allocation Ratio</t>
  </si>
  <si>
    <t>Plan PC5 4022(c) Allocation Ratio</t>
  </si>
  <si>
    <r>
      <t xml:space="preserve">4022(c) </t>
    </r>
    <r>
      <rPr>
        <sz val="8"/>
        <color rgb="FF0000FF"/>
        <rFont val="Arial"/>
        <family val="2"/>
      </rPr>
      <t>Basic</t>
    </r>
    <r>
      <rPr>
        <sz val="8"/>
        <rFont val="Arial"/>
        <family val="2"/>
      </rPr>
      <t xml:space="preserve"> Supplement</t>
    </r>
  </si>
  <si>
    <r>
      <t xml:space="preserve">4022(c) </t>
    </r>
    <r>
      <rPr>
        <sz val="8"/>
        <color rgb="FFFF0000"/>
        <rFont val="Arial"/>
        <family val="2"/>
      </rPr>
      <t>Non-Basic</t>
    </r>
    <r>
      <rPr>
        <sz val="8"/>
        <rFont val="Arial"/>
        <family val="2"/>
      </rPr>
      <t xml:space="preserve"> Supplement</t>
    </r>
  </si>
  <si>
    <t>Termination Level Benefit from QDRO Row</t>
  </si>
  <si>
    <t>Beneficiary's MB before Barnes Offset</t>
  </si>
  <si>
    <t>Beneficiaries Barnes MB</t>
  </si>
  <si>
    <t>Beneficiary's MB after Barnes Offset</t>
  </si>
  <si>
    <t>Check of Beneficiary's MB</t>
  </si>
  <si>
    <t>Additional Benefit from Pop-Up from QDRO Row</t>
  </si>
  <si>
    <t>Supplement</t>
  </si>
  <si>
    <t>Lump Sum Termination MB</t>
  </si>
  <si>
    <t>Lump Sum Termination MB from QDRO Row</t>
  </si>
  <si>
    <t>Additional MB due to Popup</t>
  </si>
  <si>
    <t>Additional MB due to Popup (from QDRO Row)</t>
  </si>
  <si>
    <t>Survivor Benefit In Elected PBGC Form of Annuity</t>
  </si>
  <si>
    <t>Benefit after Pop up</t>
  </si>
  <si>
    <t>Actual In-Pay Benefit with Medicare Supplement</t>
  </si>
  <si>
    <t>Survivor's PBGC Monthly Benefit at SBCD</t>
  </si>
  <si>
    <t>Reason for difference</t>
  </si>
  <si>
    <t>Is PP Past their RBD?</t>
  </si>
  <si>
    <t>Date(s) to be shown on Benefit Statement (EBSD / EURD / RRD / NRD / RBD / ARD)</t>
  </si>
  <si>
    <t>Basic</t>
  </si>
  <si>
    <t>Non-Basic</t>
  </si>
  <si>
    <t>Total</t>
  </si>
  <si>
    <t>Not Applicable</t>
  </si>
  <si>
    <t>assumption - 1 day worked in a month = 190 hours</t>
  </si>
  <si>
    <t>I004</t>
  </si>
  <si>
    <t>N349</t>
  </si>
  <si>
    <t>N350</t>
  </si>
  <si>
    <t>N351</t>
  </si>
  <si>
    <t>I007</t>
  </si>
  <si>
    <t>N044</t>
  </si>
  <si>
    <t>N106</t>
  </si>
  <si>
    <t>N119</t>
  </si>
  <si>
    <t>D030</t>
  </si>
  <si>
    <t>D025</t>
  </si>
  <si>
    <t>N287</t>
  </si>
  <si>
    <t>N291</t>
  </si>
  <si>
    <t>N292</t>
  </si>
  <si>
    <t>D026</t>
  </si>
  <si>
    <t>N398</t>
  </si>
  <si>
    <t>N403</t>
  </si>
  <si>
    <t>N408</t>
  </si>
  <si>
    <t>N261</t>
  </si>
  <si>
    <t>N262</t>
  </si>
  <si>
    <t>N353</t>
  </si>
  <si>
    <t>D040</t>
  </si>
  <si>
    <t>N104</t>
  </si>
  <si>
    <t>N117</t>
  </si>
  <si>
    <t>N415</t>
  </si>
  <si>
    <t>N416</t>
  </si>
  <si>
    <t>T045</t>
  </si>
  <si>
    <t>N143</t>
  </si>
  <si>
    <t>D007</t>
  </si>
  <si>
    <t>N145</t>
  </si>
  <si>
    <t>N146</t>
  </si>
  <si>
    <t>N147</t>
  </si>
  <si>
    <t>N148</t>
  </si>
  <si>
    <t>N149</t>
  </si>
  <si>
    <t>N413</t>
  </si>
  <si>
    <t>N150</t>
  </si>
  <si>
    <t>N414</t>
  </si>
  <si>
    <t>N164</t>
  </si>
  <si>
    <t>N166</t>
  </si>
  <si>
    <t>N255</t>
  </si>
  <si>
    <t>N263</t>
  </si>
  <si>
    <t>N264</t>
  </si>
  <si>
    <t>N259</t>
  </si>
  <si>
    <t>N260</t>
  </si>
  <si>
    <t>T026</t>
  </si>
  <si>
    <t>D021</t>
  </si>
  <si>
    <t>D022</t>
  </si>
  <si>
    <t>N370</t>
  </si>
  <si>
    <t>T014</t>
  </si>
  <si>
    <t>N151</t>
  </si>
  <si>
    <t>D008</t>
  </si>
  <si>
    <t>D009</t>
  </si>
  <si>
    <t>N256</t>
  </si>
  <si>
    <t>D023</t>
  </si>
  <si>
    <t>D041</t>
  </si>
  <si>
    <t>N371</t>
  </si>
  <si>
    <t>N356</t>
  </si>
  <si>
    <t>N357</t>
  </si>
  <si>
    <t>N358</t>
  </si>
  <si>
    <t>N359</t>
  </si>
  <si>
    <t>N360</t>
  </si>
  <si>
    <t>N361</t>
  </si>
  <si>
    <t>N362</t>
  </si>
  <si>
    <t>T046</t>
  </si>
  <si>
    <t>N363</t>
  </si>
  <si>
    <t>N364</t>
  </si>
  <si>
    <t>N365</t>
  </si>
  <si>
    <t>N366</t>
  </si>
  <si>
    <t>N367</t>
  </si>
  <si>
    <t>N368</t>
  </si>
  <si>
    <t>N369</t>
  </si>
  <si>
    <t>N306</t>
  </si>
  <si>
    <t>N278</t>
  </si>
  <si>
    <t>N276</t>
  </si>
  <si>
    <t>N277</t>
  </si>
  <si>
    <t>N324</t>
  </si>
  <si>
    <t>N372</t>
  </si>
  <si>
    <t>T047</t>
  </si>
  <si>
    <t>T048</t>
  </si>
  <si>
    <t>T050</t>
  </si>
  <si>
    <t>T051</t>
  </si>
  <si>
    <t>N373</t>
  </si>
  <si>
    <t>PC3_QPSA_PVMB</t>
  </si>
  <si>
    <t>PC3_NBAS_ANNUITY_PVMB</t>
  </si>
  <si>
    <t>PC3_NBAS_LOAD_PVMB</t>
  </si>
  <si>
    <t>PC3_NBAS_4044_AR</t>
  </si>
  <si>
    <t>N456</t>
  </si>
  <si>
    <t>N457</t>
  </si>
  <si>
    <t>N458</t>
  </si>
  <si>
    <t>N459</t>
  </si>
  <si>
    <t>N460</t>
  </si>
  <si>
    <t>PC3_BAS_4022C_AR</t>
  </si>
  <si>
    <t>PC3_NBAS_4022C_AR</t>
  </si>
  <si>
    <t>PC5_SUPP1_MB</t>
  </si>
  <si>
    <t>N461</t>
  </si>
  <si>
    <t>N462</t>
  </si>
  <si>
    <t>PC6_ANNUITY_PVMB</t>
  </si>
  <si>
    <t>N468</t>
  </si>
  <si>
    <t>N467</t>
  </si>
  <si>
    <t>N469</t>
  </si>
  <si>
    <t>N465</t>
  </si>
  <si>
    <t>N470</t>
  </si>
  <si>
    <t>N473</t>
  </si>
  <si>
    <t>N479</t>
  </si>
  <si>
    <t>N480</t>
  </si>
  <si>
    <t>T029</t>
  </si>
  <si>
    <t>QDRO I/O/B</t>
  </si>
  <si>
    <t>QDRO Field Name</t>
  </si>
  <si>
    <t>N472</t>
  </si>
  <si>
    <t>N417</t>
  </si>
  <si>
    <t>N419</t>
  </si>
  <si>
    <t>N420</t>
  </si>
  <si>
    <t>N421</t>
  </si>
  <si>
    <t>N422</t>
  </si>
  <si>
    <t>N423</t>
  </si>
  <si>
    <t>N424</t>
  </si>
  <si>
    <t>N425</t>
  </si>
  <si>
    <t>N426</t>
  </si>
  <si>
    <t>N427</t>
  </si>
  <si>
    <t>N428</t>
  </si>
  <si>
    <t>N429</t>
  </si>
  <si>
    <t>N430</t>
  </si>
  <si>
    <t>N431</t>
  </si>
  <si>
    <t>N432</t>
  </si>
  <si>
    <t>N433</t>
  </si>
  <si>
    <t>N434</t>
  </si>
  <si>
    <t>N435</t>
  </si>
  <si>
    <t>N436</t>
  </si>
  <si>
    <t>N437</t>
  </si>
  <si>
    <t>N438</t>
  </si>
  <si>
    <t>N439</t>
  </si>
  <si>
    <t>N440</t>
  </si>
  <si>
    <t>N441</t>
  </si>
  <si>
    <t>N442</t>
  </si>
  <si>
    <t>N443</t>
  </si>
  <si>
    <t>N444</t>
  </si>
  <si>
    <t>N445</t>
  </si>
  <si>
    <t>N446</t>
  </si>
  <si>
    <t>N447</t>
  </si>
  <si>
    <t>N448</t>
  </si>
  <si>
    <t>N449</t>
  </si>
  <si>
    <t>N450</t>
  </si>
  <si>
    <t>N451</t>
  </si>
  <si>
    <t>N452</t>
  </si>
  <si>
    <t>N453</t>
  </si>
  <si>
    <t>N454</t>
  </si>
  <si>
    <t>N455</t>
  </si>
  <si>
    <t>N463</t>
  </si>
  <si>
    <t>N464</t>
  </si>
  <si>
    <t>N466</t>
  </si>
  <si>
    <t>N476</t>
  </si>
  <si>
    <t>N477</t>
  </si>
  <si>
    <t>N478</t>
  </si>
  <si>
    <t>N399</t>
  </si>
  <si>
    <t>N404</t>
  </si>
  <si>
    <t>N409</t>
  </si>
  <si>
    <t>T034</t>
  </si>
  <si>
    <t>N481</t>
  </si>
  <si>
    <t>D032</t>
  </si>
  <si>
    <t>D033</t>
  </si>
  <si>
    <t>N307</t>
  </si>
  <si>
    <t>N321</t>
  </si>
  <si>
    <t>NRD_MB_4022C_NSF</t>
  </si>
  <si>
    <t>T052</t>
  </si>
  <si>
    <t>T058</t>
  </si>
  <si>
    <t>T064</t>
  </si>
  <si>
    <t>T070</t>
  </si>
  <si>
    <t>N400</t>
  </si>
  <si>
    <t>N405</t>
  </si>
  <si>
    <t>N410</t>
  </si>
  <si>
    <t>T077</t>
  </si>
  <si>
    <t>T081</t>
  </si>
  <si>
    <t>N482</t>
  </si>
  <si>
    <t>N308</t>
  </si>
  <si>
    <t>N322</t>
  </si>
  <si>
    <t>T053</t>
  </si>
  <si>
    <t>T059</t>
  </si>
  <si>
    <t>T065</t>
  </si>
  <si>
    <t>T071</t>
  </si>
  <si>
    <t>N401</t>
  </si>
  <si>
    <t>N406</t>
  </si>
  <si>
    <t>N411</t>
  </si>
  <si>
    <t>T078</t>
  </si>
  <si>
    <t>T082</t>
  </si>
  <si>
    <t>N309</t>
  </si>
  <si>
    <t>T054</t>
  </si>
  <si>
    <t>T060</t>
  </si>
  <si>
    <t>T066</t>
  </si>
  <si>
    <t>T072</t>
  </si>
  <si>
    <t>RBD_SURV_MB_TERM</t>
  </si>
  <si>
    <t>PC54022CAR</t>
  </si>
  <si>
    <t>Present Value of Plan Benefit Liabilities for Participant's Eligible for PC3.</t>
  </si>
  <si>
    <t>Groups
QDRO1 = Famiglietti</t>
  </si>
  <si>
    <t>N288</t>
  </si>
  <si>
    <t>N299</t>
  </si>
  <si>
    <t>N302</t>
  </si>
  <si>
    <t>N304</t>
  </si>
  <si>
    <t>N485</t>
  </si>
  <si>
    <t>N486</t>
  </si>
  <si>
    <t>RETRO_MB_TITLE_IV</t>
  </si>
  <si>
    <t>RETRO_MB_TERM</t>
  </si>
  <si>
    <t>T055</t>
  </si>
  <si>
    <t>T061</t>
  </si>
  <si>
    <t>T067</t>
  </si>
  <si>
    <t>T073</t>
  </si>
  <si>
    <t>Total UNGBs</t>
  </si>
  <si>
    <t>2010 Hours from PPA</t>
  </si>
  <si>
    <t>Total CS for AMB</t>
  </si>
  <si>
    <t>Retired after POST_DOPT_DOTE and NRD</t>
  </si>
  <si>
    <t>Participant's Age used in PVF Calculations</t>
  </si>
  <si>
    <t>Beneficiary's Age used in PVF Calculations</t>
  </si>
  <si>
    <t>CS Used to Determine AMB</t>
  </si>
  <si>
    <t>Additional CS from DOBF to 12/31/10</t>
  </si>
  <si>
    <t>CS Used to Determine Eligibility for Early Retirement Supplement and EURA</t>
  </si>
  <si>
    <t>Normalized Additional Benefit from Pop-Up</t>
  </si>
  <si>
    <t>Spouse's Normalized MB</t>
  </si>
  <si>
    <t>PC5 Level Benefit</t>
  </si>
  <si>
    <t>PV of Basic PC5 Benefits Before Loading</t>
  </si>
  <si>
    <t>PV of Basic PC5 Benefits After Loading</t>
  </si>
  <si>
    <t>PV of Non-Basic PC5 Benefits Before Loading</t>
  </si>
  <si>
    <t>PV of Non-Basic PC5 Benefits After Loading</t>
  </si>
  <si>
    <t>Total PV ofPC5 Benefits Before Loading</t>
  </si>
  <si>
    <t>Total PV ofPC5 Benefits After Loading</t>
  </si>
  <si>
    <t>Present Value of Total UNGBs before Loading</t>
  </si>
  <si>
    <t>Present Value of Total UNGBs after Loading</t>
  </si>
  <si>
    <r>
      <t>Termination Additional Benefit Payable Prior to Participant Age 62</t>
    </r>
    <r>
      <rPr>
        <sz val="8"/>
        <color rgb="FF0070C0"/>
        <rFont val="Arial"/>
        <family val="2"/>
      </rPr>
      <t xml:space="preserve"> (Basic)</t>
    </r>
  </si>
  <si>
    <r>
      <t>Termination Additional Benefit Payable Prior to Participant Age 62</t>
    </r>
    <r>
      <rPr>
        <sz val="8"/>
        <color rgb="FFFF0000"/>
        <rFont val="Arial"/>
        <family val="2"/>
      </rPr>
      <t xml:space="preserve"> (Non-Basic)</t>
    </r>
  </si>
  <si>
    <t>Check of Beneficiary's MB after Barnes Offset</t>
  </si>
  <si>
    <t>Beneficiary's MB in FF</t>
  </si>
  <si>
    <t>Mediare Supplement Start Date</t>
  </si>
  <si>
    <t>Not being used</t>
  </si>
  <si>
    <t>T085</t>
  </si>
  <si>
    <t>N495</t>
  </si>
  <si>
    <t>N487</t>
  </si>
  <si>
    <t>N488</t>
  </si>
  <si>
    <t>N325</t>
  </si>
  <si>
    <t>N489</t>
  </si>
  <si>
    <t>N490</t>
  </si>
  <si>
    <t>N491</t>
  </si>
  <si>
    <t>T084</t>
  </si>
  <si>
    <t>N492</t>
  </si>
  <si>
    <t>N493</t>
  </si>
  <si>
    <t>N494</t>
  </si>
  <si>
    <t>N499</t>
  </si>
  <si>
    <t>N500</t>
  </si>
  <si>
    <t>N284</t>
  </si>
  <si>
    <t>D029</t>
  </si>
  <si>
    <t>RETRO I/O/B</t>
  </si>
  <si>
    <t>RETRO Field Name</t>
  </si>
  <si>
    <t>RETRO_DOR I/O/B</t>
  </si>
  <si>
    <t>RETRO_DOR Field Name</t>
  </si>
  <si>
    <t>N289</t>
  </si>
  <si>
    <t>N290</t>
  </si>
  <si>
    <t>N300</t>
  </si>
  <si>
    <t>N301</t>
  </si>
  <si>
    <t>N303</t>
  </si>
  <si>
    <t>N305</t>
  </si>
  <si>
    <t>N336</t>
  </si>
  <si>
    <t>N337</t>
  </si>
  <si>
    <t>N338</t>
  </si>
  <si>
    <t>N339</t>
  </si>
  <si>
    <t>N340</t>
  </si>
  <si>
    <t>N341</t>
  </si>
  <si>
    <t>N342</t>
  </si>
  <si>
    <t>N343</t>
  </si>
  <si>
    <t>N344</t>
  </si>
  <si>
    <t>N347</t>
  </si>
  <si>
    <t>N348</t>
  </si>
  <si>
    <t>RETRO_SURV_MB_TERM</t>
  </si>
  <si>
    <t>T056</t>
  </si>
  <si>
    <t>T062</t>
  </si>
  <si>
    <t>T068</t>
  </si>
  <si>
    <t>N497</t>
  </si>
  <si>
    <t>N498</t>
  </si>
  <si>
    <t>N496</t>
  </si>
  <si>
    <t>PC34022CAR</t>
  </si>
  <si>
    <t>Is Beneficiary's Benefit in Tolerance?</t>
  </si>
  <si>
    <t>Current Benefit</t>
  </si>
  <si>
    <t>Benefit is changing to</t>
  </si>
  <si>
    <t>Beneficiary's benefit + Medicare--Increase, Decrease, Match?</t>
  </si>
  <si>
    <t>T086</t>
  </si>
  <si>
    <t>T087</t>
  </si>
  <si>
    <t>T088</t>
  </si>
  <si>
    <t>Participant</t>
  </si>
  <si>
    <t>Final Benefit</t>
  </si>
  <si>
    <t>N501</t>
  </si>
  <si>
    <t>Groups
Pre-DOPT Retiree
Pre-DOPT Retiree2--Beneficiary's Benefit is Changing</t>
  </si>
  <si>
    <t>N502</t>
  </si>
  <si>
    <t>N503</t>
  </si>
  <si>
    <t>MAN_STMT_IND</t>
  </si>
  <si>
    <t>Benefit Changing to</t>
  </si>
  <si>
    <t>T089</t>
  </si>
  <si>
    <t>T090</t>
  </si>
  <si>
    <t>N506</t>
  </si>
  <si>
    <t>N507</t>
  </si>
  <si>
    <t>N508</t>
  </si>
  <si>
    <t>N509</t>
  </si>
  <si>
    <t>NR</t>
  </si>
  <si>
    <t>MB after Asset Allocation</t>
  </si>
  <si>
    <t>MB after asset allocation</t>
  </si>
  <si>
    <t>4022c asset allocation</t>
  </si>
  <si>
    <t>Guaranteed Supplement</t>
  </si>
  <si>
    <t>Final PBGC Supplement</t>
  </si>
  <si>
    <t>N510</t>
  </si>
  <si>
    <t>N511</t>
  </si>
  <si>
    <t>N512</t>
  </si>
  <si>
    <t>N504</t>
  </si>
  <si>
    <t>N505</t>
  </si>
  <si>
    <t>Pre-Term Liabilities with Interest</t>
  </si>
  <si>
    <t>Pre-Term Liabilities with Interest (0 Decimals)</t>
  </si>
  <si>
    <t>PBGC MB at ARD for Statements</t>
  </si>
  <si>
    <t>N513</t>
  </si>
  <si>
    <t>attained age at current date</t>
  </si>
  <si>
    <t>Overall Benefit Change</t>
  </si>
  <si>
    <t>Which Estate?</t>
  </si>
  <si>
    <t>Statement is going to</t>
  </si>
  <si>
    <t>T091</t>
  </si>
  <si>
    <t>T092</t>
  </si>
  <si>
    <t>Is today's date after Begin Date of SPs Medicare Benefit</t>
  </si>
  <si>
    <t>T093</t>
  </si>
  <si>
    <t>Today</t>
  </si>
  <si>
    <t>Current MB Including Medicare</t>
  </si>
  <si>
    <t>Termination MB Including Medicare</t>
  </si>
  <si>
    <t>Increase, Match, Decrease</t>
  </si>
  <si>
    <t>Accepted Monthly Benefit in Elected Form (with Medicare Supplement if Elected PBGC Optional Form)</t>
  </si>
  <si>
    <t>Current Pay-Stream</t>
  </si>
  <si>
    <t>N514</t>
  </si>
  <si>
    <t>N515</t>
  </si>
  <si>
    <t>First of the Month after Spouse's 65th Birthday</t>
  </si>
  <si>
    <t>D050</t>
  </si>
  <si>
    <t>T094</t>
  </si>
  <si>
    <t>Show Bene Information?</t>
  </si>
  <si>
    <t>Show Bene Info</t>
  </si>
  <si>
    <t>Show Bene Info?</t>
  </si>
  <si>
    <t>NRD Calc</t>
  </si>
  <si>
    <t>AMB in NSF at NRD before Barnes Offset</t>
  </si>
  <si>
    <t>AMB in NMF at NRD before Barnes Offset</t>
  </si>
  <si>
    <t>Barnes AMB at NRD in NSF</t>
  </si>
  <si>
    <t>Barnes AMB at NRD in NMF</t>
  </si>
  <si>
    <t>Monthly Benefit at NRD in NSF after Barnes Offset</t>
  </si>
  <si>
    <t>Monthly Benefit at NRD in NMF after Barnes Offset</t>
  </si>
  <si>
    <t>Beneficiary's Theis MB at NRD</t>
  </si>
  <si>
    <t>Beneficiary's Barnes MB at NRD</t>
  </si>
  <si>
    <t>Beneficiary's MB at NRD</t>
  </si>
  <si>
    <r>
      <t>Pop-Up Payable before Age 62</t>
    </r>
    <r>
      <rPr>
        <sz val="8"/>
        <color rgb="FF0000FF"/>
        <rFont val="Arial"/>
        <family val="2"/>
      </rPr>
      <t xml:space="preserve"> (Basic)</t>
    </r>
  </si>
  <si>
    <r>
      <t>Pop-Up Payable before Age 62 (</t>
    </r>
    <r>
      <rPr>
        <sz val="8"/>
        <color rgb="FFFF0000"/>
        <rFont val="Arial"/>
        <family val="2"/>
      </rPr>
      <t>Non-Basic</t>
    </r>
    <r>
      <rPr>
        <sz val="8"/>
        <rFont val="Arial"/>
        <family val="2"/>
      </rPr>
      <t>)</t>
    </r>
  </si>
  <si>
    <r>
      <t>Pop-Up Payable after Age 62</t>
    </r>
    <r>
      <rPr>
        <sz val="8"/>
        <color rgb="FF0000FF"/>
        <rFont val="Arial"/>
        <family val="2"/>
      </rPr>
      <t xml:space="preserve"> (Basic)</t>
    </r>
  </si>
  <si>
    <t>Temp SLA to 62 Based on PP</t>
  </si>
  <si>
    <t>Temp JSJ to 62 with no Survivor %</t>
  </si>
  <si>
    <t>PVF for Temp Pop-up to 62</t>
  </si>
  <si>
    <t>POPUP &lt; 62</t>
  </si>
  <si>
    <t>POPUP &gt; 62</t>
  </si>
  <si>
    <t>N004</t>
  </si>
  <si>
    <t>N005</t>
  </si>
  <si>
    <t>N006</t>
  </si>
  <si>
    <t>N017</t>
  </si>
  <si>
    <t>N018</t>
  </si>
  <si>
    <t>N019</t>
  </si>
  <si>
    <t>N020</t>
  </si>
  <si>
    <t>N036</t>
  </si>
  <si>
    <t>N037</t>
  </si>
  <si>
    <t>N046</t>
  </si>
  <si>
    <t>N049</t>
  </si>
  <si>
    <t>N057</t>
  </si>
  <si>
    <t>N065</t>
  </si>
  <si>
    <t>N092</t>
  </si>
  <si>
    <t>N097</t>
  </si>
  <si>
    <t>N098</t>
  </si>
  <si>
    <t>N101</t>
  </si>
  <si>
    <t>N102</t>
  </si>
  <si>
    <t>N107</t>
  </si>
  <si>
    <t>N108</t>
  </si>
  <si>
    <t>N109</t>
  </si>
  <si>
    <t>N116</t>
  </si>
  <si>
    <t>I008</t>
  </si>
  <si>
    <t>I009</t>
  </si>
  <si>
    <t>I010</t>
  </si>
  <si>
    <t>I011</t>
  </si>
  <si>
    <t>I012</t>
  </si>
  <si>
    <t>I013</t>
  </si>
  <si>
    <t>I014</t>
  </si>
  <si>
    <t>I015</t>
  </si>
  <si>
    <t>LASTYEAR</t>
  </si>
  <si>
    <t>SALARYDESC</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</si>
  <si>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</si>
  <si>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</si>
  <si>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</si>
  <si>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</si>
  <si>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</si>
  <si>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</si>
  <si>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</si>
  <si>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</si>
  <si>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</si>
  <si>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</si>
  <si>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</si>
  <si>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</si>
  <si>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</si>
  <si>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</si>
  <si>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</si>
  <si>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</si>
  <si>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</si>
  <si>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</si>
  <si>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</si>
  <si>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</si>
  <si>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</si>
  <si>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</si>
  <si>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</si>
  <si>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</si>
  <si>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</si>
  <si>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</si>
  <si>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</si>
  <si>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</si>
  <si>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</si>
  <si>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</si>
  <si>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</si>
  <si>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</si>
  <si>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</si>
  <si>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</si>
  <si>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</si>
  <si>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</si>
  <si>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</si>
  <si>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</si>
  <si>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</si>
  <si>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</si>
  <si>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</si>
  <si>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</si>
  <si>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</si>
  <si>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</si>
  <si>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</si>
  <si>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</si>
  <si>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</si>
  <si>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N167</t>
  </si>
  <si>
    <t>N168</t>
  </si>
  <si>
    <t>N175</t>
  </si>
  <si>
    <t>N176</t>
  </si>
  <si>
    <t>N177</t>
  </si>
  <si>
    <t>N178</t>
  </si>
  <si>
    <t>N179</t>
  </si>
  <si>
    <t>N180</t>
  </si>
  <si>
    <t>N181</t>
  </si>
  <si>
    <t>N182</t>
  </si>
  <si>
    <t>N183</t>
  </si>
  <si>
    <t>N184</t>
  </si>
  <si>
    <t>N185</t>
  </si>
  <si>
    <t>N186</t>
  </si>
  <si>
    <t>N187</t>
  </si>
  <si>
    <t>N188</t>
  </si>
  <si>
    <t>N189</t>
  </si>
  <si>
    <t>N190</t>
  </si>
  <si>
    <t>N191</t>
  </si>
  <si>
    <t>N192</t>
  </si>
  <si>
    <t>N193</t>
  </si>
  <si>
    <t>N194</t>
  </si>
  <si>
    <t>N195</t>
  </si>
  <si>
    <t>N196</t>
  </si>
  <si>
    <t>N201</t>
  </si>
  <si>
    <t>N202</t>
  </si>
  <si>
    <t>N208</t>
  </si>
  <si>
    <t>N253</t>
  </si>
  <si>
    <t>N254</t>
  </si>
  <si>
    <t>I016</t>
  </si>
  <si>
    <t>I017</t>
  </si>
  <si>
    <t>I018</t>
  </si>
  <si>
    <t>I019</t>
  </si>
  <si>
    <t>I020</t>
  </si>
  <si>
    <t>I021</t>
  </si>
  <si>
    <t>I022</t>
  </si>
  <si>
    <t>I023</t>
  </si>
  <si>
    <t>I024</t>
  </si>
  <si>
    <t>I025</t>
  </si>
  <si>
    <t>I026</t>
  </si>
  <si>
    <t>I027</t>
  </si>
  <si>
    <t>I028</t>
  </si>
  <si>
    <t>I029</t>
  </si>
  <si>
    <t>I030</t>
  </si>
  <si>
    <t>T030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</si>
  <si>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</si>
  <si>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</si>
  <si>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</si>
  <si>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</si>
  <si>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</si>
  <si>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</si>
  <si>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</si>
  <si>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</si>
  <si>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</si>
  <si>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</si>
  <si>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</si>
  <si>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</si>
  <si>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</si>
  <si>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</si>
  <si>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</si>
  <si>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</si>
  <si>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</si>
  <si>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</si>
  <si>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</si>
  <si>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</si>
  <si>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</si>
  <si>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</si>
  <si>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</si>
  <si>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</si>
  <si>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</si>
  <si>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</si>
  <si>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</si>
  <si>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</si>
  <si>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</si>
  <si>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</si>
  <si>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</si>
  <si>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</si>
  <si>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</si>
  <si>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</si>
  <si>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</si>
  <si>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</si>
  <si>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</si>
  <si>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</si>
  <si>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</si>
  <si>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</si>
  <si>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</si>
  <si>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</si>
  <si>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</si>
  <si>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</si>
  <si>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</si>
  <si>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</si>
  <si>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</si>
  <si>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</si>
  <si>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</si>
  <si>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</si>
  <si>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N265</t>
  </si>
  <si>
    <t>N266</t>
  </si>
  <si>
    <t>N270</t>
  </si>
  <si>
    <t>N271</t>
  </si>
  <si>
    <t>N272</t>
  </si>
  <si>
    <t>N273</t>
  </si>
  <si>
    <t>N312</t>
  </si>
  <si>
    <t>N313</t>
  </si>
  <si>
    <t>N314</t>
  </si>
  <si>
    <t>N316</t>
  </si>
  <si>
    <t>N318</t>
  </si>
  <si>
    <t>N319</t>
  </si>
  <si>
    <t>N320</t>
  </si>
  <si>
    <t>N326</t>
  </si>
  <si>
    <t>N327</t>
  </si>
  <si>
    <t>N328</t>
  </si>
  <si>
    <t>N329</t>
  </si>
  <si>
    <t>N330</t>
  </si>
  <si>
    <t>N332</t>
  </si>
  <si>
    <t>N333</t>
  </si>
  <si>
    <t>N334</t>
  </si>
  <si>
    <t>I031</t>
  </si>
  <si>
    <t>I032</t>
  </si>
  <si>
    <t>I033</t>
  </si>
  <si>
    <t>I034</t>
  </si>
  <si>
    <t>I035</t>
  </si>
  <si>
    <t>I036</t>
  </si>
  <si>
    <t>I037</t>
  </si>
  <si>
    <t>I038</t>
  </si>
  <si>
    <t>I039</t>
  </si>
  <si>
    <t>I040</t>
  </si>
  <si>
    <t>I041</t>
  </si>
  <si>
    <t>I042</t>
  </si>
  <si>
    <t>I043</t>
  </si>
  <si>
    <t>I044</t>
  </si>
  <si>
    <t>I045</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</si>
  <si>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</si>
  <si>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</si>
  <si>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</si>
  <si>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</si>
  <si>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</si>
  <si>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</si>
  <si>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</si>
  <si>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</si>
  <si>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</si>
  <si>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</si>
  <si>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</si>
  <si>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</si>
  <si>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</si>
  <si>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</si>
  <si>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</si>
  <si>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</si>
  <si>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</si>
  <si>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</si>
  <si>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</si>
  <si>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</si>
  <si>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</si>
  <si>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</si>
  <si>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</si>
  <si>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</si>
  <si>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</si>
  <si>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</si>
  <si>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</si>
  <si>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</si>
  <si>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</si>
  <si>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</si>
  <si>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</si>
  <si>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</si>
  <si>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</si>
  <si>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</si>
  <si>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</si>
  <si>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</si>
  <si>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</si>
  <si>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</si>
  <si>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</si>
  <si>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</si>
  <si>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</si>
  <si>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</si>
  <si>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</si>
  <si>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</si>
  <si>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</si>
  <si>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</si>
  <si>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</si>
  <si>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</si>
  <si>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</si>
  <si>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</si>
  <si>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N516</t>
  </si>
  <si>
    <t>N517</t>
  </si>
  <si>
    <t>N518</t>
  </si>
  <si>
    <t>N519</t>
  </si>
  <si>
    <t>N520</t>
  </si>
  <si>
    <t>I046</t>
  </si>
  <si>
    <t>I047</t>
  </si>
  <si>
    <t>I048</t>
  </si>
  <si>
    <t>I049</t>
  </si>
  <si>
    <t>I050</t>
  </si>
  <si>
    <t>I051</t>
  </si>
  <si>
    <t>I052</t>
  </si>
  <si>
    <t>I053</t>
  </si>
  <si>
    <t>I054</t>
  </si>
  <si>
    <t>I055</t>
  </si>
  <si>
    <t>I056</t>
  </si>
  <si>
    <t>I057</t>
  </si>
  <si>
    <t>I058</t>
  </si>
  <si>
    <t>I059</t>
  </si>
  <si>
    <t>I060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</si>
  <si>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</si>
  <si>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</si>
  <si>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</si>
  <si>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</si>
  <si>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</si>
  <si>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</si>
  <si>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</si>
  <si>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</si>
  <si>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</si>
  <si>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</si>
  <si>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</si>
  <si>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</si>
  <si>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</si>
  <si>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</si>
  <si>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</si>
  <si>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</si>
  <si>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</si>
  <si>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</si>
  <si>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</si>
  <si>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</si>
  <si>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</si>
  <si>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</si>
  <si>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</si>
  <si>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</si>
  <si>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</si>
  <si>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</si>
  <si>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</si>
  <si>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</si>
  <si>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</si>
  <si>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</si>
  <si>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</si>
  <si>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</si>
  <si>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</si>
  <si>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</si>
  <si>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</si>
  <si>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</si>
  <si>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</si>
  <si>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</si>
  <si>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</si>
  <si>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</si>
  <si>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</si>
  <si>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</si>
  <si>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</si>
  <si>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</si>
  <si>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</si>
  <si>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</si>
  <si>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</si>
  <si>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</si>
  <si>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</si>
  <si>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</si>
  <si>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N521</t>
  </si>
  <si>
    <t>N522</t>
  </si>
  <si>
    <t>N523</t>
  </si>
  <si>
    <t>N524</t>
  </si>
  <si>
    <t>N525</t>
  </si>
  <si>
    <t>N526</t>
  </si>
  <si>
    <t>N527</t>
  </si>
  <si>
    <t>N528</t>
  </si>
  <si>
    <t>N529</t>
  </si>
  <si>
    <t>N530</t>
  </si>
  <si>
    <t>N531</t>
  </si>
  <si>
    <t>N532</t>
  </si>
  <si>
    <t>N533</t>
  </si>
  <si>
    <t>N534</t>
  </si>
  <si>
    <t>N535</t>
  </si>
  <si>
    <t>N536</t>
  </si>
  <si>
    <t>N537</t>
  </si>
  <si>
    <t>N538</t>
  </si>
  <si>
    <t>N539</t>
  </si>
  <si>
    <t>N540</t>
  </si>
  <si>
    <t>N541</t>
  </si>
  <si>
    <t>N542</t>
  </si>
  <si>
    <t>N543</t>
  </si>
  <si>
    <t>N544</t>
  </si>
  <si>
    <t>N545</t>
  </si>
  <si>
    <t>N546</t>
  </si>
  <si>
    <t>N547</t>
  </si>
  <si>
    <t>N548</t>
  </si>
  <si>
    <t>N549</t>
  </si>
  <si>
    <t>N550</t>
  </si>
  <si>
    <t>N551</t>
  </si>
  <si>
    <t>N552</t>
  </si>
  <si>
    <t>N553</t>
  </si>
  <si>
    <t>N554</t>
  </si>
  <si>
    <t>N555</t>
  </si>
  <si>
    <t>N556</t>
  </si>
  <si>
    <t>N557</t>
  </si>
  <si>
    <t>N558</t>
  </si>
  <si>
    <t>N559</t>
  </si>
  <si>
    <t>N560</t>
  </si>
  <si>
    <t>N561</t>
  </si>
  <si>
    <t>N562</t>
  </si>
  <si>
    <t>N563</t>
  </si>
  <si>
    <t>N564</t>
  </si>
  <si>
    <t>N565</t>
  </si>
  <si>
    <t>N566</t>
  </si>
  <si>
    <t>N567</t>
  </si>
  <si>
    <t>N568</t>
  </si>
  <si>
    <t>N569</t>
  </si>
  <si>
    <t>N570</t>
  </si>
  <si>
    <t>N571</t>
  </si>
  <si>
    <t>N572</t>
  </si>
  <si>
    <t>N573</t>
  </si>
  <si>
    <t>N574</t>
  </si>
  <si>
    <t>N575</t>
  </si>
  <si>
    <t>N576</t>
  </si>
  <si>
    <t>N577</t>
  </si>
  <si>
    <t>N578</t>
  </si>
  <si>
    <t>N579</t>
  </si>
  <si>
    <t>N580</t>
  </si>
  <si>
    <t>N581</t>
  </si>
  <si>
    <t>N582</t>
  </si>
  <si>
    <t>N583</t>
  </si>
  <si>
    <t>N584</t>
  </si>
  <si>
    <t>N585</t>
  </si>
  <si>
    <t>N586</t>
  </si>
  <si>
    <t>N587</t>
  </si>
  <si>
    <t>N588</t>
  </si>
  <si>
    <t>N589</t>
  </si>
  <si>
    <t>N590</t>
  </si>
  <si>
    <t>N591</t>
  </si>
  <si>
    <t>N592</t>
  </si>
  <si>
    <t>N593</t>
  </si>
  <si>
    <t>N594</t>
  </si>
  <si>
    <t>N595</t>
  </si>
  <si>
    <t>N596</t>
  </si>
  <si>
    <t>N597</t>
  </si>
  <si>
    <t>N598</t>
  </si>
  <si>
    <t>N599</t>
  </si>
  <si>
    <t>N600</t>
  </si>
  <si>
    <t>N601</t>
  </si>
  <si>
    <t>N602</t>
  </si>
  <si>
    <t>N603</t>
  </si>
  <si>
    <t>N604</t>
  </si>
  <si>
    <t>N605</t>
  </si>
  <si>
    <t>N606</t>
  </si>
  <si>
    <t>N607</t>
  </si>
  <si>
    <t>N608</t>
  </si>
  <si>
    <t>N609</t>
  </si>
  <si>
    <t>N610</t>
  </si>
  <si>
    <t>N611</t>
  </si>
  <si>
    <t>N612</t>
  </si>
  <si>
    <t>N613</t>
  </si>
  <si>
    <t>N614</t>
  </si>
  <si>
    <t>N615</t>
  </si>
  <si>
    <t>N616</t>
  </si>
  <si>
    <t>N617</t>
  </si>
  <si>
    <t>N618</t>
  </si>
  <si>
    <t>N619</t>
  </si>
  <si>
    <t>N620</t>
  </si>
  <si>
    <t>N621</t>
  </si>
  <si>
    <t>N622</t>
  </si>
  <si>
    <t>N623</t>
  </si>
  <si>
    <t>N624</t>
  </si>
  <si>
    <t>N625</t>
  </si>
  <si>
    <t>N626</t>
  </si>
  <si>
    <t>N627</t>
  </si>
  <si>
    <t>N628</t>
  </si>
  <si>
    <t>N629</t>
  </si>
  <si>
    <t>N630</t>
  </si>
  <si>
    <t>N631</t>
  </si>
  <si>
    <t>N632</t>
  </si>
  <si>
    <t>N633</t>
  </si>
  <si>
    <t>N634</t>
  </si>
  <si>
    <t>N635</t>
  </si>
  <si>
    <t>N636</t>
  </si>
  <si>
    <t>N637</t>
  </si>
  <si>
    <t>N638</t>
  </si>
  <si>
    <t>N639</t>
  </si>
  <si>
    <t>N640</t>
  </si>
  <si>
    <t>N641</t>
  </si>
  <si>
    <t>N642</t>
  </si>
  <si>
    <t>N643</t>
  </si>
  <si>
    <t>N644</t>
  </si>
  <si>
    <t>N645</t>
  </si>
  <si>
    <t>N646</t>
  </si>
  <si>
    <t>N647</t>
  </si>
  <si>
    <t>N648</t>
  </si>
  <si>
    <t>N649</t>
  </si>
  <si>
    <t>N650</t>
  </si>
  <si>
    <t>I061</t>
  </si>
  <si>
    <t>I062</t>
  </si>
  <si>
    <t>I063</t>
  </si>
  <si>
    <t>I064</t>
  </si>
  <si>
    <t>I065</t>
  </si>
  <si>
    <t>I066</t>
  </si>
  <si>
    <t>I067</t>
  </si>
  <si>
    <t>I068</t>
  </si>
  <si>
    <t>I069</t>
  </si>
  <si>
    <t>I070</t>
  </si>
  <si>
    <t>I071</t>
  </si>
  <si>
    <t>I072</t>
  </si>
  <si>
    <t>I073</t>
  </si>
  <si>
    <t>I074</t>
  </si>
  <si>
    <t>I075</t>
  </si>
  <si>
    <t>T095</t>
  </si>
  <si>
    <t>T096</t>
  </si>
  <si>
    <t>T097</t>
  </si>
  <si>
    <t>T098</t>
  </si>
  <si>
    <t>T099</t>
  </si>
  <si>
    <t>T100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</si>
  <si>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</si>
  <si>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</si>
  <si>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</si>
  <si>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</si>
  <si>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</si>
  <si>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</si>
  <si>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</si>
  <si>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</si>
  <si>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</si>
  <si>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</si>
  <si>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</si>
  <si>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</si>
  <si>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</si>
  <si>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</si>
  <si>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</si>
  <si>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</si>
  <si>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</si>
  <si>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</si>
  <si>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</si>
  <si>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</si>
  <si>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</si>
  <si>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</si>
  <si>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</si>
  <si>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</si>
  <si>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</si>
  <si>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</si>
  <si>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</si>
  <si>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</si>
  <si>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</si>
  <si>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</si>
  <si>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</si>
  <si>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</si>
  <si>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</si>
  <si>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</si>
  <si>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</si>
  <si>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</si>
  <si>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</si>
  <si>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</si>
  <si>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</si>
  <si>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</si>
  <si>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</si>
  <si>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</si>
  <si>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</si>
  <si>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</si>
  <si>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</si>
  <si>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</si>
  <si>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</si>
  <si>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</si>
  <si>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</si>
  <si>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</si>
  <si>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MNAME</t>
  </si>
  <si>
    <t>SMNAME</t>
  </si>
  <si>
    <t>SENAME</t>
  </si>
  <si>
    <t>RELATION</t>
  </si>
  <si>
    <t>SHS</t>
  </si>
  <si>
    <t>SOWN</t>
  </si>
  <si>
    <t>SOMOS</t>
  </si>
  <si>
    <t>SAAXRD</t>
  </si>
  <si>
    <t>MANDC</t>
  </si>
  <si>
    <t>MANDCWI</t>
  </si>
  <si>
    <t>PSAL</t>
  </si>
  <si>
    <t>IACT</t>
  </si>
  <si>
    <t>IOASDI</t>
  </si>
  <si>
    <t>VRAYRS</t>
  </si>
  <si>
    <t>VRAMOS</t>
  </si>
  <si>
    <t>VRAORAA</t>
  </si>
  <si>
    <t>PIASSNRA</t>
  </si>
  <si>
    <t>PIA</t>
  </si>
  <si>
    <t>TSERV</t>
  </si>
  <si>
    <t>YOP</t>
  </si>
  <si>
    <t>PVF_LEV</t>
  </si>
  <si>
    <t>PVPBC</t>
  </si>
  <si>
    <t>PVPBL_LS_RATES</t>
  </si>
  <si>
    <t>PVRETEEC</t>
  </si>
  <si>
    <t>QPSA_COVG_MONTHS</t>
  </si>
  <si>
    <t>PA_QPSAF</t>
  </si>
  <si>
    <t>ONE_YEAR_BIS_IND</t>
  </si>
  <si>
    <t>PC2_LEVEL_MB</t>
  </si>
  <si>
    <t>PC4A_LEVEL_MB</t>
  </si>
  <si>
    <t>PC4B_LEVEL_MB</t>
  </si>
  <si>
    <t>PC6_LEVEL_MB</t>
  </si>
  <si>
    <t>PC1_4044_AR</t>
  </si>
  <si>
    <t>PC2_4044_AR</t>
  </si>
  <si>
    <t>PC4B_4044_AR</t>
  </si>
  <si>
    <t>PC6_4044_AR</t>
  </si>
  <si>
    <t>PC1_4022C_AR</t>
  </si>
  <si>
    <t>PC2_4022C_AR</t>
  </si>
  <si>
    <t>PC4B_4022C_AR</t>
  </si>
  <si>
    <t>PC6_4022C_AR</t>
  </si>
  <si>
    <t>PC2_ANNUITY_PVMB</t>
  </si>
  <si>
    <t>PC2_LOAD_PVMB</t>
  </si>
  <si>
    <t>PC2_LSDB_PVMB</t>
  </si>
  <si>
    <t>PC2_NONBASIC_PVMB</t>
  </si>
  <si>
    <t>PC2_Total_PV</t>
  </si>
  <si>
    <t>PC3_Total_PV</t>
  </si>
  <si>
    <t>PC4_LSDB_PVMB</t>
  </si>
  <si>
    <t>PC4A_ANNUITY_PVMB</t>
  </si>
  <si>
    <t>PC4A_QPSA_PVMB</t>
  </si>
  <si>
    <t>PC4A_LOAD_PVMB</t>
  </si>
  <si>
    <t>PC4A_LSDB_PVMB</t>
  </si>
  <si>
    <t>PC4B_ANNUITY_PVMB</t>
  </si>
  <si>
    <t>PC4B_QPSA_PVMB</t>
  </si>
  <si>
    <t>PC4B_LOAD_PVMB</t>
  </si>
  <si>
    <t>PC4B_LSDB_PVMB</t>
  </si>
  <si>
    <t>PC4_Total_PV</t>
  </si>
  <si>
    <t>PC5_QPSA_PVMB</t>
  </si>
  <si>
    <t>PC5_LOAD_PVMB</t>
  </si>
  <si>
    <t>PC5_LSDB_PVMB</t>
  </si>
  <si>
    <t>PC5_Total_PV</t>
  </si>
  <si>
    <t>PC6_QPSA_PVMB</t>
  </si>
  <si>
    <t>PC6_LOAD_PVMB</t>
  </si>
  <si>
    <t>PC6_LSDB_PVMB</t>
  </si>
  <si>
    <t>PC6_Total_PV</t>
  </si>
  <si>
    <t>TITLE_IV_PV_TOT</t>
  </si>
  <si>
    <t>PV_TOT_4022C</t>
  </si>
  <si>
    <t>TERM_PV_TOT</t>
  </si>
  <si>
    <t>NNFA_PVMB</t>
  </si>
  <si>
    <t>NNNFA_PVMB</t>
  </si>
  <si>
    <t>NNF4_PVMB</t>
  </si>
  <si>
    <t>NNNF4_PVMB</t>
  </si>
  <si>
    <t>SD_LEV_ARD</t>
  </si>
  <si>
    <t>SAA_ARD</t>
  </si>
  <si>
    <t>SA_LEV_ARD</t>
  </si>
  <si>
    <t>VPPA</t>
  </si>
  <si>
    <t>POPLIM_ARD</t>
  </si>
  <si>
    <t>PAY_AMT1</t>
  </si>
  <si>
    <t>PAY_AMT2</t>
  </si>
  <si>
    <t>RETRO_MB_4022C</t>
  </si>
  <si>
    <t>IPVFB_IND</t>
  </si>
  <si>
    <t>XRD_PMB_RESIDUAL</t>
  </si>
  <si>
    <t>XRD_MB_TITLE_IV_RESIDUAL</t>
  </si>
  <si>
    <t>XRD_MB_4022C_RESIDUAL</t>
  </si>
  <si>
    <t>XRD_MB_TERM_RESIDUAL</t>
  </si>
  <si>
    <t>TERM_MB_POPUP_RESIDUAL</t>
  </si>
  <si>
    <t>XRD_SURV_MB_TERM_RESIDUAL</t>
  </si>
  <si>
    <t>XRD_MB_QPSA_TERM_RESIDUAL</t>
  </si>
  <si>
    <t>TERM_MB_NSF_RESIDUAL</t>
  </si>
  <si>
    <t>PBGC_OPT_SLA_RESIDUAL</t>
  </si>
  <si>
    <t>PBGC_OPT_5CC_RESIDUAL</t>
  </si>
  <si>
    <t>PBGC_OPT_10CC_RESIDUAL</t>
  </si>
  <si>
    <t>PBGC_OPT_15CC_RESIDUAL</t>
  </si>
  <si>
    <t>PBGC_OPT_JS50_RESIDUAL</t>
  </si>
  <si>
    <t>PBGC_OPT_JS75_RESIDUAL</t>
  </si>
  <si>
    <t>PBGC_OPT_JS100_RESIDUAL</t>
  </si>
  <si>
    <t>PBGC_OPT_JSPOPUP_RESIDUAL</t>
  </si>
  <si>
    <t>LS_TERM_RESIDUAL</t>
  </si>
  <si>
    <t>LS_QPSA_RESIDUAL</t>
  </si>
  <si>
    <t>LS_EST_AMT</t>
  </si>
  <si>
    <t>LS_EST_DATE</t>
  </si>
  <si>
    <t>PARTIAL_DIST_AMT</t>
  </si>
  <si>
    <t>PARTIAL_DIST_DATE</t>
  </si>
  <si>
    <t>SA_XRD_SUPP1</t>
  </si>
  <si>
    <t>SA_XRD_SUPP2</t>
  </si>
  <si>
    <t>SA_XRD_SUPP3</t>
  </si>
  <si>
    <t>SA_XRD_MED</t>
  </si>
  <si>
    <t>SA_XRD_FSS1</t>
  </si>
  <si>
    <t>SA_XRD_FSS2</t>
  </si>
  <si>
    <t>SA_XRD_MED_BENE</t>
  </si>
  <si>
    <t>VOLC</t>
  </si>
  <si>
    <t>VOLCWI</t>
  </si>
  <si>
    <t>LLBEN</t>
  </si>
  <si>
    <t>K1FACT</t>
  </si>
  <si>
    <t>K2FACT</t>
  </si>
  <si>
    <t>XRD_SUPP2_TITLE_IV</t>
  </si>
  <si>
    <t>XRD_SUPP3_TITLE_IV</t>
  </si>
  <si>
    <t>XRD_FSS1_TITLE_IV</t>
  </si>
  <si>
    <t>XRD_FSS2_TITLE_IV</t>
  </si>
  <si>
    <t>XRD_SUPP2_4022C</t>
  </si>
  <si>
    <t>XRD_SUPP3_4022C</t>
  </si>
  <si>
    <t>XRD_FSS1_4022C</t>
  </si>
  <si>
    <t>XRD_FSS2_4022C</t>
  </si>
  <si>
    <t>XRD_MED_BENE_4022C</t>
  </si>
  <si>
    <t>XRD_SUPP2_TERM</t>
  </si>
  <si>
    <t>XRD_SUPP3_TERM</t>
  </si>
  <si>
    <t>XRD_FSS1_TERM</t>
  </si>
  <si>
    <t>XRD_FSS2_TERM</t>
  </si>
  <si>
    <t>MORE_PAYAMT_IND</t>
  </si>
  <si>
    <t>PVF_FSS1</t>
  </si>
  <si>
    <t>PVF_FSS2</t>
  </si>
  <si>
    <t>PC1_LEVEL_MB</t>
  </si>
  <si>
    <t>PC3_BAS_SUPP2_MB</t>
  </si>
  <si>
    <t>PC3_NBAS_SUPP2_MB</t>
  </si>
  <si>
    <t>PC3_BAS_SUPP3_MB</t>
  </si>
  <si>
    <t>PC3_NBAS_SUPP3_MB</t>
  </si>
  <si>
    <t>PC3_BAS_FSS1_MB</t>
  </si>
  <si>
    <t>PC3_NBAS_FSS1_MB</t>
  </si>
  <si>
    <t>PC3_BAS_FSS2_MB</t>
  </si>
  <si>
    <t>PC3_NBAS_FSS2_MB</t>
  </si>
  <si>
    <t>PC3_NBAS_MED_MB</t>
  </si>
  <si>
    <t>PC4_SUPP1_MB</t>
  </si>
  <si>
    <t>PC4_SUPP2_MB</t>
  </si>
  <si>
    <t>PC4_SUPP3_MB</t>
  </si>
  <si>
    <t>PC4_FSS1_MB</t>
  </si>
  <si>
    <t>PC4_FSS2_MB</t>
  </si>
  <si>
    <t>PC4A_SUPP1_MB</t>
  </si>
  <si>
    <t>PC4A_SUPP2_MB</t>
  </si>
  <si>
    <t>PC4A_SUPP3_MB</t>
  </si>
  <si>
    <t>PC4A_FSS1_MB</t>
  </si>
  <si>
    <t>PC4A_FSS2_MB</t>
  </si>
  <si>
    <t>PC4A_MED_MB</t>
  </si>
  <si>
    <t>PC4B_SUPP1_MB</t>
  </si>
  <si>
    <t>PC4B_SUPP2_MB</t>
  </si>
  <si>
    <t>PC4B_SUPP3_MB</t>
  </si>
  <si>
    <t>PC4B_FSS1_MB</t>
  </si>
  <si>
    <t>PC4B_FSS2_MB</t>
  </si>
  <si>
    <t>PC4B_MED_MB</t>
  </si>
  <si>
    <t>PC5_SUPP2_MB</t>
  </si>
  <si>
    <t>PC5_SUPP3_MB</t>
  </si>
  <si>
    <t>PC5_FSS1_MB</t>
  </si>
  <si>
    <t>PC5_FSS2_MB</t>
  </si>
  <si>
    <t>PC6_SUPP1_MB</t>
  </si>
  <si>
    <t>PC6_SUPP2_MB</t>
  </si>
  <si>
    <t>PC6_SUPP3_MB</t>
  </si>
  <si>
    <t>PC6_FSS1_MB</t>
  </si>
  <si>
    <t>PC6_FSS2_MB</t>
  </si>
  <si>
    <t>PC6_MED_MB</t>
  </si>
  <si>
    <t>PCX_LEVEL_MB</t>
  </si>
  <si>
    <t>PCX_SUPP1_MB</t>
  </si>
  <si>
    <t>PCX_SUPP2_MB</t>
  </si>
  <si>
    <t>PCX_SUPP3_MB</t>
  </si>
  <si>
    <t>PCX_FSS1_MB</t>
  </si>
  <si>
    <t>PCX_FSS2_MB</t>
  </si>
  <si>
    <t>PCX_MED_MB</t>
  </si>
  <si>
    <t>PC1_ANNUITY_PVMB</t>
  </si>
  <si>
    <t>PC1_LOAD_PVMB</t>
  </si>
  <si>
    <t>PCX_ANNUITY_PVMB</t>
  </si>
  <si>
    <t>PCX_QPSA_PVMB</t>
  </si>
  <si>
    <t>PCX_LOAD_PVMB</t>
  </si>
  <si>
    <t>PCX_LSDB_PVMB</t>
  </si>
  <si>
    <t>SD_OFFSET1</t>
  </si>
  <si>
    <t>SD_OFFSET2</t>
  </si>
  <si>
    <t>SD_OFFSET3</t>
  </si>
  <si>
    <t>SA_ARD_SUPP1</t>
  </si>
  <si>
    <t>SA_ARD_SUPP2</t>
  </si>
  <si>
    <t>SA_ARD_SUPP3</t>
  </si>
  <si>
    <t>SA_ARD_MED</t>
  </si>
  <si>
    <t>SA_ARD_FSS1</t>
  </si>
  <si>
    <t>SA_ARD_FSS2</t>
  </si>
  <si>
    <t>SA_ARD_MED_BENE</t>
  </si>
  <si>
    <t>TYPOFFSET1</t>
  </si>
  <si>
    <t>TYPOFFSET2</t>
  </si>
  <si>
    <t>TYPOFFSET3</t>
  </si>
  <si>
    <t>OFFSET2</t>
  </si>
  <si>
    <t>OFFSET3</t>
  </si>
  <si>
    <t>PVFOFFSET1</t>
  </si>
  <si>
    <t>PVFOFFSET2</t>
  </si>
  <si>
    <t>PVFOFFSET3</t>
  </si>
  <si>
    <t>SCI</t>
  </si>
  <si>
    <t>PCCI</t>
  </si>
  <si>
    <t>SCCI</t>
  </si>
  <si>
    <t>PCT</t>
  </si>
  <si>
    <t>SCT</t>
  </si>
  <si>
    <t>QDRO_PROV_DATE</t>
  </si>
  <si>
    <t>TRANSD1</t>
  </si>
  <si>
    <t>TRANSFER1_DESC</t>
  </si>
  <si>
    <t>TRANSD2</t>
  </si>
  <si>
    <t>TRANSFER2_DESC</t>
  </si>
  <si>
    <t>TRANSD3</t>
  </si>
  <si>
    <t>TRANSFER3_DESC</t>
  </si>
  <si>
    <t>TRANSD4</t>
  </si>
  <si>
    <t>TRANSFER4_DESC</t>
  </si>
  <si>
    <t>TRANSD5</t>
  </si>
  <si>
    <t>TRANSFER5_DESC</t>
  </si>
  <si>
    <t>TRANSD6</t>
  </si>
  <si>
    <t>TRANSFER6_DESC</t>
  </si>
  <si>
    <t>TRANSD7</t>
  </si>
  <si>
    <t>TRANSFER7_DESC</t>
  </si>
  <si>
    <t>TRANSD8</t>
  </si>
  <si>
    <t>TRANSFER8_DESC</t>
  </si>
  <si>
    <t>TRANSD9</t>
  </si>
  <si>
    <t>TRANSFER9_DESC</t>
  </si>
  <si>
    <t>TRANSD10</t>
  </si>
  <si>
    <t>TRANSFER10_DESC</t>
  </si>
  <si>
    <t>TEMP_MTHS</t>
  </si>
  <si>
    <t>TEMP_MTHS_ARD</t>
  </si>
  <si>
    <t>PA_ACOMP</t>
  </si>
  <si>
    <t>PAYEE_PAY_AMT1</t>
  </si>
  <si>
    <t>PAYEE_PAY_AMT2</t>
  </si>
  <si>
    <t>PAYEE_PAY_AMT3</t>
  </si>
  <si>
    <t>PAYEE_PAY_AMT4</t>
  </si>
  <si>
    <t>PAY_AMT5</t>
  </si>
  <si>
    <t>PAYEE_PAY_AMT5</t>
  </si>
  <si>
    <t>PAYEE_PAY_AMT6</t>
  </si>
  <si>
    <t>SPEC_BEN1_ELIG</t>
  </si>
  <si>
    <t>SPEC_BEN1_DESC</t>
  </si>
  <si>
    <t>SPEC_BEN2_ELIG</t>
  </si>
  <si>
    <t>SPEC_BEN2_DESC</t>
  </si>
  <si>
    <t>SPEC_BEN3_ELIG</t>
  </si>
  <si>
    <t>SPEC_BEN3_DESC</t>
  </si>
  <si>
    <t>SPEC_BEN4_ELIG</t>
  </si>
  <si>
    <t>SPEC_BEN4_DESC</t>
  </si>
  <si>
    <t>SPEC_BEN5_ELIG</t>
  </si>
  <si>
    <t>SPEC_BEN5_DESC</t>
  </si>
  <si>
    <t>PLAN_DISABILITY_DATE</t>
  </si>
  <si>
    <t>PBGC_OPT_PV_NSF</t>
  </si>
  <si>
    <t>PBGC_OPT_PV_NMF</t>
  </si>
  <si>
    <t>SUPP1_NSF</t>
  </si>
  <si>
    <t>SUPP2_NSF</t>
  </si>
  <si>
    <t>SUPP3_NSF</t>
  </si>
  <si>
    <t>MED_NSF</t>
  </si>
  <si>
    <t>PBGC_OFA_COMMENTS</t>
  </si>
  <si>
    <t>NPVF_FORM_CODE</t>
  </si>
  <si>
    <t>NPVF_FORM_CODE_NSF</t>
  </si>
  <si>
    <t>NPVF_FORM_CODE_NMF</t>
  </si>
  <si>
    <t>SERV_PROJ_NRD</t>
  </si>
  <si>
    <t>SS_FACTOR</t>
  </si>
  <si>
    <t>PROJ_NRD_BEN</t>
  </si>
  <si>
    <t>MAX_OFFSET</t>
  </si>
  <si>
    <t>MAX_OFFSET_NSF</t>
  </si>
  <si>
    <t>ME_ARD_MAXLIM</t>
  </si>
  <si>
    <t>ML_ARD_MAXLIM</t>
  </si>
  <si>
    <t>LRF_ARD_MAXLIM</t>
  </si>
  <si>
    <t>MAXLIM_ARD</t>
  </si>
  <si>
    <t>ME_NRD_MAXLIM</t>
  </si>
  <si>
    <t>MAXLIM_NRD</t>
  </si>
  <si>
    <t>ME_EURD_MAXLIM</t>
  </si>
  <si>
    <t>ML_EURD_MAXLIM</t>
  </si>
  <si>
    <t>LRF_EURD_MAXLIM</t>
  </si>
  <si>
    <t>MAXLIM_EURD</t>
  </si>
  <si>
    <t>MAXLIM_ERD</t>
  </si>
  <si>
    <t>ME_ERD_MAXLIM</t>
  </si>
  <si>
    <t>TERM_RATIO</t>
  </si>
  <si>
    <t>MALE_MORT_TAB</t>
  </si>
  <si>
    <t>PBGC_LS_TAB</t>
  </si>
  <si>
    <t>PC5A_4044_AR</t>
  </si>
  <si>
    <t>PC5A_ANNUITY_PVMB</t>
  </si>
  <si>
    <t>PC5A_FSS1_MB</t>
  </si>
  <si>
    <t>PC5A_FSS2_MB</t>
  </si>
  <si>
    <t>PC5A_LEVEL_MB</t>
  </si>
  <si>
    <t>PC5A_LOAD_PVMB</t>
  </si>
  <si>
    <t>PC5A_LSDB_PVMB</t>
  </si>
  <si>
    <t>PC5A_MED_PVMB</t>
  </si>
  <si>
    <t>PC5A_QPSA_PVMB</t>
  </si>
  <si>
    <t>PC5A_SUPP1_MB</t>
  </si>
  <si>
    <t>PC5A_SUPP2_MB</t>
  </si>
  <si>
    <t>PC5A_SUPP3_MB</t>
  </si>
  <si>
    <t>PC5A_Total_PV</t>
  </si>
  <si>
    <t>PC5B_4022C_AR</t>
  </si>
  <si>
    <t>PC5B_4044_AR</t>
  </si>
  <si>
    <t>PC5B_ANNUITY_PVMB</t>
  </si>
  <si>
    <t>PC5B_FSS1_MB</t>
  </si>
  <si>
    <t>PC5B_FSS2_MB</t>
  </si>
  <si>
    <t>PC5B_LEVEL_MB</t>
  </si>
  <si>
    <t>PC5B_LOAD_PVMB</t>
  </si>
  <si>
    <t>PC5B_LSDB_PVMB</t>
  </si>
  <si>
    <t>PC5B_MED_PVMB</t>
  </si>
  <si>
    <t>PC5B_QPSA_PVMB</t>
  </si>
  <si>
    <t>PC5B_SUPP1_MB</t>
  </si>
  <si>
    <t>PC5B_SUPP2_MB</t>
  </si>
  <si>
    <t>PC5B_SUPP3_MB</t>
  </si>
  <si>
    <t>PC5B_Total_PV</t>
  </si>
  <si>
    <t>PC5C_4022C_AR</t>
  </si>
  <si>
    <t>PC5C_4044_AR</t>
  </si>
  <si>
    <t>PC5C_ANNUITY_PVMB</t>
  </si>
  <si>
    <t>PC5C_FSS1_MB</t>
  </si>
  <si>
    <t>PC5C_FSS2_MB</t>
  </si>
  <si>
    <t>PC5C_LEVEL_MB</t>
  </si>
  <si>
    <t>PC5C_LOAD_PVMB</t>
  </si>
  <si>
    <t>PC5C_LSDB_PVMB</t>
  </si>
  <si>
    <t>PC5C_MED_PVMB</t>
  </si>
  <si>
    <t>PC5C_QPSA_PVMB</t>
  </si>
  <si>
    <t>PC5C_SUPP1_MB</t>
  </si>
  <si>
    <t>PC5C_SUPP2_MB</t>
  </si>
  <si>
    <t>PC5C_SUPP3_MB</t>
  </si>
  <si>
    <t>PC5C_Total_PV</t>
  </si>
  <si>
    <t>PC5D_4022C_AR</t>
  </si>
  <si>
    <t>PC5D_4044_AR</t>
  </si>
  <si>
    <t>PC5D_ANNUITY_PVMB</t>
  </si>
  <si>
    <t>PC5D_FSS1_MB</t>
  </si>
  <si>
    <t>PC5D_FSS2_MB</t>
  </si>
  <si>
    <t>PC5D_LEVEL_MB</t>
  </si>
  <si>
    <t>PC5D_LOAD_PVMB</t>
  </si>
  <si>
    <t>PC5D_LSDB_PVMB</t>
  </si>
  <si>
    <t>PC5D_MED_PVMB</t>
  </si>
  <si>
    <t>PC5D_QPSA_PVMB</t>
  </si>
  <si>
    <t>PC5D_SUPP1_MB</t>
  </si>
  <si>
    <t>PC5D_SUPP2_MB</t>
  </si>
  <si>
    <t>PC5D_SUPP3_MB</t>
  </si>
  <si>
    <t>PC5D_Total_PV</t>
  </si>
  <si>
    <t>PC5E_4022C_AR</t>
  </si>
  <si>
    <t>PC5E_4044_AR</t>
  </si>
  <si>
    <t>PC5E_ANNUITY_PVMB</t>
  </si>
  <si>
    <t>PC5E_FSS1_MB</t>
  </si>
  <si>
    <t>PC5E_FSS2_MB</t>
  </si>
  <si>
    <t>PC5E_LEVEL_MB</t>
  </si>
  <si>
    <t>PC5E_LOAD_PVMB</t>
  </si>
  <si>
    <t>PC5E_LSDB_PVMB</t>
  </si>
  <si>
    <t>PC5E_MED_PVMB</t>
  </si>
  <si>
    <t>PC5E_QPSA_PVMB</t>
  </si>
  <si>
    <t>PC5E_SUPP1_MB</t>
  </si>
  <si>
    <t>PC5E_SUPP2_MB</t>
  </si>
  <si>
    <t>PC5E_SUPP3_MB</t>
  </si>
  <si>
    <t>PC5E_Total_PV</t>
  </si>
  <si>
    <t>PVMB_TITLE_IV_NO_Q_NO_L</t>
  </si>
  <si>
    <t>PVMB_BAS_UNGB_NO_Q_NO_L</t>
  </si>
  <si>
    <t>PVMB_NB_UNGB_NO_Q_NO_L</t>
  </si>
  <si>
    <t>PVPBL_ANN_RATES_NO_Q_NO_L</t>
  </si>
  <si>
    <t>PVMB_4022C_NO_Q_NO_L</t>
  </si>
  <si>
    <t>PVMB_TERM_NO_Q_NO_L</t>
  </si>
  <si>
    <t>PVMB_BAS_UNGB_QPSA</t>
  </si>
  <si>
    <t>PVMB_NB_UNGB_QPSA</t>
  </si>
  <si>
    <t>PVMB_TERM_QPSA</t>
  </si>
  <si>
    <t>NNNFA_PVMB_NO_LOAD</t>
  </si>
  <si>
    <t>TITLE_IV_LOAD</t>
  </si>
  <si>
    <t>NNNFA_LOAD</t>
  </si>
  <si>
    <t>PBL_LOAD</t>
  </si>
  <si>
    <t>LOAD_4022C</t>
  </si>
  <si>
    <t>TERM_LOAD</t>
  </si>
  <si>
    <t>PC3_CASH_BAL</t>
  </si>
  <si>
    <t>PC3_CASH_BAL_FACT</t>
  </si>
  <si>
    <t>PC3_SERV_PROJ_NRD</t>
  </si>
  <si>
    <t>PC3_SS_FACTOR</t>
  </si>
  <si>
    <t>PC3_AC_FACTOR</t>
  </si>
  <si>
    <t>PC3_BR</t>
  </si>
  <si>
    <t>PC3_ACOMP</t>
  </si>
  <si>
    <t>PC3_CCOMP</t>
  </si>
  <si>
    <t>PC3_VP</t>
  </si>
  <si>
    <t>PC3_VB</t>
  </si>
  <si>
    <t>PC3_AEQ_PP_MORT</t>
  </si>
  <si>
    <t>PC3_AEQ_BE_MORT</t>
  </si>
  <si>
    <t>PC3_AEQ_INTEREST</t>
  </si>
  <si>
    <t>PC3_ANB</t>
  </si>
  <si>
    <t>PC3_SANB</t>
  </si>
  <si>
    <t>PC3_PROJ_NRD_BEN</t>
  </si>
  <si>
    <t>PC3_OFFSET</t>
  </si>
  <si>
    <t>D051</t>
  </si>
  <si>
    <t>Working Retirement Resumption Date (WRRD)</t>
  </si>
  <si>
    <t>Form of Annuity for Supplemental Early Retirement Benefit (0 = SLA, 1 = Same as XRD Form)</t>
  </si>
  <si>
    <t>FORM_CODE_SUPP1</t>
  </si>
  <si>
    <t>Amount benefit pops up to if beneficiary dies first</t>
  </si>
  <si>
    <t>OLD</t>
  </si>
  <si>
    <t xml:space="preserve">OLD </t>
  </si>
  <si>
    <t>NEW</t>
  </si>
  <si>
    <t>DIFFERENCE BETWEEN OLD AND NEW</t>
  </si>
  <si>
    <t>PP'S ANB at Med Supp Start Date after Grow-in</t>
  </si>
  <si>
    <t>SP'S ANB at Med Supp Start Date after Grow-in</t>
  </si>
  <si>
    <t>PP's ANB at SP Start Date</t>
  </si>
  <si>
    <t>Difference between OLD and New</t>
  </si>
  <si>
    <t>PP's ANB at Med Supp Start Date</t>
  </si>
  <si>
    <t>Difference Between Old and New</t>
  </si>
  <si>
    <t>SP's ANB at Med Supp Start Date</t>
  </si>
  <si>
    <t>Difference Between New and Old</t>
  </si>
  <si>
    <t>PP's ANB at SP's Med Start Date</t>
  </si>
  <si>
    <t>SP's age at SP's Start Date</t>
  </si>
  <si>
    <t>PP's Age at SP's Start Date</t>
  </si>
  <si>
    <t>old</t>
  </si>
  <si>
    <t>new</t>
  </si>
  <si>
    <t>Difference between New and Old</t>
  </si>
  <si>
    <t>New</t>
  </si>
  <si>
    <t>Old</t>
  </si>
  <si>
    <t>D052</t>
  </si>
  <si>
    <t>Stale Date (Not working in BCV)</t>
  </si>
  <si>
    <t>Stale Date for Listings</t>
  </si>
  <si>
    <t>Start Date of PP's Medicare Supplement</t>
  </si>
  <si>
    <t>Start Date of SP's Medicare Supplement</t>
  </si>
  <si>
    <t>PP's Medicare Supplement Start Date</t>
  </si>
  <si>
    <t>SP's Medicare Supplement Start Date</t>
  </si>
  <si>
    <t>PPs Medicare Supp Start Date for BSRS</t>
  </si>
  <si>
    <t>SPs Medicare Supp Start Date for BSRS</t>
  </si>
  <si>
    <t>Sp's Medicare Supp Start Date for BSRS</t>
  </si>
  <si>
    <t>PP's Med Supp Start Date for BSRS</t>
  </si>
  <si>
    <t>SP's Med Supp Start Date for BSRS</t>
  </si>
  <si>
    <t>PP's Start Date for Medicare Supp</t>
  </si>
  <si>
    <t>SP's Start Date for Medicare Supp</t>
  </si>
  <si>
    <t>D053</t>
  </si>
  <si>
    <t>D054</t>
  </si>
  <si>
    <t>Formula below is from Draft 2</t>
  </si>
  <si>
    <t>MED Supp Paragraph</t>
  </si>
  <si>
    <t>Med Supp Paragraph</t>
  </si>
  <si>
    <t>SP age 65</t>
  </si>
  <si>
    <t>D055</t>
  </si>
  <si>
    <t>today</t>
  </si>
  <si>
    <t>BS_Paragraph_1</t>
  </si>
  <si>
    <t>BS_PARAGRAPH_1</t>
  </si>
  <si>
    <t>BS_PARAGRAPH_2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</si>
</sst>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7">
    <numFmt numFmtId="44" formatCode="_(&quot;$&quot;* #,##0.00_);_(&quot;$&quot;* \(#,##0.00\);_(&quot;$&quot;* &quot;-&quot;??_);_(@_)"/>
    <numFmt numFmtId="43" formatCode="_(* #,##0.00_);_(* \(#,##0.00\);_(* &quot;-&quot;??_);_(@_)"/>
    <numFmt numFmtId="164" formatCode="General_)"/>
    <numFmt numFmtId="165" formatCode="&quot;$&quot;#,##0.00"/>
    <numFmt numFmtId="166" formatCode="0.0000"/>
    <numFmt numFmtId="167" formatCode="&quot;$&quot;#,##0"/>
    <numFmt numFmtId="168" formatCode="#,##0.0000"/>
    <numFmt numFmtId="169" formatCode="0.000"/>
    <numFmt numFmtId="170" formatCode="0.0"/>
    <numFmt numFmtId="171" formatCode="_(* #,##0_);_(* \(#,##0\);_(* &quot;-&quot;??_);_(@_)"/>
    <numFmt numFmtId="172" formatCode="0.0000%"/>
    <numFmt numFmtId="173" formatCode="0.00000"/>
    <numFmt numFmtId="174" formatCode="#,##0.0_);\(#,##0.0\);0"/>
    <numFmt numFmtId="175" formatCode="#,##0.00000"/>
    <numFmt numFmtId="176" formatCode="0.00000000"/>
    <numFmt numFmtId="177" formatCode="#,##0.000"/>
    <numFmt numFmtId="178" formatCode="0.000%"/>
  </numFmts>
  <fonts count="61" x14ac:knownFonts="1">
    <font>
      <sz val="10"/>
      <name val="Arial"/>
    </font>
    <font>
      <sz val="10"/>
      <color theme="1"/>
      <name val="Arial"/>
      <family val="2"/>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8"/>
      <name val="Arial"/>
      <family val="2"/>
    </font>
    <font>
      <i/>
      <sz val="10"/>
      <name val="Arial"/>
      <family val="2"/>
    </font>
    <font>
      <b/>
      <sz val="10"/>
      <color rgb="FFFF0000"/>
      <name val="Arial"/>
      <family val="2"/>
    </font>
    <font>
      <sz val="10"/>
      <color rgb="FFFF0000"/>
      <name val="Arial"/>
      <family val="2"/>
    </font>
    <font>
      <sz val="8"/>
      <color rgb="FFFF0000"/>
      <name val="Arial"/>
      <family val="2"/>
    </font>
    <font>
      <sz val="10"/>
      <color rgb="FF7030A0"/>
      <name val="Arial"/>
      <family val="2"/>
    </font>
    <font>
      <sz val="10"/>
      <color rgb="FF0070C0"/>
      <name val="Arial"/>
      <family val="2"/>
    </font>
    <font>
      <sz val="10"/>
      <color rgb="FF00B0F0"/>
      <name val="Arial"/>
      <family val="2"/>
    </font>
    <font>
      <sz val="10"/>
      <color theme="0"/>
      <name val="Arial"/>
      <family val="2"/>
    </font>
    <font>
      <sz val="8"/>
      <color rgb="FF0000FF"/>
      <name val="Arial"/>
      <family val="2"/>
    </font>
    <font>
      <sz val="10"/>
      <color rgb="FF00B050"/>
      <name val="Arial"/>
      <family val="2"/>
    </font>
    <font>
      <sz val="10"/>
      <color rgb="FF0000FF"/>
      <name val="Arial"/>
      <family val="2"/>
    </font>
    <font>
      <sz val="10"/>
      <name val="Arial"/>
      <family val="2"/>
    </font>
    <font>
      <b/>
      <sz val="8"/>
      <name val="Arial"/>
      <family val="2"/>
    </font>
    <font>
      <b/>
      <sz val="10"/>
      <color indexed="8"/>
      <name val="Arial"/>
      <family val="2"/>
    </font>
    <font>
      <sz val="10"/>
      <color indexed="8"/>
      <name val="Arial"/>
      <family val="2"/>
    </font>
    <font>
      <sz val="10"/>
      <color theme="1"/>
      <name val="Arial"/>
      <family val="2"/>
    </font>
    <font>
      <sz val="10"/>
      <name val="Arial"/>
      <family val="2"/>
    </font>
    <font>
      <sz val="11"/>
      <color theme="1"/>
      <name val="Times New Roman"/>
      <family val="2"/>
    </font>
    <font>
      <sz val="9"/>
      <name val="Times New Roman"/>
      <family val="1"/>
    </font>
    <font>
      <sz val="10"/>
      <color indexed="10"/>
      <name val="Arial"/>
      <family val="2"/>
    </font>
    <font>
      <sz val="10"/>
      <name val="MS Sans Serif"/>
      <family val="2"/>
    </font>
    <font>
      <sz val="10"/>
      <color indexed="17"/>
      <name val="Arial"/>
      <family val="2"/>
    </font>
    <font>
      <sz val="10"/>
      <color indexed="9"/>
      <name val="Arial"/>
      <family val="2"/>
    </font>
    <font>
      <sz val="10"/>
      <name val="Tms Rmn"/>
    </font>
    <font>
      <sz val="10"/>
      <color indexed="20"/>
      <name val="Arial"/>
      <family val="2"/>
    </font>
    <font>
      <b/>
      <sz val="10"/>
      <color indexed="52"/>
      <name val="Arial"/>
      <family val="2"/>
    </font>
    <font>
      <b/>
      <sz val="10"/>
      <color indexed="9"/>
      <name val="Arial"/>
      <family val="2"/>
    </font>
    <font>
      <sz val="11"/>
      <color indexed="8"/>
      <name val="Calibri"/>
      <family val="2"/>
    </font>
    <font>
      <i/>
      <sz val="10"/>
      <color indexed="23"/>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12"/>
      <name val="Arial"/>
      <family val="2"/>
    </font>
    <font>
      <sz val="10"/>
      <name val="Helv"/>
    </font>
    <font>
      <sz val="10"/>
      <name val="Arial"/>
      <family val="2"/>
    </font>
    <font>
      <sz val="8"/>
      <color rgb="FF00B0F0"/>
      <name val="Arial"/>
      <family val="2"/>
    </font>
    <font>
      <sz val="8"/>
      <name val="Arial"/>
      <family val="2"/>
    </font>
    <font>
      <i/>
      <sz val="8"/>
      <name val="Arial"/>
      <family val="2"/>
    </font>
    <font>
      <sz val="8"/>
      <color rgb="FF00B050"/>
      <name val="Arial"/>
      <family val="2"/>
    </font>
    <font>
      <sz val="8"/>
      <color theme="0"/>
      <name val="Arial"/>
      <family val="2"/>
    </font>
    <font>
      <sz val="8"/>
      <color rgb="FF7030A0"/>
      <name val="Arial"/>
      <family val="2"/>
    </font>
    <font>
      <sz val="8"/>
      <color rgb="FF009900"/>
      <name val="Arial"/>
      <family val="2"/>
    </font>
    <font>
      <sz val="8"/>
      <color rgb="FF0070C0"/>
      <name val="Arial"/>
      <family val="2"/>
    </font>
    <font>
      <sz val="8"/>
      <name val="Arial"/>
    </font>
  </fonts>
  <fills count="73">
    <fill>
      <patternFill patternType="none"/>
    </fill>
    <fill>
      <patternFill patternType="gray125"/>
    </fill>
    <fill>
      <patternFill patternType="solid">
        <fgColor indexed="43"/>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0070C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2" tint="-0.249977111117893"/>
        <bgColor indexed="64"/>
      </patternFill>
    </fill>
    <fill>
      <patternFill patternType="solid">
        <fgColor rgb="FF00FF00"/>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rgb="FFFFFF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rgb="FFC0000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249977111117893"/>
        <bgColor indexed="64"/>
      </patternFill>
    </fill>
    <fill>
      <patternFill patternType="solid">
        <fgColor rgb="FFFF0066"/>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indexed="44"/>
        <bgColor indexed="64"/>
      </patternFill>
    </fill>
    <fill>
      <patternFill patternType="solid">
        <fgColor theme="9" tint="-0.499984740745262"/>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0" tint="-0.499984740745262"/>
        <bgColor indexed="64"/>
      </patternFill>
    </fill>
    <fill>
      <patternFill patternType="solid">
        <fgColor rgb="FF9BFFFF"/>
        <bgColor indexed="64"/>
      </patternFill>
    </fill>
    <fill>
      <patternFill patternType="solid">
        <fgColor theme="4" tint="0.39997558519241921"/>
        <bgColor indexed="64"/>
      </patternFill>
    </fill>
    <fill>
      <patternFill patternType="solid">
        <fgColor rgb="FF9199D7"/>
        <bgColor indexed="64"/>
      </patternFill>
    </fill>
    <fill>
      <patternFill patternType="solid">
        <fgColor rgb="FF8FD4FF"/>
        <bgColor indexed="64"/>
      </patternFill>
    </fill>
    <fill>
      <patternFill patternType="solid">
        <fgColor theme="0"/>
        <bgColor indexed="64"/>
      </patternFill>
    </fill>
    <fill>
      <patternFill patternType="solid">
        <fgColor rgb="FFFFFF99"/>
        <bgColor indexed="64"/>
      </patternFill>
    </fill>
    <fill>
      <patternFill patternType="solid">
        <fgColor theme="3"/>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4823">
    <xf numFmtId="0" fontId="0" fillId="0" borderId="0"/>
    <xf numFmtId="0" fontId="8" fillId="0" borderId="0"/>
    <xf numFmtId="0" fontId="8" fillId="0" borderId="0"/>
    <xf numFmtId="0" fontId="10" fillId="2" borderId="0" applyNumberFormat="0" applyAlignment="0"/>
    <xf numFmtId="0" fontId="8" fillId="0" borderId="0"/>
    <xf numFmtId="0" fontId="10" fillId="0" borderId="0"/>
    <xf numFmtId="0" fontId="8" fillId="0" borderId="0"/>
    <xf numFmtId="0" fontId="8" fillId="2" borderId="0" applyNumberFormat="0" applyAlignment="0"/>
    <xf numFmtId="44" fontId="8" fillId="0" borderId="0" applyFont="0" applyFill="0" applyBorder="0" applyAlignment="0" applyProtection="0"/>
    <xf numFmtId="0" fontId="8" fillId="0" borderId="0"/>
    <xf numFmtId="9" fontId="23"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23" fillId="2" borderId="0" applyNumberFormat="0" applyAlignment="0"/>
    <xf numFmtId="0" fontId="7" fillId="0" borderId="0"/>
    <xf numFmtId="0" fontId="23" fillId="0" borderId="0"/>
    <xf numFmtId="9" fontId="23" fillId="0" borderId="0" applyFont="0" applyFill="0" applyBorder="0" applyAlignment="0" applyProtection="0"/>
    <xf numFmtId="0" fontId="8" fillId="0" borderId="0"/>
    <xf numFmtId="9" fontId="8" fillId="0" borderId="0" applyFont="0" applyFill="0" applyBorder="0" applyAlignment="0" applyProtection="0"/>
    <xf numFmtId="0" fontId="8" fillId="2" borderId="0" applyNumberFormat="0" applyAlignment="0"/>
    <xf numFmtId="0" fontId="8" fillId="2" borderId="0" applyNumberFormat="0" applyAlignment="0"/>
    <xf numFmtId="0" fontId="8" fillId="0" borderId="0"/>
    <xf numFmtId="9" fontId="8" fillId="0" borderId="0" applyFont="0" applyFill="0" applyBorder="0" applyAlignment="0" applyProtection="0"/>
    <xf numFmtId="0" fontId="6" fillId="0" borderId="0"/>
    <xf numFmtId="0" fontId="5" fillId="0" borderId="0"/>
    <xf numFmtId="0" fontId="5" fillId="0" borderId="0"/>
    <xf numFmtId="0" fontId="27" fillId="0" borderId="0"/>
    <xf numFmtId="0" fontId="8" fillId="0" borderId="0"/>
    <xf numFmtId="0" fontId="23" fillId="0" borderId="0"/>
    <xf numFmtId="0" fontId="4" fillId="0" borderId="0"/>
    <xf numFmtId="43" fontId="4" fillId="0" borderId="0" applyFont="0" applyFill="0" applyBorder="0" applyAlignment="0" applyProtection="0"/>
    <xf numFmtId="9" fontId="28" fillId="0" borderId="0" applyFont="0" applyFill="0" applyBorder="0" applyAlignment="0" applyProtection="0"/>
    <xf numFmtId="0" fontId="28" fillId="2" borderId="0" applyNumberFormat="0" applyAlignment="0"/>
    <xf numFmtId="0" fontId="28" fillId="0" borderId="0"/>
    <xf numFmtId="9" fontId="28" fillId="0" borderId="0" applyFont="0" applyFill="0" applyBorder="0" applyAlignment="0" applyProtection="0"/>
    <xf numFmtId="0" fontId="3" fillId="0" borderId="0"/>
    <xf numFmtId="0" fontId="28" fillId="0" borderId="0"/>
    <xf numFmtId="0" fontId="29" fillId="0" borderId="0"/>
    <xf numFmtId="43" fontId="8" fillId="0" borderId="0" applyFont="0" applyFill="0" applyBorder="0" applyAlignment="0" applyProtection="0"/>
    <xf numFmtId="43" fontId="8" fillId="0" borderId="0" applyFont="0" applyFill="0" applyBorder="0" applyAlignment="0" applyProtection="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8" fillId="0" borderId="0" applyFont="0" applyFill="0" applyBorder="0" applyAlignment="0" applyProtection="0"/>
    <xf numFmtId="0" fontId="8" fillId="2" borderId="0" applyNumberFormat="0" applyAlignment="0"/>
    <xf numFmtId="0" fontId="8" fillId="2" borderId="0" applyNumberFormat="0" applyAlignment="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32" fillId="0" borderId="0"/>
    <xf numFmtId="43" fontId="8" fillId="0" borderId="0" applyFont="0" applyFill="0" applyBorder="0" applyAlignment="0" applyProtection="0"/>
    <xf numFmtId="43" fontId="8" fillId="0" borderId="0" applyFont="0" applyFill="0" applyBorder="0" applyAlignment="0" applyProtection="0"/>
    <xf numFmtId="44" fontId="8" fillId="0" borderId="0" applyFont="0" applyFill="0" applyBorder="0" applyAlignment="0" applyProtection="0"/>
    <xf numFmtId="0" fontId="8" fillId="2" borderId="0" applyNumberFormat="0" applyAlignment="0"/>
    <xf numFmtId="0" fontId="8" fillId="2" borderId="0" applyNumberFormat="0" applyAlignment="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3" fillId="0" borderId="0"/>
    <xf numFmtId="0" fontId="3" fillId="0" borderId="0"/>
    <xf numFmtId="0" fontId="3" fillId="0" borderId="0"/>
    <xf numFmtId="0" fontId="3" fillId="0" borderId="0"/>
    <xf numFmtId="0" fontId="3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8" fillId="0" borderId="0" applyFont="0" applyFill="0" applyBorder="0" applyAlignment="0" applyProtection="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8" fillId="2" borderId="0" applyNumberFormat="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2"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3"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6"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7"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39"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40"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5"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26" fillId="41"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42"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39"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0"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5"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7"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8"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3"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4"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0" fontId="34" fillId="49" borderId="0" applyNumberFormat="0" applyBorder="0" applyAlignment="0" applyProtection="0"/>
    <xf numFmtId="166" fontId="35" fillId="0" borderId="0" applyFont="0" applyFill="0" applyBorder="0" applyAlignment="0" applyProtection="0">
      <alignment horizontal="right"/>
    </xf>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6" fillId="33" borderId="0" applyNumberFormat="0" applyBorder="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7" fillId="50" borderId="2"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0" fontId="38" fillId="51" borderId="3"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 fontId="35" fillId="0" borderId="0" applyFont="0" applyFill="0" applyBorder="0" applyAlignment="0" applyProtection="0">
      <alignment horizontal="right"/>
    </xf>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1" fillId="0" borderId="4"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2" fillId="0" borderId="5"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6"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4" fillId="37" borderId="2" applyNumberFormat="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0" fontId="45" fillId="0" borderId="7" applyNumberFormat="0" applyFill="0" applyAlignment="0" applyProtection="0"/>
    <xf numFmtId="14" fontId="30" fillId="0" borderId="0">
      <alignment horizontal="right"/>
    </xf>
    <xf numFmtId="14" fontId="30" fillId="0" borderId="0">
      <alignment horizontal="right"/>
    </xf>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46" fillId="52"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xf numFmtId="0" fontId="3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2"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26"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26"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3" fillId="31" borderId="1"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8" fillId="53" borderId="8" applyNumberFormat="0" applyFon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0" fontId="47" fillId="50" borderId="9" applyNumberFormat="0" applyAlignment="0" applyProtection="0"/>
    <xf numFmtId="9" fontId="8" fillId="0" borderId="0" applyFont="0" applyFill="0" applyBorder="0" applyAlignment="0" applyProtection="0"/>
    <xf numFmtId="174" fontId="35" fillId="0" borderId="0" applyFont="0" applyFill="0" applyBorder="0" applyAlignment="0" applyProtection="0">
      <alignment horizontal="right"/>
    </xf>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25" fillId="0" borderId="10"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1" fontId="35" fillId="0" borderId="0" applyFont="0" applyFill="0" applyBorder="0" applyAlignment="0" applyProtection="0">
      <alignment horizontal="right"/>
    </xf>
    <xf numFmtId="0" fontId="3" fillId="0" borderId="0"/>
    <xf numFmtId="0" fontId="3" fillId="0" borderId="0"/>
    <xf numFmtId="0" fontId="39" fillId="0" borderId="0"/>
    <xf numFmtId="0" fontId="3" fillId="0" borderId="0"/>
    <xf numFmtId="0" fontId="32" fillId="0" borderId="0"/>
    <xf numFmtId="43" fontId="3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2" fillId="0" borderId="0"/>
    <xf numFmtId="0" fontId="3" fillId="0" borderId="0"/>
    <xf numFmtId="0" fontId="3" fillId="0" borderId="0"/>
    <xf numFmtId="0" fontId="3" fillId="0" borderId="0"/>
    <xf numFmtId="0" fontId="39" fillId="0" borderId="0"/>
    <xf numFmtId="0" fontId="39" fillId="0" borderId="0"/>
    <xf numFmtId="0" fontId="32" fillId="0" borderId="0"/>
    <xf numFmtId="0" fontId="3" fillId="0" borderId="0"/>
    <xf numFmtId="0" fontId="3" fillId="0" borderId="0"/>
    <xf numFmtId="0" fontId="3" fillId="31" borderId="1" applyNumberFormat="0" applyFont="0" applyAlignment="0" applyProtection="0"/>
    <xf numFmtId="9" fontId="39" fillId="0" borderId="0" applyFont="0" applyFill="0" applyBorder="0" applyAlignment="0" applyProtection="0"/>
    <xf numFmtId="9" fontId="3" fillId="0" borderId="0" applyFont="0" applyFill="0" applyBorder="0" applyAlignment="0" applyProtection="0"/>
    <xf numFmtId="0" fontId="5" fillId="0" borderId="0"/>
    <xf numFmtId="0" fontId="5" fillId="0" borderId="0"/>
    <xf numFmtId="0" fontId="29"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5" fillId="0" borderId="0"/>
    <xf numFmtId="0" fontId="8" fillId="0" borderId="0"/>
    <xf numFmtId="0" fontId="2" fillId="0" borderId="0"/>
    <xf numFmtId="0" fontId="2" fillId="0" borderId="0"/>
    <xf numFmtId="0" fontId="8" fillId="0" borderId="0"/>
    <xf numFmtId="0" fontId="2" fillId="0" borderId="0"/>
    <xf numFmtId="0" fontId="8" fillId="2" borderId="0" applyNumberFormat="0" applyAlignment="0"/>
    <xf numFmtId="43" fontId="8" fillId="0" borderId="0" applyFont="0" applyFill="0" applyBorder="0" applyAlignment="0" applyProtection="0"/>
    <xf numFmtId="44" fontId="8" fillId="0" borderId="0" applyFont="0" applyFill="0" applyBorder="0" applyAlignment="0" applyProtection="0"/>
    <xf numFmtId="9" fontId="8"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8" fillId="0" borderId="0"/>
    <xf numFmtId="0" fontId="2" fillId="0" borderId="0"/>
    <xf numFmtId="0" fontId="50" fillId="0" borderId="0"/>
    <xf numFmtId="43" fontId="51" fillId="0" borderId="0" applyFont="0" applyFill="0" applyBorder="0" applyAlignment="0" applyProtection="0"/>
    <xf numFmtId="0" fontId="1" fillId="0" borderId="0"/>
    <xf numFmtId="43" fontId="1" fillId="0" borderId="0" applyFont="0" applyFill="0" applyBorder="0" applyAlignment="0" applyProtection="0"/>
  </cellStyleXfs>
  <cellXfs count="588">
    <xf numFmtId="0" fontId="0" fillId="0" borderId="0" xfId="0"/>
    <xf numFmtId="166" fontId="0" fillId="0" borderId="0" xfId="0" applyNumberFormat="1"/>
    <xf numFmtId="166" fontId="8" fillId="0" borderId="0" xfId="1" applyNumberFormat="1" applyAlignment="1">
      <alignment horizontal="center"/>
    </xf>
    <xf numFmtId="0" fontId="0" fillId="0" borderId="0" xfId="0" quotePrefix="1"/>
    <xf numFmtId="0" fontId="9" fillId="0" borderId="0" xfId="0" applyFont="1" applyAlignment="1" applyProtection="1">
      <alignment horizontal="center"/>
      <protection locked="0"/>
    </xf>
    <xf numFmtId="0" fontId="8" fillId="0" borderId="0" xfId="0" applyFont="1" applyAlignment="1" applyProtection="1">
      <alignment horizontal="left"/>
      <protection locked="0"/>
    </xf>
    <xf numFmtId="0" fontId="8" fillId="0" borderId="0" xfId="0" applyFont="1" applyProtection="1">
      <protection locked="0"/>
    </xf>
    <xf numFmtId="0" fontId="8" fillId="0" borderId="0" xfId="0" applyFont="1" applyAlignment="1" applyProtection="1">
      <alignment horizontal="center"/>
      <protection locked="0"/>
    </xf>
    <xf numFmtId="165" fontId="8" fillId="0" borderId="0" xfId="0" applyNumberFormat="1" applyFont="1" applyAlignment="1" applyProtection="1">
      <alignment horizontal="center"/>
      <protection locked="0"/>
    </xf>
    <xf numFmtId="164" fontId="8" fillId="0" borderId="0" xfId="0" applyNumberFormat="1" applyFont="1" applyProtection="1">
      <protection locked="0"/>
    </xf>
    <xf numFmtId="164" fontId="8" fillId="0" borderId="0" xfId="0" applyNumberFormat="1" applyFont="1" applyAlignment="1" applyProtection="1">
      <alignment horizontal="center"/>
      <protection locked="0"/>
    </xf>
    <xf numFmtId="14" fontId="8" fillId="0" borderId="0" xfId="0" applyNumberFormat="1" applyFont="1" applyProtection="1">
      <protection locked="0"/>
    </xf>
    <xf numFmtId="165" fontId="8" fillId="0" borderId="0" xfId="0" applyNumberFormat="1" applyFont="1" applyProtection="1">
      <protection locked="0"/>
    </xf>
    <xf numFmtId="0" fontId="8" fillId="0" borderId="0" xfId="0" applyFont="1"/>
    <xf numFmtId="165" fontId="8" fillId="0" borderId="0" xfId="0" applyNumberFormat="1" applyFont="1"/>
    <xf numFmtId="0" fontId="12" fillId="0" borderId="0" xfId="0" applyFont="1" applyAlignment="1" applyProtection="1">
      <alignment horizontal="right"/>
      <protection locked="0"/>
    </xf>
    <xf numFmtId="0" fontId="8" fillId="0" borderId="0" xfId="0" applyFont="1" applyAlignment="1" applyProtection="1">
      <alignment horizontal="center" wrapText="1"/>
      <protection locked="0"/>
    </xf>
    <xf numFmtId="165" fontId="8" fillId="0" borderId="0" xfId="0" applyNumberFormat="1" applyFont="1" applyAlignment="1" applyProtection="1">
      <alignment horizontal="center" wrapText="1"/>
      <protection locked="0"/>
    </xf>
    <xf numFmtId="0" fontId="8" fillId="0" borderId="0" xfId="0" quotePrefix="1" applyFont="1" applyAlignment="1" applyProtection="1">
      <alignment horizontal="left"/>
      <protection locked="0"/>
    </xf>
    <xf numFmtId="14" fontId="8" fillId="0" borderId="0" xfId="0" quotePrefix="1" applyNumberFormat="1" applyFont="1" applyAlignment="1" applyProtection="1">
      <alignment horizontal="left"/>
      <protection locked="0"/>
    </xf>
    <xf numFmtId="9" fontId="8" fillId="0" borderId="0" xfId="0" applyNumberFormat="1" applyFont="1" applyProtection="1">
      <protection locked="0"/>
    </xf>
    <xf numFmtId="3" fontId="8" fillId="0" borderId="0" xfId="0" applyNumberFormat="1" applyFont="1" applyProtection="1">
      <protection locked="0"/>
    </xf>
    <xf numFmtId="49" fontId="8" fillId="0" borderId="0" xfId="0" applyNumberFormat="1" applyFont="1" applyProtection="1">
      <protection locked="0"/>
    </xf>
    <xf numFmtId="14" fontId="8" fillId="0" borderId="0" xfId="0" applyNumberFormat="1" applyFont="1" applyAlignment="1" applyProtection="1">
      <alignment horizontal="left"/>
      <protection locked="0"/>
    </xf>
    <xf numFmtId="164" fontId="9" fillId="0" borderId="0" xfId="0" quotePrefix="1" applyNumberFormat="1" applyFont="1" applyAlignment="1" applyProtection="1">
      <alignment horizontal="center"/>
      <protection locked="0"/>
    </xf>
    <xf numFmtId="164" fontId="9" fillId="0" borderId="0" xfId="0" applyNumberFormat="1" applyFont="1" applyAlignment="1" applyProtection="1">
      <alignment horizontal="center"/>
      <protection locked="0"/>
    </xf>
    <xf numFmtId="0" fontId="9" fillId="0" borderId="0" xfId="0" applyFont="1" applyAlignment="1">
      <alignment horizontal="center"/>
    </xf>
    <xf numFmtId="0" fontId="13" fillId="0" borderId="0" xfId="0" applyFont="1" applyAlignment="1" applyProtection="1">
      <alignment horizontal="center"/>
      <protection locked="0"/>
    </xf>
    <xf numFmtId="0" fontId="8" fillId="0" borderId="0" xfId="0" applyFont="1" applyAlignment="1" applyProtection="1">
      <alignment horizontal="center" vertical="center" wrapText="1"/>
      <protection locked="0"/>
    </xf>
    <xf numFmtId="0" fontId="8" fillId="0" borderId="0" xfId="9" applyAlignment="1">
      <alignment horizontal="right"/>
    </xf>
    <xf numFmtId="0" fontId="8" fillId="5" borderId="0" xfId="0" applyFont="1" applyFill="1"/>
    <xf numFmtId="14" fontId="8" fillId="5" borderId="0" xfId="0" applyNumberFormat="1" applyFont="1" applyFill="1" applyAlignment="1">
      <alignment horizontal="right"/>
    </xf>
    <xf numFmtId="0" fontId="8" fillId="6" borderId="0" xfId="0" applyFont="1" applyFill="1"/>
    <xf numFmtId="14" fontId="8" fillId="6" borderId="0" xfId="0" applyNumberFormat="1" applyFont="1" applyFill="1"/>
    <xf numFmtId="0" fontId="8" fillId="7" borderId="0" xfId="0" applyFont="1" applyFill="1"/>
    <xf numFmtId="0" fontId="8" fillId="8" borderId="0" xfId="0" applyFont="1" applyFill="1"/>
    <xf numFmtId="165" fontId="8" fillId="8" borderId="0" xfId="0" applyNumberFormat="1" applyFont="1" applyFill="1"/>
    <xf numFmtId="0" fontId="8" fillId="9" borderId="0" xfId="0" applyFont="1" applyFill="1"/>
    <xf numFmtId="166" fontId="8" fillId="9" borderId="0" xfId="0" applyNumberFormat="1" applyFont="1" applyFill="1"/>
    <xf numFmtId="0" fontId="8" fillId="10" borderId="0" xfId="0" applyFont="1" applyFill="1"/>
    <xf numFmtId="14" fontId="8" fillId="10" borderId="0" xfId="0" applyNumberFormat="1" applyFont="1" applyFill="1"/>
    <xf numFmtId="0" fontId="11" fillId="0" borderId="0" xfId="0" applyFont="1"/>
    <xf numFmtId="0" fontId="11" fillId="0" borderId="0" xfId="0" applyFont="1" applyAlignment="1">
      <alignment horizontal="left"/>
    </xf>
    <xf numFmtId="169" fontId="8" fillId="0" borderId="0" xfId="0" applyNumberFormat="1" applyFont="1"/>
    <xf numFmtId="166" fontId="8" fillId="0" borderId="0" xfId="0" applyNumberFormat="1" applyFont="1"/>
    <xf numFmtId="0" fontId="8" fillId="0" borderId="0" xfId="0" applyFont="1" applyAlignment="1">
      <alignment horizontal="centerContinuous"/>
    </xf>
    <xf numFmtId="2" fontId="8" fillId="0" borderId="0" xfId="0" applyNumberFormat="1" applyFont="1"/>
    <xf numFmtId="0" fontId="8" fillId="0" borderId="0" xfId="0" applyFont="1" applyAlignment="1">
      <alignment horizontal="center"/>
    </xf>
    <xf numFmtId="0" fontId="0" fillId="0" borderId="0" xfId="0" applyAlignment="1">
      <alignment horizontal="center"/>
    </xf>
    <xf numFmtId="0" fontId="14" fillId="0" borderId="0" xfId="0" applyFont="1" applyAlignment="1" applyProtection="1">
      <alignment horizontal="center"/>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horizontal="center" vertical="center" wrapText="1"/>
      <protection locked="0"/>
    </xf>
    <xf numFmtId="0" fontId="11" fillId="0" borderId="0" xfId="0" applyFont="1" applyAlignment="1">
      <alignment horizontal="center" vertical="center" wrapText="1"/>
    </xf>
    <xf numFmtId="166" fontId="0" fillId="0" borderId="0" xfId="0" applyNumberFormat="1" applyAlignment="1">
      <alignment horizontal="center"/>
    </xf>
    <xf numFmtId="0" fontId="0" fillId="8" borderId="0" xfId="0" applyFill="1" applyAlignment="1">
      <alignment horizontal="center"/>
    </xf>
    <xf numFmtId="166" fontId="0" fillId="8" borderId="0" xfId="0" applyNumberFormat="1" applyFill="1" applyAlignment="1">
      <alignment horizontal="center"/>
    </xf>
    <xf numFmtId="0" fontId="0" fillId="14" borderId="0" xfId="0" applyFill="1" applyAlignment="1">
      <alignment horizontal="center"/>
    </xf>
    <xf numFmtId="166" fontId="0" fillId="14" borderId="0" xfId="0" applyNumberFormat="1" applyFill="1" applyAlignment="1">
      <alignment horizontal="center"/>
    </xf>
    <xf numFmtId="0" fontId="8" fillId="0" borderId="0" xfId="1" applyAlignment="1">
      <alignment horizontal="center"/>
    </xf>
    <xf numFmtId="0" fontId="9" fillId="0" borderId="0" xfId="1" applyFont="1" applyAlignment="1">
      <alignment horizontal="center"/>
    </xf>
    <xf numFmtId="0" fontId="8" fillId="4" borderId="0" xfId="0" applyFont="1" applyFill="1" applyAlignment="1">
      <alignment horizontal="center" vertical="center" wrapText="1"/>
    </xf>
    <xf numFmtId="14" fontId="8" fillId="4" borderId="0" xfId="0" applyNumberFormat="1" applyFont="1" applyFill="1" applyAlignment="1">
      <alignment horizontal="center" vertical="center" wrapText="1"/>
    </xf>
    <xf numFmtId="0" fontId="8" fillId="0" borderId="0" xfId="9" applyAlignment="1">
      <alignment horizontal="center" vertical="center" wrapText="1"/>
    </xf>
    <xf numFmtId="0" fontId="0" fillId="0" borderId="0" xfId="0" applyAlignment="1">
      <alignment horizontal="center" vertical="center" wrapText="1"/>
    </xf>
    <xf numFmtId="166" fontId="8" fillId="0" borderId="0" xfId="0" applyNumberFormat="1" applyFont="1" applyAlignment="1">
      <alignment horizontal="center" vertical="center" wrapText="1"/>
    </xf>
    <xf numFmtId="0" fontId="8" fillId="0" borderId="0" xfId="1" applyAlignment="1">
      <alignment horizontal="center" vertical="center" wrapText="1"/>
    </xf>
    <xf numFmtId="0" fontId="8" fillId="0" borderId="0" xfId="0" applyFont="1" applyAlignment="1" applyProtection="1">
      <alignment horizontal="right"/>
      <protection locked="0"/>
    </xf>
    <xf numFmtId="167" fontId="8" fillId="0" borderId="0" xfId="0" applyNumberFormat="1" applyFont="1" applyAlignment="1" applyProtection="1">
      <alignment horizontal="right"/>
      <protection locked="0"/>
    </xf>
    <xf numFmtId="168" fontId="8" fillId="0" borderId="0" xfId="0" applyNumberFormat="1" applyFont="1" applyAlignment="1" applyProtection="1">
      <alignment horizontal="right"/>
      <protection locked="0"/>
    </xf>
    <xf numFmtId="165" fontId="8" fillId="0" borderId="0" xfId="0" applyNumberFormat="1" applyFont="1" applyAlignment="1">
      <alignment horizontal="right"/>
    </xf>
    <xf numFmtId="164" fontId="14" fillId="0" borderId="0" xfId="0" applyNumberFormat="1" applyFont="1" applyAlignment="1" applyProtection="1">
      <alignment horizontal="center"/>
      <protection locked="0"/>
    </xf>
    <xf numFmtId="0" fontId="14" fillId="0" borderId="0" xfId="0" applyFont="1" applyAlignment="1" applyProtection="1">
      <alignment horizontal="center" wrapText="1"/>
      <protection locked="0"/>
    </xf>
    <xf numFmtId="0" fontId="16" fillId="0" borderId="0" xfId="0" applyFont="1" applyAlignment="1" applyProtection="1">
      <alignment horizontal="center"/>
      <protection locked="0"/>
    </xf>
    <xf numFmtId="164" fontId="16" fillId="0" borderId="0" xfId="0" applyNumberFormat="1" applyFont="1" applyAlignment="1" applyProtection="1">
      <alignment horizontal="center"/>
      <protection locked="0"/>
    </xf>
    <xf numFmtId="0" fontId="17" fillId="0" borderId="0" xfId="0" applyFont="1" applyAlignment="1" applyProtection="1">
      <alignment horizontal="center"/>
      <protection locked="0"/>
    </xf>
    <xf numFmtId="164" fontId="17" fillId="0" borderId="0" xfId="0" applyNumberFormat="1" applyFont="1" applyAlignment="1" applyProtection="1">
      <alignment horizontal="center"/>
      <protection locked="0"/>
    </xf>
    <xf numFmtId="0" fontId="18" fillId="0" borderId="0" xfId="0" applyFont="1" applyAlignment="1" applyProtection="1">
      <alignment horizontal="center"/>
      <protection locked="0"/>
    </xf>
    <xf numFmtId="164" fontId="18" fillId="0" borderId="0" xfId="0" applyNumberFormat="1" applyFont="1" applyAlignment="1" applyProtection="1">
      <alignment horizontal="center"/>
      <protection locked="0"/>
    </xf>
    <xf numFmtId="0" fontId="15" fillId="0" borderId="0" xfId="0" applyFont="1" applyAlignment="1" applyProtection="1">
      <alignment horizontal="center"/>
      <protection locked="0"/>
    </xf>
    <xf numFmtId="0" fontId="19" fillId="0" borderId="0" xfId="0" applyFont="1" applyProtection="1">
      <protection locked="0"/>
    </xf>
    <xf numFmtId="14" fontId="8" fillId="0" borderId="0" xfId="0" applyNumberFormat="1" applyFont="1" applyAlignment="1">
      <alignment horizontal="center" vertical="center" wrapText="1"/>
    </xf>
    <xf numFmtId="10" fontId="8" fillId="0" borderId="0" xfId="0" applyNumberFormat="1" applyFont="1" applyAlignment="1" applyProtection="1">
      <alignment horizontal="center"/>
      <protection locked="0"/>
    </xf>
    <xf numFmtId="0" fontId="14" fillId="0" borderId="0" xfId="0" applyFont="1"/>
    <xf numFmtId="0" fontId="21" fillId="0" borderId="0" xfId="0" applyFont="1" applyAlignment="1" applyProtection="1">
      <alignment horizontal="center"/>
      <protection locked="0"/>
    </xf>
    <xf numFmtId="0" fontId="20" fillId="0" borderId="0" xfId="0" applyFont="1" applyAlignment="1">
      <alignment horizontal="center"/>
    </xf>
    <xf numFmtId="0" fontId="22" fillId="0" borderId="0" xfId="0" applyFont="1" applyAlignment="1" applyProtection="1">
      <alignment horizontal="center" wrapText="1"/>
      <protection locked="0"/>
    </xf>
    <xf numFmtId="0" fontId="22" fillId="0" borderId="0" xfId="0" applyFont="1"/>
    <xf numFmtId="164" fontId="21" fillId="0" borderId="0" xfId="0" applyNumberFormat="1" applyFont="1" applyAlignment="1" applyProtection="1">
      <alignment horizontal="center"/>
      <protection locked="0"/>
    </xf>
    <xf numFmtId="0" fontId="8" fillId="0" borderId="0" xfId="0" quotePrefix="1" applyFont="1"/>
    <xf numFmtId="14" fontId="0" fillId="0" borderId="0" xfId="0" quotePrefix="1" applyNumberFormat="1"/>
    <xf numFmtId="170" fontId="0" fillId="0" borderId="0" xfId="0" applyNumberFormat="1"/>
    <xf numFmtId="14" fontId="0" fillId="0" borderId="0" xfId="0" applyNumberFormat="1"/>
    <xf numFmtId="165" fontId="14" fillId="0" borderId="0" xfId="0" applyNumberFormat="1" applyFont="1" applyAlignment="1" applyProtection="1">
      <alignment horizontal="center"/>
      <protection locked="0"/>
    </xf>
    <xf numFmtId="0" fontId="14" fillId="0" borderId="0" xfId="0" applyFont="1" applyAlignment="1">
      <alignment horizontal="center"/>
    </xf>
    <xf numFmtId="0" fontId="8" fillId="0" borderId="0" xfId="0" quotePrefix="1" applyFont="1" applyAlignment="1" applyProtection="1">
      <alignment horizontal="center"/>
      <protection locked="0"/>
    </xf>
    <xf numFmtId="0" fontId="8" fillId="18" borderId="0" xfId="0" applyFont="1" applyFill="1" applyProtection="1">
      <protection locked="0"/>
    </xf>
    <xf numFmtId="10" fontId="9" fillId="0" borderId="0" xfId="0" applyNumberFormat="1" applyFont="1" applyAlignment="1" applyProtection="1">
      <alignment horizontal="center"/>
      <protection locked="0"/>
    </xf>
    <xf numFmtId="10" fontId="8" fillId="0" borderId="0" xfId="0" applyNumberFormat="1" applyFont="1" applyProtection="1">
      <protection locked="0"/>
    </xf>
    <xf numFmtId="10" fontId="8" fillId="18" borderId="0" xfId="0" applyNumberFormat="1" applyFont="1" applyFill="1" applyProtection="1">
      <protection locked="0"/>
    </xf>
    <xf numFmtId="10" fontId="8" fillId="0" borderId="0" xfId="0" applyNumberFormat="1" applyFont="1" applyAlignment="1" applyProtection="1">
      <alignment horizontal="center" wrapText="1"/>
      <protection locked="0"/>
    </xf>
    <xf numFmtId="10" fontId="14" fillId="0" borderId="0" xfId="0" applyNumberFormat="1" applyFont="1" applyAlignment="1" applyProtection="1">
      <alignment horizontal="center"/>
      <protection locked="0"/>
    </xf>
    <xf numFmtId="9" fontId="8" fillId="0" borderId="0" xfId="10" applyFont="1" applyProtection="1">
      <protection locked="0"/>
    </xf>
    <xf numFmtId="0" fontId="11" fillId="11" borderId="0" xfId="0" applyFont="1" applyFill="1" applyAlignment="1" applyProtection="1">
      <alignment horizontal="center" vertical="center" wrapText="1"/>
      <protection locked="0"/>
    </xf>
    <xf numFmtId="0" fontId="11" fillId="10" borderId="0" xfId="0" applyFont="1" applyFill="1" applyAlignment="1" applyProtection="1">
      <alignment horizontal="center" vertical="center" wrapText="1"/>
      <protection locked="0"/>
    </xf>
    <xf numFmtId="10" fontId="11" fillId="8" borderId="0" xfId="0" applyNumberFormat="1" applyFont="1" applyFill="1" applyAlignment="1" applyProtection="1">
      <alignment horizontal="center" vertical="center" wrapText="1"/>
      <protection locked="0"/>
    </xf>
    <xf numFmtId="0" fontId="11" fillId="8" borderId="0" xfId="0" applyFont="1" applyFill="1" applyAlignment="1" applyProtection="1">
      <alignment horizontal="center" vertical="center" wrapText="1"/>
      <protection locked="0"/>
    </xf>
    <xf numFmtId="9" fontId="9" fillId="0" borderId="0" xfId="10" applyFont="1" applyAlignment="1" applyProtection="1">
      <alignment horizontal="center"/>
      <protection locked="0"/>
    </xf>
    <xf numFmtId="9" fontId="8" fillId="0" borderId="0" xfId="10" applyFont="1"/>
    <xf numFmtId="9" fontId="11" fillId="0" borderId="0" xfId="10" applyFont="1" applyAlignment="1" applyProtection="1">
      <alignment horizontal="center" vertical="center" wrapText="1"/>
      <protection locked="0"/>
    </xf>
    <xf numFmtId="9" fontId="8" fillId="0" borderId="0" xfId="10" applyFont="1" applyAlignment="1" applyProtection="1">
      <alignment horizontal="center" wrapText="1"/>
      <protection locked="0"/>
    </xf>
    <xf numFmtId="9" fontId="14" fillId="0" borderId="0" xfId="10" applyFont="1" applyAlignment="1" applyProtection="1">
      <alignment horizontal="center"/>
      <protection locked="0"/>
    </xf>
    <xf numFmtId="0" fontId="11" fillId="9" borderId="0" xfId="0" applyFont="1" applyFill="1" applyAlignment="1" applyProtection="1">
      <alignment horizontal="center"/>
      <protection locked="0"/>
    </xf>
    <xf numFmtId="0" fontId="11" fillId="0" borderId="0" xfId="0" applyFont="1" applyAlignment="1" applyProtection="1">
      <alignment horizontal="center"/>
      <protection locked="0"/>
    </xf>
    <xf numFmtId="0" fontId="8" fillId="0" borderId="0" xfId="10" applyNumberFormat="1" applyFont="1" applyProtection="1">
      <protection locked="0"/>
    </xf>
    <xf numFmtId="0" fontId="14" fillId="0" borderId="0" xfId="10" applyNumberFormat="1" applyFont="1" applyAlignment="1" applyProtection="1">
      <alignment horizontal="center"/>
      <protection locked="0"/>
    </xf>
    <xf numFmtId="0" fontId="8" fillId="0" borderId="0" xfId="10" applyNumberFormat="1" applyFont="1" applyAlignment="1" applyProtection="1">
      <alignment horizontal="center" wrapText="1"/>
      <protection locked="0"/>
    </xf>
    <xf numFmtId="165" fontId="8" fillId="0" borderId="0" xfId="10" applyNumberFormat="1" applyFont="1" applyProtection="1">
      <protection locked="0"/>
    </xf>
    <xf numFmtId="165" fontId="14" fillId="0" borderId="0" xfId="10" applyNumberFormat="1" applyFont="1" applyAlignment="1" applyProtection="1">
      <alignment horizontal="center"/>
      <protection locked="0"/>
    </xf>
    <xf numFmtId="165" fontId="8" fillId="0" borderId="0" xfId="10" applyNumberFormat="1" applyFont="1" applyAlignment="1" applyProtection="1">
      <alignment horizontal="center" wrapText="1"/>
      <protection locked="0"/>
    </xf>
    <xf numFmtId="0" fontId="8" fillId="0" borderId="0" xfId="0" applyFont="1" applyAlignment="1">
      <alignment horizontal="right"/>
    </xf>
    <xf numFmtId="14" fontId="9" fillId="0" borderId="0" xfId="0" applyNumberFormat="1" applyFont="1" applyAlignment="1" applyProtection="1">
      <alignment horizontal="center"/>
      <protection locked="0"/>
    </xf>
    <xf numFmtId="14" fontId="14" fillId="0" borderId="0" xfId="0" applyNumberFormat="1" applyFont="1" applyAlignment="1" applyProtection="1">
      <alignment horizontal="center"/>
      <protection locked="0"/>
    </xf>
    <xf numFmtId="14" fontId="14" fillId="0" borderId="0" xfId="0" applyNumberFormat="1" applyFont="1" applyAlignment="1">
      <alignment horizontal="center"/>
    </xf>
    <xf numFmtId="14" fontId="8" fillId="0" borderId="0" xfId="0" applyNumberFormat="1" applyFont="1" applyAlignment="1" applyProtection="1">
      <alignment horizontal="center" wrapText="1"/>
      <protection locked="0"/>
    </xf>
    <xf numFmtId="10" fontId="8" fillId="0" borderId="0" xfId="0" applyNumberFormat="1" applyFont="1" applyAlignment="1" applyProtection="1">
      <alignment horizontal="right"/>
      <protection locked="0"/>
    </xf>
    <xf numFmtId="14" fontId="8" fillId="0" borderId="0" xfId="0" applyNumberFormat="1" applyFont="1" applyAlignment="1" applyProtection="1">
      <alignment horizontal="right"/>
      <protection locked="0"/>
    </xf>
    <xf numFmtId="0" fontId="24" fillId="14" borderId="0" xfId="0" applyFont="1" applyFill="1" applyAlignment="1" applyProtection="1">
      <alignment horizontal="center"/>
      <protection locked="0"/>
    </xf>
    <xf numFmtId="0" fontId="24" fillId="0" borderId="0" xfId="0" applyFont="1" applyAlignment="1" applyProtection="1">
      <alignment horizontal="center"/>
      <protection locked="0"/>
    </xf>
    <xf numFmtId="0" fontId="24" fillId="22" borderId="0" xfId="0" applyFont="1" applyFill="1" applyAlignment="1" applyProtection="1">
      <alignment horizontal="center"/>
      <protection locked="0"/>
    </xf>
    <xf numFmtId="0" fontId="24" fillId="18" borderId="0" xfId="0" applyFont="1" applyFill="1" applyAlignment="1" applyProtection="1">
      <alignment horizontal="center"/>
      <protection locked="0"/>
    </xf>
    <xf numFmtId="10" fontId="24" fillId="18" borderId="0" xfId="0" applyNumberFormat="1" applyFont="1" applyFill="1" applyAlignment="1" applyProtection="1">
      <alignment horizontal="center"/>
      <protection locked="0"/>
    </xf>
    <xf numFmtId="9" fontId="24" fillId="0" borderId="0" xfId="10" applyFont="1" applyAlignment="1" applyProtection="1">
      <alignment horizontal="center" vertical="center" wrapText="1"/>
      <protection locked="0"/>
    </xf>
    <xf numFmtId="0" fontId="24" fillId="11" borderId="0" xfId="0" applyFont="1" applyFill="1" applyAlignment="1" applyProtection="1">
      <alignment horizontal="center" vertical="center" wrapText="1"/>
      <protection locked="0"/>
    </xf>
    <xf numFmtId="0" fontId="24" fillId="10" borderId="0" xfId="0" applyFont="1" applyFill="1" applyAlignment="1" applyProtection="1">
      <alignment horizontal="center" vertical="center" wrapText="1"/>
      <protection locked="0"/>
    </xf>
    <xf numFmtId="10" fontId="24" fillId="8" borderId="0" xfId="0" applyNumberFormat="1" applyFont="1" applyFill="1" applyAlignment="1" applyProtection="1">
      <alignment horizontal="center" vertical="center" wrapText="1"/>
      <protection locked="0"/>
    </xf>
    <xf numFmtId="0" fontId="24" fillId="8" borderId="0" xfId="0" applyFont="1" applyFill="1" applyAlignment="1" applyProtection="1">
      <alignment horizontal="center" vertical="center" wrapText="1"/>
      <protection locked="0"/>
    </xf>
    <xf numFmtId="0" fontId="24" fillId="9" borderId="0" xfId="0" applyFont="1" applyFill="1" applyAlignment="1" applyProtection="1">
      <alignment horizontal="center"/>
      <protection locked="0"/>
    </xf>
    <xf numFmtId="0" fontId="24" fillId="0" borderId="0" xfId="0" applyFont="1" applyAlignment="1">
      <alignment horizontal="center"/>
    </xf>
    <xf numFmtId="0" fontId="24" fillId="16" borderId="0" xfId="0" applyFont="1" applyFill="1" applyAlignment="1" applyProtection="1">
      <alignment horizontal="center"/>
      <protection locked="0"/>
    </xf>
    <xf numFmtId="0" fontId="24" fillId="24" borderId="0" xfId="0" applyFont="1" applyFill="1" applyAlignment="1" applyProtection="1">
      <alignment horizontal="center"/>
      <protection locked="0"/>
    </xf>
    <xf numFmtId="0" fontId="24" fillId="25" borderId="0" xfId="0" applyFont="1" applyFill="1" applyAlignment="1" applyProtection="1">
      <alignment horizontal="center"/>
      <protection locked="0"/>
    </xf>
    <xf numFmtId="0" fontId="24" fillId="24" borderId="0" xfId="17" applyFont="1" applyFill="1" applyAlignment="1" applyProtection="1">
      <alignment horizontal="center"/>
      <protection locked="0"/>
    </xf>
    <xf numFmtId="0" fontId="24" fillId="11" borderId="0" xfId="10" applyNumberFormat="1" applyFont="1" applyFill="1" applyAlignment="1" applyProtection="1">
      <alignment horizontal="center"/>
      <protection locked="0"/>
    </xf>
    <xf numFmtId="165" fontId="24" fillId="10" borderId="0" xfId="10" applyNumberFormat="1" applyFont="1" applyFill="1" applyAlignment="1" applyProtection="1">
      <alignment horizontal="center"/>
      <protection locked="0"/>
    </xf>
    <xf numFmtId="9" fontId="24" fillId="0" borderId="0" xfId="10" applyFont="1" applyAlignment="1" applyProtection="1">
      <alignment horizontal="center"/>
      <protection locked="0"/>
    </xf>
    <xf numFmtId="164" fontId="11" fillId="0" borderId="0" xfId="0" applyNumberFormat="1" applyFont="1" applyAlignment="1" applyProtection="1">
      <alignment horizontal="left" vertical="center" wrapText="1"/>
      <protection locked="0"/>
    </xf>
    <xf numFmtId="168" fontId="8" fillId="0" borderId="0" xfId="0" applyNumberFormat="1" applyFont="1" applyAlignment="1">
      <alignment horizontal="right"/>
    </xf>
    <xf numFmtId="0" fontId="24" fillId="22" borderId="0" xfId="17" applyFont="1" applyFill="1" applyAlignment="1" applyProtection="1">
      <alignment horizontal="center"/>
      <protection locked="0"/>
    </xf>
    <xf numFmtId="0" fontId="24" fillId="16" borderId="0" xfId="17" applyFont="1" applyFill="1" applyAlignment="1" applyProtection="1">
      <alignment horizontal="center"/>
      <protection locked="0"/>
    </xf>
    <xf numFmtId="0" fontId="24" fillId="25" borderId="0" xfId="17" applyFont="1" applyFill="1" applyAlignment="1" applyProtection="1">
      <alignment horizontal="center"/>
      <protection locked="0"/>
    </xf>
    <xf numFmtId="0" fontId="11" fillId="11" borderId="0" xfId="17" applyFont="1" applyFill="1" applyAlignment="1" applyProtection="1">
      <alignment horizontal="center" vertical="center" wrapText="1"/>
      <protection locked="0"/>
    </xf>
    <xf numFmtId="10" fontId="11" fillId="8" borderId="0" xfId="17" applyNumberFormat="1" applyFont="1" applyFill="1" applyAlignment="1" applyProtection="1">
      <alignment horizontal="center" vertical="center" wrapText="1"/>
      <protection locked="0"/>
    </xf>
    <xf numFmtId="0" fontId="11" fillId="10" borderId="0" xfId="17" applyFont="1" applyFill="1" applyAlignment="1" applyProtection="1">
      <alignment horizontal="center" vertical="center" wrapText="1"/>
      <protection locked="0"/>
    </xf>
    <xf numFmtId="0" fontId="11" fillId="9" borderId="0" xfId="17" applyFont="1" applyFill="1" applyAlignment="1" applyProtection="1">
      <alignment horizontal="center"/>
      <protection locked="0"/>
    </xf>
    <xf numFmtId="14" fontId="11" fillId="0" borderId="0" xfId="0" applyNumberFormat="1" applyFont="1" applyAlignment="1" applyProtection="1">
      <alignment horizontal="center" vertical="center" wrapText="1"/>
      <protection locked="0"/>
    </xf>
    <xf numFmtId="10" fontId="11" fillId="11" borderId="0" xfId="17" applyNumberFormat="1" applyFont="1" applyFill="1" applyAlignment="1" applyProtection="1">
      <alignment horizontal="center" vertical="center" wrapText="1"/>
      <protection locked="0"/>
    </xf>
    <xf numFmtId="10" fontId="8" fillId="7" borderId="0" xfId="10" applyNumberFormat="1" applyFont="1" applyFill="1"/>
    <xf numFmtId="14" fontId="8" fillId="27" borderId="0" xfId="0" applyNumberFormat="1" applyFont="1" applyFill="1" applyAlignment="1">
      <alignment horizontal="right"/>
    </xf>
    <xf numFmtId="0" fontId="8" fillId="27" borderId="0" xfId="0" applyFont="1" applyFill="1"/>
    <xf numFmtId="0" fontId="14" fillId="21" borderId="0" xfId="0" applyFont="1" applyFill="1" applyAlignment="1" applyProtection="1">
      <alignment horizontal="center"/>
      <protection locked="0"/>
    </xf>
    <xf numFmtId="0" fontId="9" fillId="21" borderId="0" xfId="0" applyFont="1" applyFill="1" applyAlignment="1" applyProtection="1">
      <alignment horizontal="center"/>
      <protection locked="0"/>
    </xf>
    <xf numFmtId="165" fontId="8" fillId="22" borderId="0" xfId="0" applyNumberFormat="1" applyFont="1" applyFill="1" applyProtection="1">
      <protection locked="0"/>
    </xf>
    <xf numFmtId="14" fontId="8" fillId="22" borderId="0" xfId="0" applyNumberFormat="1" applyFont="1" applyFill="1" applyProtection="1">
      <protection locked="0"/>
    </xf>
    <xf numFmtId="0" fontId="8" fillId="22" borderId="0" xfId="0" applyFont="1" applyFill="1" applyProtection="1">
      <protection locked="0"/>
    </xf>
    <xf numFmtId="4" fontId="8" fillId="0" borderId="0" xfId="0" applyNumberFormat="1" applyFont="1" applyAlignment="1" applyProtection="1">
      <alignment horizontal="right"/>
      <protection locked="0"/>
    </xf>
    <xf numFmtId="3" fontId="8" fillId="0" borderId="0" xfId="0" applyNumberFormat="1" applyFont="1" applyAlignment="1" applyProtection="1">
      <alignment horizontal="right"/>
      <protection locked="0"/>
    </xf>
    <xf numFmtId="0" fontId="8" fillId="21" borderId="0" xfId="1" applyFill="1" applyAlignment="1">
      <alignment horizontal="center" vertical="center" wrapText="1"/>
    </xf>
    <xf numFmtId="0" fontId="0" fillId="21" borderId="0" xfId="0" applyFill="1" applyAlignment="1">
      <alignment horizontal="center" vertical="center" wrapText="1"/>
    </xf>
    <xf numFmtId="0" fontId="8" fillId="21" borderId="0" xfId="1" applyFill="1" applyAlignment="1">
      <alignment horizontal="center"/>
    </xf>
    <xf numFmtId="0" fontId="0" fillId="21" borderId="0" xfId="0" applyFill="1"/>
    <xf numFmtId="0" fontId="0" fillId="8" borderId="0" xfId="0" applyFill="1" applyAlignment="1">
      <alignment horizontal="center" vertical="center" wrapText="1"/>
    </xf>
    <xf numFmtId="0" fontId="0" fillId="8" borderId="0" xfId="0" applyFill="1"/>
    <xf numFmtId="165" fontId="8" fillId="22" borderId="0" xfId="0" applyNumberFormat="1" applyFont="1" applyFill="1" applyAlignment="1" applyProtection="1">
      <alignment horizontal="right"/>
      <protection locked="0"/>
    </xf>
    <xf numFmtId="0" fontId="11" fillId="28" borderId="0" xfId="0" applyFont="1" applyFill="1" applyAlignment="1" applyProtection="1">
      <alignment horizontal="center"/>
      <protection locked="0"/>
    </xf>
    <xf numFmtId="164" fontId="9" fillId="28" borderId="0" xfId="0" quotePrefix="1" applyNumberFormat="1" applyFont="1" applyFill="1" applyAlignment="1" applyProtection="1">
      <alignment horizontal="center"/>
      <protection locked="0"/>
    </xf>
    <xf numFmtId="164" fontId="9" fillId="28" borderId="0" xfId="0" applyNumberFormat="1" applyFont="1" applyFill="1" applyAlignment="1" applyProtection="1">
      <alignment horizontal="center"/>
      <protection locked="0"/>
    </xf>
    <xf numFmtId="0" fontId="9" fillId="28" borderId="0" xfId="0" applyFont="1" applyFill="1" applyAlignment="1" applyProtection="1">
      <alignment horizontal="center"/>
      <protection locked="0"/>
    </xf>
    <xf numFmtId="14" fontId="9" fillId="28" borderId="0" xfId="0" applyNumberFormat="1" applyFont="1" applyFill="1" applyAlignment="1" applyProtection="1">
      <alignment horizontal="center"/>
      <protection locked="0"/>
    </xf>
    <xf numFmtId="165" fontId="9" fillId="28" borderId="0" xfId="0" applyNumberFormat="1" applyFont="1" applyFill="1" applyAlignment="1" applyProtection="1">
      <alignment horizontal="center"/>
      <protection locked="0"/>
    </xf>
    <xf numFmtId="10" fontId="9" fillId="28" borderId="0" xfId="0" applyNumberFormat="1" applyFont="1" applyFill="1" applyAlignment="1" applyProtection="1">
      <alignment horizontal="center"/>
      <protection locked="0"/>
    </xf>
    <xf numFmtId="0" fontId="9" fillId="28" borderId="0" xfId="0" applyFont="1" applyFill="1" applyAlignment="1">
      <alignment horizontal="center"/>
    </xf>
    <xf numFmtId="9" fontId="9" fillId="28" borderId="0" xfId="10" applyFont="1" applyFill="1" applyAlignment="1" applyProtection="1">
      <alignment horizontal="center"/>
      <protection locked="0"/>
    </xf>
    <xf numFmtId="0" fontId="11" fillId="5" borderId="0" xfId="0" applyFont="1" applyFill="1" applyAlignment="1" applyProtection="1">
      <alignment horizontal="center"/>
      <protection locked="0"/>
    </xf>
    <xf numFmtId="164" fontId="9" fillId="5" borderId="0" xfId="0" quotePrefix="1" applyNumberFormat="1" applyFont="1" applyFill="1" applyAlignment="1" applyProtection="1">
      <alignment horizontal="center"/>
      <protection locked="0"/>
    </xf>
    <xf numFmtId="164" fontId="9" fillId="5" borderId="0" xfId="0" applyNumberFormat="1" applyFont="1" applyFill="1" applyAlignment="1" applyProtection="1">
      <alignment horizontal="center"/>
      <protection locked="0"/>
    </xf>
    <xf numFmtId="0" fontId="9" fillId="5" borderId="0" xfId="0" applyFont="1" applyFill="1" applyAlignment="1" applyProtection="1">
      <alignment horizontal="center"/>
      <protection locked="0"/>
    </xf>
    <xf numFmtId="0" fontId="9" fillId="5" borderId="0" xfId="0" applyFont="1" applyFill="1" applyAlignment="1">
      <alignment horizontal="center"/>
    </xf>
    <xf numFmtId="14" fontId="9" fillId="5" borderId="0" xfId="0" applyNumberFormat="1" applyFont="1" applyFill="1" applyAlignment="1" applyProtection="1">
      <alignment horizontal="center"/>
      <protection locked="0"/>
    </xf>
    <xf numFmtId="165" fontId="9" fillId="5" borderId="0" xfId="0" applyNumberFormat="1" applyFont="1" applyFill="1" applyAlignment="1" applyProtection="1">
      <alignment horizontal="center"/>
      <protection locked="0"/>
    </xf>
    <xf numFmtId="0" fontId="8" fillId="5" borderId="0" xfId="0" applyFont="1" applyFill="1" applyProtection="1">
      <protection locked="0"/>
    </xf>
    <xf numFmtId="10" fontId="9" fillId="5" borderId="0" xfId="0" applyNumberFormat="1" applyFont="1" applyFill="1" applyAlignment="1" applyProtection="1">
      <alignment horizontal="center"/>
      <protection locked="0"/>
    </xf>
    <xf numFmtId="0" fontId="22" fillId="5" borderId="0" xfId="0" applyFont="1" applyFill="1" applyAlignment="1">
      <alignment horizontal="center"/>
    </xf>
    <xf numFmtId="165" fontId="22" fillId="5" borderId="0" xfId="0" applyNumberFormat="1" applyFont="1" applyFill="1" applyAlignment="1">
      <alignment horizontal="right"/>
    </xf>
    <xf numFmtId="168" fontId="22" fillId="5" borderId="0" xfId="0" applyNumberFormat="1" applyFont="1" applyFill="1" applyAlignment="1">
      <alignment horizontal="right"/>
    </xf>
    <xf numFmtId="0" fontId="11" fillId="6" borderId="0" xfId="0" applyFont="1" applyFill="1" applyAlignment="1" applyProtection="1">
      <alignment horizontal="center"/>
      <protection locked="0"/>
    </xf>
    <xf numFmtId="164" fontId="9" fillId="6" borderId="0" xfId="0" quotePrefix="1" applyNumberFormat="1" applyFont="1" applyFill="1" applyAlignment="1" applyProtection="1">
      <alignment horizontal="center"/>
      <protection locked="0"/>
    </xf>
    <xf numFmtId="164" fontId="9" fillId="6" borderId="0" xfId="0" applyNumberFormat="1" applyFont="1" applyFill="1" applyAlignment="1" applyProtection="1">
      <alignment horizontal="center"/>
      <protection locked="0"/>
    </xf>
    <xf numFmtId="0" fontId="9" fillId="6" borderId="0" xfId="0" applyFont="1" applyFill="1" applyAlignment="1" applyProtection="1">
      <alignment horizontal="center"/>
      <protection locked="0"/>
    </xf>
    <xf numFmtId="14" fontId="9" fillId="6" borderId="0" xfId="0" applyNumberFormat="1" applyFont="1" applyFill="1" applyAlignment="1" applyProtection="1">
      <alignment horizontal="center"/>
      <protection locked="0"/>
    </xf>
    <xf numFmtId="165" fontId="9" fillId="6" borderId="0" xfId="0" applyNumberFormat="1" applyFont="1" applyFill="1" applyAlignment="1" applyProtection="1">
      <alignment horizontal="center"/>
      <protection locked="0"/>
    </xf>
    <xf numFmtId="0" fontId="8" fillId="6" borderId="0" xfId="0" applyFont="1" applyFill="1" applyProtection="1">
      <protection locked="0"/>
    </xf>
    <xf numFmtId="10" fontId="9" fillId="6" borderId="0" xfId="0" applyNumberFormat="1" applyFont="1" applyFill="1" applyAlignment="1" applyProtection="1">
      <alignment horizontal="center"/>
      <protection locked="0"/>
    </xf>
    <xf numFmtId="0" fontId="11" fillId="7" borderId="0" xfId="0" applyFont="1" applyFill="1" applyAlignment="1" applyProtection="1">
      <alignment horizontal="center"/>
      <protection locked="0"/>
    </xf>
    <xf numFmtId="164" fontId="9" fillId="7" borderId="0" xfId="0" quotePrefix="1" applyNumberFormat="1" applyFont="1" applyFill="1" applyAlignment="1" applyProtection="1">
      <alignment horizontal="center"/>
      <protection locked="0"/>
    </xf>
    <xf numFmtId="164" fontId="9" fillId="7" borderId="0" xfId="0" applyNumberFormat="1" applyFont="1" applyFill="1" applyAlignment="1" applyProtection="1">
      <alignment horizontal="center"/>
      <protection locked="0"/>
    </xf>
    <xf numFmtId="0" fontId="9" fillId="7" borderId="0" xfId="0" applyFont="1" applyFill="1" applyAlignment="1" applyProtection="1">
      <alignment horizontal="center"/>
      <protection locked="0"/>
    </xf>
    <xf numFmtId="14" fontId="9" fillId="7" borderId="0" xfId="0" applyNumberFormat="1" applyFont="1" applyFill="1" applyAlignment="1" applyProtection="1">
      <alignment horizontal="center"/>
      <protection locked="0"/>
    </xf>
    <xf numFmtId="165" fontId="9" fillId="7" borderId="0" xfId="0" applyNumberFormat="1" applyFont="1" applyFill="1" applyAlignment="1" applyProtection="1">
      <alignment horizontal="center"/>
      <protection locked="0"/>
    </xf>
    <xf numFmtId="10" fontId="9" fillId="7" borderId="0" xfId="0" applyNumberFormat="1" applyFont="1" applyFill="1" applyAlignment="1" applyProtection="1">
      <alignment horizontal="center"/>
      <protection locked="0"/>
    </xf>
    <xf numFmtId="0" fontId="9" fillId="7" borderId="0" xfId="0" applyFont="1" applyFill="1" applyAlignment="1">
      <alignment horizontal="center"/>
    </xf>
    <xf numFmtId="0" fontId="11" fillId="8" borderId="0" xfId="0" applyFont="1" applyFill="1" applyAlignment="1" applyProtection="1">
      <alignment horizontal="center"/>
      <protection locked="0"/>
    </xf>
    <xf numFmtId="164" fontId="9" fillId="8" borderId="0" xfId="0" quotePrefix="1" applyNumberFormat="1" applyFont="1" applyFill="1" applyAlignment="1" applyProtection="1">
      <alignment horizontal="center"/>
      <protection locked="0"/>
    </xf>
    <xf numFmtId="164" fontId="9" fillId="8" borderId="0" xfId="0" applyNumberFormat="1" applyFont="1" applyFill="1" applyAlignment="1" applyProtection="1">
      <alignment horizontal="center"/>
      <protection locked="0"/>
    </xf>
    <xf numFmtId="0" fontId="9" fillId="8" borderId="0" xfId="0" applyFont="1" applyFill="1" applyAlignment="1" applyProtection="1">
      <alignment horizontal="center"/>
      <protection locked="0"/>
    </xf>
    <xf numFmtId="14" fontId="9" fillId="8" borderId="0" xfId="0" applyNumberFormat="1" applyFont="1" applyFill="1" applyAlignment="1" applyProtection="1">
      <alignment horizontal="center"/>
      <protection locked="0"/>
    </xf>
    <xf numFmtId="165" fontId="9" fillId="8" borderId="0" xfId="0" applyNumberFormat="1" applyFont="1" applyFill="1" applyAlignment="1" applyProtection="1">
      <alignment horizontal="center"/>
      <protection locked="0"/>
    </xf>
    <xf numFmtId="10" fontId="9" fillId="8" borderId="0" xfId="0" applyNumberFormat="1" applyFont="1" applyFill="1" applyAlignment="1" applyProtection="1">
      <alignment horizontal="center"/>
      <protection locked="0"/>
    </xf>
    <xf numFmtId="164" fontId="9" fillId="9" borderId="0" xfId="0" quotePrefix="1" applyNumberFormat="1" applyFont="1" applyFill="1" applyAlignment="1" applyProtection="1">
      <alignment horizontal="center"/>
      <protection locked="0"/>
    </xf>
    <xf numFmtId="164" fontId="9" fillId="9" borderId="0" xfId="0" applyNumberFormat="1" applyFont="1" applyFill="1" applyAlignment="1" applyProtection="1">
      <alignment horizontal="center"/>
      <protection locked="0"/>
    </xf>
    <xf numFmtId="0" fontId="9" fillId="9" borderId="0" xfId="0" applyFont="1" applyFill="1" applyAlignment="1" applyProtection="1">
      <alignment horizontal="center"/>
      <protection locked="0"/>
    </xf>
    <xf numFmtId="0" fontId="9" fillId="9" borderId="0" xfId="0" applyFont="1" applyFill="1" applyAlignment="1">
      <alignment horizontal="center"/>
    </xf>
    <xf numFmtId="14" fontId="9" fillId="9" borderId="0" xfId="0" applyNumberFormat="1" applyFont="1" applyFill="1" applyAlignment="1">
      <alignment horizontal="center"/>
    </xf>
    <xf numFmtId="14" fontId="9" fillId="9" borderId="0" xfId="0" applyNumberFormat="1" applyFont="1" applyFill="1" applyAlignment="1" applyProtection="1">
      <alignment horizontal="center"/>
      <protection locked="0"/>
    </xf>
    <xf numFmtId="165" fontId="9" fillId="9" borderId="0" xfId="0" applyNumberFormat="1" applyFont="1" applyFill="1" applyAlignment="1" applyProtection="1">
      <alignment horizontal="center"/>
      <protection locked="0"/>
    </xf>
    <xf numFmtId="10" fontId="9" fillId="9" borderId="0" xfId="0" applyNumberFormat="1" applyFont="1" applyFill="1" applyAlignment="1" applyProtection="1">
      <alignment horizontal="center"/>
      <protection locked="0"/>
    </xf>
    <xf numFmtId="0" fontId="11" fillId="10" borderId="0" xfId="0" applyFont="1" applyFill="1" applyAlignment="1" applyProtection="1">
      <alignment horizontal="center"/>
      <protection locked="0"/>
    </xf>
    <xf numFmtId="164" fontId="9" fillId="10" borderId="0" xfId="0" quotePrefix="1" applyNumberFormat="1" applyFont="1" applyFill="1" applyAlignment="1" applyProtection="1">
      <alignment horizontal="center"/>
      <protection locked="0"/>
    </xf>
    <xf numFmtId="164" fontId="9" fillId="10" borderId="0" xfId="0" applyNumberFormat="1" applyFont="1" applyFill="1" applyAlignment="1" applyProtection="1">
      <alignment horizontal="center"/>
      <protection locked="0"/>
    </xf>
    <xf numFmtId="0" fontId="9" fillId="10" borderId="0" xfId="0" applyFont="1" applyFill="1" applyAlignment="1" applyProtection="1">
      <alignment horizontal="center"/>
      <protection locked="0"/>
    </xf>
    <xf numFmtId="0" fontId="9" fillId="10" borderId="0" xfId="0" applyFont="1" applyFill="1" applyAlignment="1">
      <alignment horizontal="center"/>
    </xf>
    <xf numFmtId="14" fontId="9" fillId="10" borderId="0" xfId="0" applyNumberFormat="1" applyFont="1" applyFill="1" applyAlignment="1" applyProtection="1">
      <alignment horizontal="center"/>
      <protection locked="0"/>
    </xf>
    <xf numFmtId="165" fontId="14" fillId="10" borderId="0" xfId="0" applyNumberFormat="1" applyFont="1" applyFill="1" applyAlignment="1" applyProtection="1">
      <alignment horizontal="center"/>
      <protection locked="0"/>
    </xf>
    <xf numFmtId="10" fontId="9" fillId="10" borderId="0" xfId="0" applyNumberFormat="1" applyFont="1" applyFill="1" applyAlignment="1" applyProtection="1">
      <alignment horizontal="center"/>
      <protection locked="0"/>
    </xf>
    <xf numFmtId="9" fontId="9" fillId="10" borderId="0" xfId="10" applyFont="1" applyFill="1" applyAlignment="1" applyProtection="1">
      <alignment horizontal="center"/>
      <protection locked="0"/>
    </xf>
    <xf numFmtId="165" fontId="9" fillId="10" borderId="0" xfId="0" applyNumberFormat="1" applyFont="1" applyFill="1" applyAlignment="1" applyProtection="1">
      <alignment horizontal="center"/>
      <protection locked="0"/>
    </xf>
    <xf numFmtId="0" fontId="11" fillId="11" borderId="0" xfId="0" applyFont="1" applyFill="1" applyAlignment="1" applyProtection="1">
      <alignment horizontal="center"/>
      <protection locked="0"/>
    </xf>
    <xf numFmtId="164" fontId="9" fillId="11" borderId="0" xfId="0" quotePrefix="1" applyNumberFormat="1" applyFont="1" applyFill="1" applyAlignment="1" applyProtection="1">
      <alignment horizontal="center"/>
      <protection locked="0"/>
    </xf>
    <xf numFmtId="164" fontId="9" fillId="11" borderId="0" xfId="0" applyNumberFormat="1" applyFont="1" applyFill="1" applyAlignment="1" applyProtection="1">
      <alignment horizontal="center"/>
      <protection locked="0"/>
    </xf>
    <xf numFmtId="0" fontId="9" fillId="11" borderId="0" xfId="0" applyFont="1" applyFill="1" applyAlignment="1" applyProtection="1">
      <alignment horizontal="center"/>
      <protection locked="0"/>
    </xf>
    <xf numFmtId="14" fontId="9" fillId="11" borderId="0" xfId="0" applyNumberFormat="1" applyFont="1" applyFill="1" applyAlignment="1" applyProtection="1">
      <alignment horizontal="center"/>
      <protection locked="0"/>
    </xf>
    <xf numFmtId="0" fontId="0" fillId="11" borderId="0" xfId="0" applyFill="1"/>
    <xf numFmtId="0" fontId="8" fillId="11" borderId="0" xfId="0" applyFont="1" applyFill="1" applyProtection="1">
      <protection locked="0"/>
    </xf>
    <xf numFmtId="10" fontId="9" fillId="11" borderId="0" xfId="0" applyNumberFormat="1" applyFont="1" applyFill="1" applyAlignment="1" applyProtection="1">
      <alignment horizontal="center"/>
      <protection locked="0"/>
    </xf>
    <xf numFmtId="9" fontId="9" fillId="11" borderId="0" xfId="10" applyFont="1" applyFill="1" applyAlignment="1" applyProtection="1">
      <alignment horizontal="center"/>
      <protection locked="0"/>
    </xf>
    <xf numFmtId="165" fontId="9" fillId="11" borderId="0" xfId="0" applyNumberFormat="1" applyFont="1" applyFill="1" applyAlignment="1" applyProtection="1">
      <alignment horizontal="center"/>
      <protection locked="0"/>
    </xf>
    <xf numFmtId="0" fontId="9" fillId="11" borderId="0" xfId="0" applyFont="1" applyFill="1" applyAlignment="1">
      <alignment horizontal="center"/>
    </xf>
    <xf numFmtId="0" fontId="8" fillId="25" borderId="0" xfId="0" applyFont="1" applyFill="1" applyAlignment="1" applyProtection="1">
      <alignment horizontal="center"/>
      <protection locked="0"/>
    </xf>
    <xf numFmtId="170" fontId="8" fillId="0" borderId="0" xfId="0" applyNumberFormat="1" applyFont="1" applyProtection="1">
      <protection locked="0"/>
    </xf>
    <xf numFmtId="166" fontId="8" fillId="0" borderId="0" xfId="0" applyNumberFormat="1" applyFont="1" applyProtection="1">
      <protection locked="0"/>
    </xf>
    <xf numFmtId="4" fontId="8" fillId="0" borderId="0" xfId="0" applyNumberFormat="1" applyFont="1" applyProtection="1">
      <protection locked="0"/>
    </xf>
    <xf numFmtId="0" fontId="11" fillId="15" borderId="0" xfId="0" applyFont="1" applyFill="1" applyAlignment="1" applyProtection="1">
      <alignment horizontal="center" vertical="center"/>
      <protection locked="0"/>
    </xf>
    <xf numFmtId="0" fontId="11" fillId="12" borderId="0" xfId="0" applyFont="1" applyFill="1" applyAlignment="1" applyProtection="1">
      <alignment horizontal="center"/>
      <protection locked="0"/>
    </xf>
    <xf numFmtId="0" fontId="11" fillId="13" borderId="0" xfId="0" applyFont="1" applyFill="1" applyAlignment="1" applyProtection="1">
      <alignment horizontal="center"/>
      <protection locked="0"/>
    </xf>
    <xf numFmtId="0" fontId="11" fillId="3" borderId="0" xfId="0" applyFont="1" applyFill="1" applyAlignment="1" applyProtection="1">
      <alignment horizontal="center"/>
      <protection locked="0"/>
    </xf>
    <xf numFmtId="0" fontId="11" fillId="20" borderId="0" xfId="0" applyFont="1" applyFill="1" applyAlignment="1" applyProtection="1">
      <alignment horizontal="center"/>
      <protection locked="0"/>
    </xf>
    <xf numFmtId="0" fontId="11" fillId="22" borderId="0" xfId="17" applyFont="1" applyFill="1" applyAlignment="1" applyProtection="1">
      <alignment horizontal="center"/>
      <protection locked="0"/>
    </xf>
    <xf numFmtId="0" fontId="11" fillId="16" borderId="0" xfId="17" applyFont="1" applyFill="1" applyAlignment="1" applyProtection="1">
      <alignment horizontal="center"/>
      <protection locked="0"/>
    </xf>
    <xf numFmtId="0" fontId="11" fillId="17" borderId="0" xfId="17" applyFont="1" applyFill="1" applyAlignment="1" applyProtection="1">
      <alignment horizontal="center" vertical="center" wrapText="1"/>
      <protection locked="0"/>
    </xf>
    <xf numFmtId="165" fontId="11" fillId="14" borderId="0" xfId="17" applyNumberFormat="1" applyFont="1" applyFill="1" applyAlignment="1" applyProtection="1">
      <alignment horizontal="center" vertical="center" wrapText="1"/>
      <protection locked="0"/>
    </xf>
    <xf numFmtId="165" fontId="11" fillId="16" borderId="0" xfId="17" applyNumberFormat="1" applyFont="1" applyFill="1" applyAlignment="1" applyProtection="1">
      <alignment horizontal="center" vertical="center" wrapText="1"/>
      <protection locked="0"/>
    </xf>
    <xf numFmtId="0" fontId="11" fillId="24" borderId="0" xfId="17" applyFont="1" applyFill="1" applyAlignment="1" applyProtection="1">
      <alignment horizontal="center"/>
      <protection locked="0"/>
    </xf>
    <xf numFmtId="0" fontId="11" fillId="21" borderId="0" xfId="1" applyFont="1" applyFill="1" applyAlignment="1" applyProtection="1">
      <alignment horizontal="center"/>
      <protection locked="0"/>
    </xf>
    <xf numFmtId="0" fontId="11" fillId="5" borderId="0" xfId="1" applyFont="1" applyFill="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23" borderId="0" xfId="0" applyFont="1" applyFill="1" applyAlignment="1" applyProtection="1">
      <alignment horizontal="center" vertical="center" wrapText="1"/>
      <protection locked="0"/>
    </xf>
    <xf numFmtId="0" fontId="11" fillId="30" borderId="0" xfId="0" applyFont="1" applyFill="1" applyAlignment="1" applyProtection="1">
      <alignment horizontal="center" vertical="center"/>
      <protection locked="0"/>
    </xf>
    <xf numFmtId="0" fontId="11" fillId="29" borderId="0" xfId="17" applyFont="1" applyFill="1" applyAlignment="1" applyProtection="1">
      <alignment horizontal="center"/>
      <protection locked="0"/>
    </xf>
    <xf numFmtId="14" fontId="8" fillId="22" borderId="0" xfId="0" applyNumberFormat="1" applyFont="1" applyFill="1" applyAlignment="1" applyProtection="1">
      <alignment horizontal="center"/>
      <protection locked="0"/>
    </xf>
    <xf numFmtId="14" fontId="8" fillId="0" borderId="0" xfId="0" applyNumberFormat="1" applyFont="1" applyAlignment="1" applyProtection="1">
      <alignment horizontal="center"/>
      <protection locked="0"/>
    </xf>
    <xf numFmtId="1" fontId="8" fillId="0" borderId="0" xfId="0" quotePrefix="1" applyNumberFormat="1" applyFont="1" applyAlignment="1" applyProtection="1">
      <alignment horizontal="center"/>
      <protection locked="0"/>
    </xf>
    <xf numFmtId="167" fontId="8" fillId="0" borderId="0" xfId="0" applyNumberFormat="1" applyFont="1" applyProtection="1">
      <protection locked="0"/>
    </xf>
    <xf numFmtId="14" fontId="8" fillId="0" borderId="0" xfId="0" quotePrefix="1" applyNumberFormat="1" applyFont="1" applyAlignment="1" applyProtection="1">
      <alignment horizontal="center"/>
      <protection locked="0"/>
    </xf>
    <xf numFmtId="165" fontId="8" fillId="0" borderId="0" xfId="0" applyNumberFormat="1" applyFont="1" applyAlignment="1" applyProtection="1">
      <alignment horizontal="right"/>
      <protection locked="0"/>
    </xf>
    <xf numFmtId="1" fontId="8" fillId="0" borderId="0" xfId="0" applyNumberFormat="1" applyFont="1" applyAlignment="1" applyProtection="1">
      <alignment horizontal="center"/>
      <protection locked="0"/>
    </xf>
    <xf numFmtId="9" fontId="8" fillId="0" borderId="0" xfId="0" applyNumberFormat="1" applyFont="1" applyAlignment="1" applyProtection="1">
      <alignment horizontal="center"/>
      <protection locked="0"/>
    </xf>
    <xf numFmtId="3" fontId="8" fillId="0" borderId="0" xfId="0" applyNumberFormat="1" applyFont="1" applyAlignment="1" applyProtection="1">
      <alignment horizontal="center"/>
      <protection locked="0"/>
    </xf>
    <xf numFmtId="168" fontId="8" fillId="0" borderId="0" xfId="0" applyNumberFormat="1" applyFont="1" applyAlignment="1" applyProtection="1">
      <alignment horizontal="center"/>
      <protection locked="0"/>
    </xf>
    <xf numFmtId="166" fontId="8" fillId="0" borderId="0" xfId="0" quotePrefix="1" applyNumberFormat="1" applyFont="1" applyAlignment="1" applyProtection="1">
      <alignment horizontal="center"/>
      <protection locked="0"/>
    </xf>
    <xf numFmtId="166" fontId="8" fillId="0" borderId="0" xfId="0" applyNumberFormat="1" applyFont="1" applyAlignment="1" applyProtection="1">
      <alignment horizontal="right"/>
      <protection locked="0"/>
    </xf>
    <xf numFmtId="0" fontId="8" fillId="19" borderId="0" xfId="0" applyFont="1" applyFill="1" applyAlignment="1">
      <alignment horizontal="center"/>
    </xf>
    <xf numFmtId="164" fontId="11" fillId="16" borderId="0" xfId="0" applyNumberFormat="1" applyFont="1" applyFill="1" applyAlignment="1" applyProtection="1">
      <alignment horizontal="center" vertical="center"/>
      <protection locked="0"/>
    </xf>
    <xf numFmtId="172" fontId="8" fillId="0" borderId="0" xfId="10" applyNumberFormat="1" applyFont="1" applyProtection="1">
      <protection locked="0"/>
    </xf>
    <xf numFmtId="175" fontId="8" fillId="0" borderId="0" xfId="0" applyNumberFormat="1" applyFont="1" applyAlignment="1" applyProtection="1">
      <alignment horizontal="center"/>
      <protection locked="0"/>
    </xf>
    <xf numFmtId="166" fontId="8" fillId="0" borderId="0" xfId="0" applyNumberFormat="1" applyFont="1" applyAlignment="1" applyProtection="1">
      <alignment horizontal="center"/>
      <protection locked="0"/>
    </xf>
    <xf numFmtId="0" fontId="9" fillId="0" borderId="0" xfId="0" applyFont="1"/>
    <xf numFmtId="14" fontId="18" fillId="0" borderId="0" xfId="0" applyNumberFormat="1" applyFont="1" applyAlignment="1" applyProtection="1">
      <alignment horizontal="center"/>
      <protection locked="0"/>
    </xf>
    <xf numFmtId="0" fontId="24" fillId="0" borderId="0" xfId="17" applyFont="1" applyAlignment="1" applyProtection="1">
      <alignment horizontal="center"/>
      <protection locked="0"/>
    </xf>
    <xf numFmtId="14" fontId="24" fillId="0" borderId="0" xfId="0" applyNumberFormat="1" applyFont="1" applyAlignment="1" applyProtection="1">
      <alignment horizontal="center"/>
      <protection locked="0"/>
    </xf>
    <xf numFmtId="165" fontId="24" fillId="16" borderId="0" xfId="17" applyNumberFormat="1" applyFont="1" applyFill="1" applyAlignment="1" applyProtection="1">
      <alignment horizontal="center" vertical="center" wrapText="1"/>
      <protection locked="0"/>
    </xf>
    <xf numFmtId="0" fontId="8" fillId="56" borderId="0" xfId="0" applyFont="1" applyFill="1" applyAlignment="1">
      <alignment horizontal="center"/>
    </xf>
    <xf numFmtId="165" fontId="24" fillId="57" borderId="0" xfId="17" applyNumberFormat="1" applyFont="1" applyFill="1" applyAlignment="1" applyProtection="1">
      <alignment horizontal="center" vertical="center" wrapText="1"/>
      <protection locked="0"/>
    </xf>
    <xf numFmtId="168" fontId="8" fillId="0" borderId="0" xfId="0" applyNumberFormat="1" applyFont="1" applyProtection="1">
      <protection locked="0"/>
    </xf>
    <xf numFmtId="0" fontId="8" fillId="0" borderId="0" xfId="68"/>
    <xf numFmtId="0" fontId="9" fillId="58" borderId="0" xfId="68" applyFont="1" applyFill="1" applyAlignment="1">
      <alignment horizontal="left"/>
    </xf>
    <xf numFmtId="0" fontId="8" fillId="58" borderId="0" xfId="68" applyFill="1"/>
    <xf numFmtId="0" fontId="24" fillId="58" borderId="0" xfId="68" applyFont="1" applyFill="1" applyAlignment="1">
      <alignment horizontal="left"/>
    </xf>
    <xf numFmtId="0" fontId="8" fillId="58" borderId="12" xfId="68" applyFill="1" applyBorder="1" applyAlignment="1">
      <alignment horizontal="center"/>
    </xf>
    <xf numFmtId="176" fontId="8" fillId="58" borderId="13" xfId="68" applyNumberFormat="1" applyFill="1" applyBorder="1"/>
    <xf numFmtId="0" fontId="8" fillId="58" borderId="14" xfId="68" applyFill="1" applyBorder="1" applyAlignment="1">
      <alignment horizontal="center"/>
    </xf>
    <xf numFmtId="176" fontId="8" fillId="58" borderId="11" xfId="68" applyNumberFormat="1" applyFill="1" applyBorder="1"/>
    <xf numFmtId="165" fontId="8" fillId="30" borderId="0" xfId="0" applyNumberFormat="1" applyFont="1" applyFill="1" applyProtection="1">
      <protection locked="0"/>
    </xf>
    <xf numFmtId="165" fontId="8" fillId="30" borderId="0" xfId="0" applyNumberFormat="1" applyFont="1" applyFill="1" applyAlignment="1" applyProtection="1">
      <alignment horizontal="center"/>
      <protection locked="0"/>
    </xf>
    <xf numFmtId="9" fontId="8" fillId="0" borderId="0" xfId="10" applyFont="1" applyFill="1" applyProtection="1">
      <protection locked="0"/>
    </xf>
    <xf numFmtId="165" fontId="8" fillId="0" borderId="0" xfId="10" applyNumberFormat="1" applyFont="1" applyFill="1" applyProtection="1">
      <protection locked="0"/>
    </xf>
    <xf numFmtId="0" fontId="11" fillId="0" borderId="0" xfId="17" applyFont="1" applyAlignment="1" applyProtection="1">
      <alignment horizontal="center" vertical="center" wrapText="1"/>
      <protection locked="0"/>
    </xf>
    <xf numFmtId="0" fontId="24" fillId="17" borderId="0" xfId="17" applyFont="1" applyFill="1" applyAlignment="1" applyProtection="1">
      <alignment horizontal="center" vertical="center" wrapText="1"/>
      <protection locked="0"/>
    </xf>
    <xf numFmtId="0" fontId="9" fillId="21" borderId="0" xfId="0" applyFont="1" applyFill="1" applyAlignment="1">
      <alignment horizontal="center"/>
    </xf>
    <xf numFmtId="0" fontId="24" fillId="20" borderId="0" xfId="0" applyFont="1" applyFill="1" applyAlignment="1" applyProtection="1">
      <alignment horizontal="center" vertical="center" wrapText="1"/>
      <protection locked="0"/>
    </xf>
    <xf numFmtId="0" fontId="24" fillId="12" borderId="0" xfId="0" applyFont="1" applyFill="1" applyAlignment="1" applyProtection="1">
      <alignment horizontal="center" vertical="center" wrapText="1"/>
      <protection locked="0"/>
    </xf>
    <xf numFmtId="0" fontId="24" fillId="59" borderId="0" xfId="0" applyFont="1" applyFill="1" applyAlignment="1" applyProtection="1">
      <alignment horizontal="center" vertical="center" wrapText="1"/>
      <protection locked="0"/>
    </xf>
    <xf numFmtId="0" fontId="24" fillId="19" borderId="0" xfId="0" applyFont="1" applyFill="1" applyAlignment="1" applyProtection="1">
      <alignment horizontal="center" vertical="center" wrapText="1"/>
      <protection locked="0"/>
    </xf>
    <xf numFmtId="0" fontId="24" fillId="54" borderId="0" xfId="0" applyFont="1" applyFill="1" applyAlignment="1" applyProtection="1">
      <alignment horizontal="center" vertical="center" wrapText="1"/>
      <protection locked="0"/>
    </xf>
    <xf numFmtId="0" fontId="24" fillId="15" borderId="0" xfId="0" applyFont="1" applyFill="1" applyAlignment="1" applyProtection="1">
      <alignment horizontal="center" vertical="center" wrapText="1"/>
      <protection locked="0"/>
    </xf>
    <xf numFmtId="0" fontId="24" fillId="55" borderId="0" xfId="0" applyFont="1" applyFill="1" applyAlignment="1" applyProtection="1">
      <alignment horizontal="center" vertical="center" wrapText="1"/>
      <protection locked="0"/>
    </xf>
    <xf numFmtId="0" fontId="24" fillId="21" borderId="0" xfId="1" applyFont="1" applyFill="1" applyAlignment="1" applyProtection="1">
      <alignment horizontal="center"/>
      <protection locked="0"/>
    </xf>
    <xf numFmtId="0" fontId="8" fillId="21" borderId="0" xfId="0" applyFont="1" applyFill="1" applyAlignment="1" applyProtection="1">
      <alignment horizontal="center"/>
      <protection locked="0"/>
    </xf>
    <xf numFmtId="0" fontId="8" fillId="14" borderId="0" xfId="0" applyFont="1" applyFill="1" applyAlignment="1" applyProtection="1">
      <alignment horizontal="center"/>
      <protection locked="0"/>
    </xf>
    <xf numFmtId="0" fontId="8" fillId="60" borderId="0" xfId="0" applyFont="1" applyFill="1" applyAlignment="1" applyProtection="1">
      <alignment horizontal="center"/>
      <protection locked="0"/>
    </xf>
    <xf numFmtId="0" fontId="24" fillId="61" borderId="0" xfId="0" applyFont="1" applyFill="1" applyAlignment="1">
      <alignment horizontal="center"/>
    </xf>
    <xf numFmtId="165" fontId="24" fillId="23" borderId="0" xfId="17" applyNumberFormat="1" applyFont="1" applyFill="1" applyAlignment="1" applyProtection="1">
      <alignment horizontal="center" vertical="center" wrapText="1"/>
      <protection locked="0"/>
    </xf>
    <xf numFmtId="173" fontId="8" fillId="0" borderId="0" xfId="0" applyNumberFormat="1" applyFont="1" applyAlignment="1" applyProtection="1">
      <alignment horizontal="center"/>
      <protection locked="0"/>
    </xf>
    <xf numFmtId="167" fontId="8" fillId="0" borderId="0" xfId="10" applyNumberFormat="1" applyFont="1" applyFill="1" applyProtection="1">
      <protection locked="0"/>
    </xf>
    <xf numFmtId="0" fontId="0" fillId="22" borderId="0" xfId="0" applyFill="1"/>
    <xf numFmtId="0" fontId="24" fillId="19" borderId="0" xfId="0" applyFont="1" applyFill="1" applyAlignment="1" applyProtection="1">
      <alignment horizontal="center" vertical="center"/>
      <protection locked="0"/>
    </xf>
    <xf numFmtId="0" fontId="24" fillId="13" borderId="0" xfId="0" applyFont="1" applyFill="1" applyAlignment="1" applyProtection="1">
      <alignment horizontal="center"/>
      <protection locked="0"/>
    </xf>
    <xf numFmtId="0" fontId="24" fillId="3" borderId="0" xfId="0" applyFont="1" applyFill="1" applyAlignment="1" applyProtection="1">
      <alignment horizontal="center"/>
      <protection locked="0"/>
    </xf>
    <xf numFmtId="0" fontId="24" fillId="12" borderId="0" xfId="17" applyFont="1" applyFill="1" applyAlignment="1" applyProtection="1">
      <alignment horizontal="center" vertical="center" wrapText="1"/>
      <protection locked="0"/>
    </xf>
    <xf numFmtId="0" fontId="24" fillId="0" borderId="0" xfId="17" applyFont="1" applyAlignment="1" applyProtection="1">
      <alignment horizontal="center" vertical="center" wrapText="1"/>
      <protection locked="0"/>
    </xf>
    <xf numFmtId="0" fontId="24" fillId="61" borderId="0" xfId="0" applyFont="1" applyFill="1" applyAlignment="1" applyProtection="1">
      <alignment horizontal="center"/>
      <protection locked="0"/>
    </xf>
    <xf numFmtId="177" fontId="8" fillId="0" borderId="0" xfId="0" applyNumberFormat="1" applyFont="1" applyAlignment="1" applyProtection="1">
      <alignment horizontal="center"/>
      <protection locked="0"/>
    </xf>
    <xf numFmtId="165" fontId="8" fillId="25" borderId="0" xfId="0" applyNumberFormat="1" applyFont="1" applyFill="1" applyProtection="1">
      <protection locked="0"/>
    </xf>
    <xf numFmtId="165" fontId="11" fillId="11" borderId="0" xfId="0" applyNumberFormat="1" applyFont="1" applyFill="1" applyAlignment="1" applyProtection="1">
      <alignment horizontal="center" vertical="center" wrapText="1"/>
      <protection locked="0"/>
    </xf>
    <xf numFmtId="165" fontId="11" fillId="0" borderId="0" xfId="0" applyNumberFormat="1" applyFont="1" applyAlignment="1" applyProtection="1">
      <alignment horizontal="center" vertical="center"/>
      <protection locked="0"/>
    </xf>
    <xf numFmtId="14" fontId="8" fillId="21" borderId="0" xfId="0" quotePrefix="1" applyNumberFormat="1" applyFont="1" applyFill="1" applyAlignment="1" applyProtection="1">
      <alignment horizontal="left"/>
      <protection locked="0"/>
    </xf>
    <xf numFmtId="165" fontId="11" fillId="21" borderId="0" xfId="0" applyNumberFormat="1" applyFont="1" applyFill="1" applyAlignment="1" applyProtection="1">
      <alignment horizontal="center" vertical="center" wrapText="1"/>
      <protection locked="0"/>
    </xf>
    <xf numFmtId="0" fontId="8" fillId="21" borderId="0" xfId="0" applyFont="1" applyFill="1"/>
    <xf numFmtId="0" fontId="8" fillId="21" borderId="0" xfId="0" applyFont="1" applyFill="1" applyProtection="1">
      <protection locked="0"/>
    </xf>
    <xf numFmtId="0" fontId="9" fillId="12" borderId="0" xfId="0" applyFont="1" applyFill="1" applyAlignment="1" applyProtection="1">
      <alignment horizontal="center"/>
      <protection locked="0"/>
    </xf>
    <xf numFmtId="14" fontId="0" fillId="12" borderId="0" xfId="0" applyNumberFormat="1" applyFill="1"/>
    <xf numFmtId="14" fontId="8" fillId="12" borderId="0" xfId="0" quotePrefix="1" applyNumberFormat="1" applyFont="1" applyFill="1" applyAlignment="1" applyProtection="1">
      <alignment horizontal="left"/>
      <protection locked="0"/>
    </xf>
    <xf numFmtId="165" fontId="11" fillId="12" borderId="0" xfId="0" applyNumberFormat="1" applyFont="1" applyFill="1" applyAlignment="1" applyProtection="1">
      <alignment horizontal="center" vertical="center" wrapText="1"/>
      <protection locked="0"/>
    </xf>
    <xf numFmtId="0" fontId="8" fillId="12" borderId="0" xfId="0" applyFont="1" applyFill="1"/>
    <xf numFmtId="0" fontId="8" fillId="12" borderId="0" xfId="0" applyFont="1" applyFill="1" applyProtection="1">
      <protection locked="0"/>
    </xf>
    <xf numFmtId="0" fontId="14" fillId="12" borderId="0" xfId="0" applyFont="1" applyFill="1" applyAlignment="1" applyProtection="1">
      <alignment horizontal="center"/>
      <protection locked="0"/>
    </xf>
    <xf numFmtId="14" fontId="0" fillId="21" borderId="0" xfId="0" applyNumberFormat="1" applyFill="1"/>
    <xf numFmtId="0" fontId="24" fillId="62" borderId="0" xfId="0" applyFont="1" applyFill="1" applyAlignment="1" applyProtection="1">
      <alignment horizontal="center"/>
      <protection locked="0"/>
    </xf>
    <xf numFmtId="0" fontId="24" fillId="26" borderId="0" xfId="14" applyFont="1" applyFill="1" applyAlignment="1">
      <alignment horizontal="center"/>
    </xf>
    <xf numFmtId="0" fontId="24" fillId="12" borderId="0" xfId="0" applyFont="1" applyFill="1" applyAlignment="1" applyProtection="1">
      <alignment horizontal="center"/>
      <protection locked="0"/>
    </xf>
    <xf numFmtId="0" fontId="24" fillId="21" borderId="0" xfId="0" applyFont="1" applyFill="1" applyAlignment="1" applyProtection="1">
      <alignment horizontal="center"/>
      <protection locked="0"/>
    </xf>
    <xf numFmtId="0" fontId="24" fillId="5" borderId="0" xfId="1" applyFont="1" applyFill="1" applyAlignment="1" applyProtection="1">
      <alignment horizontal="center" vertical="center" wrapText="1"/>
      <protection locked="0"/>
    </xf>
    <xf numFmtId="0" fontId="24" fillId="0" borderId="0" xfId="0" applyFont="1" applyAlignment="1" applyProtection="1">
      <alignment horizontal="center" vertical="center"/>
      <protection locked="0"/>
    </xf>
    <xf numFmtId="0" fontId="24" fillId="63" borderId="0" xfId="0" applyFont="1" applyFill="1" applyAlignment="1" applyProtection="1">
      <alignment horizontal="center"/>
      <protection locked="0"/>
    </xf>
    <xf numFmtId="0" fontId="24" fillId="29" borderId="0" xfId="0" applyFont="1" applyFill="1" applyAlignment="1" applyProtection="1">
      <alignment horizontal="center"/>
      <protection locked="0"/>
    </xf>
    <xf numFmtId="166" fontId="8" fillId="22" borderId="0" xfId="0" applyNumberFormat="1" applyFont="1" applyFill="1" applyAlignment="1" applyProtection="1">
      <alignment horizontal="center"/>
      <protection locked="0"/>
    </xf>
    <xf numFmtId="178" fontId="8" fillId="22" borderId="0" xfId="10" applyNumberFormat="1" applyFont="1" applyFill="1" applyProtection="1">
      <protection locked="0"/>
    </xf>
    <xf numFmtId="171" fontId="8" fillId="0" borderId="0" xfId="54820" applyNumberFormat="1" applyFont="1" applyProtection="1">
      <protection locked="0"/>
    </xf>
    <xf numFmtId="0" fontId="8" fillId="22" borderId="0" xfId="10" applyNumberFormat="1" applyFont="1" applyFill="1" applyProtection="1">
      <protection locked="0"/>
    </xf>
    <xf numFmtId="167" fontId="8" fillId="22" borderId="0" xfId="10" applyNumberFormat="1" applyFont="1" applyFill="1" applyProtection="1">
      <protection locked="0"/>
    </xf>
    <xf numFmtId="0" fontId="11" fillId="57" borderId="0" xfId="0" applyFont="1" applyFill="1" applyAlignment="1" applyProtection="1">
      <alignment horizontal="center" vertical="center" wrapText="1"/>
      <protection locked="0"/>
    </xf>
    <xf numFmtId="0" fontId="11" fillId="25" borderId="0" xfId="0" applyFont="1" applyFill="1" applyAlignment="1" applyProtection="1">
      <alignment horizontal="center"/>
      <protection locked="0"/>
    </xf>
    <xf numFmtId="0" fontId="11" fillId="0" borderId="0" xfId="0" applyFont="1" applyProtection="1">
      <protection locked="0"/>
    </xf>
    <xf numFmtId="165" fontId="8" fillId="22" borderId="0" xfId="54820" applyNumberFormat="1" applyFont="1" applyFill="1" applyProtection="1">
      <protection locked="0"/>
    </xf>
    <xf numFmtId="0" fontId="11" fillId="18" borderId="0" xfId="0" applyFont="1" applyFill="1" applyAlignment="1" applyProtection="1">
      <alignment horizontal="center"/>
      <protection locked="0"/>
    </xf>
    <xf numFmtId="10" fontId="11" fillId="18" borderId="0" xfId="0" applyNumberFormat="1" applyFont="1" applyFill="1" applyAlignment="1" applyProtection="1">
      <alignment horizontal="center"/>
      <protection locked="0"/>
    </xf>
    <xf numFmtId="165" fontId="11" fillId="57" borderId="0" xfId="17" applyNumberFormat="1" applyFont="1" applyFill="1" applyAlignment="1" applyProtection="1">
      <alignment horizontal="center" vertical="center" wrapText="1"/>
      <protection locked="0"/>
    </xf>
    <xf numFmtId="165" fontId="11" fillId="0" borderId="0" xfId="0" applyNumberFormat="1" applyFont="1" applyProtection="1">
      <protection locked="0"/>
    </xf>
    <xf numFmtId="167" fontId="8" fillId="22" borderId="0" xfId="0" applyNumberFormat="1" applyFont="1" applyFill="1" applyProtection="1">
      <protection locked="0"/>
    </xf>
    <xf numFmtId="3" fontId="8" fillId="22" borderId="0" xfId="0" applyNumberFormat="1" applyFont="1" applyFill="1" applyProtection="1">
      <protection locked="0"/>
    </xf>
    <xf numFmtId="4" fontId="8" fillId="22" borderId="0" xfId="0" applyNumberFormat="1" applyFont="1" applyFill="1" applyAlignment="1" applyProtection="1">
      <alignment horizontal="right"/>
      <protection locked="0"/>
    </xf>
    <xf numFmtId="165" fontId="8" fillId="22" borderId="0" xfId="10" applyNumberFormat="1" applyFont="1" applyFill="1" applyProtection="1">
      <protection locked="0"/>
    </xf>
    <xf numFmtId="4" fontId="8" fillId="22" borderId="0" xfId="0" applyNumberFormat="1" applyFont="1" applyFill="1" applyAlignment="1" applyProtection="1">
      <alignment horizontal="center"/>
      <protection locked="0"/>
    </xf>
    <xf numFmtId="4" fontId="8" fillId="22" borderId="0" xfId="10" applyNumberFormat="1" applyFont="1" applyFill="1" applyProtection="1">
      <protection locked="0"/>
    </xf>
    <xf numFmtId="0" fontId="11" fillId="0" borderId="0" xfId="0" quotePrefix="1" applyFont="1" applyAlignment="1" applyProtection="1">
      <alignment horizontal="left"/>
      <protection locked="0"/>
    </xf>
    <xf numFmtId="0" fontId="11" fillId="0" borderId="0" xfId="0" applyFont="1" applyAlignment="1" applyProtection="1">
      <alignment horizontal="left"/>
      <protection locked="0"/>
    </xf>
    <xf numFmtId="14" fontId="11" fillId="0" borderId="0" xfId="0" applyNumberFormat="1" applyFont="1" applyProtection="1">
      <protection locked="0"/>
    </xf>
    <xf numFmtId="14" fontId="11" fillId="0" borderId="0" xfId="0" quotePrefix="1" applyNumberFormat="1" applyFont="1" applyAlignment="1" applyProtection="1">
      <alignment horizontal="left"/>
      <protection locked="0"/>
    </xf>
    <xf numFmtId="14" fontId="11" fillId="0" borderId="0" xfId="0" applyNumberFormat="1" applyFont="1" applyAlignment="1" applyProtection="1">
      <alignment horizontal="center"/>
      <protection locked="0"/>
    </xf>
    <xf numFmtId="167" fontId="11" fillId="0" borderId="0" xfId="0" applyNumberFormat="1" applyFont="1" applyProtection="1">
      <protection locked="0"/>
    </xf>
    <xf numFmtId="9" fontId="11" fillId="0" borderId="0" xfId="0" applyNumberFormat="1" applyFont="1" applyProtection="1">
      <protection locked="0"/>
    </xf>
    <xf numFmtId="1" fontId="11" fillId="0" borderId="0" xfId="0" applyNumberFormat="1" applyFont="1" applyAlignment="1" applyProtection="1">
      <alignment horizontal="center"/>
      <protection locked="0"/>
    </xf>
    <xf numFmtId="168" fontId="11" fillId="0" borderId="0" xfId="0" applyNumberFormat="1" applyFont="1" applyAlignment="1" applyProtection="1">
      <alignment horizontal="center"/>
      <protection locked="0"/>
    </xf>
    <xf numFmtId="0" fontId="11" fillId="0" borderId="0" xfId="10" applyNumberFormat="1" applyFont="1" applyProtection="1">
      <protection locked="0"/>
    </xf>
    <xf numFmtId="9" fontId="11" fillId="0" borderId="0" xfId="10" applyFont="1" applyProtection="1">
      <protection locked="0"/>
    </xf>
    <xf numFmtId="165" fontId="11" fillId="0" borderId="0" xfId="10" applyNumberFormat="1" applyFont="1" applyProtection="1">
      <protection locked="0"/>
    </xf>
    <xf numFmtId="165" fontId="11" fillId="0" borderId="0" xfId="0" applyNumberFormat="1" applyFont="1" applyAlignment="1" applyProtection="1">
      <alignment horizontal="center"/>
      <protection locked="0"/>
    </xf>
    <xf numFmtId="3" fontId="11" fillId="0" borderId="0" xfId="0" applyNumberFormat="1" applyFont="1" applyAlignment="1" applyProtection="1">
      <alignment horizontal="center"/>
      <protection locked="0"/>
    </xf>
    <xf numFmtId="165" fontId="11" fillId="0" borderId="0" xfId="0" applyNumberFormat="1" applyFont="1"/>
    <xf numFmtId="10" fontId="11" fillId="0" borderId="0" xfId="0" applyNumberFormat="1" applyFont="1" applyProtection="1">
      <protection locked="0"/>
    </xf>
    <xf numFmtId="0" fontId="52" fillId="0" borderId="0" xfId="0" applyFont="1" applyAlignment="1" applyProtection="1">
      <alignment horizontal="center"/>
      <protection locked="0"/>
    </xf>
    <xf numFmtId="165" fontId="11" fillId="30" borderId="0" xfId="0" applyNumberFormat="1" applyFont="1" applyFill="1" applyAlignment="1" applyProtection="1">
      <alignment horizontal="center"/>
      <protection locked="0"/>
    </xf>
    <xf numFmtId="0" fontId="9" fillId="11" borderId="0" xfId="10" applyNumberFormat="1" applyFont="1" applyFill="1" applyAlignment="1" applyProtection="1">
      <alignment horizontal="center"/>
      <protection locked="0"/>
    </xf>
    <xf numFmtId="165" fontId="9" fillId="11" borderId="0" xfId="10" applyNumberFormat="1" applyFont="1" applyFill="1" applyAlignment="1" applyProtection="1">
      <alignment horizontal="center"/>
      <protection locked="0"/>
    </xf>
    <xf numFmtId="0" fontId="9" fillId="10" borderId="0" xfId="10" applyNumberFormat="1" applyFont="1" applyFill="1" applyAlignment="1" applyProtection="1">
      <alignment horizontal="center"/>
      <protection locked="0"/>
    </xf>
    <xf numFmtId="165" fontId="9" fillId="10" borderId="0" xfId="10" applyNumberFormat="1" applyFont="1" applyFill="1" applyAlignment="1" applyProtection="1">
      <alignment horizontal="center"/>
      <protection locked="0"/>
    </xf>
    <xf numFmtId="0" fontId="9" fillId="28" borderId="0" xfId="10" applyNumberFormat="1" applyFont="1" applyFill="1" applyAlignment="1" applyProtection="1">
      <alignment horizontal="center"/>
      <protection locked="0"/>
    </xf>
    <xf numFmtId="165" fontId="9" fillId="28" borderId="0" xfId="10" applyNumberFormat="1" applyFont="1" applyFill="1" applyAlignment="1" applyProtection="1">
      <alignment horizontal="center"/>
      <protection locked="0"/>
    </xf>
    <xf numFmtId="0" fontId="0" fillId="10" borderId="0" xfId="0" applyFill="1"/>
    <xf numFmtId="9" fontId="9" fillId="0" borderId="0" xfId="12" applyFont="1" applyAlignment="1" applyProtection="1">
      <alignment horizontal="center"/>
      <protection locked="0"/>
    </xf>
    <xf numFmtId="165" fontId="0" fillId="0" borderId="0" xfId="0" applyNumberFormat="1"/>
    <xf numFmtId="10" fontId="0" fillId="0" borderId="0" xfId="0" applyNumberFormat="1"/>
    <xf numFmtId="9" fontId="8" fillId="0" borderId="0" xfId="12" applyProtection="1">
      <protection locked="0"/>
    </xf>
    <xf numFmtId="165" fontId="8" fillId="0" borderId="0" xfId="12" applyNumberFormat="1" applyProtection="1">
      <protection locked="0"/>
    </xf>
    <xf numFmtId="172" fontId="8" fillId="0" borderId="0" xfId="12" applyNumberFormat="1" applyProtection="1">
      <protection locked="0"/>
    </xf>
    <xf numFmtId="167" fontId="8" fillId="0" borderId="0" xfId="12" applyNumberFormat="1" applyProtection="1">
      <protection locked="0"/>
    </xf>
    <xf numFmtId="9" fontId="8" fillId="0" borderId="0" xfId="12"/>
    <xf numFmtId="9" fontId="24" fillId="0" borderId="0" xfId="12" applyFont="1" applyAlignment="1" applyProtection="1">
      <alignment horizontal="center" vertical="center" wrapText="1"/>
      <protection locked="0"/>
    </xf>
    <xf numFmtId="9" fontId="8" fillId="0" borderId="0" xfId="12" applyAlignment="1" applyProtection="1">
      <alignment horizontal="center" wrapText="1"/>
      <protection locked="0"/>
    </xf>
    <xf numFmtId="9" fontId="14" fillId="0" borderId="0" xfId="12" applyFont="1" applyAlignment="1" applyProtection="1">
      <alignment horizontal="center"/>
      <protection locked="0"/>
    </xf>
    <xf numFmtId="9" fontId="11" fillId="0" borderId="0" xfId="12" applyFont="1" applyAlignment="1" applyProtection="1">
      <alignment horizontal="center" vertical="center" wrapText="1"/>
      <protection locked="0"/>
    </xf>
    <xf numFmtId="10" fontId="9" fillId="11" borderId="0" xfId="12" applyNumberFormat="1" applyFont="1" applyFill="1" applyAlignment="1" applyProtection="1">
      <alignment horizontal="center"/>
      <protection locked="0"/>
    </xf>
    <xf numFmtId="14" fontId="8" fillId="11" borderId="0" xfId="0" applyNumberFormat="1" applyFont="1" applyFill="1" applyAlignment="1" applyProtection="1">
      <alignment horizontal="center"/>
      <protection locked="0"/>
    </xf>
    <xf numFmtId="9" fontId="9" fillId="11" borderId="0" xfId="12" applyFont="1" applyFill="1" applyAlignment="1" applyProtection="1">
      <alignment horizontal="center"/>
      <protection locked="0"/>
    </xf>
    <xf numFmtId="172" fontId="8" fillId="0" borderId="0" xfId="0" applyNumberFormat="1" applyFont="1" applyAlignment="1" applyProtection="1">
      <alignment horizontal="right"/>
      <protection locked="0"/>
    </xf>
    <xf numFmtId="3" fontId="8" fillId="0" borderId="0" xfId="12" applyNumberFormat="1" applyAlignment="1" applyProtection="1">
      <alignment horizontal="right"/>
      <protection locked="0"/>
    </xf>
    <xf numFmtId="10" fontId="8" fillId="0" borderId="0" xfId="12" applyNumberFormat="1" applyAlignment="1" applyProtection="1">
      <alignment horizontal="right"/>
      <protection locked="0"/>
    </xf>
    <xf numFmtId="165" fontId="8" fillId="12" borderId="0" xfId="0" applyNumberFormat="1" applyFont="1" applyFill="1" applyProtection="1">
      <protection locked="0"/>
    </xf>
    <xf numFmtId="170" fontId="8" fillId="0" borderId="0" xfId="0" applyNumberFormat="1" applyFont="1" applyAlignment="1" applyProtection="1">
      <alignment horizontal="right"/>
      <protection locked="0"/>
    </xf>
    <xf numFmtId="0" fontId="8" fillId="0" borderId="0" xfId="12" applyNumberFormat="1" applyAlignment="1" applyProtection="1">
      <alignment horizontal="right"/>
      <protection locked="0"/>
    </xf>
    <xf numFmtId="178" fontId="8" fillId="0" borderId="0" xfId="0" applyNumberFormat="1" applyFont="1" applyAlignment="1" applyProtection="1">
      <alignment horizontal="right"/>
      <protection locked="0"/>
    </xf>
    <xf numFmtId="173" fontId="8" fillId="0" borderId="0" xfId="0" applyNumberFormat="1" applyFont="1" applyProtection="1">
      <protection locked="0"/>
    </xf>
    <xf numFmtId="172" fontId="8" fillId="0" borderId="0" xfId="0" applyNumberFormat="1" applyFont="1" applyProtection="1">
      <protection locked="0"/>
    </xf>
    <xf numFmtId="9" fontId="8" fillId="0" borderId="0" xfId="12" applyAlignment="1" applyProtection="1">
      <alignment horizontal="right"/>
      <protection locked="0"/>
    </xf>
    <xf numFmtId="14" fontId="8" fillId="21" borderId="0" xfId="0" quotePrefix="1" applyNumberFormat="1" applyFont="1" applyFill="1" applyAlignment="1" applyProtection="1">
      <alignment horizontal="center"/>
      <protection locked="0"/>
    </xf>
    <xf numFmtId="10" fontId="8" fillId="0" borderId="0" xfId="0" applyNumberFormat="1" applyFont="1" applyAlignment="1" applyProtection="1">
      <alignment horizontal="left"/>
      <protection locked="0"/>
    </xf>
    <xf numFmtId="0" fontId="11" fillId="27" borderId="0" xfId="0" applyFont="1" applyFill="1" applyAlignment="1" applyProtection="1">
      <alignment horizontal="center"/>
      <protection locked="0"/>
    </xf>
    <xf numFmtId="0" fontId="11" fillId="64" borderId="0" xfId="0" applyFont="1" applyFill="1" applyAlignment="1" applyProtection="1">
      <alignment horizontal="center"/>
      <protection locked="0"/>
    </xf>
    <xf numFmtId="165" fontId="11" fillId="56" borderId="0" xfId="0" applyNumberFormat="1" applyFont="1" applyFill="1" applyAlignment="1" applyProtection="1">
      <alignment horizontal="center"/>
      <protection locked="0"/>
    </xf>
    <xf numFmtId="165" fontId="11" fillId="20" borderId="0" xfId="17" applyNumberFormat="1" applyFont="1" applyFill="1" applyAlignment="1" applyProtection="1">
      <alignment horizontal="center" vertical="center" wrapText="1"/>
      <protection locked="0"/>
    </xf>
    <xf numFmtId="10" fontId="11" fillId="65" borderId="0" xfId="12" applyNumberFormat="1" applyFont="1" applyFill="1" applyAlignment="1" applyProtection="1">
      <alignment horizontal="center"/>
      <protection locked="0"/>
    </xf>
    <xf numFmtId="14" fontId="11" fillId="14" borderId="0" xfId="17" applyNumberFormat="1" applyFont="1" applyFill="1" applyAlignment="1" applyProtection="1">
      <alignment horizontal="center" vertical="center" wrapText="1"/>
      <protection locked="0"/>
    </xf>
    <xf numFmtId="0" fontId="11" fillId="15" borderId="0" xfId="0" applyFont="1" applyFill="1" applyAlignment="1" applyProtection="1">
      <alignment horizontal="center"/>
      <protection locked="0"/>
    </xf>
    <xf numFmtId="14" fontId="11" fillId="0" borderId="0" xfId="0" applyNumberFormat="1" applyFont="1" applyAlignment="1" applyProtection="1">
      <alignment horizontal="right"/>
      <protection locked="0"/>
    </xf>
    <xf numFmtId="10" fontId="11" fillId="0" borderId="0" xfId="12" applyNumberFormat="1" applyFont="1" applyProtection="1">
      <protection locked="0"/>
    </xf>
    <xf numFmtId="0" fontId="11" fillId="21" borderId="0" xfId="0" applyFont="1" applyFill="1" applyAlignment="1" applyProtection="1">
      <alignment horizontal="center"/>
      <protection locked="0"/>
    </xf>
    <xf numFmtId="165" fontId="11" fillId="0" borderId="0" xfId="17" applyNumberFormat="1" applyFont="1" applyAlignment="1" applyProtection="1">
      <alignment horizontal="center" vertical="center" wrapText="1"/>
      <protection locked="0"/>
    </xf>
    <xf numFmtId="9" fontId="11" fillId="0" borderId="0" xfId="12" applyFont="1" applyProtection="1">
      <protection locked="0"/>
    </xf>
    <xf numFmtId="165" fontId="11" fillId="54" borderId="0" xfId="17" applyNumberFormat="1" applyFont="1" applyFill="1" applyAlignment="1" applyProtection="1">
      <alignment horizontal="center" vertical="center" wrapText="1"/>
      <protection locked="0"/>
    </xf>
    <xf numFmtId="165" fontId="11" fillId="54" borderId="0" xfId="0" applyNumberFormat="1" applyFont="1" applyFill="1" applyAlignment="1" applyProtection="1">
      <alignment horizontal="center"/>
      <protection locked="0"/>
    </xf>
    <xf numFmtId="0" fontId="11" fillId="0" borderId="0" xfId="0" applyFont="1" applyAlignment="1">
      <alignment horizontal="center"/>
    </xf>
    <xf numFmtId="165" fontId="11" fillId="0" borderId="0" xfId="0" applyNumberFormat="1" applyFont="1" applyAlignment="1">
      <alignment horizontal="right"/>
    </xf>
    <xf numFmtId="0" fontId="11" fillId="60" borderId="0" xfId="0" applyFont="1" applyFill="1" applyAlignment="1">
      <alignment horizontal="center"/>
    </xf>
    <xf numFmtId="0" fontId="11" fillId="67" borderId="0" xfId="17" applyFont="1" applyFill="1" applyAlignment="1" applyProtection="1">
      <alignment horizontal="center" vertical="center" wrapText="1"/>
      <protection locked="0"/>
    </xf>
    <xf numFmtId="0" fontId="11" fillId="29" borderId="0" xfId="0" applyFont="1" applyFill="1" applyAlignment="1">
      <alignment horizontal="center"/>
    </xf>
    <xf numFmtId="0" fontId="24" fillId="57" borderId="0" xfId="0" applyFont="1" applyFill="1" applyAlignment="1" applyProtection="1">
      <alignment horizontal="center" vertical="center" wrapText="1"/>
      <protection locked="0"/>
    </xf>
    <xf numFmtId="0" fontId="11" fillId="21" borderId="0" xfId="0" applyFont="1" applyFill="1" applyAlignment="1" applyProtection="1">
      <alignment horizontal="center" vertical="center" wrapText="1"/>
      <protection locked="0"/>
    </xf>
    <xf numFmtId="0" fontId="54" fillId="0" borderId="0" xfId="0" applyFont="1" applyAlignment="1" applyProtection="1">
      <alignment horizontal="right"/>
      <protection locked="0"/>
    </xf>
    <xf numFmtId="49" fontId="11" fillId="0" borderId="0" xfId="0" applyNumberFormat="1" applyFont="1" applyProtection="1">
      <protection locked="0"/>
    </xf>
    <xf numFmtId="0" fontId="11" fillId="24" borderId="0" xfId="0" applyFont="1" applyFill="1" applyAlignment="1" applyProtection="1">
      <alignment horizontal="center"/>
      <protection locked="0"/>
    </xf>
    <xf numFmtId="0" fontId="11" fillId="56" borderId="0" xfId="0" applyFont="1" applyFill="1" applyAlignment="1" applyProtection="1">
      <alignment horizontal="center"/>
      <protection locked="0"/>
    </xf>
    <xf numFmtId="0" fontId="11" fillId="17" borderId="0" xfId="0" applyFont="1" applyFill="1" applyAlignment="1" applyProtection="1">
      <alignment horizontal="center"/>
      <protection locked="0"/>
    </xf>
    <xf numFmtId="0" fontId="55" fillId="0" borderId="0" xfId="0" applyFont="1" applyAlignment="1" applyProtection="1">
      <alignment horizontal="center"/>
      <protection locked="0"/>
    </xf>
    <xf numFmtId="0" fontId="56" fillId="0" borderId="0" xfId="0" applyFont="1" applyProtection="1">
      <protection locked="0"/>
    </xf>
    <xf numFmtId="0" fontId="57" fillId="0" borderId="0" xfId="0" applyFont="1" applyAlignment="1" applyProtection="1">
      <alignment horizontal="center"/>
      <protection locked="0"/>
    </xf>
    <xf numFmtId="10" fontId="20" fillId="0" borderId="0" xfId="0" applyNumberFormat="1" applyFont="1" applyAlignment="1" applyProtection="1">
      <alignment horizontal="center"/>
      <protection locked="0"/>
    </xf>
    <xf numFmtId="10" fontId="15" fillId="0" borderId="0" xfId="0" applyNumberFormat="1" applyFont="1" applyAlignment="1" applyProtection="1">
      <alignment horizontal="center"/>
      <protection locked="0"/>
    </xf>
    <xf numFmtId="10" fontId="58" fillId="0" borderId="0" xfId="0" applyNumberFormat="1" applyFont="1" applyAlignment="1" applyProtection="1">
      <alignment horizontal="center"/>
      <protection locked="0"/>
    </xf>
    <xf numFmtId="0" fontId="11" fillId="0" borderId="0" xfId="0" applyFont="1" applyAlignment="1" applyProtection="1">
      <alignment horizontal="centerContinuous"/>
      <protection locked="0"/>
    </xf>
    <xf numFmtId="0" fontId="59" fillId="0" borderId="0" xfId="0" applyFont="1" applyAlignment="1" applyProtection="1">
      <alignment horizontal="center"/>
      <protection locked="0"/>
    </xf>
    <xf numFmtId="0" fontId="11" fillId="21" borderId="0" xfId="0" applyFont="1" applyFill="1" applyProtection="1">
      <protection locked="0"/>
    </xf>
    <xf numFmtId="10" fontId="8" fillId="0" borderId="0" xfId="12" applyNumberFormat="1" applyProtection="1">
      <protection locked="0"/>
    </xf>
    <xf numFmtId="171" fontId="8" fillId="0" borderId="0" xfId="0" applyNumberFormat="1" applyFont="1" applyProtection="1">
      <protection locked="0"/>
    </xf>
    <xf numFmtId="164" fontId="8" fillId="21" borderId="0" xfId="0" applyNumberFormat="1" applyFont="1" applyFill="1" applyProtection="1">
      <protection locked="0"/>
    </xf>
    <xf numFmtId="167" fontId="8" fillId="0" borderId="0" xfId="0" applyNumberFormat="1" applyFont="1" applyAlignment="1" applyProtection="1">
      <alignment horizontal="center" wrapText="1"/>
      <protection locked="0"/>
    </xf>
    <xf numFmtId="0" fontId="8" fillId="21" borderId="0" xfId="0" applyFont="1" applyFill="1" applyAlignment="1" applyProtection="1">
      <alignment horizontal="center" wrapText="1"/>
      <protection locked="0"/>
    </xf>
    <xf numFmtId="10" fontId="14" fillId="0" borderId="0" xfId="12" applyNumberFormat="1" applyFont="1" applyAlignment="1" applyProtection="1">
      <alignment horizontal="center"/>
      <protection locked="0"/>
    </xf>
    <xf numFmtId="10" fontId="9" fillId="28" borderId="0" xfId="12" applyNumberFormat="1" applyFont="1" applyFill="1" applyAlignment="1" applyProtection="1">
      <alignment horizontal="center"/>
      <protection locked="0"/>
    </xf>
    <xf numFmtId="14" fontId="8" fillId="28" borderId="0" xfId="0" applyNumberFormat="1" applyFont="1" applyFill="1" applyAlignment="1" applyProtection="1">
      <alignment horizontal="center"/>
      <protection locked="0"/>
    </xf>
    <xf numFmtId="9" fontId="9" fillId="28" borderId="0" xfId="12" applyFont="1" applyFill="1" applyAlignment="1" applyProtection="1">
      <alignment horizontal="center"/>
      <protection locked="0"/>
    </xf>
    <xf numFmtId="10" fontId="9" fillId="5" borderId="0" xfId="12" applyNumberFormat="1" applyFont="1" applyFill="1" applyAlignment="1" applyProtection="1">
      <alignment horizontal="center"/>
      <protection locked="0"/>
    </xf>
    <xf numFmtId="14" fontId="8" fillId="5" borderId="0" xfId="0" applyNumberFormat="1" applyFont="1" applyFill="1" applyAlignment="1" applyProtection="1">
      <alignment horizontal="center"/>
      <protection locked="0"/>
    </xf>
    <xf numFmtId="0" fontId="9" fillId="5" borderId="0" xfId="0" applyFont="1" applyFill="1" applyProtection="1">
      <protection locked="0"/>
    </xf>
    <xf numFmtId="9" fontId="9" fillId="5" borderId="0" xfId="12" applyFont="1" applyFill="1" applyAlignment="1" applyProtection="1">
      <alignment horizontal="center"/>
      <protection locked="0"/>
    </xf>
    <xf numFmtId="164" fontId="9" fillId="25" borderId="0" xfId="0" quotePrefix="1" applyNumberFormat="1" applyFont="1" applyFill="1" applyAlignment="1" applyProtection="1">
      <alignment horizontal="center"/>
      <protection locked="0"/>
    </xf>
    <xf numFmtId="164" fontId="9" fillId="25" borderId="0" xfId="0" applyNumberFormat="1" applyFont="1" applyFill="1" applyAlignment="1" applyProtection="1">
      <alignment horizontal="center"/>
      <protection locked="0"/>
    </xf>
    <xf numFmtId="0" fontId="9" fillId="25" borderId="0" xfId="0" applyFont="1" applyFill="1" applyAlignment="1" applyProtection="1">
      <alignment horizontal="center"/>
      <protection locked="0"/>
    </xf>
    <xf numFmtId="14" fontId="9" fillId="25" borderId="0" xfId="0" applyNumberFormat="1" applyFont="1" applyFill="1" applyAlignment="1" applyProtection="1">
      <alignment horizontal="center"/>
      <protection locked="0"/>
    </xf>
    <xf numFmtId="14" fontId="14" fillId="25" borderId="0" xfId="0" applyNumberFormat="1" applyFont="1" applyFill="1" applyAlignment="1" applyProtection="1">
      <alignment horizontal="center"/>
      <protection locked="0"/>
    </xf>
    <xf numFmtId="165" fontId="14" fillId="25" borderId="0" xfId="0" applyNumberFormat="1" applyFont="1" applyFill="1" applyAlignment="1" applyProtection="1">
      <alignment horizontal="center"/>
      <protection locked="0"/>
    </xf>
    <xf numFmtId="165" fontId="9" fillId="25" borderId="0" xfId="0" applyNumberFormat="1" applyFont="1" applyFill="1" applyAlignment="1" applyProtection="1">
      <alignment horizontal="center"/>
      <protection locked="0"/>
    </xf>
    <xf numFmtId="14" fontId="8" fillId="25" borderId="0" xfId="0" applyNumberFormat="1" applyFont="1" applyFill="1" applyAlignment="1" applyProtection="1">
      <alignment horizontal="center"/>
      <protection locked="0"/>
    </xf>
    <xf numFmtId="10" fontId="9" fillId="25" borderId="0" xfId="12" applyNumberFormat="1" applyFont="1" applyFill="1" applyAlignment="1" applyProtection="1">
      <alignment horizontal="center"/>
      <protection locked="0"/>
    </xf>
    <xf numFmtId="10" fontId="9" fillId="25" borderId="0" xfId="0" applyNumberFormat="1" applyFont="1" applyFill="1" applyAlignment="1" applyProtection="1">
      <alignment horizontal="center"/>
      <protection locked="0"/>
    </xf>
    <xf numFmtId="0" fontId="9" fillId="25" borderId="0" xfId="0" applyFont="1" applyFill="1" applyAlignment="1">
      <alignment horizontal="center"/>
    </xf>
    <xf numFmtId="9" fontId="9" fillId="25" borderId="0" xfId="12" applyFont="1" applyFill="1" applyAlignment="1" applyProtection="1">
      <alignment horizontal="center"/>
      <protection locked="0"/>
    </xf>
    <xf numFmtId="10" fontId="9" fillId="6" borderId="0" xfId="12" applyNumberFormat="1" applyFont="1" applyFill="1" applyAlignment="1" applyProtection="1">
      <alignment horizontal="center"/>
      <protection locked="0"/>
    </xf>
    <xf numFmtId="14" fontId="8" fillId="6" borderId="0" xfId="0" applyNumberFormat="1" applyFont="1" applyFill="1" applyAlignment="1" applyProtection="1">
      <alignment horizontal="center"/>
      <protection locked="0"/>
    </xf>
    <xf numFmtId="9" fontId="9" fillId="6" borderId="0" xfId="12" applyFont="1" applyFill="1" applyAlignment="1" applyProtection="1">
      <alignment horizontal="center"/>
      <protection locked="0"/>
    </xf>
    <xf numFmtId="10" fontId="9" fillId="7" borderId="0" xfId="12" applyNumberFormat="1" applyFont="1" applyFill="1" applyAlignment="1" applyProtection="1">
      <alignment horizontal="center"/>
      <protection locked="0"/>
    </xf>
    <xf numFmtId="14" fontId="8" fillId="7" borderId="0" xfId="0" applyNumberFormat="1" applyFont="1" applyFill="1" applyAlignment="1" applyProtection="1">
      <alignment horizontal="center"/>
      <protection locked="0"/>
    </xf>
    <xf numFmtId="9" fontId="9" fillId="7" borderId="0" xfId="12" applyFont="1" applyFill="1" applyAlignment="1" applyProtection="1">
      <alignment horizontal="center"/>
      <protection locked="0"/>
    </xf>
    <xf numFmtId="10" fontId="9" fillId="8" borderId="0" xfId="12" applyNumberFormat="1" applyFont="1" applyFill="1" applyAlignment="1" applyProtection="1">
      <alignment horizontal="center"/>
      <protection locked="0"/>
    </xf>
    <xf numFmtId="14" fontId="8" fillId="8" borderId="0" xfId="0" applyNumberFormat="1" applyFont="1" applyFill="1" applyAlignment="1" applyProtection="1">
      <alignment horizontal="center"/>
      <protection locked="0"/>
    </xf>
    <xf numFmtId="9" fontId="9" fillId="8" borderId="0" xfId="12" applyFont="1" applyFill="1" applyAlignment="1" applyProtection="1">
      <alignment horizontal="center"/>
      <protection locked="0"/>
    </xf>
    <xf numFmtId="10" fontId="9" fillId="9" borderId="0" xfId="12" applyNumberFormat="1" applyFont="1" applyFill="1" applyAlignment="1" applyProtection="1">
      <alignment horizontal="center"/>
      <protection locked="0"/>
    </xf>
    <xf numFmtId="14" fontId="8" fillId="9" borderId="0" xfId="0" applyNumberFormat="1" applyFont="1" applyFill="1" applyAlignment="1">
      <alignment horizontal="center"/>
    </xf>
    <xf numFmtId="9" fontId="9" fillId="9" borderId="0" xfId="12" applyFont="1" applyFill="1" applyAlignment="1" applyProtection="1">
      <alignment horizontal="center"/>
      <protection locked="0"/>
    </xf>
    <xf numFmtId="10" fontId="9" fillId="10" borderId="0" xfId="12" applyNumberFormat="1" applyFont="1" applyFill="1" applyAlignment="1" applyProtection="1">
      <alignment horizontal="center"/>
      <protection locked="0"/>
    </xf>
    <xf numFmtId="14" fontId="8" fillId="10" borderId="0" xfId="0" applyNumberFormat="1" applyFont="1" applyFill="1" applyAlignment="1" applyProtection="1">
      <alignment horizontal="center"/>
      <protection locked="0"/>
    </xf>
    <xf numFmtId="9" fontId="9" fillId="10" borderId="0" xfId="12" applyFont="1" applyFill="1" applyAlignment="1" applyProtection="1">
      <alignment horizontal="center"/>
      <protection locked="0"/>
    </xf>
    <xf numFmtId="10" fontId="8" fillId="0" borderId="0" xfId="12" applyNumberFormat="1" applyAlignment="1" applyProtection="1">
      <alignment horizontal="center" wrapText="1"/>
      <protection locked="0"/>
    </xf>
    <xf numFmtId="0" fontId="9" fillId="0" borderId="0" xfId="0" applyFont="1" applyAlignment="1" applyProtection="1">
      <alignment horizontal="center" wrapText="1"/>
      <protection locked="0"/>
    </xf>
    <xf numFmtId="172" fontId="8" fillId="0" borderId="0" xfId="12" applyNumberFormat="1" applyFill="1" applyAlignment="1" applyProtection="1">
      <alignment horizontal="center"/>
      <protection locked="0"/>
    </xf>
    <xf numFmtId="2" fontId="8" fillId="0" borderId="0" xfId="54820" applyNumberFormat="1" applyFont="1" applyFill="1" applyAlignment="1" applyProtection="1">
      <alignment horizontal="center"/>
      <protection locked="0"/>
    </xf>
    <xf numFmtId="2" fontId="8" fillId="0" borderId="0" xfId="0" applyNumberFormat="1" applyFont="1" applyProtection="1">
      <protection locked="0"/>
    </xf>
    <xf numFmtId="10" fontId="8" fillId="0" borderId="0" xfId="12" applyNumberFormat="1" applyFill="1" applyAlignment="1" applyProtection="1">
      <alignment horizontal="right"/>
      <protection locked="0"/>
    </xf>
    <xf numFmtId="0" fontId="8" fillId="0" borderId="0" xfId="12" applyNumberFormat="1" applyFill="1" applyAlignment="1" applyProtection="1">
      <alignment horizontal="right"/>
      <protection locked="0"/>
    </xf>
    <xf numFmtId="172" fontId="8" fillId="0" borderId="0" xfId="12" applyNumberFormat="1" applyFill="1" applyAlignment="1" applyProtection="1">
      <alignment horizontal="right"/>
      <protection locked="0"/>
    </xf>
    <xf numFmtId="3" fontId="8" fillId="0" borderId="0" xfId="12" applyNumberFormat="1" applyFill="1" applyAlignment="1" applyProtection="1">
      <alignment horizontal="right"/>
      <protection locked="0"/>
    </xf>
    <xf numFmtId="164" fontId="9" fillId="68" borderId="0" xfId="0" quotePrefix="1" applyNumberFormat="1" applyFont="1" applyFill="1" applyAlignment="1" applyProtection="1">
      <alignment horizontal="center"/>
      <protection locked="0"/>
    </xf>
    <xf numFmtId="164" fontId="9" fillId="68" borderId="0" xfId="0" applyNumberFormat="1" applyFont="1" applyFill="1" applyAlignment="1" applyProtection="1">
      <alignment horizontal="center"/>
      <protection locked="0"/>
    </xf>
    <xf numFmtId="0" fontId="9" fillId="68" borderId="0" xfId="0" applyFont="1" applyFill="1" applyAlignment="1" applyProtection="1">
      <alignment horizontal="center"/>
      <protection locked="0"/>
    </xf>
    <xf numFmtId="14" fontId="9" fillId="68" borderId="0" xfId="0" applyNumberFormat="1" applyFont="1" applyFill="1" applyAlignment="1" applyProtection="1">
      <alignment horizontal="center"/>
      <protection locked="0"/>
    </xf>
    <xf numFmtId="0" fontId="9" fillId="68" borderId="0" xfId="0" applyFont="1" applyFill="1" applyAlignment="1">
      <alignment horizontal="center"/>
    </xf>
    <xf numFmtId="10" fontId="9" fillId="68" borderId="0" xfId="12" applyNumberFormat="1" applyFont="1" applyFill="1" applyAlignment="1" applyProtection="1">
      <alignment horizontal="center"/>
      <protection locked="0"/>
    </xf>
    <xf numFmtId="165" fontId="9" fillId="68" borderId="0" xfId="0" applyNumberFormat="1" applyFont="1" applyFill="1" applyAlignment="1" applyProtection="1">
      <alignment horizontal="center"/>
      <protection locked="0"/>
    </xf>
    <xf numFmtId="14" fontId="8" fillId="68" borderId="0" xfId="0" applyNumberFormat="1" applyFont="1" applyFill="1" applyAlignment="1">
      <alignment horizontal="center"/>
    </xf>
    <xf numFmtId="14" fontId="9" fillId="68" borderId="0" xfId="0" applyNumberFormat="1" applyFont="1" applyFill="1" applyAlignment="1">
      <alignment horizontal="center"/>
    </xf>
    <xf numFmtId="10" fontId="9" fillId="68" borderId="0" xfId="0" applyNumberFormat="1" applyFont="1" applyFill="1" applyAlignment="1" applyProtection="1">
      <alignment horizontal="center"/>
      <protection locked="0"/>
    </xf>
    <xf numFmtId="9" fontId="9" fillId="68" borderId="0" xfId="12" applyFont="1" applyFill="1" applyAlignment="1" applyProtection="1">
      <alignment horizontal="center"/>
      <protection locked="0"/>
    </xf>
    <xf numFmtId="10" fontId="8" fillId="0" borderId="0" xfId="12" applyNumberFormat="1" applyFont="1" applyFill="1" applyAlignment="1" applyProtection="1">
      <alignment horizontal="right"/>
      <protection locked="0"/>
    </xf>
    <xf numFmtId="0" fontId="8" fillId="0" borderId="0" xfId="12" applyNumberFormat="1" applyFont="1" applyFill="1" applyAlignment="1" applyProtection="1">
      <alignment horizontal="right"/>
      <protection locked="0"/>
    </xf>
    <xf numFmtId="172" fontId="8" fillId="0" borderId="0" xfId="12" applyNumberFormat="1" applyFont="1" applyFill="1" applyAlignment="1" applyProtection="1">
      <alignment horizontal="right"/>
      <protection locked="0"/>
    </xf>
    <xf numFmtId="3" fontId="8" fillId="0" borderId="0" xfId="12" applyNumberFormat="1" applyFont="1" applyFill="1" applyAlignment="1" applyProtection="1">
      <alignment horizontal="right"/>
      <protection locked="0"/>
    </xf>
    <xf numFmtId="9" fontId="8" fillId="0" borderId="0" xfId="12" applyFont="1" applyFill="1" applyAlignment="1" applyProtection="1">
      <alignment horizontal="right"/>
      <protection locked="0"/>
    </xf>
    <xf numFmtId="10" fontId="8" fillId="0" borderId="0" xfId="12" applyNumberFormat="1" applyFont="1" applyAlignment="1" applyProtection="1">
      <alignment horizontal="right"/>
      <protection locked="0"/>
    </xf>
    <xf numFmtId="9" fontId="8" fillId="0" borderId="0" xfId="12" applyFont="1" applyAlignment="1" applyProtection="1">
      <alignment horizontal="right"/>
      <protection locked="0"/>
    </xf>
    <xf numFmtId="3" fontId="8" fillId="0" borderId="0" xfId="12" applyNumberFormat="1" applyFont="1" applyAlignment="1" applyProtection="1">
      <alignment horizontal="right"/>
      <protection locked="0"/>
    </xf>
    <xf numFmtId="0" fontId="11" fillId="61" borderId="0" xfId="17" applyFont="1" applyFill="1" applyAlignment="1" applyProtection="1">
      <alignment horizontal="center"/>
      <protection locked="0"/>
    </xf>
    <xf numFmtId="10" fontId="11" fillId="61" borderId="0" xfId="17" applyNumberFormat="1" applyFont="1" applyFill="1" applyAlignment="1" applyProtection="1">
      <alignment horizontal="center" vertical="center" wrapText="1"/>
      <protection locked="0"/>
    </xf>
    <xf numFmtId="10" fontId="8" fillId="0" borderId="0" xfId="12" applyNumberFormat="1" applyFont="1" applyProtection="1">
      <protection locked="0"/>
    </xf>
    <xf numFmtId="9" fontId="8" fillId="0" borderId="0" xfId="12" applyFont="1" applyProtection="1">
      <protection locked="0"/>
    </xf>
    <xf numFmtId="0" fontId="11" fillId="68" borderId="0" xfId="0" applyFont="1" applyFill="1" applyAlignment="1" applyProtection="1">
      <alignment horizontal="center"/>
      <protection locked="0"/>
    </xf>
    <xf numFmtId="0" fontId="11" fillId="69" borderId="0" xfId="0" applyFont="1" applyFill="1" applyAlignment="1" applyProtection="1">
      <alignment horizontal="center"/>
      <protection locked="0"/>
    </xf>
    <xf numFmtId="164" fontId="9" fillId="69" borderId="0" xfId="0" quotePrefix="1" applyNumberFormat="1" applyFont="1" applyFill="1" applyAlignment="1" applyProtection="1">
      <alignment horizontal="center"/>
      <protection locked="0"/>
    </xf>
    <xf numFmtId="164" fontId="9" fillId="69" borderId="0" xfId="0" applyNumberFormat="1" applyFont="1" applyFill="1" applyAlignment="1" applyProtection="1">
      <alignment horizontal="center"/>
      <protection locked="0"/>
    </xf>
    <xf numFmtId="0" fontId="9" fillId="69" borderId="0" xfId="0" applyFont="1" applyFill="1" applyAlignment="1" applyProtection="1">
      <alignment horizontal="center"/>
      <protection locked="0"/>
    </xf>
    <xf numFmtId="14" fontId="9" fillId="69" borderId="0" xfId="0" applyNumberFormat="1" applyFont="1" applyFill="1" applyAlignment="1" applyProtection="1">
      <alignment horizontal="center"/>
      <protection locked="0"/>
    </xf>
    <xf numFmtId="0" fontId="9" fillId="69" borderId="0" xfId="0" applyFont="1" applyFill="1" applyAlignment="1">
      <alignment horizontal="center"/>
    </xf>
    <xf numFmtId="10" fontId="9" fillId="69" borderId="0" xfId="12" applyNumberFormat="1" applyFont="1" applyFill="1" applyAlignment="1" applyProtection="1">
      <alignment horizontal="center"/>
      <protection locked="0"/>
    </xf>
    <xf numFmtId="165" fontId="9" fillId="69" borderId="0" xfId="0" applyNumberFormat="1" applyFont="1" applyFill="1" applyAlignment="1" applyProtection="1">
      <alignment horizontal="center"/>
      <protection locked="0"/>
    </xf>
    <xf numFmtId="14" fontId="8" fillId="69" borderId="0" xfId="0" applyNumberFormat="1" applyFont="1" applyFill="1" applyAlignment="1">
      <alignment horizontal="center"/>
    </xf>
    <xf numFmtId="14" fontId="9" fillId="69" borderId="0" xfId="0" applyNumberFormat="1" applyFont="1" applyFill="1" applyAlignment="1">
      <alignment horizontal="center"/>
    </xf>
    <xf numFmtId="10" fontId="9" fillId="69" borderId="0" xfId="0" applyNumberFormat="1" applyFont="1" applyFill="1" applyAlignment="1" applyProtection="1">
      <alignment horizontal="center"/>
      <protection locked="0"/>
    </xf>
    <xf numFmtId="9" fontId="9" fillId="69" borderId="0" xfId="12" applyFont="1" applyFill="1" applyAlignment="1" applyProtection="1">
      <alignment horizontal="center"/>
      <protection locked="0"/>
    </xf>
    <xf numFmtId="10" fontId="8" fillId="0" borderId="0" xfId="12" applyNumberFormat="1" applyFont="1" applyAlignment="1" applyProtection="1">
      <alignment horizontal="center" wrapText="1"/>
      <protection locked="0"/>
    </xf>
    <xf numFmtId="9" fontId="8" fillId="0" borderId="0" xfId="12" applyFont="1" applyAlignment="1" applyProtection="1">
      <alignment horizontal="center" wrapText="1"/>
      <protection locked="0"/>
    </xf>
    <xf numFmtId="178" fontId="8" fillId="0" borderId="0" xfId="10" applyNumberFormat="1" applyFont="1"/>
    <xf numFmtId="172" fontId="8" fillId="0" borderId="0" xfId="10" applyNumberFormat="1" applyFont="1"/>
    <xf numFmtId="172" fontId="8" fillId="0" borderId="0" xfId="0" applyNumberFormat="1" applyFont="1"/>
    <xf numFmtId="165" fontId="8" fillId="0" borderId="0" xfId="0" quotePrefix="1" applyNumberFormat="1" applyFont="1" applyAlignment="1" applyProtection="1">
      <alignment horizontal="center"/>
      <protection locked="0"/>
    </xf>
    <xf numFmtId="43" fontId="8" fillId="0" borderId="0" xfId="54820" quotePrefix="1" applyFont="1" applyFill="1" applyAlignment="1" applyProtection="1">
      <alignment horizontal="center"/>
      <protection locked="0"/>
    </xf>
    <xf numFmtId="0" fontId="8" fillId="0" borderId="0" xfId="10" applyNumberFormat="1" applyFont="1" applyFill="1" applyProtection="1">
      <protection locked="0"/>
    </xf>
    <xf numFmtId="165" fontId="8" fillId="0" borderId="0" xfId="54820" applyNumberFormat="1" applyFont="1" applyFill="1" applyProtection="1">
      <protection locked="0"/>
    </xf>
    <xf numFmtId="4" fontId="8" fillId="0" borderId="0" xfId="0" applyNumberFormat="1" applyFont="1" applyAlignment="1" applyProtection="1">
      <alignment horizontal="center"/>
      <protection locked="0"/>
    </xf>
    <xf numFmtId="4" fontId="8" fillId="0" borderId="0" xfId="10" applyNumberFormat="1" applyFont="1" applyFill="1" applyProtection="1">
      <protection locked="0"/>
    </xf>
    <xf numFmtId="171" fontId="8" fillId="0" borderId="0" xfId="54820" applyNumberFormat="1" applyFont="1" applyFill="1" applyAlignment="1">
      <alignment horizontal="right"/>
    </xf>
    <xf numFmtId="10" fontId="8" fillId="0" borderId="0" xfId="10" applyNumberFormat="1" applyFont="1" applyFill="1" applyProtection="1">
      <protection locked="0"/>
    </xf>
    <xf numFmtId="0" fontId="9" fillId="70" borderId="0" xfId="0" applyFont="1" applyFill="1" applyAlignment="1" applyProtection="1">
      <alignment horizontal="center"/>
      <protection locked="0"/>
    </xf>
    <xf numFmtId="165" fontId="8" fillId="60" borderId="0" xfId="0" applyNumberFormat="1" applyFont="1" applyFill="1" applyProtection="1">
      <protection locked="0"/>
    </xf>
    <xf numFmtId="4" fontId="0" fillId="0" borderId="0" xfId="0" applyNumberFormat="1"/>
    <xf numFmtId="165" fontId="8" fillId="21" borderId="0" xfId="0" applyNumberFormat="1" applyFont="1" applyFill="1" applyAlignment="1" applyProtection="1">
      <alignment horizontal="center"/>
      <protection locked="0"/>
    </xf>
    <xf numFmtId="165" fontId="8" fillId="21" borderId="0" xfId="0" applyNumberFormat="1" applyFont="1" applyFill="1" applyProtection="1">
      <protection locked="0"/>
    </xf>
    <xf numFmtId="165" fontId="11" fillId="71" borderId="0" xfId="0" applyNumberFormat="1" applyFont="1" applyFill="1" applyProtection="1">
      <protection locked="0"/>
    </xf>
    <xf numFmtId="0" fontId="11" fillId="71" borderId="0" xfId="0" applyFont="1" applyFill="1" applyProtection="1">
      <protection locked="0"/>
    </xf>
    <xf numFmtId="165" fontId="19" fillId="72" borderId="0" xfId="0" applyNumberFormat="1" applyFont="1" applyFill="1" applyProtection="1">
      <protection locked="0"/>
    </xf>
    <xf numFmtId="0" fontId="11" fillId="56" borderId="0" xfId="17" applyFont="1" applyFill="1" applyAlignment="1" applyProtection="1">
      <alignment horizontal="center"/>
      <protection locked="0"/>
    </xf>
    <xf numFmtId="0" fontId="11" fillId="17" borderId="0" xfId="17" applyFont="1" applyFill="1" applyAlignment="1" applyProtection="1">
      <alignment horizontal="center"/>
      <protection locked="0"/>
    </xf>
    <xf numFmtId="167" fontId="8" fillId="12" borderId="0" xfId="0" applyNumberFormat="1" applyFont="1" applyFill="1" applyAlignment="1" applyProtection="1">
      <alignment horizontal="right"/>
      <protection locked="0"/>
    </xf>
    <xf numFmtId="3" fontId="8" fillId="12" borderId="0" xfId="0" applyNumberFormat="1" applyFont="1" applyFill="1" applyProtection="1">
      <protection locked="0"/>
    </xf>
    <xf numFmtId="167" fontId="8" fillId="12" borderId="0" xfId="0" applyNumberFormat="1" applyFont="1" applyFill="1" applyProtection="1">
      <protection locked="0"/>
    </xf>
    <xf numFmtId="3" fontId="8" fillId="12" borderId="0" xfId="0" applyNumberFormat="1" applyFont="1" applyFill="1" applyAlignment="1" applyProtection="1">
      <alignment horizontal="right"/>
      <protection locked="0"/>
    </xf>
    <xf numFmtId="164" fontId="14" fillId="22" borderId="0" xfId="0" applyNumberFormat="1" applyFont="1" applyFill="1" applyAlignment="1" applyProtection="1">
      <alignment horizontal="center"/>
      <protection locked="0"/>
    </xf>
    <xf numFmtId="0" fontId="8" fillId="22" borderId="0" xfId="0" applyFont="1" applyFill="1" applyAlignment="1" applyProtection="1">
      <alignment horizontal="right"/>
      <protection locked="0"/>
    </xf>
    <xf numFmtId="0" fontId="24" fillId="0" borderId="0" xfId="0" applyFont="1" applyProtection="1">
      <protection locked="0"/>
    </xf>
    <xf numFmtId="0" fontId="9" fillId="0" borderId="0" xfId="0" applyFont="1" applyProtection="1">
      <protection locked="0"/>
    </xf>
    <xf numFmtId="0" fontId="24" fillId="0" borderId="0" xfId="0" applyFont="1" applyAlignment="1" applyProtection="1">
      <alignment horizontal="center" wrapText="1"/>
      <protection locked="0"/>
    </xf>
    <xf numFmtId="14" fontId="8" fillId="0" borderId="0" xfId="0" applyNumberFormat="1" applyFont="1"/>
    <xf numFmtId="14" fontId="9" fillId="0" borderId="0" xfId="0" applyNumberFormat="1" applyFont="1" applyAlignment="1">
      <alignment horizontal="center"/>
    </xf>
    <xf numFmtId="14" fontId="24" fillId="0" borderId="0" xfId="0" applyNumberFormat="1" applyFont="1" applyAlignment="1">
      <alignment horizontal="center"/>
    </xf>
    <xf numFmtId="14" fontId="11" fillId="0" borderId="0" xfId="0" applyNumberFormat="1" applyFont="1" applyAlignment="1">
      <alignment horizontal="center" vertical="center" wrapText="1"/>
    </xf>
    <xf numFmtId="14" fontId="11" fillId="16" borderId="0" xfId="0" applyNumberFormat="1" applyFont="1" applyFill="1" applyAlignment="1" applyProtection="1">
      <alignment horizontal="center" vertical="center"/>
      <protection locked="0"/>
    </xf>
    <xf numFmtId="0" fontId="0" fillId="0" borderId="0" xfId="0" applyProtection="1">
      <protection locked="0"/>
    </xf>
    <xf numFmtId="14" fontId="13" fillId="0" borderId="0" xfId="0" applyNumberFormat="1" applyFont="1" applyAlignment="1" applyProtection="1">
      <alignment horizontal="center"/>
      <protection locked="0"/>
    </xf>
    <xf numFmtId="0" fontId="8" fillId="15" borderId="0" xfId="0" applyFont="1" applyFill="1" applyProtection="1">
      <protection locked="0"/>
    </xf>
    <xf numFmtId="0" fontId="11" fillId="66" borderId="15" xfId="0" applyFont="1" applyFill="1" applyBorder="1" applyAlignment="1" applyProtection="1">
      <alignment horizontal="center"/>
      <protection locked="0"/>
    </xf>
    <xf numFmtId="0" fontId="11" fillId="66" borderId="16" xfId="0" applyFont="1" applyFill="1" applyBorder="1" applyAlignment="1" applyProtection="1">
      <alignment horizontal="center"/>
      <protection locked="0"/>
    </xf>
    <xf numFmtId="0" fontId="11" fillId="66" borderId="17" xfId="0" applyFont="1" applyFill="1" applyBorder="1" applyAlignment="1" applyProtection="1">
      <alignment horizontal="center"/>
      <protection locked="0"/>
    </xf>
  </cellXfs>
  <cellStyles count="54823">
    <cellStyle name="20% - Accent1 10" xfId="607" xr:uid="{6417D3E3-6AFD-410C-9A2D-492C66CE6DF2}"/>
    <cellStyle name="20% - Accent1 10 2" xfId="608" xr:uid="{5D0B134A-D2A6-4EAF-AE23-A059F4E3A054}"/>
    <cellStyle name="20% - Accent1 11" xfId="609" xr:uid="{36789C8B-BEE8-4F22-BC5B-AAD91E1BA535}"/>
    <cellStyle name="20% - Accent1 11 2" xfId="610" xr:uid="{87C1F5B4-0C2D-4CB5-89A6-AA1D4015C26B}"/>
    <cellStyle name="20% - Accent1 2" xfId="611" xr:uid="{F85C7364-D9F3-42FE-A95F-7CB3B1AEB3CD}"/>
    <cellStyle name="20% - Accent1 2 2" xfId="612" xr:uid="{E59C8EE6-6819-40D7-9322-F42599774DB8}"/>
    <cellStyle name="20% - Accent1 2 2 2" xfId="613" xr:uid="{F729C6ED-803D-43E0-982F-A9EFD29AB5EE}"/>
    <cellStyle name="20% - Accent1 2 3" xfId="614" xr:uid="{9433DAB5-0007-4919-A9AE-E3CFF1AAF3DD}"/>
    <cellStyle name="20% - Accent1 2 3 2" xfId="615" xr:uid="{18047818-05E2-4FCA-B53C-8336D3D9582C}"/>
    <cellStyle name="20% - Accent1 2 4" xfId="616" xr:uid="{77B52D43-6C73-445D-8829-D7208296274B}"/>
    <cellStyle name="20% - Accent1 2 4 2" xfId="617" xr:uid="{A7B9C653-7CC1-4046-8BD0-425AE6F63154}"/>
    <cellStyle name="20% - Accent1 2 5" xfId="618" xr:uid="{63811A38-C468-4194-99BA-691608DD7C84}"/>
    <cellStyle name="20% - Accent1 2 5 2" xfId="619" xr:uid="{08CC460A-3530-4973-BCE0-500DF6B55EB1}"/>
    <cellStyle name="20% - Accent1 2 6" xfId="620" xr:uid="{27E1DA01-03FA-42E8-82C1-491CEFFC372E}"/>
    <cellStyle name="20% - Accent1 2 6 2" xfId="621" xr:uid="{A53033E0-5090-4D19-AF9E-8A4C777C701C}"/>
    <cellStyle name="20% - Accent1 2 7" xfId="622" xr:uid="{6F7B21E9-340A-4D48-BB4B-5E79E513DFB7}"/>
    <cellStyle name="20% - Accent1 2 7 2" xfId="623" xr:uid="{5EB288F1-6F67-4A50-8CF3-E5232DB1C1F8}"/>
    <cellStyle name="20% - Accent1 2 8" xfId="624" xr:uid="{1A7F562F-9B17-48E8-AA83-2384128F3C29}"/>
    <cellStyle name="20% - Accent1 3" xfId="625" xr:uid="{DB21C15E-79D7-4835-9CF0-774EF6EDC81D}"/>
    <cellStyle name="20% - Accent1 3 2" xfId="626" xr:uid="{0C936D34-1466-474C-ACCA-EB3F445171A7}"/>
    <cellStyle name="20% - Accent1 3 2 2" xfId="627" xr:uid="{FD921219-7871-4D3C-A217-55F95697E30B}"/>
    <cellStyle name="20% - Accent1 3 3" xfId="628" xr:uid="{084B0B84-AAF3-4FC6-BBD5-A7A26788612D}"/>
    <cellStyle name="20% - Accent1 3 3 2" xfId="629" xr:uid="{8DFBBD98-8169-44A5-98C7-893863135A0E}"/>
    <cellStyle name="20% - Accent1 3 4" xfId="630" xr:uid="{18AF383E-703A-47CB-A2EB-D24D0723526E}"/>
    <cellStyle name="20% - Accent1 3 4 2" xfId="631" xr:uid="{3BB75D36-36FE-472B-9372-22EEC6B8CDAB}"/>
    <cellStyle name="20% - Accent1 3 5" xfId="632" xr:uid="{8EF7172D-BF2C-4426-A5DC-BB85553378AF}"/>
    <cellStyle name="20% - Accent1 3 5 2" xfId="633" xr:uid="{8044A1C0-680D-425E-91CD-C62C24832BAE}"/>
    <cellStyle name="20% - Accent1 3 6" xfId="634" xr:uid="{A9F7F839-2A3D-4935-B980-DE86366ACC3E}"/>
    <cellStyle name="20% - Accent1 3 6 2" xfId="635" xr:uid="{7F8612D8-2BA8-497C-8CF9-818E9376DB47}"/>
    <cellStyle name="20% - Accent1 3 7" xfId="636" xr:uid="{B66EAB92-E7A4-4E63-9865-F113A0B2DE9B}"/>
    <cellStyle name="20% - Accent1 3 7 2" xfId="637" xr:uid="{6A917BAC-0FD0-4901-893F-CE6A7110BB3D}"/>
    <cellStyle name="20% - Accent1 3 8" xfId="638" xr:uid="{FF94EFBE-FF9D-4C87-9840-0DA779417FB5}"/>
    <cellStyle name="20% - Accent1 4" xfId="639" xr:uid="{65F7646F-BEC4-49CD-9ABA-5E76C66CA872}"/>
    <cellStyle name="20% - Accent1 4 2" xfId="640" xr:uid="{4703E883-E9AB-4529-929A-11F84DCB06FD}"/>
    <cellStyle name="20% - Accent1 4 2 2" xfId="641" xr:uid="{E142C4D5-3768-460A-A719-A0F16B90B555}"/>
    <cellStyle name="20% - Accent1 4 3" xfId="642" xr:uid="{5C9A9621-679F-4AE1-8249-5C5AB87E9838}"/>
    <cellStyle name="20% - Accent1 4 3 2" xfId="643" xr:uid="{233D7B04-BD3E-410A-ADFA-0173E062F5C0}"/>
    <cellStyle name="20% - Accent1 4 4" xfId="644" xr:uid="{49B1648D-7828-44C3-B879-FAC2BF748486}"/>
    <cellStyle name="20% - Accent1 4 4 2" xfId="645" xr:uid="{B1FB94AE-A43A-4628-8B09-1F70B815A216}"/>
    <cellStyle name="20% - Accent1 4 5" xfId="646" xr:uid="{F49D755F-3E8D-4238-9EEE-0DBF04B84045}"/>
    <cellStyle name="20% - Accent1 4 5 2" xfId="647" xr:uid="{05F02390-7BCC-4964-8C30-2E2931AABEAF}"/>
    <cellStyle name="20% - Accent1 4 6" xfId="648" xr:uid="{D46DEA2D-87D5-4F27-810F-E28B3E9482FB}"/>
    <cellStyle name="20% - Accent1 4 6 2" xfId="649" xr:uid="{EAFCDE4C-1577-49E7-AE84-C4FA4DAFEB54}"/>
    <cellStyle name="20% - Accent1 4 7" xfId="650" xr:uid="{3A92ECB6-187A-46BE-BFE9-1CA15C11AE08}"/>
    <cellStyle name="20% - Accent1 4 7 2" xfId="651" xr:uid="{A4B775A4-D42B-45D7-8707-896F0941A0BA}"/>
    <cellStyle name="20% - Accent1 4 8" xfId="652" xr:uid="{498D20C4-A69E-49EB-968A-7ACAD78F2C32}"/>
    <cellStyle name="20% - Accent1 5" xfId="653" xr:uid="{66721DEE-18AC-4940-B258-46AF6447F00E}"/>
    <cellStyle name="20% - Accent1 5 2" xfId="654" xr:uid="{4F873722-8DF4-46C7-BBE8-192E909F69EC}"/>
    <cellStyle name="20% - Accent1 5 2 2" xfId="655" xr:uid="{6C668ADF-2F47-4B60-AF7E-0542B3ED9790}"/>
    <cellStyle name="20% - Accent1 5 3" xfId="656" xr:uid="{16E73BCE-7467-4D5C-99C1-4078C3AE2F7E}"/>
    <cellStyle name="20% - Accent1 5 3 2" xfId="657" xr:uid="{2759FD00-891E-4541-B972-47C16EFA36DF}"/>
    <cellStyle name="20% - Accent1 5 4" xfId="658" xr:uid="{A237D839-CEDE-47D1-BF48-2A239C1B2574}"/>
    <cellStyle name="20% - Accent1 5 4 2" xfId="659" xr:uid="{99FCBE74-50A9-4CE3-B8CC-2EBA37DA66DF}"/>
    <cellStyle name="20% - Accent1 5 5" xfId="660" xr:uid="{2358735E-348A-44D9-B074-9638B2121186}"/>
    <cellStyle name="20% - Accent1 5 5 2" xfId="661" xr:uid="{C45D49FD-A257-4818-AAA3-54668514B11D}"/>
    <cellStyle name="20% - Accent1 5 6" xfId="662" xr:uid="{7204C66D-4AFD-4414-980B-646F5407CEF3}"/>
    <cellStyle name="20% - Accent1 5 6 2" xfId="663" xr:uid="{B1901010-DBD1-403E-A0E9-80332B190E96}"/>
    <cellStyle name="20% - Accent1 5 7" xfId="664" xr:uid="{DBB76804-0FCF-4CBA-98F6-BFDC2E757536}"/>
    <cellStyle name="20% - Accent1 5 7 2" xfId="665" xr:uid="{31BB388C-1C80-4426-82A8-E75267B7ED37}"/>
    <cellStyle name="20% - Accent1 5 8" xfId="666" xr:uid="{CCE8D54A-847E-41F3-962C-C3B9614CFCCA}"/>
    <cellStyle name="20% - Accent1 6" xfId="667" xr:uid="{BD5D3306-6FA1-4EF8-B205-21975A58C614}"/>
    <cellStyle name="20% - Accent1 6 2" xfId="668" xr:uid="{D077B194-4C30-4A06-8992-AEC4BDA54B61}"/>
    <cellStyle name="20% - Accent1 6 2 2" xfId="669" xr:uid="{D878761F-5E48-43F0-BF66-77E70AF11EB7}"/>
    <cellStyle name="20% - Accent1 6 3" xfId="670" xr:uid="{B1E3B7DA-E88D-4BE7-BF3C-F3B736181602}"/>
    <cellStyle name="20% - Accent1 6 3 2" xfId="671" xr:uid="{FDE51F1C-6DE6-434D-AB59-551CCF84C010}"/>
    <cellStyle name="20% - Accent1 6 4" xfId="672" xr:uid="{0AD6FD92-9A13-4669-B586-5F55864A5DD3}"/>
    <cellStyle name="20% - Accent1 6 4 2" xfId="673" xr:uid="{5ADD88BA-2FDB-4A9F-8180-247EDD47D1E3}"/>
    <cellStyle name="20% - Accent1 6 5" xfId="674" xr:uid="{788C349C-2342-48EA-BDFA-BAE15FB5FBE7}"/>
    <cellStyle name="20% - Accent1 6 5 2" xfId="675" xr:uid="{B59F8EF0-0689-4B3B-94C5-63FEF87BEE4C}"/>
    <cellStyle name="20% - Accent1 6 6" xfId="676" xr:uid="{1541ACFA-C368-4C82-BB6C-35D59E462A20}"/>
    <cellStyle name="20% - Accent1 7" xfId="677" xr:uid="{A4A78B48-9109-4C5A-A777-EA90FAA54A0C}"/>
    <cellStyle name="20% - Accent1 7 2" xfId="678" xr:uid="{31679701-0113-4FD8-89AF-CC39F2A6A547}"/>
    <cellStyle name="20% - Accent1 7 2 2" xfId="679" xr:uid="{AF5EEF96-4D27-455F-A6BA-51C098FB07C2}"/>
    <cellStyle name="20% - Accent1 7 3" xfId="680" xr:uid="{C5FDC11F-BBA8-49CF-9752-E3E982F64597}"/>
    <cellStyle name="20% - Accent1 7 3 2" xfId="681" xr:uid="{E428DAFB-BE2D-4278-BB23-6A8BEDFB7A85}"/>
    <cellStyle name="20% - Accent1 7 4" xfId="682" xr:uid="{E092C8BD-EE14-4851-96B8-FBDBF4CC8B0A}"/>
    <cellStyle name="20% - Accent1 7 4 2" xfId="683" xr:uid="{CEC2FBD1-4A93-4BE8-B84B-A406300B5CC9}"/>
    <cellStyle name="20% - Accent1 7 5" xfId="684" xr:uid="{81C7533E-9095-4A65-8A24-72A6B3930324}"/>
    <cellStyle name="20% - Accent1 7 5 2" xfId="685" xr:uid="{9579D408-155D-4ACA-A12E-C4B4D5520DE3}"/>
    <cellStyle name="20% - Accent1 7 6" xfId="686" xr:uid="{5A9D0A72-B5A6-427C-8684-CDA9F2FA07E6}"/>
    <cellStyle name="20% - Accent1 8" xfId="687" xr:uid="{7311972A-7ABD-475D-8246-85B7FC21CC1B}"/>
    <cellStyle name="20% - Accent1 8 2" xfId="688" xr:uid="{050C5F36-1C97-497D-AD6F-8F93DEA56F2D}"/>
    <cellStyle name="20% - Accent1 9" xfId="689" xr:uid="{E65A760C-8F2F-46A6-9D36-8AD87BE2B13D}"/>
    <cellStyle name="20% - Accent1 9 2" xfId="690" xr:uid="{33AEAE42-37B8-4CE9-A56F-8032842C5906}"/>
    <cellStyle name="20% - Accent2 10" xfId="691" xr:uid="{3A57516F-5738-4C33-9F59-C1EB9592C492}"/>
    <cellStyle name="20% - Accent2 10 2" xfId="692" xr:uid="{9D6DE0E7-3CD5-4525-B88C-B4C1537F4486}"/>
    <cellStyle name="20% - Accent2 11" xfId="693" xr:uid="{94B76E43-4831-450B-BED1-54C55C5F9157}"/>
    <cellStyle name="20% - Accent2 11 2" xfId="694" xr:uid="{EFE7B289-8C0F-42AF-B659-BD680A9DCFDA}"/>
    <cellStyle name="20% - Accent2 2" xfId="695" xr:uid="{3FAFA28B-E470-426C-A543-EE951AC78130}"/>
    <cellStyle name="20% - Accent2 2 2" xfId="696" xr:uid="{A29F1A6E-163F-44EA-843E-760DEF5B3D4A}"/>
    <cellStyle name="20% - Accent2 2 2 2" xfId="697" xr:uid="{F0D40728-757B-49DD-B22D-01F13C24534C}"/>
    <cellStyle name="20% - Accent2 2 3" xfId="698" xr:uid="{6FF80A3F-D515-4A58-897A-E46271988B40}"/>
    <cellStyle name="20% - Accent2 2 3 2" xfId="699" xr:uid="{7BDE92A1-C217-43D3-9A5F-E2FA55964D5E}"/>
    <cellStyle name="20% - Accent2 2 4" xfId="700" xr:uid="{FA636376-84C6-4FF9-9D79-8C22DE5CCD81}"/>
    <cellStyle name="20% - Accent2 2 4 2" xfId="701" xr:uid="{2BD5F900-3914-46A7-A5A3-FB1578303970}"/>
    <cellStyle name="20% - Accent2 2 5" xfId="702" xr:uid="{01B3B99E-FE71-41CD-9994-A1CE0CC61D68}"/>
    <cellStyle name="20% - Accent2 2 5 2" xfId="703" xr:uid="{E9D99632-E0D5-481E-B8DD-8957124C7BC5}"/>
    <cellStyle name="20% - Accent2 2 6" xfId="704" xr:uid="{F6D3FD09-2E8F-4477-889C-62EF55C4E1B9}"/>
    <cellStyle name="20% - Accent2 2 6 2" xfId="705" xr:uid="{6B3A8E79-3DFF-47C5-BE71-6D845F7C42C1}"/>
    <cellStyle name="20% - Accent2 2 7" xfId="706" xr:uid="{7A28E548-47C8-45AD-A704-694B8E8B32BA}"/>
    <cellStyle name="20% - Accent2 2 7 2" xfId="707" xr:uid="{B66912E4-DBFB-4D20-B90E-349F388C389B}"/>
    <cellStyle name="20% - Accent2 2 8" xfId="708" xr:uid="{07A98AA2-A42C-4C92-A2E0-343E0AA1BFBB}"/>
    <cellStyle name="20% - Accent2 3" xfId="709" xr:uid="{31C166A9-E759-4C17-A074-3E8EB4874C9D}"/>
    <cellStyle name="20% - Accent2 3 2" xfId="710" xr:uid="{F3615A24-8D12-4267-ADDA-F07CEF83961A}"/>
    <cellStyle name="20% - Accent2 3 2 2" xfId="711" xr:uid="{043F54EC-E93D-463F-B7F1-6282F0BE6FDB}"/>
    <cellStyle name="20% - Accent2 3 3" xfId="712" xr:uid="{406EFD32-4BDC-4CDB-9421-CE8CF188DD4C}"/>
    <cellStyle name="20% - Accent2 3 3 2" xfId="713" xr:uid="{9BC4D158-C31C-4548-8FCB-86C948BD28A2}"/>
    <cellStyle name="20% - Accent2 3 4" xfId="714" xr:uid="{906CC65E-3AF4-4846-829D-080910BEB54B}"/>
    <cellStyle name="20% - Accent2 3 4 2" xfId="715" xr:uid="{F6B0B81F-4B6F-4DA0-8794-FF7B61D6DA01}"/>
    <cellStyle name="20% - Accent2 3 5" xfId="716" xr:uid="{7AA472E1-DCEC-471E-8EA1-1BF3F18328E4}"/>
    <cellStyle name="20% - Accent2 3 5 2" xfId="717" xr:uid="{158A4B4C-1850-4D8C-BCE0-EF466741C140}"/>
    <cellStyle name="20% - Accent2 3 6" xfId="718" xr:uid="{E3289F3E-0C78-4EDB-BAFF-67341413536C}"/>
    <cellStyle name="20% - Accent2 3 6 2" xfId="719" xr:uid="{C91F4404-5115-4EA6-8675-816645F04484}"/>
    <cellStyle name="20% - Accent2 3 7" xfId="720" xr:uid="{238997C4-C1BC-4DB9-BEFA-41AE85B3A956}"/>
    <cellStyle name="20% - Accent2 3 7 2" xfId="721" xr:uid="{C5E923C6-841B-410B-98F1-FAEC8E92B3B1}"/>
    <cellStyle name="20% - Accent2 3 8" xfId="722" xr:uid="{DF28C72E-645D-4AF3-9FA5-64480708348D}"/>
    <cellStyle name="20% - Accent2 4" xfId="723" xr:uid="{6A0E47EC-2511-41B9-867A-AEE033865EEA}"/>
    <cellStyle name="20% - Accent2 4 2" xfId="724" xr:uid="{233423C8-D09E-476A-AA64-B5C9C7AE6E9F}"/>
    <cellStyle name="20% - Accent2 4 2 2" xfId="725" xr:uid="{1C55C305-4F66-4711-9913-D1F0D946158F}"/>
    <cellStyle name="20% - Accent2 4 3" xfId="726" xr:uid="{00CCD441-F8F8-42FE-ADD8-4D9B18C18F49}"/>
    <cellStyle name="20% - Accent2 4 3 2" xfId="727" xr:uid="{21F5DED0-8CF3-44E1-875B-81CB21FE9A10}"/>
    <cellStyle name="20% - Accent2 4 4" xfId="728" xr:uid="{0E930EB8-D714-455F-9DFE-15DE9E1B711A}"/>
    <cellStyle name="20% - Accent2 4 4 2" xfId="729" xr:uid="{7300DF23-7495-426F-AAA8-3A4E2D1A332E}"/>
    <cellStyle name="20% - Accent2 4 5" xfId="730" xr:uid="{EE693BAB-A459-4693-A4BE-352FDD9CC72E}"/>
    <cellStyle name="20% - Accent2 4 5 2" xfId="731" xr:uid="{3561262E-971A-4C93-AF5C-E75E1B10283F}"/>
    <cellStyle name="20% - Accent2 4 6" xfId="732" xr:uid="{3B7F8674-AA5E-4156-8D39-E60B5D47104C}"/>
    <cellStyle name="20% - Accent2 4 6 2" xfId="733" xr:uid="{35961639-A8A6-46EC-9B4C-77B27505FAC7}"/>
    <cellStyle name="20% - Accent2 4 7" xfId="734" xr:uid="{23D1633B-E9F4-4C19-AF52-04DFCBB6930E}"/>
    <cellStyle name="20% - Accent2 4 7 2" xfId="735" xr:uid="{E66F4052-CBD7-42F3-AFE6-8E0861FC5575}"/>
    <cellStyle name="20% - Accent2 4 8" xfId="736" xr:uid="{BD5E9E1B-C8CE-4BC9-8B55-2C2866CAC319}"/>
    <cellStyle name="20% - Accent2 5" xfId="737" xr:uid="{2954B24E-5190-4E8B-9444-94D4C3F226A6}"/>
    <cellStyle name="20% - Accent2 5 2" xfId="738" xr:uid="{5450224C-58D4-4432-9B33-9B78A3ED2FA9}"/>
    <cellStyle name="20% - Accent2 5 2 2" xfId="739" xr:uid="{453943A7-D0F4-468A-AF49-C557A8F68855}"/>
    <cellStyle name="20% - Accent2 5 3" xfId="740" xr:uid="{24905699-68CA-4ED3-8EA8-4FD67A33FEDF}"/>
    <cellStyle name="20% - Accent2 5 3 2" xfId="741" xr:uid="{73B3B39F-6644-4B15-94A0-7A1219B955DE}"/>
    <cellStyle name="20% - Accent2 5 4" xfId="742" xr:uid="{A4757D75-A9C0-4A1E-B660-026186834C68}"/>
    <cellStyle name="20% - Accent2 5 4 2" xfId="743" xr:uid="{AB931A1E-4B8D-4956-84B6-A9E8211CE80B}"/>
    <cellStyle name="20% - Accent2 5 5" xfId="744" xr:uid="{2C4568C7-4A80-43B5-9012-8C4B3C5201ED}"/>
    <cellStyle name="20% - Accent2 5 5 2" xfId="745" xr:uid="{2D360270-A7E2-4FA5-8D3F-B3DDDAC9C12A}"/>
    <cellStyle name="20% - Accent2 5 6" xfId="746" xr:uid="{19A17D0E-DA24-4E8E-A711-1EA180E4C778}"/>
    <cellStyle name="20% - Accent2 5 6 2" xfId="747" xr:uid="{D4599DC2-69AF-4D57-B747-3E1ED3086260}"/>
    <cellStyle name="20% - Accent2 5 7" xfId="748" xr:uid="{F0FBBA70-A60A-4CC5-BF6A-83B0768AB701}"/>
    <cellStyle name="20% - Accent2 5 7 2" xfId="749" xr:uid="{522F868B-D277-40FB-AF60-2C0B1417278B}"/>
    <cellStyle name="20% - Accent2 5 8" xfId="750" xr:uid="{CAB64C8F-3AD5-4B32-B25F-936B8595D3CB}"/>
    <cellStyle name="20% - Accent2 6" xfId="751" xr:uid="{32A6321E-46F0-4F89-A615-D1B65AA0F12C}"/>
    <cellStyle name="20% - Accent2 6 2" xfId="752" xr:uid="{5DC4B479-813F-495E-AC4B-B1329CBBD67A}"/>
    <cellStyle name="20% - Accent2 6 2 2" xfId="753" xr:uid="{F7270578-F82B-4069-A607-0A34E05A220F}"/>
    <cellStyle name="20% - Accent2 6 3" xfId="754" xr:uid="{BF25F288-3D89-4590-A0E6-2C433B0158AB}"/>
    <cellStyle name="20% - Accent2 6 3 2" xfId="755" xr:uid="{AB15AF67-3A91-442D-9B31-5463A800EB63}"/>
    <cellStyle name="20% - Accent2 6 4" xfId="756" xr:uid="{2DC2998D-CD4B-4FD9-8C6D-F7BDD5C9E0A7}"/>
    <cellStyle name="20% - Accent2 6 4 2" xfId="757" xr:uid="{EC73C935-EBBB-4D36-BA10-D6A2EB3ADC46}"/>
    <cellStyle name="20% - Accent2 6 5" xfId="758" xr:uid="{49FFC925-AF6A-47C1-AA89-510D7F63CEE5}"/>
    <cellStyle name="20% - Accent2 6 5 2" xfId="759" xr:uid="{8A2A1573-9804-42E3-83C7-09404DB8303F}"/>
    <cellStyle name="20% - Accent2 6 6" xfId="760" xr:uid="{E47039F3-F3FB-4FDA-B2F1-8660514B6A64}"/>
    <cellStyle name="20% - Accent2 7" xfId="761" xr:uid="{BE2FC116-1214-403A-8B14-0B633983E4F7}"/>
    <cellStyle name="20% - Accent2 7 2" xfId="762" xr:uid="{828C0833-0723-4E77-9887-C9D3C9D4E4AB}"/>
    <cellStyle name="20% - Accent2 7 2 2" xfId="763" xr:uid="{DAD13AA1-D99F-447E-AFB8-A2279041FB64}"/>
    <cellStyle name="20% - Accent2 7 3" xfId="764" xr:uid="{9D4920C0-A84D-47DF-8C58-0394CF9C64C2}"/>
    <cellStyle name="20% - Accent2 7 3 2" xfId="765" xr:uid="{6910CEFD-38E5-46AD-ADCE-C07854BBCCAC}"/>
    <cellStyle name="20% - Accent2 7 4" xfId="766" xr:uid="{27DA995E-AE25-458E-B3CA-ABF4CFB2B3BC}"/>
    <cellStyle name="20% - Accent2 7 4 2" xfId="767" xr:uid="{7A317348-5FC1-4522-847C-010C42BCC01D}"/>
    <cellStyle name="20% - Accent2 7 5" xfId="768" xr:uid="{FF81E1AE-8300-4863-BF43-162D7462D0D9}"/>
    <cellStyle name="20% - Accent2 7 5 2" xfId="769" xr:uid="{1754B68F-820A-498B-A893-14935950B724}"/>
    <cellStyle name="20% - Accent2 7 6" xfId="770" xr:uid="{DE6D6915-B447-4A64-9F62-B65A9B7DB39B}"/>
    <cellStyle name="20% - Accent2 8" xfId="771" xr:uid="{68D8135B-7CC9-434A-AA0A-D815E0B73479}"/>
    <cellStyle name="20% - Accent2 8 2" xfId="772" xr:uid="{633998DF-8E43-41A2-89B3-50EA69AF46B8}"/>
    <cellStyle name="20% - Accent2 9" xfId="773" xr:uid="{B3217BE2-0D80-4D9F-92D8-64C8713BC59B}"/>
    <cellStyle name="20% - Accent2 9 2" xfId="774" xr:uid="{7651BC1D-BDB9-4F95-9CB7-DA906C8ADD80}"/>
    <cellStyle name="20% - Accent3 10" xfId="775" xr:uid="{1F04424B-959E-4656-A25A-4D6C1480B68F}"/>
    <cellStyle name="20% - Accent3 10 2" xfId="776" xr:uid="{59D572D1-EE7D-4913-9CC6-07A286D5AA16}"/>
    <cellStyle name="20% - Accent3 11" xfId="777" xr:uid="{0D82B17C-804F-4762-AC73-7A0E4F9A46FC}"/>
    <cellStyle name="20% - Accent3 11 2" xfId="778" xr:uid="{17B8ECDD-CFB6-42E2-854E-4E7244607B2D}"/>
    <cellStyle name="20% - Accent3 2" xfId="779" xr:uid="{DE6C659A-8CAF-4241-9D6A-F27605BC90F5}"/>
    <cellStyle name="20% - Accent3 2 2" xfId="780" xr:uid="{CFA4DECF-E10A-473F-A1EA-E7B6340B567D}"/>
    <cellStyle name="20% - Accent3 2 2 2" xfId="781" xr:uid="{0D20B251-FBB3-44A6-8244-9F1588F3376D}"/>
    <cellStyle name="20% - Accent3 2 3" xfId="782" xr:uid="{9B1EF401-45C0-4EBF-ACE3-BBBCF6B6681A}"/>
    <cellStyle name="20% - Accent3 2 3 2" xfId="783" xr:uid="{EC14F253-D7E3-4BF6-BAFE-8CB3A151C775}"/>
    <cellStyle name="20% - Accent3 2 4" xfId="784" xr:uid="{5A30FAE9-D581-4A97-B653-925330C6FA1C}"/>
    <cellStyle name="20% - Accent3 2 4 2" xfId="785" xr:uid="{28C4BAD5-AD5B-44EC-BDC6-54C1C54EDC31}"/>
    <cellStyle name="20% - Accent3 2 5" xfId="786" xr:uid="{E7190B9F-5801-4560-ADB6-84BCE90E9CF5}"/>
    <cellStyle name="20% - Accent3 2 5 2" xfId="787" xr:uid="{8DEFF508-4E68-4C6E-A054-E8F160798EA0}"/>
    <cellStyle name="20% - Accent3 2 6" xfId="788" xr:uid="{4510ED4A-D56F-40BD-8814-642127A978B3}"/>
    <cellStyle name="20% - Accent3 2 6 2" xfId="789" xr:uid="{E2027065-D0F3-4E53-B2C3-76352C89D137}"/>
    <cellStyle name="20% - Accent3 2 7" xfId="790" xr:uid="{8F9F3D6E-3E7C-403A-9DF2-DB69BD30F245}"/>
    <cellStyle name="20% - Accent3 2 7 2" xfId="791" xr:uid="{FFFB66BB-77A7-4796-A66C-F9B86B979BFB}"/>
    <cellStyle name="20% - Accent3 2 8" xfId="792" xr:uid="{F5DA2356-D369-45CC-A74E-7196DEEF9A9A}"/>
    <cellStyle name="20% - Accent3 3" xfId="793" xr:uid="{D102A9B4-953B-4F86-9F98-994A69709D97}"/>
    <cellStyle name="20% - Accent3 3 2" xfId="794" xr:uid="{95D9DFCF-5B41-47CD-8C65-E3DD3AFBF78D}"/>
    <cellStyle name="20% - Accent3 3 2 2" xfId="795" xr:uid="{F8F085E4-9C4C-4CBD-90E0-CF5932F1C391}"/>
    <cellStyle name="20% - Accent3 3 3" xfId="796" xr:uid="{3071904F-FCC4-4C24-B2A9-94C09E361356}"/>
    <cellStyle name="20% - Accent3 3 3 2" xfId="797" xr:uid="{1151BFC3-0F10-41A8-8417-75131D19EF8C}"/>
    <cellStyle name="20% - Accent3 3 4" xfId="798" xr:uid="{1D6A4883-4EA8-491E-8C21-93DE3A300899}"/>
    <cellStyle name="20% - Accent3 3 4 2" xfId="799" xr:uid="{AE470CC7-064F-46A1-BD95-B0FE15BDC9DB}"/>
    <cellStyle name="20% - Accent3 3 5" xfId="800" xr:uid="{A6C2C565-1843-40CB-B905-68D1B49ED168}"/>
    <cellStyle name="20% - Accent3 3 5 2" xfId="801" xr:uid="{34C5A7B7-0F1C-4FB8-BE78-1263AF075263}"/>
    <cellStyle name="20% - Accent3 3 6" xfId="802" xr:uid="{46A6A20D-A79D-4F31-8135-EBCF4F90B00D}"/>
    <cellStyle name="20% - Accent3 3 6 2" xfId="803" xr:uid="{F0894236-1ED6-490C-B612-6AE47A49F8B9}"/>
    <cellStyle name="20% - Accent3 3 7" xfId="804" xr:uid="{6F6B17E3-B0E5-4F5B-9888-7CB89596F076}"/>
    <cellStyle name="20% - Accent3 3 7 2" xfId="805" xr:uid="{804D8394-815B-4EB0-A118-3E7CF39E2515}"/>
    <cellStyle name="20% - Accent3 3 8" xfId="806" xr:uid="{69E73D64-6D86-4BAF-A5FE-35B5045CF6FE}"/>
    <cellStyle name="20% - Accent3 4" xfId="807" xr:uid="{E0E79CF9-A2C5-4A89-876F-02D1447A01F3}"/>
    <cellStyle name="20% - Accent3 4 2" xfId="808" xr:uid="{0C490263-0D3E-47ED-A83A-D007CA6631E8}"/>
    <cellStyle name="20% - Accent3 4 2 2" xfId="809" xr:uid="{588F318A-B84B-4C18-B5C5-7B19349ADB28}"/>
    <cellStyle name="20% - Accent3 4 3" xfId="810" xr:uid="{4092D60A-BBBF-4BB2-8273-1E4E0691F520}"/>
    <cellStyle name="20% - Accent3 4 3 2" xfId="811" xr:uid="{7EEAB455-422D-4F96-80EF-10337A6681F3}"/>
    <cellStyle name="20% - Accent3 4 4" xfId="812" xr:uid="{CC3DAB20-0610-4037-B09B-DB41F9658836}"/>
    <cellStyle name="20% - Accent3 4 4 2" xfId="813" xr:uid="{FA905E67-2880-4CE3-B8F9-8EA19BC9E9FA}"/>
    <cellStyle name="20% - Accent3 4 5" xfId="814" xr:uid="{B8562689-1D1A-4F75-AA3B-AC9ECE16B8B0}"/>
    <cellStyle name="20% - Accent3 4 5 2" xfId="815" xr:uid="{1BD8B847-BB90-4409-8847-A1FD00C13CD4}"/>
    <cellStyle name="20% - Accent3 4 6" xfId="816" xr:uid="{F48FDC65-F36A-4085-B905-6EF7751C32DA}"/>
    <cellStyle name="20% - Accent3 4 6 2" xfId="817" xr:uid="{A2678A11-BC41-4C71-901C-2831E4F4E864}"/>
    <cellStyle name="20% - Accent3 4 7" xfId="818" xr:uid="{AC6416F8-BDFB-4479-8124-F2F21DB89927}"/>
    <cellStyle name="20% - Accent3 4 7 2" xfId="819" xr:uid="{7C78201C-555A-4A30-8852-859E533BB465}"/>
    <cellStyle name="20% - Accent3 4 8" xfId="820" xr:uid="{7EE6C005-BF82-4669-89F8-6D5F2FC31156}"/>
    <cellStyle name="20% - Accent3 5" xfId="821" xr:uid="{62494089-C7DD-4E12-9600-0E7FBF5D6AA5}"/>
    <cellStyle name="20% - Accent3 5 2" xfId="822" xr:uid="{95747045-545B-4944-9904-435C698228CB}"/>
    <cellStyle name="20% - Accent3 5 2 2" xfId="823" xr:uid="{2E335200-FDB5-4CC6-948A-8D5F6B1E8F63}"/>
    <cellStyle name="20% - Accent3 5 3" xfId="824" xr:uid="{B1256B5C-8CE2-4B45-BD71-D573E02180C1}"/>
    <cellStyle name="20% - Accent3 5 3 2" xfId="825" xr:uid="{00F49016-ACEF-48D4-BAE6-32E5B68EB6CD}"/>
    <cellStyle name="20% - Accent3 5 4" xfId="826" xr:uid="{31C8E421-3FB3-443B-AFC4-2B6544038A34}"/>
    <cellStyle name="20% - Accent3 5 4 2" xfId="827" xr:uid="{93898CFD-9CF1-411C-9A11-239B03C1D822}"/>
    <cellStyle name="20% - Accent3 5 5" xfId="828" xr:uid="{5B3B9E64-51BB-433A-B902-6A887D307264}"/>
    <cellStyle name="20% - Accent3 5 5 2" xfId="829" xr:uid="{856674C8-D87C-4B71-ADDA-F86F97BB8710}"/>
    <cellStyle name="20% - Accent3 5 6" xfId="830" xr:uid="{F40F82A8-D34F-47E2-8B7B-F85244166106}"/>
    <cellStyle name="20% - Accent3 5 6 2" xfId="831" xr:uid="{07C9E328-9527-4A5B-AAD5-CAB62A18D52E}"/>
    <cellStyle name="20% - Accent3 5 7" xfId="832" xr:uid="{90F56515-9559-4706-AB5A-02B334CDA3DA}"/>
    <cellStyle name="20% - Accent3 5 7 2" xfId="833" xr:uid="{A48751FA-3FB2-481C-A473-28AF84697E8E}"/>
    <cellStyle name="20% - Accent3 5 8" xfId="834" xr:uid="{D1B4F486-410B-490B-B404-DA2E93632FDB}"/>
    <cellStyle name="20% - Accent3 6" xfId="835" xr:uid="{597C3CE3-00FD-4BF2-AEE5-25C7F57A5C93}"/>
    <cellStyle name="20% - Accent3 6 2" xfId="836" xr:uid="{BE967645-7468-4CAA-BBB8-6001C7790C84}"/>
    <cellStyle name="20% - Accent3 6 2 2" xfId="837" xr:uid="{42188649-1660-479F-8E16-42B56B0EC5F9}"/>
    <cellStyle name="20% - Accent3 6 3" xfId="838" xr:uid="{A2F8ACCE-4710-4720-9C03-E3393C40E1AE}"/>
    <cellStyle name="20% - Accent3 6 3 2" xfId="839" xr:uid="{99EC7FB7-254D-4EE5-BE1B-3AD40BD50FCE}"/>
    <cellStyle name="20% - Accent3 6 4" xfId="840" xr:uid="{13A0B856-E3F1-413E-8346-668DC6D10FDA}"/>
    <cellStyle name="20% - Accent3 6 4 2" xfId="841" xr:uid="{D6057642-A8BF-4C0C-AF62-182CB155D0D4}"/>
    <cellStyle name="20% - Accent3 6 5" xfId="842" xr:uid="{A8FCB857-71A4-4428-AB66-6237F4736610}"/>
    <cellStyle name="20% - Accent3 6 5 2" xfId="843" xr:uid="{AF636301-B3DD-44F0-9816-6F871FFC9309}"/>
    <cellStyle name="20% - Accent3 6 6" xfId="844" xr:uid="{A7B6F364-EFA1-4149-BDFA-5C4C51C3C897}"/>
    <cellStyle name="20% - Accent3 7" xfId="845" xr:uid="{2D909136-DE8A-4CBD-9A38-5EEE5F895348}"/>
    <cellStyle name="20% - Accent3 7 2" xfId="846" xr:uid="{0AEDA525-6093-42AD-8527-5860C9E6E13E}"/>
    <cellStyle name="20% - Accent3 7 2 2" xfId="847" xr:uid="{D8E1BAD4-B7F0-4A03-ADEA-37B728129DDE}"/>
    <cellStyle name="20% - Accent3 7 3" xfId="848" xr:uid="{96AD222A-BEA6-4E5C-9015-1AD20BD92A17}"/>
    <cellStyle name="20% - Accent3 7 3 2" xfId="849" xr:uid="{D1A6C863-FF95-4D6E-8624-1ED06A669B89}"/>
    <cellStyle name="20% - Accent3 7 4" xfId="850" xr:uid="{98096AB0-5B70-461B-B5BC-B8ED4FA8350C}"/>
    <cellStyle name="20% - Accent3 7 4 2" xfId="851" xr:uid="{4E4F5B17-5D43-47B9-AEAC-29A2E0D94665}"/>
    <cellStyle name="20% - Accent3 7 5" xfId="852" xr:uid="{ABEBC669-2EEB-4A8F-9D06-D80233E3B278}"/>
    <cellStyle name="20% - Accent3 7 5 2" xfId="853" xr:uid="{A11BEAB5-584C-4C2C-A5C0-FCC0077A1EC5}"/>
    <cellStyle name="20% - Accent3 7 6" xfId="854" xr:uid="{E8773DDC-137F-47E7-A5C9-53C2F7B66817}"/>
    <cellStyle name="20% - Accent3 8" xfId="855" xr:uid="{A81344D5-794A-4386-BB92-C364922845B5}"/>
    <cellStyle name="20% - Accent3 8 2" xfId="856" xr:uid="{09C9ECB9-FBA5-4094-BCFA-A489A784266D}"/>
    <cellStyle name="20% - Accent3 9" xfId="857" xr:uid="{31E627E9-4006-4345-9CDE-9E6945E21D75}"/>
    <cellStyle name="20% - Accent3 9 2" xfId="858" xr:uid="{99036871-604D-4C74-8FCE-F2BC9B0C8948}"/>
    <cellStyle name="20% - Accent4 10" xfId="859" xr:uid="{44F43B79-1FBF-472D-8AC1-5CA128C63E06}"/>
    <cellStyle name="20% - Accent4 10 2" xfId="860" xr:uid="{E8077E2F-4985-4B36-A603-C9C9D33A70E7}"/>
    <cellStyle name="20% - Accent4 11" xfId="861" xr:uid="{0DC04E65-95CC-4429-BDDE-B0639FE9C011}"/>
    <cellStyle name="20% - Accent4 11 2" xfId="862" xr:uid="{FF92FB68-3506-4887-8EBF-B76FD7899B13}"/>
    <cellStyle name="20% - Accent4 2" xfId="863" xr:uid="{D5D6C59E-0DAB-4DA9-A763-A091BFD2BA32}"/>
    <cellStyle name="20% - Accent4 2 2" xfId="864" xr:uid="{1D2989DD-7255-4EBD-A127-E232A76E0C07}"/>
    <cellStyle name="20% - Accent4 2 2 2" xfId="865" xr:uid="{4B8F2081-2E07-4030-A870-A9C71330157E}"/>
    <cellStyle name="20% - Accent4 2 3" xfId="866" xr:uid="{7AC1ECD5-69EA-47D8-A359-46239553C9FE}"/>
    <cellStyle name="20% - Accent4 2 3 2" xfId="867" xr:uid="{3B91D888-F6EF-4BB2-8B98-2858CB9900E2}"/>
    <cellStyle name="20% - Accent4 2 4" xfId="868" xr:uid="{BF8950D7-BD09-4173-9873-BD188069B7A4}"/>
    <cellStyle name="20% - Accent4 2 4 2" xfId="869" xr:uid="{FDF1276C-4394-4255-B6FA-EE46065A9B0B}"/>
    <cellStyle name="20% - Accent4 2 5" xfId="870" xr:uid="{4B316C0C-EC98-4BCD-B68E-9AD96CAB1B9C}"/>
    <cellStyle name="20% - Accent4 2 5 2" xfId="871" xr:uid="{60607389-CFAB-49C2-A858-6C8A04683A1E}"/>
    <cellStyle name="20% - Accent4 2 6" xfId="872" xr:uid="{2BB21E2C-18B4-4507-A40A-87FF6D4BEBE4}"/>
    <cellStyle name="20% - Accent4 2 6 2" xfId="873" xr:uid="{DC82BFD2-8419-45B0-B506-731F6A49D91A}"/>
    <cellStyle name="20% - Accent4 2 7" xfId="874" xr:uid="{86004554-E09E-4923-8DC3-8C0052B2ABC2}"/>
    <cellStyle name="20% - Accent4 2 7 2" xfId="875" xr:uid="{6C635036-5A52-40C1-AFC5-51000886852B}"/>
    <cellStyle name="20% - Accent4 2 8" xfId="876" xr:uid="{144827FE-8296-41BF-BE00-C64189198186}"/>
    <cellStyle name="20% - Accent4 3" xfId="877" xr:uid="{9B6A319C-0BDE-4C58-9A1B-492F46CB909C}"/>
    <cellStyle name="20% - Accent4 3 2" xfId="878" xr:uid="{CA5D1096-7B5D-4D93-9465-86D903A8A9CC}"/>
    <cellStyle name="20% - Accent4 3 2 2" xfId="879" xr:uid="{0E8526E1-8791-46D4-8B97-020E91951A3A}"/>
    <cellStyle name="20% - Accent4 3 3" xfId="880" xr:uid="{41A6C777-CE47-443E-8AA8-12FAD18CE6E5}"/>
    <cellStyle name="20% - Accent4 3 3 2" xfId="881" xr:uid="{1AC3D496-F305-48E0-BCD9-4829B219462F}"/>
    <cellStyle name="20% - Accent4 3 4" xfId="882" xr:uid="{5C34F0CD-8261-4848-84C2-7CA17DA047D1}"/>
    <cellStyle name="20% - Accent4 3 4 2" xfId="883" xr:uid="{6D1FBF91-6977-4665-A836-86927715F150}"/>
    <cellStyle name="20% - Accent4 3 5" xfId="884" xr:uid="{6B917025-840D-4BD2-AEA8-36B78EF382D4}"/>
    <cellStyle name="20% - Accent4 3 5 2" xfId="885" xr:uid="{8A873A65-589C-40BD-B9DA-11EA0D76958B}"/>
    <cellStyle name="20% - Accent4 3 6" xfId="886" xr:uid="{9EFCA6F1-E8D5-47B6-A25E-5FE6489E9207}"/>
    <cellStyle name="20% - Accent4 3 6 2" xfId="887" xr:uid="{459BC8CA-A2AC-48E5-A558-434F8925AE81}"/>
    <cellStyle name="20% - Accent4 3 7" xfId="888" xr:uid="{CB8762EE-4122-4DE9-93CB-85DA9A841196}"/>
    <cellStyle name="20% - Accent4 3 7 2" xfId="889" xr:uid="{06196790-B24D-4A79-B5FC-CE5C366AE78E}"/>
    <cellStyle name="20% - Accent4 3 8" xfId="890" xr:uid="{221914F3-8CBE-490E-BF93-3221F15ADE94}"/>
    <cellStyle name="20% - Accent4 4" xfId="891" xr:uid="{9E224F08-9B3C-4638-B2C2-8883D70D77E9}"/>
    <cellStyle name="20% - Accent4 4 2" xfId="892" xr:uid="{122A6F3A-9626-4334-BC44-D5789CA6BDE3}"/>
    <cellStyle name="20% - Accent4 4 2 2" xfId="893" xr:uid="{73DC1F92-3791-4324-AD3C-D8B287BF0DEB}"/>
    <cellStyle name="20% - Accent4 4 3" xfId="894" xr:uid="{D95FB9EC-FF9A-4095-8230-6D3933562DE8}"/>
    <cellStyle name="20% - Accent4 4 3 2" xfId="895" xr:uid="{33A6A55F-3F9B-43FC-A0D8-FBD3FDBCF3C9}"/>
    <cellStyle name="20% - Accent4 4 4" xfId="896" xr:uid="{0FAC5ABC-D0F8-4748-89D9-C30369A0A445}"/>
    <cellStyle name="20% - Accent4 4 4 2" xfId="897" xr:uid="{3761AEF0-5B52-4A83-8687-E637572D8D74}"/>
    <cellStyle name="20% - Accent4 4 5" xfId="898" xr:uid="{EFC4BE4D-108E-422B-A5D4-2C9B8806F1CB}"/>
    <cellStyle name="20% - Accent4 4 5 2" xfId="899" xr:uid="{3FF8F0D7-C005-491F-B3AF-06393BDFB6DC}"/>
    <cellStyle name="20% - Accent4 4 6" xfId="900" xr:uid="{F39C32D6-C351-4083-8AEC-26DAF3434392}"/>
    <cellStyle name="20% - Accent4 4 6 2" xfId="901" xr:uid="{54AC2DC2-5959-4692-BCCF-30601C365A49}"/>
    <cellStyle name="20% - Accent4 4 7" xfId="902" xr:uid="{5199EFFB-D494-4004-9D3F-B4360E13D8E5}"/>
    <cellStyle name="20% - Accent4 4 7 2" xfId="903" xr:uid="{78A12445-361D-41B6-A68B-FACEC0933AC5}"/>
    <cellStyle name="20% - Accent4 4 8" xfId="904" xr:uid="{51521F11-557D-42AF-9A88-AA49D4598DD2}"/>
    <cellStyle name="20% - Accent4 5" xfId="905" xr:uid="{99B4CABE-A788-4280-BF19-D3509E93468F}"/>
    <cellStyle name="20% - Accent4 5 2" xfId="906" xr:uid="{76BC5864-D50C-455E-BA8C-2544D732E53E}"/>
    <cellStyle name="20% - Accent4 5 2 2" xfId="907" xr:uid="{38F2ECE1-481C-424D-9914-1FD6FAC29092}"/>
    <cellStyle name="20% - Accent4 5 3" xfId="908" xr:uid="{6FFF0AE2-8DEF-40B6-BC6C-B7E0837CFEBD}"/>
    <cellStyle name="20% - Accent4 5 3 2" xfId="909" xr:uid="{73D3AE72-C8C5-46E2-B5A2-064F2F4AB66F}"/>
    <cellStyle name="20% - Accent4 5 4" xfId="910" xr:uid="{BD64B6F7-CDAE-48D9-AA21-79914A76157A}"/>
    <cellStyle name="20% - Accent4 5 4 2" xfId="911" xr:uid="{806F74F5-24D1-4144-82E3-8A94070FC7FE}"/>
    <cellStyle name="20% - Accent4 5 5" xfId="912" xr:uid="{928A715C-A9AA-453C-895E-2660403E6724}"/>
    <cellStyle name="20% - Accent4 5 5 2" xfId="913" xr:uid="{7DEBC78D-DBD5-4872-91DD-2FB8A1EDC8C9}"/>
    <cellStyle name="20% - Accent4 5 6" xfId="914" xr:uid="{A3C571D6-61A1-4A3A-A692-01259175EC07}"/>
    <cellStyle name="20% - Accent4 5 6 2" xfId="915" xr:uid="{59301245-F257-4A7D-BB84-92F19A417F9E}"/>
    <cellStyle name="20% - Accent4 5 7" xfId="916" xr:uid="{FDD97103-EB09-4810-BA1B-2153A3207BBD}"/>
    <cellStyle name="20% - Accent4 5 7 2" xfId="917" xr:uid="{93CCF95E-8626-41AB-8EAA-39746C946B84}"/>
    <cellStyle name="20% - Accent4 5 8" xfId="918" xr:uid="{2F89E5D0-4F39-4852-88F7-113F2485C10B}"/>
    <cellStyle name="20% - Accent4 6" xfId="919" xr:uid="{01C3ECEE-B0FA-4F91-9562-4D0955601956}"/>
    <cellStyle name="20% - Accent4 6 2" xfId="920" xr:uid="{4EE8789D-CFA8-493C-BF30-582B7A253D47}"/>
    <cellStyle name="20% - Accent4 6 2 2" xfId="921" xr:uid="{43DCE64C-66FB-4204-8ACC-8E17C9A757DF}"/>
    <cellStyle name="20% - Accent4 6 3" xfId="922" xr:uid="{1933639C-50F3-4180-97A4-CF09D6D88C71}"/>
    <cellStyle name="20% - Accent4 6 3 2" xfId="923" xr:uid="{46291A10-A918-4856-BDBA-312C91CA57AC}"/>
    <cellStyle name="20% - Accent4 6 4" xfId="924" xr:uid="{A7BCF4AA-3302-4B22-9A4E-098408557C84}"/>
    <cellStyle name="20% - Accent4 6 4 2" xfId="925" xr:uid="{8422EF9C-A120-4E62-BFE3-5C842B15D51E}"/>
    <cellStyle name="20% - Accent4 6 5" xfId="926" xr:uid="{95C26E76-9A69-4D51-8411-DD4D459C4554}"/>
    <cellStyle name="20% - Accent4 6 5 2" xfId="927" xr:uid="{D3EDD1F4-6DDF-48A7-9424-047FB6C724E5}"/>
    <cellStyle name="20% - Accent4 6 6" xfId="928" xr:uid="{A24D207D-A6E7-4FD5-A899-607B4B85890A}"/>
    <cellStyle name="20% - Accent4 7" xfId="929" xr:uid="{997BA4B6-32EA-4551-BF05-79AB53F7B50E}"/>
    <cellStyle name="20% - Accent4 7 2" xfId="930" xr:uid="{C1072348-440E-4203-A177-F2B7D2AE159F}"/>
    <cellStyle name="20% - Accent4 7 2 2" xfId="931" xr:uid="{A952D6A5-7846-4299-8A2F-69099239AF59}"/>
    <cellStyle name="20% - Accent4 7 3" xfId="932" xr:uid="{509529CD-3EF2-4606-8F3A-E995E964A070}"/>
    <cellStyle name="20% - Accent4 7 3 2" xfId="933" xr:uid="{513C8C40-8BA9-4202-B7C6-9170B065C97B}"/>
    <cellStyle name="20% - Accent4 7 4" xfId="934" xr:uid="{8D4C4CC4-A19D-4B8C-881C-4A89A1EB2C39}"/>
    <cellStyle name="20% - Accent4 7 4 2" xfId="935" xr:uid="{966B1268-6747-4560-A937-60D99D63EBDF}"/>
    <cellStyle name="20% - Accent4 7 5" xfId="936" xr:uid="{07304AAC-7CE6-4D9E-A3D8-1D7E3D80199B}"/>
    <cellStyle name="20% - Accent4 7 5 2" xfId="937" xr:uid="{5DCBBE4C-43A7-4804-B1C8-4EB6406271AF}"/>
    <cellStyle name="20% - Accent4 7 6" xfId="938" xr:uid="{FCF405F4-FA8F-4EB3-8557-A025D39CC315}"/>
    <cellStyle name="20% - Accent4 8" xfId="939" xr:uid="{68942C14-FA2D-4648-89F9-2C0C44C8746C}"/>
    <cellStyle name="20% - Accent4 8 2" xfId="940" xr:uid="{8D6AAE66-6A29-43B8-A94B-7ACDFA344857}"/>
    <cellStyle name="20% - Accent4 9" xfId="941" xr:uid="{99170EED-1744-48E4-9A80-A3F418E1690C}"/>
    <cellStyle name="20% - Accent4 9 2" xfId="942" xr:uid="{999DB7ED-0DBF-4BF0-954E-B9D50ED21453}"/>
    <cellStyle name="20% - Accent5 10" xfId="943" xr:uid="{8AA061D6-7752-476B-AB45-A45CB0CFBAED}"/>
    <cellStyle name="20% - Accent5 10 2" xfId="944" xr:uid="{9586815A-73DC-4841-8E4F-D9A828D24A3C}"/>
    <cellStyle name="20% - Accent5 11" xfId="945" xr:uid="{075431DA-DC98-4BFB-971C-478DC366A982}"/>
    <cellStyle name="20% - Accent5 11 2" xfId="946" xr:uid="{83FA144D-23EB-4F2C-B375-A8B8A3E2B2A8}"/>
    <cellStyle name="20% - Accent5 2" xfId="947" xr:uid="{E438DA31-E606-47CC-A589-D93B34B2C72B}"/>
    <cellStyle name="20% - Accent5 2 2" xfId="948" xr:uid="{664FD4B3-AC79-4768-A0B2-42B0AC74B6CA}"/>
    <cellStyle name="20% - Accent5 2 2 2" xfId="949" xr:uid="{E0F56920-8FCE-4ADE-8324-6BF88C8AB4EF}"/>
    <cellStyle name="20% - Accent5 2 3" xfId="950" xr:uid="{0B13B39A-8296-41ED-AD38-B58F565BFFB5}"/>
    <cellStyle name="20% - Accent5 2 3 2" xfId="951" xr:uid="{859C40AF-C9E8-44C5-914C-01B7DC3DB09B}"/>
    <cellStyle name="20% - Accent5 2 4" xfId="952" xr:uid="{231C2559-8E44-40A6-9315-6114B6E87138}"/>
    <cellStyle name="20% - Accent5 2 4 2" xfId="953" xr:uid="{938419F6-F346-4037-BC2C-B1CE47C563ED}"/>
    <cellStyle name="20% - Accent5 2 5" xfId="954" xr:uid="{DD4137DE-60D8-4358-9B03-6DBD1F79D28A}"/>
    <cellStyle name="20% - Accent5 2 5 2" xfId="955" xr:uid="{200D92CC-295E-40A0-A3C7-09CD497EFF1C}"/>
    <cellStyle name="20% - Accent5 2 6" xfId="956" xr:uid="{2121768E-9272-4FC2-8127-0E3AA49AA6F9}"/>
    <cellStyle name="20% - Accent5 2 6 2" xfId="957" xr:uid="{F00F24CB-C24C-4F48-9BF4-E396D39689C5}"/>
    <cellStyle name="20% - Accent5 2 7" xfId="958" xr:uid="{A5F0A049-31FE-40F7-93D7-35698B24974D}"/>
    <cellStyle name="20% - Accent5 2 7 2" xfId="959" xr:uid="{C1EADC52-530C-4A7E-9824-411AF5F9088E}"/>
    <cellStyle name="20% - Accent5 2 8" xfId="960" xr:uid="{AA5B4A3B-0FBC-470F-8778-FDC61B0A5030}"/>
    <cellStyle name="20% - Accent5 3" xfId="961" xr:uid="{20D29287-07AD-4864-B33E-6358CCC60D0F}"/>
    <cellStyle name="20% - Accent5 3 2" xfId="962" xr:uid="{BFB58C7F-820C-4BC9-81AA-B350EE2DE479}"/>
    <cellStyle name="20% - Accent5 3 2 2" xfId="963" xr:uid="{5D2E04C6-ED2B-4611-B621-A30FD896F0B9}"/>
    <cellStyle name="20% - Accent5 3 3" xfId="964" xr:uid="{54640237-EFF6-4394-9AF3-EC094A7B6779}"/>
    <cellStyle name="20% - Accent5 3 3 2" xfId="965" xr:uid="{17F83FFC-23F8-48FB-8BA2-0E82B08D6DE4}"/>
    <cellStyle name="20% - Accent5 3 4" xfId="966" xr:uid="{F159B45B-C6DA-44BC-813E-A46246E32D8F}"/>
    <cellStyle name="20% - Accent5 3 4 2" xfId="967" xr:uid="{E7437DC7-0956-4E16-86B6-445A2649C83C}"/>
    <cellStyle name="20% - Accent5 3 5" xfId="968" xr:uid="{2450B2F5-7159-4DF0-A8CB-4886825FAF4B}"/>
    <cellStyle name="20% - Accent5 3 5 2" xfId="969" xr:uid="{42FB4666-BDE9-4BC8-82A6-30FB2AADE158}"/>
    <cellStyle name="20% - Accent5 3 6" xfId="970" xr:uid="{5928790F-A41E-40AB-8B43-FBB20EA01BFE}"/>
    <cellStyle name="20% - Accent5 3 6 2" xfId="971" xr:uid="{9B9D3C2C-75B6-4302-9148-20AC51BE9B10}"/>
    <cellStyle name="20% - Accent5 3 7" xfId="972" xr:uid="{DBD842C3-4341-4E1B-86BF-512EB6FBB424}"/>
    <cellStyle name="20% - Accent5 3 7 2" xfId="973" xr:uid="{F7317132-0E82-463A-9DFB-A7DBCE717970}"/>
    <cellStyle name="20% - Accent5 3 8" xfId="974" xr:uid="{364B7E51-AF9C-4B99-AE06-FDC7CCFF8439}"/>
    <cellStyle name="20% - Accent5 4" xfId="975" xr:uid="{F5A29192-2D08-49DD-B0DC-C76F65A6E961}"/>
    <cellStyle name="20% - Accent5 4 2" xfId="976" xr:uid="{6F8CB0F3-3C89-4C47-AD2F-2BFE7945B24A}"/>
    <cellStyle name="20% - Accent5 4 2 2" xfId="977" xr:uid="{5858DE2B-89DF-4286-8A02-0EE54B0169D9}"/>
    <cellStyle name="20% - Accent5 4 3" xfId="978" xr:uid="{5F400817-1B5B-4566-80E2-1145FE1B6345}"/>
    <cellStyle name="20% - Accent5 4 3 2" xfId="979" xr:uid="{EA64264E-C6CC-4211-BD48-4B6A11B95E7A}"/>
    <cellStyle name="20% - Accent5 4 4" xfId="980" xr:uid="{16C49383-BB6D-44C1-9CEE-0A51E3051C30}"/>
    <cellStyle name="20% - Accent5 4 4 2" xfId="981" xr:uid="{56494BC0-77FD-4E89-ACAC-AC824E2CEB8B}"/>
    <cellStyle name="20% - Accent5 4 5" xfId="982" xr:uid="{909E2B12-A5F9-4A6C-A2E2-A0619E4E0DC7}"/>
    <cellStyle name="20% - Accent5 4 5 2" xfId="983" xr:uid="{692AB5D2-7443-4943-BE6E-432F1B446CE5}"/>
    <cellStyle name="20% - Accent5 4 6" xfId="984" xr:uid="{39FD9E35-A21F-4698-95B5-DC4DDBDFCEB6}"/>
    <cellStyle name="20% - Accent5 4 6 2" xfId="985" xr:uid="{689A98B6-BB96-4794-9154-F75FD552A845}"/>
    <cellStyle name="20% - Accent5 4 7" xfId="986" xr:uid="{D2E22C64-FD41-4CB4-8D9F-49EFBEDF2771}"/>
    <cellStyle name="20% - Accent5 4 7 2" xfId="987" xr:uid="{EB63B0AB-C871-497A-A66A-2585A7F5D798}"/>
    <cellStyle name="20% - Accent5 4 8" xfId="988" xr:uid="{B5727242-F925-489B-8C1F-DA39855C9604}"/>
    <cellStyle name="20% - Accent5 5" xfId="989" xr:uid="{36FADADD-ECDA-4E9C-8081-759F04161777}"/>
    <cellStyle name="20% - Accent5 5 2" xfId="990" xr:uid="{39F5BDBE-AACD-41FB-8B2D-4F4DD5D8FC16}"/>
    <cellStyle name="20% - Accent5 5 2 2" xfId="991" xr:uid="{B3798591-B319-4A77-B70B-530E1F7B3E4F}"/>
    <cellStyle name="20% - Accent5 5 3" xfId="992" xr:uid="{953F2786-CCFA-4658-87F1-A84D72EB0B85}"/>
    <cellStyle name="20% - Accent5 5 3 2" xfId="993" xr:uid="{E95353E6-8E80-44B3-B927-35AE369E7450}"/>
    <cellStyle name="20% - Accent5 5 4" xfId="994" xr:uid="{F01CC302-0EAF-4093-860D-8FE92AB22224}"/>
    <cellStyle name="20% - Accent5 5 4 2" xfId="995" xr:uid="{9A0B846F-0C11-49A2-9FFC-E383FD1E4530}"/>
    <cellStyle name="20% - Accent5 5 5" xfId="996" xr:uid="{26A73305-60B1-4FE5-A8B9-8B8E0E3CDD2B}"/>
    <cellStyle name="20% - Accent5 5 5 2" xfId="997" xr:uid="{F65DADFB-6ACE-4866-992F-6CC7F30384ED}"/>
    <cellStyle name="20% - Accent5 5 6" xfId="998" xr:uid="{02E5E7DA-305D-4F0C-9596-3F182DAC8611}"/>
    <cellStyle name="20% - Accent5 5 6 2" xfId="999" xr:uid="{C3DE315E-BC05-40C7-91F2-F1A190573CDD}"/>
    <cellStyle name="20% - Accent5 5 7" xfId="1000" xr:uid="{E20E1E93-7929-4842-9EE7-E9DA6A5F8F65}"/>
    <cellStyle name="20% - Accent5 5 7 2" xfId="1001" xr:uid="{1EA1D34E-9D5D-4984-8715-31E03B15249A}"/>
    <cellStyle name="20% - Accent5 5 8" xfId="1002" xr:uid="{8DB47608-E891-4F30-BAA9-D6D4C471F677}"/>
    <cellStyle name="20% - Accent5 6" xfId="1003" xr:uid="{C0E2CA95-693B-4EB4-ABEE-BAACF21339A2}"/>
    <cellStyle name="20% - Accent5 6 2" xfId="1004" xr:uid="{4D9B14F5-0404-45F9-BE27-ADFBF15FF0F4}"/>
    <cellStyle name="20% - Accent5 6 2 2" xfId="1005" xr:uid="{B18ECC9E-6A77-4C65-BBC9-00E40130B2C9}"/>
    <cellStyle name="20% - Accent5 6 3" xfId="1006" xr:uid="{B443CCEE-6F61-44FD-9C54-50E315AC6FDE}"/>
    <cellStyle name="20% - Accent5 6 3 2" xfId="1007" xr:uid="{67D39206-2647-481A-A7E7-EEAA78E90170}"/>
    <cellStyle name="20% - Accent5 6 4" xfId="1008" xr:uid="{9EC36FB3-A85F-48C0-9585-8EEAA38E8622}"/>
    <cellStyle name="20% - Accent5 6 4 2" xfId="1009" xr:uid="{1634531D-A222-400C-8A41-FC4F9529B469}"/>
    <cellStyle name="20% - Accent5 6 5" xfId="1010" xr:uid="{82684661-D778-47A3-BF13-81A4135E3E3F}"/>
    <cellStyle name="20% - Accent5 6 5 2" xfId="1011" xr:uid="{A5B4A249-402F-4644-AA20-03AACDF7AB11}"/>
    <cellStyle name="20% - Accent5 6 6" xfId="1012" xr:uid="{B3B7A19C-C5BF-44C6-978B-851546234E74}"/>
    <cellStyle name="20% - Accent5 7" xfId="1013" xr:uid="{67837EEE-951F-47DA-A9DA-ECE6D6BEF5FD}"/>
    <cellStyle name="20% - Accent5 7 2" xfId="1014" xr:uid="{ED0C8AB7-8C4F-4EFD-817A-E66984639F05}"/>
    <cellStyle name="20% - Accent5 7 2 2" xfId="1015" xr:uid="{FDB60C2B-D4B4-43FE-942C-6525BAB1720B}"/>
    <cellStyle name="20% - Accent5 7 3" xfId="1016" xr:uid="{2D0471B0-4D41-46AB-A377-80256B87FB7F}"/>
    <cellStyle name="20% - Accent5 7 3 2" xfId="1017" xr:uid="{F14077C7-1B99-4ED1-AC19-9E9C9A03D985}"/>
    <cellStyle name="20% - Accent5 7 4" xfId="1018" xr:uid="{8249BB2E-5C56-4B35-8672-F442CA123C23}"/>
    <cellStyle name="20% - Accent5 7 4 2" xfId="1019" xr:uid="{B1EAFD4D-DFCB-4B81-9094-386FA162D50C}"/>
    <cellStyle name="20% - Accent5 7 5" xfId="1020" xr:uid="{FF7B6991-E57B-4119-AD98-E629A0862BE4}"/>
    <cellStyle name="20% - Accent5 7 5 2" xfId="1021" xr:uid="{129FE787-2F29-48C1-B91A-40912A63C14C}"/>
    <cellStyle name="20% - Accent5 7 6" xfId="1022" xr:uid="{FED07F53-073C-4080-B220-9843AA080E60}"/>
    <cellStyle name="20% - Accent5 8" xfId="1023" xr:uid="{0621C6B5-818A-4041-B31A-CFACEB45DCD6}"/>
    <cellStyle name="20% - Accent5 8 2" xfId="1024" xr:uid="{6EA0D569-EBC9-49A9-990D-C18C246C9438}"/>
    <cellStyle name="20% - Accent5 9" xfId="1025" xr:uid="{5BFDCEC4-EC9C-42AD-8A02-D40C0D7BF7C1}"/>
    <cellStyle name="20% - Accent5 9 2" xfId="1026" xr:uid="{A22F00EA-2903-4BCD-AEAB-7588D880EC3B}"/>
    <cellStyle name="20% - Accent6 10" xfId="1027" xr:uid="{9404B442-C210-4B0B-9222-248255921D99}"/>
    <cellStyle name="20% - Accent6 10 2" xfId="1028" xr:uid="{8296592F-D8C3-4B7E-AA64-B56C425310D0}"/>
    <cellStyle name="20% - Accent6 11" xfId="1029" xr:uid="{6776CE29-8B43-49E8-B8A5-FC52E922308D}"/>
    <cellStyle name="20% - Accent6 11 2" xfId="1030" xr:uid="{6F1762AD-191C-402F-A5C3-16E236BD06A3}"/>
    <cellStyle name="20% - Accent6 2" xfId="1031" xr:uid="{CCC89F77-C2DD-4709-B3CB-422A1B31187A}"/>
    <cellStyle name="20% - Accent6 2 2" xfId="1032" xr:uid="{FF96D93C-5CAF-4863-AE27-66A03A398B43}"/>
    <cellStyle name="20% - Accent6 2 2 2" xfId="1033" xr:uid="{585ACD9E-9464-495F-8BBA-8CC5181F9FE6}"/>
    <cellStyle name="20% - Accent6 2 3" xfId="1034" xr:uid="{F859D30F-C247-48CC-BE2A-163078F4BE79}"/>
    <cellStyle name="20% - Accent6 2 3 2" xfId="1035" xr:uid="{C1509F8E-29D3-490E-BE5D-DBDFF7758F0C}"/>
    <cellStyle name="20% - Accent6 2 4" xfId="1036" xr:uid="{E8F1C8F8-AFF1-4BD8-B856-BBA6BBDB068D}"/>
    <cellStyle name="20% - Accent6 2 4 2" xfId="1037" xr:uid="{59BF59D2-EFD6-46CC-BE07-4E76552ECCA7}"/>
    <cellStyle name="20% - Accent6 2 5" xfId="1038" xr:uid="{CDFEF99E-3629-41D0-A392-DD583AEDC4AE}"/>
    <cellStyle name="20% - Accent6 2 5 2" xfId="1039" xr:uid="{835F4567-9B0F-4FED-B6B5-C8B3A0861074}"/>
    <cellStyle name="20% - Accent6 2 6" xfId="1040" xr:uid="{3D7923E5-A43C-45E9-9FB1-4247E954AFE4}"/>
    <cellStyle name="20% - Accent6 2 6 2" xfId="1041" xr:uid="{27DF2D38-0C5D-4D3C-B0F6-9543FBDA945B}"/>
    <cellStyle name="20% - Accent6 2 7" xfId="1042" xr:uid="{A02316BC-0967-4CB5-AB0B-759B0CF893B1}"/>
    <cellStyle name="20% - Accent6 2 7 2" xfId="1043" xr:uid="{70D605DC-33E3-461B-B718-B4973CBB3961}"/>
    <cellStyle name="20% - Accent6 2 8" xfId="1044" xr:uid="{36EC9E0C-8A65-496B-9808-EBC8E118BDBF}"/>
    <cellStyle name="20% - Accent6 3" xfId="1045" xr:uid="{0E344281-7255-48A3-9BE3-EF6F1B4AE929}"/>
    <cellStyle name="20% - Accent6 3 2" xfId="1046" xr:uid="{6096C639-A376-421B-9A01-6DD89E4661CA}"/>
    <cellStyle name="20% - Accent6 3 2 2" xfId="1047" xr:uid="{83C2025A-6CC9-4221-BF95-274174DE29F3}"/>
    <cellStyle name="20% - Accent6 3 3" xfId="1048" xr:uid="{0A6F0DF4-1AD5-43FB-BEA0-1B61220F44C5}"/>
    <cellStyle name="20% - Accent6 3 3 2" xfId="1049" xr:uid="{C8C53BD5-A937-40D2-BDAE-5007AC670737}"/>
    <cellStyle name="20% - Accent6 3 4" xfId="1050" xr:uid="{BF5653EB-875C-487D-9455-084411444C93}"/>
    <cellStyle name="20% - Accent6 3 4 2" xfId="1051" xr:uid="{97373CED-EDDA-4180-A931-7DEE2792998B}"/>
    <cellStyle name="20% - Accent6 3 5" xfId="1052" xr:uid="{37CFF48D-504E-4690-832E-43997FAD889D}"/>
    <cellStyle name="20% - Accent6 3 5 2" xfId="1053" xr:uid="{3F5C52FC-EFBD-437A-8468-DE961C9329DE}"/>
    <cellStyle name="20% - Accent6 3 6" xfId="1054" xr:uid="{1D585D4E-83E5-40E6-81BA-3545F808DB2B}"/>
    <cellStyle name="20% - Accent6 3 6 2" xfId="1055" xr:uid="{A2EF2EFC-1F3F-481F-81C1-FA34C85DFE38}"/>
    <cellStyle name="20% - Accent6 3 7" xfId="1056" xr:uid="{3266A1A8-23EF-42B6-9213-97B058169EBA}"/>
    <cellStyle name="20% - Accent6 3 7 2" xfId="1057" xr:uid="{5A66B540-1D58-4FC2-AC0D-9B983CEC332F}"/>
    <cellStyle name="20% - Accent6 3 8" xfId="1058" xr:uid="{8EA3CAE0-6D7D-4DA5-BDAB-DB4976FFFD97}"/>
    <cellStyle name="20% - Accent6 4" xfId="1059" xr:uid="{E4261B4B-32A8-4A81-B191-B49D75AFD228}"/>
    <cellStyle name="20% - Accent6 4 2" xfId="1060" xr:uid="{D0A3EFB8-105E-49AA-B9A5-B6BA9A80CA8A}"/>
    <cellStyle name="20% - Accent6 4 2 2" xfId="1061" xr:uid="{08B44F74-F1F6-445E-AC9F-A3987A166095}"/>
    <cellStyle name="20% - Accent6 4 3" xfId="1062" xr:uid="{B37AAE06-C07E-4957-BC1A-B593C181A77A}"/>
    <cellStyle name="20% - Accent6 4 3 2" xfId="1063" xr:uid="{229EEAD3-1D4D-4111-84BF-DA7B70661042}"/>
    <cellStyle name="20% - Accent6 4 4" xfId="1064" xr:uid="{2C4CBA06-C1A8-47D5-8E00-6AFFB3BAC5E8}"/>
    <cellStyle name="20% - Accent6 4 4 2" xfId="1065" xr:uid="{6BD5189A-4CB6-4C61-9A65-789203FCC0EE}"/>
    <cellStyle name="20% - Accent6 4 5" xfId="1066" xr:uid="{0DBFE703-00AF-4BC5-ABB3-B2829BD7BA0A}"/>
    <cellStyle name="20% - Accent6 4 5 2" xfId="1067" xr:uid="{DB2D4141-BE1E-4691-BC4E-C65D30EDA1EB}"/>
    <cellStyle name="20% - Accent6 4 6" xfId="1068" xr:uid="{FB56C528-C7A1-4403-AE6C-3A6822BD2DEE}"/>
    <cellStyle name="20% - Accent6 4 6 2" xfId="1069" xr:uid="{4397EEE3-DBD9-4DCE-944F-002DB3841B71}"/>
    <cellStyle name="20% - Accent6 4 7" xfId="1070" xr:uid="{C02EB449-CA99-41A4-AAC2-D73D2A743FDF}"/>
    <cellStyle name="20% - Accent6 4 7 2" xfId="1071" xr:uid="{6C6C2759-0EC4-40FC-B592-F6AAE69AA30C}"/>
    <cellStyle name="20% - Accent6 4 8" xfId="1072" xr:uid="{E74A54AE-A431-4EEA-B3A3-205A16061C42}"/>
    <cellStyle name="20% - Accent6 5" xfId="1073" xr:uid="{987B438E-8BB1-49C5-8E3E-C334F75B3A6D}"/>
    <cellStyle name="20% - Accent6 5 2" xfId="1074" xr:uid="{96FCCDF5-DDE5-4A6C-A9F2-6D27EFBB13B8}"/>
    <cellStyle name="20% - Accent6 5 2 2" xfId="1075" xr:uid="{C1A6CA68-6259-4CC0-B9FF-12C6E9194D42}"/>
    <cellStyle name="20% - Accent6 5 3" xfId="1076" xr:uid="{2512E4B5-782C-4297-8E5D-11CAE3D785B5}"/>
    <cellStyle name="20% - Accent6 5 3 2" xfId="1077" xr:uid="{A03E019C-3ABF-4321-8571-F6F3B2E1F995}"/>
    <cellStyle name="20% - Accent6 5 4" xfId="1078" xr:uid="{B20AE0F1-B120-46E9-A126-633EB4ADD709}"/>
    <cellStyle name="20% - Accent6 5 4 2" xfId="1079" xr:uid="{3FD6A42F-D17C-4531-A909-F766B33E0422}"/>
    <cellStyle name="20% - Accent6 5 5" xfId="1080" xr:uid="{7BCA312A-6D63-4F74-BFE4-F868EE2BD6CA}"/>
    <cellStyle name="20% - Accent6 5 5 2" xfId="1081" xr:uid="{9D09AF6C-1311-40F1-A0D8-932FFEF66EEE}"/>
    <cellStyle name="20% - Accent6 5 6" xfId="1082" xr:uid="{A9F4C54D-0085-4CD1-B58B-ACA0465FDCBC}"/>
    <cellStyle name="20% - Accent6 5 6 2" xfId="1083" xr:uid="{CDF6252D-B0E3-4F05-BD64-8ACF55E3A4D8}"/>
    <cellStyle name="20% - Accent6 5 7" xfId="1084" xr:uid="{355FDE63-3F8B-486D-836C-04B51B0B133A}"/>
    <cellStyle name="20% - Accent6 5 7 2" xfId="1085" xr:uid="{0445AE18-E6DC-422B-96CA-C234E7D727AB}"/>
    <cellStyle name="20% - Accent6 5 8" xfId="1086" xr:uid="{51BD2DB0-5E94-4A0E-A642-BD939CC52C2F}"/>
    <cellStyle name="20% - Accent6 6" xfId="1087" xr:uid="{1DF3BD37-3063-4FAD-B334-6F1FAB55F672}"/>
    <cellStyle name="20% - Accent6 6 2" xfId="1088" xr:uid="{5408D433-39F6-4828-B6C8-1FAFB0AAEA2B}"/>
    <cellStyle name="20% - Accent6 6 2 2" xfId="1089" xr:uid="{CBF09C1A-944C-473C-ADC0-027CEE727C04}"/>
    <cellStyle name="20% - Accent6 6 3" xfId="1090" xr:uid="{57A4D753-4122-4FC2-AD88-00061B4CB32B}"/>
    <cellStyle name="20% - Accent6 6 3 2" xfId="1091" xr:uid="{24CEC06D-840F-42C1-8ED5-2436BABF7A64}"/>
    <cellStyle name="20% - Accent6 6 4" xfId="1092" xr:uid="{E00FA896-F7C4-4115-A551-F4595EA978A6}"/>
    <cellStyle name="20% - Accent6 6 4 2" xfId="1093" xr:uid="{0C0FA074-76E3-4C50-A587-6C24CEBE6B2C}"/>
    <cellStyle name="20% - Accent6 6 5" xfId="1094" xr:uid="{11941590-BE9C-450D-A1DA-C5EE97240655}"/>
    <cellStyle name="20% - Accent6 6 5 2" xfId="1095" xr:uid="{A74F7BCD-5ED1-4AAC-81BB-7C1D68A06D20}"/>
    <cellStyle name="20% - Accent6 6 6" xfId="1096" xr:uid="{0651DE0B-679C-4EDF-92DA-02ED84C6AD9D}"/>
    <cellStyle name="20% - Accent6 7" xfId="1097" xr:uid="{882709D0-E7F8-4CD9-A354-FA401573167D}"/>
    <cellStyle name="20% - Accent6 7 2" xfId="1098" xr:uid="{F0B7E480-FB5A-4119-9AEB-65B6E4B33E1C}"/>
    <cellStyle name="20% - Accent6 7 2 2" xfId="1099" xr:uid="{7DE5C506-6260-4724-8389-C9689BAC14CC}"/>
    <cellStyle name="20% - Accent6 7 3" xfId="1100" xr:uid="{DBD8F028-97C0-4521-80AD-443025626389}"/>
    <cellStyle name="20% - Accent6 7 3 2" xfId="1101" xr:uid="{8F56FB17-F7C7-4CDE-AD66-E5514F60325D}"/>
    <cellStyle name="20% - Accent6 7 4" xfId="1102" xr:uid="{CA7DA21F-2CE4-45C1-9784-FCF808FA2367}"/>
    <cellStyle name="20% - Accent6 7 4 2" xfId="1103" xr:uid="{409FFE54-763D-4DE9-AF49-7B9340FA5885}"/>
    <cellStyle name="20% - Accent6 7 5" xfId="1104" xr:uid="{8DCAABB3-EE05-4E53-A011-C8AB73DDAEE1}"/>
    <cellStyle name="20% - Accent6 7 5 2" xfId="1105" xr:uid="{ACCD43CF-FB9C-4665-95F8-CBC8D3042FA4}"/>
    <cellStyle name="20% - Accent6 7 6" xfId="1106" xr:uid="{0E4ADEB5-ABC5-4DDA-A7A0-8F6FA02F2DD8}"/>
    <cellStyle name="20% - Accent6 8" xfId="1107" xr:uid="{10B77C48-8061-444A-B1E0-E81FC80FA743}"/>
    <cellStyle name="20% - Accent6 8 2" xfId="1108" xr:uid="{CC752EF2-4D10-410B-AF00-7F81D0521156}"/>
    <cellStyle name="20% - Accent6 9" xfId="1109" xr:uid="{0C2437DA-D43B-4C38-814C-3C34E1F6D305}"/>
    <cellStyle name="20% - Accent6 9 2" xfId="1110" xr:uid="{F7951C25-D079-4B56-B626-441498E6374B}"/>
    <cellStyle name="40% - Accent1 10" xfId="1111" xr:uid="{DFB4ED43-9AC7-4E75-8A7A-11AE3DB987F6}"/>
    <cellStyle name="40% - Accent1 10 2" xfId="1112" xr:uid="{1F97BFC3-38CB-4A13-B42A-68316508A940}"/>
    <cellStyle name="40% - Accent1 11" xfId="1113" xr:uid="{32B6781D-789D-4487-A271-553A2F8817EA}"/>
    <cellStyle name="40% - Accent1 11 2" xfId="1114" xr:uid="{BD7E346C-7D01-4A17-8552-60CD9287A2A3}"/>
    <cellStyle name="40% - Accent1 2" xfId="1115" xr:uid="{946C1470-8565-41B6-9DB7-19372F74F7F9}"/>
    <cellStyle name="40% - Accent1 2 2" xfId="1116" xr:uid="{83976629-3B8F-48A0-9C39-6CDCFF278EF7}"/>
    <cellStyle name="40% - Accent1 2 2 2" xfId="1117" xr:uid="{A0C32462-57A5-4363-93B1-3926362F52F1}"/>
    <cellStyle name="40% - Accent1 2 3" xfId="1118" xr:uid="{1EE80B1C-4E9E-490A-A088-7074154C83DC}"/>
    <cellStyle name="40% - Accent1 2 3 2" xfId="1119" xr:uid="{D67F4833-8741-4157-93C6-75F7F580EA7E}"/>
    <cellStyle name="40% - Accent1 2 4" xfId="1120" xr:uid="{63122705-4AFE-4054-BE38-A2839D98FA5B}"/>
    <cellStyle name="40% - Accent1 2 4 2" xfId="1121" xr:uid="{2ADE9D30-DD8C-4728-87D0-4C1A98212F9D}"/>
    <cellStyle name="40% - Accent1 2 5" xfId="1122" xr:uid="{78C8D19C-1B68-4741-89A9-B7C0E8043CBB}"/>
    <cellStyle name="40% - Accent1 2 5 2" xfId="1123" xr:uid="{310422AA-79E1-4DB2-A818-0CBEBC9CD832}"/>
    <cellStyle name="40% - Accent1 2 6" xfId="1124" xr:uid="{EF93D47D-BE14-4069-8C97-AA9F926295F8}"/>
    <cellStyle name="40% - Accent1 2 6 2" xfId="1125" xr:uid="{F460B329-C329-41E0-8B71-1B87D952DBEB}"/>
    <cellStyle name="40% - Accent1 2 7" xfId="1126" xr:uid="{435A7ED6-CDAE-4BDB-BFD7-B5147740F999}"/>
    <cellStyle name="40% - Accent1 2 7 2" xfId="1127" xr:uid="{19D58573-7E15-4732-BF35-6618F5DF52FA}"/>
    <cellStyle name="40% - Accent1 2 8" xfId="1128" xr:uid="{EF0FEB40-36DA-40D1-943B-00E69E4A0BE9}"/>
    <cellStyle name="40% - Accent1 3" xfId="1129" xr:uid="{A8C0D370-A3C7-4128-96AA-3C9AC3553BEA}"/>
    <cellStyle name="40% - Accent1 3 2" xfId="1130" xr:uid="{1D22F547-CBCA-4689-8F8A-D56E60590D36}"/>
    <cellStyle name="40% - Accent1 3 2 2" xfId="1131" xr:uid="{B2727DB7-8151-439B-9D11-9D4686F73F5B}"/>
    <cellStyle name="40% - Accent1 3 3" xfId="1132" xr:uid="{B82F34DF-6318-4C6E-8C2C-F6F58B27A6D3}"/>
    <cellStyle name="40% - Accent1 3 3 2" xfId="1133" xr:uid="{E10163D8-7A06-4B03-9846-CDD1C9EE894A}"/>
    <cellStyle name="40% - Accent1 3 4" xfId="1134" xr:uid="{BCE2C1AD-17FA-428E-A00D-5D308EABDB62}"/>
    <cellStyle name="40% - Accent1 3 4 2" xfId="1135" xr:uid="{BD732E11-016E-4A3A-963A-2DEF12A3C651}"/>
    <cellStyle name="40% - Accent1 3 5" xfId="1136" xr:uid="{B66F737E-2BA1-4DB4-BE04-2172DEADF685}"/>
    <cellStyle name="40% - Accent1 3 5 2" xfId="1137" xr:uid="{CE5D7EAD-FB19-41A8-BDB0-0BC090F0B828}"/>
    <cellStyle name="40% - Accent1 3 6" xfId="1138" xr:uid="{C2EB0757-B938-4524-A93C-7BF4F13F7BAD}"/>
    <cellStyle name="40% - Accent1 3 6 2" xfId="1139" xr:uid="{21B5ABC8-9BAE-42EC-A249-CE387263AE40}"/>
    <cellStyle name="40% - Accent1 3 7" xfId="1140" xr:uid="{28339EDB-3314-40A9-BDA1-A536989DD078}"/>
    <cellStyle name="40% - Accent1 3 7 2" xfId="1141" xr:uid="{15DEBE62-DAA6-4CB5-8214-31F084037CC6}"/>
    <cellStyle name="40% - Accent1 3 8" xfId="1142" xr:uid="{2E891CE8-9434-49CA-8118-B5FCB15A62E9}"/>
    <cellStyle name="40% - Accent1 4" xfId="1143" xr:uid="{BF3A96DD-418E-413A-BBAF-22B673E0219E}"/>
    <cellStyle name="40% - Accent1 4 2" xfId="1144" xr:uid="{20F8418C-7948-454D-B932-1BC270AB60B8}"/>
    <cellStyle name="40% - Accent1 4 2 2" xfId="1145" xr:uid="{8F5A99D0-F16A-475D-B9E1-D8F0248A60E4}"/>
    <cellStyle name="40% - Accent1 4 3" xfId="1146" xr:uid="{46D7EF1A-7AE7-4911-8167-607F80201451}"/>
    <cellStyle name="40% - Accent1 4 3 2" xfId="1147" xr:uid="{79D824BE-0456-4F11-92C6-49B2D57856DE}"/>
    <cellStyle name="40% - Accent1 4 4" xfId="1148" xr:uid="{628C5D35-05BE-4FF2-8B23-18A19EC75492}"/>
    <cellStyle name="40% - Accent1 4 4 2" xfId="1149" xr:uid="{BD0D26E2-4348-46AB-8FDD-E9C0898AFBAC}"/>
    <cellStyle name="40% - Accent1 4 5" xfId="1150" xr:uid="{9073B377-7952-4EF1-91B0-1AF10FEBAD76}"/>
    <cellStyle name="40% - Accent1 4 5 2" xfId="1151" xr:uid="{58C20C63-164E-4D2A-B6DD-2B61DB7569CE}"/>
    <cellStyle name="40% - Accent1 4 6" xfId="1152" xr:uid="{D1AB3528-61CF-4A65-A0E1-678C807D476F}"/>
    <cellStyle name="40% - Accent1 4 6 2" xfId="1153" xr:uid="{72617FE4-FFBA-4920-A28F-C131B6DBD00F}"/>
    <cellStyle name="40% - Accent1 4 7" xfId="1154" xr:uid="{79BEB4E4-EE7E-4871-990B-D56E87671489}"/>
    <cellStyle name="40% - Accent1 4 7 2" xfId="1155" xr:uid="{5AA9580F-BEA7-4F5E-9D1A-36ACF8B8D691}"/>
    <cellStyle name="40% - Accent1 4 8" xfId="1156" xr:uid="{5A25DC05-0C3B-461F-8DB4-BE9112CCE142}"/>
    <cellStyle name="40% - Accent1 5" xfId="1157" xr:uid="{A897550D-B3F4-4D17-9FA6-4372C1F1859D}"/>
    <cellStyle name="40% - Accent1 5 2" xfId="1158" xr:uid="{036BDA47-6743-4911-B231-C69E42DEEA0C}"/>
    <cellStyle name="40% - Accent1 5 2 2" xfId="1159" xr:uid="{E23C958F-829F-4837-B9C0-F3DA6E8AEC3B}"/>
    <cellStyle name="40% - Accent1 5 3" xfId="1160" xr:uid="{59053C23-DF9C-4916-8B71-79BC3A8C6E17}"/>
    <cellStyle name="40% - Accent1 5 3 2" xfId="1161" xr:uid="{DD4B5748-1B3F-4597-8507-C492DAB9667C}"/>
    <cellStyle name="40% - Accent1 5 4" xfId="1162" xr:uid="{15ED20AB-44E9-4172-88E6-8F41E8487259}"/>
    <cellStyle name="40% - Accent1 5 4 2" xfId="1163" xr:uid="{A0748067-32F3-47D0-A4F9-577821AB3292}"/>
    <cellStyle name="40% - Accent1 5 5" xfId="1164" xr:uid="{1E1377D7-4FB9-4C4D-8D13-0722B6247F97}"/>
    <cellStyle name="40% - Accent1 5 5 2" xfId="1165" xr:uid="{A2BC7488-C748-409A-81A5-A5D28D101A62}"/>
    <cellStyle name="40% - Accent1 5 6" xfId="1166" xr:uid="{397A576B-7A33-4E00-8A9C-012CA983BC5A}"/>
    <cellStyle name="40% - Accent1 5 6 2" xfId="1167" xr:uid="{7E1C491F-9EC6-4E7B-8B19-C5A81A4C2119}"/>
    <cellStyle name="40% - Accent1 5 7" xfId="1168" xr:uid="{3F1005C8-A405-48BF-8B52-7EB44D07B312}"/>
    <cellStyle name="40% - Accent1 5 7 2" xfId="1169" xr:uid="{0F6FEEE3-5549-4D49-A9EE-C0C0E3476CDF}"/>
    <cellStyle name="40% - Accent1 5 8" xfId="1170" xr:uid="{98DC42E5-907E-4E4D-83C0-698DD124A6A7}"/>
    <cellStyle name="40% - Accent1 6" xfId="1171" xr:uid="{A634266A-597A-4B65-81E7-BB9C947A9968}"/>
    <cellStyle name="40% - Accent1 6 2" xfId="1172" xr:uid="{00484614-1911-4160-8F98-43577C62804D}"/>
    <cellStyle name="40% - Accent1 6 2 2" xfId="1173" xr:uid="{6A42807D-F9A3-4E56-ADDE-0A210A8C7CE8}"/>
    <cellStyle name="40% - Accent1 6 3" xfId="1174" xr:uid="{310F7FBC-12D6-4C64-9E82-D055FE615017}"/>
    <cellStyle name="40% - Accent1 6 3 2" xfId="1175" xr:uid="{0AC28F81-6E71-40B6-AE1D-ECB0FE32E393}"/>
    <cellStyle name="40% - Accent1 6 4" xfId="1176" xr:uid="{0E55D27E-F002-486A-9085-73369AD2DB32}"/>
    <cellStyle name="40% - Accent1 6 4 2" xfId="1177" xr:uid="{500A7A92-5871-4C08-A855-07EE49FB207A}"/>
    <cellStyle name="40% - Accent1 6 5" xfId="1178" xr:uid="{923493BA-3D4D-4CD2-93A9-3E56A360B354}"/>
    <cellStyle name="40% - Accent1 6 5 2" xfId="1179" xr:uid="{5A5E0E39-1799-43C1-BBCB-4CE54B82F8FC}"/>
    <cellStyle name="40% - Accent1 6 6" xfId="1180" xr:uid="{C341AAAC-1201-4CA7-8E86-75C53794F3CF}"/>
    <cellStyle name="40% - Accent1 7" xfId="1181" xr:uid="{62DD6DAC-5D15-4676-9E96-C523B195705F}"/>
    <cellStyle name="40% - Accent1 7 2" xfId="1182" xr:uid="{1C59B777-B750-4F5C-868F-F1A06722727D}"/>
    <cellStyle name="40% - Accent1 7 2 2" xfId="1183" xr:uid="{BF5F4A93-F23F-45F7-BEEB-2DAE4F4B36D0}"/>
    <cellStyle name="40% - Accent1 7 3" xfId="1184" xr:uid="{F2F7F83E-4836-42C6-9A17-B4891D83DE1F}"/>
    <cellStyle name="40% - Accent1 7 3 2" xfId="1185" xr:uid="{0720E28E-1344-4264-B5C2-AD190DAB816F}"/>
    <cellStyle name="40% - Accent1 7 4" xfId="1186" xr:uid="{03DA4ADE-1EA1-4306-B367-92AF967DCF7E}"/>
    <cellStyle name="40% - Accent1 7 4 2" xfId="1187" xr:uid="{72960178-D147-4B7B-9CBF-0F086F12A4B7}"/>
    <cellStyle name="40% - Accent1 7 5" xfId="1188" xr:uid="{066E7768-3624-4A17-A19D-C399F8990589}"/>
    <cellStyle name="40% - Accent1 7 5 2" xfId="1189" xr:uid="{86B34033-3DD7-4E7A-8F6A-2B960358D309}"/>
    <cellStyle name="40% - Accent1 7 6" xfId="1190" xr:uid="{B663F421-352B-4150-A77D-657A59A25896}"/>
    <cellStyle name="40% - Accent1 8" xfId="1191" xr:uid="{3575DD99-2487-4B09-B102-8BD6B7859CA6}"/>
    <cellStyle name="40% - Accent1 8 2" xfId="1192" xr:uid="{913C7F08-F75C-43F1-A1F7-A9C0DCC2E57C}"/>
    <cellStyle name="40% - Accent1 9" xfId="1193" xr:uid="{85598C0B-8A78-4C9C-9E63-8E8B8FA172E3}"/>
    <cellStyle name="40% - Accent1 9 2" xfId="1194" xr:uid="{41C95773-CF24-40E5-B548-6E6411F963E6}"/>
    <cellStyle name="40% - Accent2 10" xfId="1195" xr:uid="{9BD13A56-CEB2-4009-88EC-0A1AF1F4ECF4}"/>
    <cellStyle name="40% - Accent2 10 2" xfId="1196" xr:uid="{F1CFE023-81B1-4F23-9248-5E7D7C7350F5}"/>
    <cellStyle name="40% - Accent2 11" xfId="1197" xr:uid="{45419B58-E27C-4E28-8802-85F8904F2573}"/>
    <cellStyle name="40% - Accent2 11 2" xfId="1198" xr:uid="{19B92862-010D-4DCE-8E88-28792B6056E3}"/>
    <cellStyle name="40% - Accent2 2" xfId="1199" xr:uid="{DC3FFD44-389E-4F17-A4D9-A6A562E57A79}"/>
    <cellStyle name="40% - Accent2 2 2" xfId="1200" xr:uid="{CAFD007D-E436-4B81-BCBB-3354D9032C3D}"/>
    <cellStyle name="40% - Accent2 2 2 2" xfId="1201" xr:uid="{AE77C94E-F0B1-4F5E-8C4C-D470B441FD04}"/>
    <cellStyle name="40% - Accent2 2 3" xfId="1202" xr:uid="{F4A7CBB4-EFE3-425C-B66B-364F7D50B2D1}"/>
    <cellStyle name="40% - Accent2 2 3 2" xfId="1203" xr:uid="{B25459FB-D3EC-42D0-9579-464A5DC47F70}"/>
    <cellStyle name="40% - Accent2 2 4" xfId="1204" xr:uid="{A806175F-3964-4800-8E25-CB12985D59EA}"/>
    <cellStyle name="40% - Accent2 2 4 2" xfId="1205" xr:uid="{0C42A2EF-CD50-40A5-AF31-F1156CF4E549}"/>
    <cellStyle name="40% - Accent2 2 5" xfId="1206" xr:uid="{EEDADEFC-EEFD-4B3B-A554-8B631F8CECC5}"/>
    <cellStyle name="40% - Accent2 2 5 2" xfId="1207" xr:uid="{E8F8A98C-F030-4625-B32C-AD20A7084A48}"/>
    <cellStyle name="40% - Accent2 2 6" xfId="1208" xr:uid="{63F923AB-98DB-457D-974D-E7DF5ED5A006}"/>
    <cellStyle name="40% - Accent2 2 6 2" xfId="1209" xr:uid="{17DAC0E6-2E32-4562-824B-70C1530FC269}"/>
    <cellStyle name="40% - Accent2 2 7" xfId="1210" xr:uid="{3FA7FCAC-799D-4FF5-93AD-D9ABC5CFE828}"/>
    <cellStyle name="40% - Accent2 2 7 2" xfId="1211" xr:uid="{E03CB00C-1A99-4047-A251-D11D93942199}"/>
    <cellStyle name="40% - Accent2 2 8" xfId="1212" xr:uid="{FC9C2172-91AE-41DE-B05C-2152A101E4AD}"/>
    <cellStyle name="40% - Accent2 3" xfId="1213" xr:uid="{6BD63983-6C7E-451E-B2CD-3942949DFC09}"/>
    <cellStyle name="40% - Accent2 3 2" xfId="1214" xr:uid="{9189FED1-871E-4254-B445-0EF4ECE0A5FE}"/>
    <cellStyle name="40% - Accent2 3 2 2" xfId="1215" xr:uid="{E1516181-7734-419B-88A6-6E70C0184D40}"/>
    <cellStyle name="40% - Accent2 3 3" xfId="1216" xr:uid="{37636072-DF1E-4F6D-8FE5-52F80A0ABF00}"/>
    <cellStyle name="40% - Accent2 3 3 2" xfId="1217" xr:uid="{085C149C-4346-4EE2-AFB0-67A3B560027D}"/>
    <cellStyle name="40% - Accent2 3 4" xfId="1218" xr:uid="{3DA8F298-0280-4304-A306-ED26C0E2386A}"/>
    <cellStyle name="40% - Accent2 3 4 2" xfId="1219" xr:uid="{23531BE7-79E0-41B1-A0CA-79F1952AD5B8}"/>
    <cellStyle name="40% - Accent2 3 5" xfId="1220" xr:uid="{E69B6E97-4068-4EC9-9E90-3C39E223A811}"/>
    <cellStyle name="40% - Accent2 3 5 2" xfId="1221" xr:uid="{DFE6FD19-A8A3-4441-BCEA-37A023513012}"/>
    <cellStyle name="40% - Accent2 3 6" xfId="1222" xr:uid="{FE08BA92-FD9A-4143-B263-48F6B6AB13AE}"/>
    <cellStyle name="40% - Accent2 3 6 2" xfId="1223" xr:uid="{EFE48DBE-9774-4366-BA8A-35FF32280C6A}"/>
    <cellStyle name="40% - Accent2 3 7" xfId="1224" xr:uid="{ECC30F87-D4FB-4FF3-8441-6EF030A9CD69}"/>
    <cellStyle name="40% - Accent2 3 7 2" xfId="1225" xr:uid="{FF16D75C-9922-446A-811B-D47E724711C1}"/>
    <cellStyle name="40% - Accent2 3 8" xfId="1226" xr:uid="{D4806DA5-F956-44C3-AFB8-CBC50531803D}"/>
    <cellStyle name="40% - Accent2 4" xfId="1227" xr:uid="{35DE0EBE-0251-4327-9E4F-6F86F1690945}"/>
    <cellStyle name="40% - Accent2 4 2" xfId="1228" xr:uid="{4F8C19C1-55A7-40FA-9CBD-ADDCFDF9ACDF}"/>
    <cellStyle name="40% - Accent2 4 2 2" xfId="1229" xr:uid="{625833B8-4A17-4732-AD87-5F918D59429B}"/>
    <cellStyle name="40% - Accent2 4 3" xfId="1230" xr:uid="{9F0DBC02-3FC1-4632-BBE2-BAD51EBCBEC2}"/>
    <cellStyle name="40% - Accent2 4 3 2" xfId="1231" xr:uid="{51184072-E985-4990-AD43-DC9E396FBA77}"/>
    <cellStyle name="40% - Accent2 4 4" xfId="1232" xr:uid="{8BBFB145-A59C-4303-8F88-81CFE19C68B6}"/>
    <cellStyle name="40% - Accent2 4 4 2" xfId="1233" xr:uid="{1BECE947-CCBF-4AF1-9CBE-054AF5A356C7}"/>
    <cellStyle name="40% - Accent2 4 5" xfId="1234" xr:uid="{68425E13-40AC-4370-AD35-7DACF5D66CDF}"/>
    <cellStyle name="40% - Accent2 4 5 2" xfId="1235" xr:uid="{25BC0E24-AB4A-4392-95F9-D482DA81D1A7}"/>
    <cellStyle name="40% - Accent2 4 6" xfId="1236" xr:uid="{83E70628-3A42-4123-81AB-7B602026F49D}"/>
    <cellStyle name="40% - Accent2 4 6 2" xfId="1237" xr:uid="{001AF867-A635-4806-AF80-2B335B5D1DD2}"/>
    <cellStyle name="40% - Accent2 4 7" xfId="1238" xr:uid="{237E505E-6A9E-4229-B95D-BE32D7D35371}"/>
    <cellStyle name="40% - Accent2 4 7 2" xfId="1239" xr:uid="{80AE776B-F42B-4881-868A-72D8EAF84EED}"/>
    <cellStyle name="40% - Accent2 4 8" xfId="1240" xr:uid="{F116D2D4-69CE-4F9B-A511-42541599538E}"/>
    <cellStyle name="40% - Accent2 5" xfId="1241" xr:uid="{1E9FAC68-F77A-47C8-B0C5-E7B4D4F5B484}"/>
    <cellStyle name="40% - Accent2 5 2" xfId="1242" xr:uid="{A908B5D9-8A93-4664-B247-C0115C21236D}"/>
    <cellStyle name="40% - Accent2 5 2 2" xfId="1243" xr:uid="{7349F50A-B159-4C94-B336-0C210F91C4B8}"/>
    <cellStyle name="40% - Accent2 5 3" xfId="1244" xr:uid="{1860BF98-B3D8-4D60-B00A-90D8667F3182}"/>
    <cellStyle name="40% - Accent2 5 3 2" xfId="1245" xr:uid="{19663127-DBB2-472E-AACD-8B6F4ED4400E}"/>
    <cellStyle name="40% - Accent2 5 4" xfId="1246" xr:uid="{AEE8BAE0-0090-45FE-8B61-20F9CD2922CD}"/>
    <cellStyle name="40% - Accent2 5 4 2" xfId="1247" xr:uid="{BD1FE990-CB34-4466-9D70-AB59B6DEF459}"/>
    <cellStyle name="40% - Accent2 5 5" xfId="1248" xr:uid="{E5F7D3B8-7C2B-4AC3-B457-DCABE719F570}"/>
    <cellStyle name="40% - Accent2 5 5 2" xfId="1249" xr:uid="{A04327C3-D3AA-41A8-A8FB-794E6629E423}"/>
    <cellStyle name="40% - Accent2 5 6" xfId="1250" xr:uid="{32D0C48D-91A6-4BEE-9353-FA4333486176}"/>
    <cellStyle name="40% - Accent2 5 6 2" xfId="1251" xr:uid="{CD63FD0E-FE22-4C94-844C-420AAD6DD2AB}"/>
    <cellStyle name="40% - Accent2 5 7" xfId="1252" xr:uid="{3B5E374E-CE07-4610-A046-01407A7ED0AD}"/>
    <cellStyle name="40% - Accent2 5 7 2" xfId="1253" xr:uid="{DCA5CC44-3B7C-4CAE-864A-B1B50A3EC9FA}"/>
    <cellStyle name="40% - Accent2 5 8" xfId="1254" xr:uid="{D9C7A7DE-6FEA-4F36-825E-40365B917F03}"/>
    <cellStyle name="40% - Accent2 6" xfId="1255" xr:uid="{B1A340D0-941C-4314-A9A1-7FBE87CC7DF8}"/>
    <cellStyle name="40% - Accent2 6 2" xfId="1256" xr:uid="{FF537534-42B9-4C62-BFE5-96CAC5B7FC50}"/>
    <cellStyle name="40% - Accent2 6 2 2" xfId="1257" xr:uid="{6BCA03E4-30D0-4649-A88F-86FF1F93CE1F}"/>
    <cellStyle name="40% - Accent2 6 3" xfId="1258" xr:uid="{86C2CA77-B9D7-445E-BD23-20F96EDF45AB}"/>
    <cellStyle name="40% - Accent2 6 3 2" xfId="1259" xr:uid="{FA5FE685-5CDB-413C-B735-F940D04D4801}"/>
    <cellStyle name="40% - Accent2 6 4" xfId="1260" xr:uid="{3FFDE170-4F6F-45DD-AD76-A34E5B776B78}"/>
    <cellStyle name="40% - Accent2 6 4 2" xfId="1261" xr:uid="{04E770DE-79E0-472B-B15C-6596FD8F064E}"/>
    <cellStyle name="40% - Accent2 6 5" xfId="1262" xr:uid="{7427E207-A775-4418-8892-DBA98CAB1EC9}"/>
    <cellStyle name="40% - Accent2 6 5 2" xfId="1263" xr:uid="{418C1361-E8AE-41C1-8678-DA4B5204D6FC}"/>
    <cellStyle name="40% - Accent2 6 6" xfId="1264" xr:uid="{A6A733FE-104A-41EE-BDA8-BEAA9415DB77}"/>
    <cellStyle name="40% - Accent2 7" xfId="1265" xr:uid="{16FCEB8F-77BF-4EA5-A93A-0B4849318A11}"/>
    <cellStyle name="40% - Accent2 7 2" xfId="1266" xr:uid="{19CB8A36-A270-483A-A1EE-34F69924B1DC}"/>
    <cellStyle name="40% - Accent2 7 2 2" xfId="1267" xr:uid="{95D11B9B-3927-4042-B435-1327D20C1349}"/>
    <cellStyle name="40% - Accent2 7 3" xfId="1268" xr:uid="{560C944E-BA1C-4161-B944-BC0A3C1C5570}"/>
    <cellStyle name="40% - Accent2 7 3 2" xfId="1269" xr:uid="{95BA63C8-EA23-441D-B427-7621BEEA6AB4}"/>
    <cellStyle name="40% - Accent2 7 4" xfId="1270" xr:uid="{85C4F88B-6C85-40EF-871C-D341D5D8BFD7}"/>
    <cellStyle name="40% - Accent2 7 4 2" xfId="1271" xr:uid="{6B978F77-94D1-47D6-A196-EC37EF0EBFF0}"/>
    <cellStyle name="40% - Accent2 7 5" xfId="1272" xr:uid="{F777ABDA-7785-4607-BF8D-840DB11B17AD}"/>
    <cellStyle name="40% - Accent2 7 5 2" xfId="1273" xr:uid="{C2BC5286-8582-4004-B1EE-311A605FAEDC}"/>
    <cellStyle name="40% - Accent2 7 6" xfId="1274" xr:uid="{76D666C4-EF1D-4EE3-B712-011534C13F97}"/>
    <cellStyle name="40% - Accent2 8" xfId="1275" xr:uid="{FBF90537-E79E-46F5-BAD3-8E3F614C900C}"/>
    <cellStyle name="40% - Accent2 8 2" xfId="1276" xr:uid="{776B7FC8-2C96-4201-AB91-EEAFAF3058C1}"/>
    <cellStyle name="40% - Accent2 9" xfId="1277" xr:uid="{FD9BE2DA-0FA8-402B-A872-2EDB5FA69494}"/>
    <cellStyle name="40% - Accent2 9 2" xfId="1278" xr:uid="{EF85D9B7-F580-4527-B90E-C2664839C1D1}"/>
    <cellStyle name="40% - Accent3 10" xfId="1279" xr:uid="{52A94E08-7393-4ACD-A23B-A9DB4E7E8D26}"/>
    <cellStyle name="40% - Accent3 10 2" xfId="1280" xr:uid="{792CBDBC-5F28-484B-9A5F-3C5291F9440B}"/>
    <cellStyle name="40% - Accent3 11" xfId="1281" xr:uid="{A21CC74E-6365-4A88-BC01-C745874F30C7}"/>
    <cellStyle name="40% - Accent3 11 2" xfId="1282" xr:uid="{D1D4E02A-D38E-4CBF-9893-A415B5DD38F8}"/>
    <cellStyle name="40% - Accent3 2" xfId="1283" xr:uid="{242957AC-0BC9-4277-A7B4-C053E4DDAC45}"/>
    <cellStyle name="40% - Accent3 2 2" xfId="1284" xr:uid="{479DEC56-BD4F-4C54-AED2-81AF4427914D}"/>
    <cellStyle name="40% - Accent3 2 2 2" xfId="1285" xr:uid="{53489313-DD10-4B66-B780-745F912570C0}"/>
    <cellStyle name="40% - Accent3 2 3" xfId="1286" xr:uid="{0E1ACE7A-CCFF-424E-85F9-EC0AB48A9D2E}"/>
    <cellStyle name="40% - Accent3 2 3 2" xfId="1287" xr:uid="{2C6361D7-78E0-4283-852F-588E93505DBD}"/>
    <cellStyle name="40% - Accent3 2 4" xfId="1288" xr:uid="{EFCDA01E-1508-4F82-9D11-927EE1BF67BA}"/>
    <cellStyle name="40% - Accent3 2 4 2" xfId="1289" xr:uid="{8769BF11-BC95-4DAC-B41C-E859AF717961}"/>
    <cellStyle name="40% - Accent3 2 5" xfId="1290" xr:uid="{963C79E9-313A-4503-AE3F-3192E9614A37}"/>
    <cellStyle name="40% - Accent3 2 5 2" xfId="1291" xr:uid="{DDA59FC6-2B23-45D3-A0BF-0BB5890FA034}"/>
    <cellStyle name="40% - Accent3 2 6" xfId="1292" xr:uid="{84452F15-2962-4FDF-8B9F-185DF34C62B9}"/>
    <cellStyle name="40% - Accent3 2 6 2" xfId="1293" xr:uid="{67EFCE28-F2F6-4DED-8561-8264F9D02955}"/>
    <cellStyle name="40% - Accent3 2 7" xfId="1294" xr:uid="{F8F543AA-6759-400A-AA94-D37EECC32784}"/>
    <cellStyle name="40% - Accent3 2 7 2" xfId="1295" xr:uid="{0642A94F-4716-4E74-841D-1B96B65518D5}"/>
    <cellStyle name="40% - Accent3 2 8" xfId="1296" xr:uid="{1BA68468-6C7B-4A74-AC7C-7EFAEF1E679D}"/>
    <cellStyle name="40% - Accent3 3" xfId="1297" xr:uid="{D6483589-FE7E-4814-AAA7-E056FADC1143}"/>
    <cellStyle name="40% - Accent3 3 2" xfId="1298" xr:uid="{3D68161F-8A95-4F76-8A98-A41CC27EAB75}"/>
    <cellStyle name="40% - Accent3 3 2 2" xfId="1299" xr:uid="{2C9A9C12-75C7-412F-A2C4-83C377388047}"/>
    <cellStyle name="40% - Accent3 3 3" xfId="1300" xr:uid="{7C64E207-23EF-49B3-BDDB-9902E0C0AD63}"/>
    <cellStyle name="40% - Accent3 3 3 2" xfId="1301" xr:uid="{1CBF8B54-B794-4170-9EFB-A32C186667D6}"/>
    <cellStyle name="40% - Accent3 3 4" xfId="1302" xr:uid="{3CFD5B45-7D99-4F08-93DF-E457E6EE1F08}"/>
    <cellStyle name="40% - Accent3 3 4 2" xfId="1303" xr:uid="{2FB12AAF-89D9-4075-B6D1-FDBFF10646D6}"/>
    <cellStyle name="40% - Accent3 3 5" xfId="1304" xr:uid="{4DC5F498-81E6-40DB-9632-2649EA36FEA1}"/>
    <cellStyle name="40% - Accent3 3 5 2" xfId="1305" xr:uid="{56268462-0178-4ACB-A288-A7BED86BF0E2}"/>
    <cellStyle name="40% - Accent3 3 6" xfId="1306" xr:uid="{B45DC8F4-2475-44DC-B040-165E80AF056B}"/>
    <cellStyle name="40% - Accent3 3 6 2" xfId="1307" xr:uid="{528D5134-14B0-4207-AED2-2F17D1904601}"/>
    <cellStyle name="40% - Accent3 3 7" xfId="1308" xr:uid="{53654FEA-3851-4B0D-8A87-7FCEB3A8E984}"/>
    <cellStyle name="40% - Accent3 3 7 2" xfId="1309" xr:uid="{543DE6E2-BEF3-40DE-854C-20F8DDEAE059}"/>
    <cellStyle name="40% - Accent3 3 8" xfId="1310" xr:uid="{45412ACF-31CD-4852-8894-A4C51A0DA111}"/>
    <cellStyle name="40% - Accent3 4" xfId="1311" xr:uid="{F16F5BFF-A741-46CC-AAD8-0649E6087D30}"/>
    <cellStyle name="40% - Accent3 4 2" xfId="1312" xr:uid="{9D4B01A2-D901-48F9-A16C-EF2877617E27}"/>
    <cellStyle name="40% - Accent3 4 2 2" xfId="1313" xr:uid="{2A9A1E91-2AE7-4927-BA17-74D5E2D91B35}"/>
    <cellStyle name="40% - Accent3 4 3" xfId="1314" xr:uid="{8C9A18CC-D4C4-4487-A967-11F35061F65C}"/>
    <cellStyle name="40% - Accent3 4 3 2" xfId="1315" xr:uid="{3A73030C-51E0-44FE-AC08-8C675049E5F6}"/>
    <cellStyle name="40% - Accent3 4 4" xfId="1316" xr:uid="{9001993D-31C9-48BA-BB43-A1AD738BF5AC}"/>
    <cellStyle name="40% - Accent3 4 4 2" xfId="1317" xr:uid="{045156DA-720B-489B-939B-BC9478AC65B4}"/>
    <cellStyle name="40% - Accent3 4 5" xfId="1318" xr:uid="{D455C165-833F-4C87-808A-58A37F12E232}"/>
    <cellStyle name="40% - Accent3 4 5 2" xfId="1319" xr:uid="{FAF5EB66-6E68-4352-834A-3C0DC514279D}"/>
    <cellStyle name="40% - Accent3 4 6" xfId="1320" xr:uid="{567671F4-316A-44DB-9D72-B13F6A3DF9ED}"/>
    <cellStyle name="40% - Accent3 4 6 2" xfId="1321" xr:uid="{71A5FB41-FC23-49EC-B524-35EAF03BB7DD}"/>
    <cellStyle name="40% - Accent3 4 7" xfId="1322" xr:uid="{FCD95A03-FF18-437E-9BB6-A7916DE2CB14}"/>
    <cellStyle name="40% - Accent3 4 7 2" xfId="1323" xr:uid="{C4BC4271-729B-41DA-936A-1D33267D7FCD}"/>
    <cellStyle name="40% - Accent3 4 8" xfId="1324" xr:uid="{93892E09-E896-4F55-B893-5549ACF28AC5}"/>
    <cellStyle name="40% - Accent3 5" xfId="1325" xr:uid="{E4640BF2-D1F0-4D69-9B4D-C51924BBB057}"/>
    <cellStyle name="40% - Accent3 5 2" xfId="1326" xr:uid="{445CDB76-EF7D-4CF9-8996-B785EB17AC19}"/>
    <cellStyle name="40% - Accent3 5 2 2" xfId="1327" xr:uid="{88F7F240-CFCA-4F72-803A-2C03B8C01CE4}"/>
    <cellStyle name="40% - Accent3 5 3" xfId="1328" xr:uid="{431E8083-7DBE-4664-A50C-772B88342AF8}"/>
    <cellStyle name="40% - Accent3 5 3 2" xfId="1329" xr:uid="{6ADABC07-C96C-4410-817B-9686F692F0F4}"/>
    <cellStyle name="40% - Accent3 5 4" xfId="1330" xr:uid="{33442BDD-0373-4E97-967E-949DE16D5473}"/>
    <cellStyle name="40% - Accent3 5 4 2" xfId="1331" xr:uid="{3F6546C5-C32C-4416-91F1-C4A33B7EFFC2}"/>
    <cellStyle name="40% - Accent3 5 5" xfId="1332" xr:uid="{67EBB49C-976E-405F-A5C8-CE7EA815646F}"/>
    <cellStyle name="40% - Accent3 5 5 2" xfId="1333" xr:uid="{E6F44ECB-72C3-44D5-879B-D2002316E10E}"/>
    <cellStyle name="40% - Accent3 5 6" xfId="1334" xr:uid="{446EFFB8-E110-443B-B209-1B39D6B664A9}"/>
    <cellStyle name="40% - Accent3 5 6 2" xfId="1335" xr:uid="{7BF0381B-2715-40CD-BF3F-A216F317A94A}"/>
    <cellStyle name="40% - Accent3 5 7" xfId="1336" xr:uid="{600F839D-4B37-4AAD-B0DB-3F27BAE463FC}"/>
    <cellStyle name="40% - Accent3 5 7 2" xfId="1337" xr:uid="{84318597-BECA-4566-B84C-8000A4BCF1DF}"/>
    <cellStyle name="40% - Accent3 5 8" xfId="1338" xr:uid="{992E97FC-B7DF-4B8C-9385-94401D8C20DD}"/>
    <cellStyle name="40% - Accent3 6" xfId="1339" xr:uid="{1528C50C-9939-4345-BFAD-CE6FE8B061FB}"/>
    <cellStyle name="40% - Accent3 6 2" xfId="1340" xr:uid="{6A6A5671-B14B-4E30-AA37-EFC8AFD2E3C5}"/>
    <cellStyle name="40% - Accent3 6 2 2" xfId="1341" xr:uid="{960BE325-EFC1-4376-863C-30C0E32ACE0A}"/>
    <cellStyle name="40% - Accent3 6 3" xfId="1342" xr:uid="{7C6D5A21-97E5-437B-ACFE-4F153082BDAB}"/>
    <cellStyle name="40% - Accent3 6 3 2" xfId="1343" xr:uid="{95D7B293-4D55-4652-AE70-84AA7961E8CC}"/>
    <cellStyle name="40% - Accent3 6 4" xfId="1344" xr:uid="{14D89303-3801-4D05-8042-28C79051CFD6}"/>
    <cellStyle name="40% - Accent3 6 4 2" xfId="1345" xr:uid="{A052CD54-D162-4E77-A298-302444E275CE}"/>
    <cellStyle name="40% - Accent3 6 5" xfId="1346" xr:uid="{9A6AE2E0-5374-40D8-8E62-444F30EFD52E}"/>
    <cellStyle name="40% - Accent3 6 5 2" xfId="1347" xr:uid="{2FBB156E-F4C1-49CC-8243-B56193BBF3EB}"/>
    <cellStyle name="40% - Accent3 6 6" xfId="1348" xr:uid="{BA5CC763-0B87-425B-8825-ED5CFA562225}"/>
    <cellStyle name="40% - Accent3 7" xfId="1349" xr:uid="{31271BA5-003F-4265-A8C7-457864D73831}"/>
    <cellStyle name="40% - Accent3 7 2" xfId="1350" xr:uid="{108297BE-C93F-4C55-B577-B3D202735FE5}"/>
    <cellStyle name="40% - Accent3 7 2 2" xfId="1351" xr:uid="{849F69D8-9FF2-454E-8F2E-DA1932820C47}"/>
    <cellStyle name="40% - Accent3 7 3" xfId="1352" xr:uid="{2F3E1841-DED3-474B-ACD6-474682D04E99}"/>
    <cellStyle name="40% - Accent3 7 3 2" xfId="1353" xr:uid="{9519138C-FD51-4D52-97EB-4FFC81599368}"/>
    <cellStyle name="40% - Accent3 7 4" xfId="1354" xr:uid="{93C034EF-0D3C-4BB9-A355-13995934E890}"/>
    <cellStyle name="40% - Accent3 7 4 2" xfId="1355" xr:uid="{3005B2A2-A9B8-4FCF-ACD4-EA60B057FD2C}"/>
    <cellStyle name="40% - Accent3 7 5" xfId="1356" xr:uid="{18886592-2BF0-4AEC-8766-E53EC1C43B2D}"/>
    <cellStyle name="40% - Accent3 7 5 2" xfId="1357" xr:uid="{0F895DF8-3DBC-4EA4-AE80-8CDE338D9EA7}"/>
    <cellStyle name="40% - Accent3 7 6" xfId="1358" xr:uid="{53369EBD-9B7A-4BD0-8EBD-3495745502B9}"/>
    <cellStyle name="40% - Accent3 8" xfId="1359" xr:uid="{A9D6174E-0C78-49B0-B0D9-D8BABB2B7977}"/>
    <cellStyle name="40% - Accent3 8 2" xfId="1360" xr:uid="{D9974DEE-C30C-4AC6-A761-369D5B2E5795}"/>
    <cellStyle name="40% - Accent3 9" xfId="1361" xr:uid="{04616225-7D85-4FFF-AFD0-ECA16D4C5463}"/>
    <cellStyle name="40% - Accent3 9 2" xfId="1362" xr:uid="{495133F1-04AB-47D1-A055-DAC180274E79}"/>
    <cellStyle name="40% - Accent4 10" xfId="1363" xr:uid="{19DB8823-08DD-4C78-8469-B093393B1407}"/>
    <cellStyle name="40% - Accent4 10 2" xfId="1364" xr:uid="{71DF9A01-5B10-4FA1-AF4D-0C26D3C0021E}"/>
    <cellStyle name="40% - Accent4 11" xfId="1365" xr:uid="{D3B6BEF9-D9E1-48FC-900D-06FFA6F898A4}"/>
    <cellStyle name="40% - Accent4 11 2" xfId="1366" xr:uid="{84D2ECE8-23EE-4EA0-B7B1-1FFDF2EA4BFB}"/>
    <cellStyle name="40% - Accent4 2" xfId="1367" xr:uid="{4CA388F3-1DB1-4DD4-9B68-C8AC19DCD8DE}"/>
    <cellStyle name="40% - Accent4 2 2" xfId="1368" xr:uid="{CF7CAE64-C8D8-46F9-BF71-E65F65FD6A2C}"/>
    <cellStyle name="40% - Accent4 2 2 2" xfId="1369" xr:uid="{1AEC44A0-B588-4C5A-AF94-31B8DFA1CCC8}"/>
    <cellStyle name="40% - Accent4 2 3" xfId="1370" xr:uid="{ED93E3C7-41B5-4F07-961E-9A1D808285FD}"/>
    <cellStyle name="40% - Accent4 2 3 2" xfId="1371" xr:uid="{3BAE5BA0-DDE4-4579-B414-BA45CE6B0D02}"/>
    <cellStyle name="40% - Accent4 2 4" xfId="1372" xr:uid="{284CECB6-7A44-493B-A40F-8B5F1EF745E6}"/>
    <cellStyle name="40% - Accent4 2 4 2" xfId="1373" xr:uid="{54DC25F2-7331-4CFC-9BB2-8D1EF4E5D04B}"/>
    <cellStyle name="40% - Accent4 2 5" xfId="1374" xr:uid="{A4C7A918-2842-4D32-87FE-943DB2F1FC59}"/>
    <cellStyle name="40% - Accent4 2 5 2" xfId="1375" xr:uid="{0566FF09-1F0F-445E-AF41-BBF349092FD7}"/>
    <cellStyle name="40% - Accent4 2 6" xfId="1376" xr:uid="{3D6843FB-45B1-4A42-B6FF-110BBE192319}"/>
    <cellStyle name="40% - Accent4 2 6 2" xfId="1377" xr:uid="{99650915-F1E0-4740-91E4-456981A28896}"/>
    <cellStyle name="40% - Accent4 2 7" xfId="1378" xr:uid="{02AC1667-6B2C-4260-9DA9-391CFA4ED04A}"/>
    <cellStyle name="40% - Accent4 2 7 2" xfId="1379" xr:uid="{B7F6A3D8-9393-4003-834C-D7F9ACE9D06B}"/>
    <cellStyle name="40% - Accent4 2 8" xfId="1380" xr:uid="{7F701B28-6B4E-4F6D-9197-F728FED08CA7}"/>
    <cellStyle name="40% - Accent4 3" xfId="1381" xr:uid="{0FE457F3-BF1D-4967-A0F4-FA5FBCD3890E}"/>
    <cellStyle name="40% - Accent4 3 2" xfId="1382" xr:uid="{B6AA9FBF-A123-412D-B090-4E0C26BFC1D7}"/>
    <cellStyle name="40% - Accent4 3 2 2" xfId="1383" xr:uid="{C6005CA0-78C9-4A23-86DF-EF8781DBB864}"/>
    <cellStyle name="40% - Accent4 3 3" xfId="1384" xr:uid="{D3A8CEDD-A0BF-47BB-8DE7-A3E0B64FAC22}"/>
    <cellStyle name="40% - Accent4 3 3 2" xfId="1385" xr:uid="{05ACE896-27E8-4022-A78E-A25993805DD8}"/>
    <cellStyle name="40% - Accent4 3 4" xfId="1386" xr:uid="{D480E2F1-E330-4B76-881A-2339C10BEF90}"/>
    <cellStyle name="40% - Accent4 3 4 2" xfId="1387" xr:uid="{3F179387-5CE2-4313-AE55-9FE09A39E825}"/>
    <cellStyle name="40% - Accent4 3 5" xfId="1388" xr:uid="{9A60BE7F-68C5-493E-8710-0BA2115F1072}"/>
    <cellStyle name="40% - Accent4 3 5 2" xfId="1389" xr:uid="{CA677A7C-108A-4101-96C2-192632101315}"/>
    <cellStyle name="40% - Accent4 3 6" xfId="1390" xr:uid="{51F8D616-D29C-4A04-9C62-B159B79A8E32}"/>
    <cellStyle name="40% - Accent4 3 6 2" xfId="1391" xr:uid="{576266CC-8259-4938-B54A-15DF255C10B4}"/>
    <cellStyle name="40% - Accent4 3 7" xfId="1392" xr:uid="{AA53C9A5-8862-489E-8F6D-BA412F18B243}"/>
    <cellStyle name="40% - Accent4 3 7 2" xfId="1393" xr:uid="{0AD31EB9-ACB6-4360-A690-39568BCE50E1}"/>
    <cellStyle name="40% - Accent4 3 8" xfId="1394" xr:uid="{7D0DBD49-B009-45CD-9DDA-AFE848399A43}"/>
    <cellStyle name="40% - Accent4 4" xfId="1395" xr:uid="{6476ED51-70F7-4281-BF4F-7E299CA76030}"/>
    <cellStyle name="40% - Accent4 4 2" xfId="1396" xr:uid="{8AFADF73-C92E-4EC7-B130-D56855C5962A}"/>
    <cellStyle name="40% - Accent4 4 2 2" xfId="1397" xr:uid="{906BD42B-DB22-4C8C-8606-FC64D3411D89}"/>
    <cellStyle name="40% - Accent4 4 3" xfId="1398" xr:uid="{1F84F687-7A60-414D-A780-6FF08C2CF48D}"/>
    <cellStyle name="40% - Accent4 4 3 2" xfId="1399" xr:uid="{8539CC3F-6FFF-4231-81B3-C5A090AC5EB1}"/>
    <cellStyle name="40% - Accent4 4 4" xfId="1400" xr:uid="{3DF24CDF-14AB-497D-9A7F-6F12504514AB}"/>
    <cellStyle name="40% - Accent4 4 4 2" xfId="1401" xr:uid="{0E246A0F-2F61-47A0-A5C9-843B9B188BF1}"/>
    <cellStyle name="40% - Accent4 4 5" xfId="1402" xr:uid="{2033E833-1816-428E-8DEE-6D878E76D2BF}"/>
    <cellStyle name="40% - Accent4 4 5 2" xfId="1403" xr:uid="{451E89AC-43C5-4131-8E44-799D448C0DA0}"/>
    <cellStyle name="40% - Accent4 4 6" xfId="1404" xr:uid="{37797D48-74F0-4E74-93E8-9AA6DF057A92}"/>
    <cellStyle name="40% - Accent4 4 6 2" xfId="1405" xr:uid="{05A7175B-86AC-44EE-A10D-D73A177820EC}"/>
    <cellStyle name="40% - Accent4 4 7" xfId="1406" xr:uid="{6AE4EA84-B0A5-4FCB-8DD7-354E915137A9}"/>
    <cellStyle name="40% - Accent4 4 7 2" xfId="1407" xr:uid="{EC26C2BF-3B27-4081-B14B-973D9CAD29FA}"/>
    <cellStyle name="40% - Accent4 4 8" xfId="1408" xr:uid="{A816DB14-286F-4BBC-8BD9-A6CE148BD8DE}"/>
    <cellStyle name="40% - Accent4 5" xfId="1409" xr:uid="{A08E799B-F709-409F-A8AC-199B8DD932BA}"/>
    <cellStyle name="40% - Accent4 5 2" xfId="1410" xr:uid="{CC6BD4B1-01D2-4610-93C8-1E6DB68405B5}"/>
    <cellStyle name="40% - Accent4 5 2 2" xfId="1411" xr:uid="{6340F5FE-4FEB-454A-AE1E-B0E70DF15F15}"/>
    <cellStyle name="40% - Accent4 5 3" xfId="1412" xr:uid="{0C3765E9-B650-4C70-8175-86E0B51EFEB7}"/>
    <cellStyle name="40% - Accent4 5 3 2" xfId="1413" xr:uid="{ADB593FA-6BAB-4220-BEC5-6DD124DF607C}"/>
    <cellStyle name="40% - Accent4 5 4" xfId="1414" xr:uid="{C1588450-88CA-42A9-B1B3-8493B98163FD}"/>
    <cellStyle name="40% - Accent4 5 4 2" xfId="1415" xr:uid="{B49094D4-10C8-40EA-8886-3DB90363AE9D}"/>
    <cellStyle name="40% - Accent4 5 5" xfId="1416" xr:uid="{EAF81383-A953-4BD4-8742-CFC8BE02680C}"/>
    <cellStyle name="40% - Accent4 5 5 2" xfId="1417" xr:uid="{ED2A2E39-9049-4493-884A-FEB3174A9EBA}"/>
    <cellStyle name="40% - Accent4 5 6" xfId="1418" xr:uid="{2D6E5465-C203-4F1F-B57F-162240DE8808}"/>
    <cellStyle name="40% - Accent4 5 6 2" xfId="1419" xr:uid="{136EC6EF-6E20-41BF-9966-A0470793E849}"/>
    <cellStyle name="40% - Accent4 5 7" xfId="1420" xr:uid="{79C5A779-147E-43AD-88E5-23D4526B1B05}"/>
    <cellStyle name="40% - Accent4 5 7 2" xfId="1421" xr:uid="{A657D65B-3325-4FBC-85CB-87D74F3A341F}"/>
    <cellStyle name="40% - Accent4 5 8" xfId="1422" xr:uid="{134720E5-6ADF-446B-95C4-16F7C1D84A1D}"/>
    <cellStyle name="40% - Accent4 6" xfId="1423" xr:uid="{B6EE8208-DA2E-4120-9948-A55EC6E20A6B}"/>
    <cellStyle name="40% - Accent4 6 2" xfId="1424" xr:uid="{CD5BD6A8-8AD6-4AA3-8B8E-F00ACA1A050D}"/>
    <cellStyle name="40% - Accent4 6 2 2" xfId="1425" xr:uid="{C0FBAC60-A355-4D1B-BC67-E6CB55C33C06}"/>
    <cellStyle name="40% - Accent4 6 3" xfId="1426" xr:uid="{E9792BF6-CFC3-40E3-83D6-5AE7095F2F33}"/>
    <cellStyle name="40% - Accent4 6 3 2" xfId="1427" xr:uid="{E391B17B-4CC8-4E3B-9EB9-4DDE9C575B3A}"/>
    <cellStyle name="40% - Accent4 6 4" xfId="1428" xr:uid="{7E77849F-B785-4027-B37A-D16A1D14767C}"/>
    <cellStyle name="40% - Accent4 6 4 2" xfId="1429" xr:uid="{E87B327B-F413-49A7-9FA6-BD6465B63356}"/>
    <cellStyle name="40% - Accent4 6 5" xfId="1430" xr:uid="{A20CF256-D935-451E-80E2-16376F9F8A52}"/>
    <cellStyle name="40% - Accent4 6 5 2" xfId="1431" xr:uid="{4FB24ECB-6ECC-4196-B6FA-80A76E4C5D0A}"/>
    <cellStyle name="40% - Accent4 6 6" xfId="1432" xr:uid="{E441A168-1FAD-4CD4-B3CA-894422DD31F2}"/>
    <cellStyle name="40% - Accent4 7" xfId="1433" xr:uid="{17152843-EF38-4DD0-BBFA-ACDF3B0FB9D1}"/>
    <cellStyle name="40% - Accent4 7 2" xfId="1434" xr:uid="{FEE2EAB1-D819-4DEA-A9CF-BEAF7954FB4D}"/>
    <cellStyle name="40% - Accent4 7 2 2" xfId="1435" xr:uid="{EE2F6FFE-166D-457C-9E27-34548E820BBB}"/>
    <cellStyle name="40% - Accent4 7 3" xfId="1436" xr:uid="{CA4111A2-D011-4877-AF54-B904D477843A}"/>
    <cellStyle name="40% - Accent4 7 3 2" xfId="1437" xr:uid="{DAA41DAE-1F3A-4188-A8B6-10947303291C}"/>
    <cellStyle name="40% - Accent4 7 4" xfId="1438" xr:uid="{4673BFFD-8838-4BCE-B38D-6CEE0D95AACA}"/>
    <cellStyle name="40% - Accent4 7 4 2" xfId="1439" xr:uid="{ED889F34-9721-48F9-AECF-2B7522EB95E7}"/>
    <cellStyle name="40% - Accent4 7 5" xfId="1440" xr:uid="{9F9B861C-77B1-45C7-A36C-78956F0AB836}"/>
    <cellStyle name="40% - Accent4 7 5 2" xfId="1441" xr:uid="{0405BC04-2DC2-419E-8AB2-A15F88043A8C}"/>
    <cellStyle name="40% - Accent4 7 6" xfId="1442" xr:uid="{10339000-3818-4501-BB37-44A6D982058A}"/>
    <cellStyle name="40% - Accent4 8" xfId="1443" xr:uid="{0AE62B30-0919-4B30-9739-54D2B08F69BF}"/>
    <cellStyle name="40% - Accent4 8 2" xfId="1444" xr:uid="{5292F9B2-F512-4FAE-A83D-8E92159F0E23}"/>
    <cellStyle name="40% - Accent4 9" xfId="1445" xr:uid="{19991911-FD1D-451A-B909-F0400D8D3EBA}"/>
    <cellStyle name="40% - Accent4 9 2" xfId="1446" xr:uid="{32CC0B05-3EB3-4EF6-9E95-FCBE08333263}"/>
    <cellStyle name="40% - Accent5 10" xfId="1447" xr:uid="{65D88078-3C39-4D17-A933-CA12B503BACF}"/>
    <cellStyle name="40% - Accent5 10 2" xfId="1448" xr:uid="{2461B06C-C251-4890-88BB-B70B2F074A8D}"/>
    <cellStyle name="40% - Accent5 11" xfId="1449" xr:uid="{6E565CAC-DD3C-4887-BF32-602BE65AEE86}"/>
    <cellStyle name="40% - Accent5 11 2" xfId="1450" xr:uid="{B4251C67-D3D3-4FEC-882E-A326B0320799}"/>
    <cellStyle name="40% - Accent5 2" xfId="1451" xr:uid="{26A0D895-22FD-4667-90C0-B43EC82FA584}"/>
    <cellStyle name="40% - Accent5 2 2" xfId="1452" xr:uid="{666B92CE-845B-4508-999C-5A000203A086}"/>
    <cellStyle name="40% - Accent5 2 2 2" xfId="1453" xr:uid="{F300D72F-CFF2-4BC8-8E1C-CBE3DD589824}"/>
    <cellStyle name="40% - Accent5 2 3" xfId="1454" xr:uid="{8124A63F-6F90-40D6-BF88-BCE395C3B245}"/>
    <cellStyle name="40% - Accent5 2 3 2" xfId="1455" xr:uid="{CA7EA647-9313-43B0-B3A7-971827ABFE63}"/>
    <cellStyle name="40% - Accent5 2 4" xfId="1456" xr:uid="{0897C7B5-5E00-4860-AD1C-9AF82444FCD1}"/>
    <cellStyle name="40% - Accent5 2 4 2" xfId="1457" xr:uid="{B02198A3-B506-4643-9933-6A8AB771D6B8}"/>
    <cellStyle name="40% - Accent5 2 5" xfId="1458" xr:uid="{19A44C42-5E02-40F7-9F35-B98F514C7BED}"/>
    <cellStyle name="40% - Accent5 2 5 2" xfId="1459" xr:uid="{681AB7E4-CE4D-4C05-8D81-67291B542520}"/>
    <cellStyle name="40% - Accent5 2 6" xfId="1460" xr:uid="{470388E4-0C11-4B18-AAEF-45B99FF15644}"/>
    <cellStyle name="40% - Accent5 2 6 2" xfId="1461" xr:uid="{FFE7C61E-DE7B-416C-BDE9-0F542F51EF7A}"/>
    <cellStyle name="40% - Accent5 2 7" xfId="1462" xr:uid="{07804F77-F75B-48E1-A53D-A457BD016819}"/>
    <cellStyle name="40% - Accent5 2 7 2" xfId="1463" xr:uid="{41F4C702-F67E-4E1D-A66C-86C3010E40EE}"/>
    <cellStyle name="40% - Accent5 2 8" xfId="1464" xr:uid="{15F12D69-349D-484E-9DE4-03D176080DD9}"/>
    <cellStyle name="40% - Accent5 3" xfId="1465" xr:uid="{2B882653-7527-429A-85BE-C83E8BA50556}"/>
    <cellStyle name="40% - Accent5 3 2" xfId="1466" xr:uid="{409FA361-CD75-434E-85AF-33310E25BA56}"/>
    <cellStyle name="40% - Accent5 3 2 2" xfId="1467" xr:uid="{CACE6C6A-E719-4882-A785-21D21C4FB0C0}"/>
    <cellStyle name="40% - Accent5 3 3" xfId="1468" xr:uid="{E7EB6279-A168-49E8-813D-5BB2D60B9A2A}"/>
    <cellStyle name="40% - Accent5 3 3 2" xfId="1469" xr:uid="{61A3202C-2C61-408E-A60C-108F0268FEA2}"/>
    <cellStyle name="40% - Accent5 3 4" xfId="1470" xr:uid="{523B0E38-3141-4A52-9DD6-D7454DCB88B0}"/>
    <cellStyle name="40% - Accent5 3 4 2" xfId="1471" xr:uid="{8E15DE37-D4C2-4F81-9038-AA3F840C640E}"/>
    <cellStyle name="40% - Accent5 3 5" xfId="1472" xr:uid="{ABF495A6-80A0-4B44-9B0F-24156C1B7FC1}"/>
    <cellStyle name="40% - Accent5 3 5 2" xfId="1473" xr:uid="{97F1C3A4-8BA9-4073-906A-5D86A8B90D4A}"/>
    <cellStyle name="40% - Accent5 3 6" xfId="1474" xr:uid="{E43E3EE7-A4E8-4A89-BAC5-C337F713BCC3}"/>
    <cellStyle name="40% - Accent5 3 6 2" xfId="1475" xr:uid="{2EE84021-488D-4021-881C-0A1B8BAB0071}"/>
    <cellStyle name="40% - Accent5 3 7" xfId="1476" xr:uid="{E4A58B80-2536-4354-ADFF-2942CEE8A593}"/>
    <cellStyle name="40% - Accent5 3 7 2" xfId="1477" xr:uid="{CBE87013-DA97-4E44-844C-7DB02A6D7F70}"/>
    <cellStyle name="40% - Accent5 3 8" xfId="1478" xr:uid="{A16DDC15-49A4-47F9-82B2-5061D45E5739}"/>
    <cellStyle name="40% - Accent5 4" xfId="1479" xr:uid="{34862A05-5B0C-4F75-B425-0B2747EEDF29}"/>
    <cellStyle name="40% - Accent5 4 2" xfId="1480" xr:uid="{66E46A33-BD07-432E-980D-01F52312BACB}"/>
    <cellStyle name="40% - Accent5 4 2 2" xfId="1481" xr:uid="{ED4F02F1-6104-44AF-BF51-D8813FDED5F9}"/>
    <cellStyle name="40% - Accent5 4 3" xfId="1482" xr:uid="{2E6D4EEF-385D-473C-9F86-FF896A6FAFC7}"/>
    <cellStyle name="40% - Accent5 4 3 2" xfId="1483" xr:uid="{33AC7558-AD77-42E8-8B9E-34A6A4C0A414}"/>
    <cellStyle name="40% - Accent5 4 4" xfId="1484" xr:uid="{EC82E39A-2AFF-446B-9693-04D1CBE9BBCB}"/>
    <cellStyle name="40% - Accent5 4 4 2" xfId="1485" xr:uid="{9D56F30F-C24F-4EB3-881F-A949924C4D19}"/>
    <cellStyle name="40% - Accent5 4 5" xfId="1486" xr:uid="{854BAB91-8F69-4FED-85A0-F2E3B156B61D}"/>
    <cellStyle name="40% - Accent5 4 5 2" xfId="1487" xr:uid="{64BC0024-C7EC-4B59-8511-9BB299DAA859}"/>
    <cellStyle name="40% - Accent5 4 6" xfId="1488" xr:uid="{9FD29EAC-56B6-4243-8A6F-E76D6A9E53A9}"/>
    <cellStyle name="40% - Accent5 4 6 2" xfId="1489" xr:uid="{0E2FA64E-DA0A-451F-90F5-4854CFB4DAC3}"/>
    <cellStyle name="40% - Accent5 4 7" xfId="1490" xr:uid="{7B433695-7AC0-4716-87E7-ACB3890E0162}"/>
    <cellStyle name="40% - Accent5 4 7 2" xfId="1491" xr:uid="{7C79404A-50D1-42BD-BB8E-51C8EA71BF74}"/>
    <cellStyle name="40% - Accent5 4 8" xfId="1492" xr:uid="{C6BBE6D1-4F70-4343-A668-04DFD44EF956}"/>
    <cellStyle name="40% - Accent5 5" xfId="1493" xr:uid="{185A23FC-3D2B-4296-87FC-F293FE272A12}"/>
    <cellStyle name="40% - Accent5 5 2" xfId="1494" xr:uid="{CAB835E1-9018-4D4A-BDF2-5D17E9B41B8B}"/>
    <cellStyle name="40% - Accent5 5 2 2" xfId="1495" xr:uid="{8A32A751-648E-49D1-A1AB-6E48E2655E63}"/>
    <cellStyle name="40% - Accent5 5 3" xfId="1496" xr:uid="{4680DD7B-9739-4974-BDF6-2A89AFA82A0A}"/>
    <cellStyle name="40% - Accent5 5 3 2" xfId="1497" xr:uid="{CC478798-56FC-455B-9513-29B0C6D3DE4E}"/>
    <cellStyle name="40% - Accent5 5 4" xfId="1498" xr:uid="{9844DD35-41FA-47B4-ACEB-3510BDB44A8D}"/>
    <cellStyle name="40% - Accent5 5 4 2" xfId="1499" xr:uid="{C13018AC-F599-4909-B50A-F5D29106C7C7}"/>
    <cellStyle name="40% - Accent5 5 5" xfId="1500" xr:uid="{6EBF13E9-12D4-45B9-9D9A-E7CE7616AB5F}"/>
    <cellStyle name="40% - Accent5 5 5 2" xfId="1501" xr:uid="{6AE08321-ADF2-4119-B6E8-D6978C0BE877}"/>
    <cellStyle name="40% - Accent5 5 6" xfId="1502" xr:uid="{6AAFC3DB-CBB6-4576-8665-3C6F22ABFD2B}"/>
    <cellStyle name="40% - Accent5 5 6 2" xfId="1503" xr:uid="{54D4F8BA-74D4-484B-8C57-6D26A6A622C2}"/>
    <cellStyle name="40% - Accent5 5 7" xfId="1504" xr:uid="{4AC3B6CF-7752-4934-A534-35DF02612578}"/>
    <cellStyle name="40% - Accent5 5 7 2" xfId="1505" xr:uid="{92382C33-A43B-4EC2-88EC-5A33789A073B}"/>
    <cellStyle name="40% - Accent5 5 8" xfId="1506" xr:uid="{C2E88EF1-A4EE-4FA9-94A8-1052173CDE97}"/>
    <cellStyle name="40% - Accent5 6" xfId="1507" xr:uid="{F7AC28A7-1F7B-4CC7-A9CB-827880988728}"/>
    <cellStyle name="40% - Accent5 6 2" xfId="1508" xr:uid="{31BE561C-F48A-448C-A062-8F8C8239AE0A}"/>
    <cellStyle name="40% - Accent5 6 2 2" xfId="1509" xr:uid="{681E75D3-D117-408C-B57A-9CECA8F17F19}"/>
    <cellStyle name="40% - Accent5 6 3" xfId="1510" xr:uid="{C8E62D9D-4C0B-4C52-9FF8-BDED6B0ABEB8}"/>
    <cellStyle name="40% - Accent5 6 3 2" xfId="1511" xr:uid="{4592812B-8EE3-49F0-B77F-FEE6B9D56E37}"/>
    <cellStyle name="40% - Accent5 6 4" xfId="1512" xr:uid="{931F1245-7CA8-475C-B69A-9AD2EDC8FC81}"/>
    <cellStyle name="40% - Accent5 6 4 2" xfId="1513" xr:uid="{74929871-1673-49F9-8D6D-83D7543AE94C}"/>
    <cellStyle name="40% - Accent5 6 5" xfId="1514" xr:uid="{2E29A1DA-1811-477B-A148-8707DF56210D}"/>
    <cellStyle name="40% - Accent5 6 5 2" xfId="1515" xr:uid="{79E3DEBB-775F-49F5-AF1A-438449AE7ED9}"/>
    <cellStyle name="40% - Accent5 6 6" xfId="1516" xr:uid="{63CEEB3A-211A-46DA-90FB-7A9772B4984E}"/>
    <cellStyle name="40% - Accent5 7" xfId="1517" xr:uid="{6CD82331-988E-4D9B-B9C2-862B0AF18189}"/>
    <cellStyle name="40% - Accent5 7 2" xfId="1518" xr:uid="{BAE32E7C-A500-4DA5-94D6-30E58499F65F}"/>
    <cellStyle name="40% - Accent5 7 2 2" xfId="1519" xr:uid="{471F6F16-BF01-47F2-8CF2-1B7BBAB29990}"/>
    <cellStyle name="40% - Accent5 7 3" xfId="1520" xr:uid="{E74C945A-8A98-4832-9B16-4BE463657757}"/>
    <cellStyle name="40% - Accent5 7 3 2" xfId="1521" xr:uid="{7688243B-2BCA-4245-AB4E-F65182A4993B}"/>
    <cellStyle name="40% - Accent5 7 4" xfId="1522" xr:uid="{9A48499E-79DF-497C-8141-EB66DE74666B}"/>
    <cellStyle name="40% - Accent5 7 4 2" xfId="1523" xr:uid="{89B580E1-D58C-4D3F-B957-2B87173C30CC}"/>
    <cellStyle name="40% - Accent5 7 5" xfId="1524" xr:uid="{C551CD0B-6DD4-4D75-B9F1-E592CB865974}"/>
    <cellStyle name="40% - Accent5 7 5 2" xfId="1525" xr:uid="{313260C5-B8D8-41AA-8770-F01C13809CD5}"/>
    <cellStyle name="40% - Accent5 7 6" xfId="1526" xr:uid="{E3573C56-CD7F-4E08-8679-8676BD0DAECE}"/>
    <cellStyle name="40% - Accent5 8" xfId="1527" xr:uid="{5D87227B-4815-4DEA-94AB-9A19DAF55442}"/>
    <cellStyle name="40% - Accent5 8 2" xfId="1528" xr:uid="{01DAC8F5-F15A-47B6-8222-F34D115F4EE0}"/>
    <cellStyle name="40% - Accent5 9" xfId="1529" xr:uid="{2E430FAD-4984-4F39-9200-5DABA13B452C}"/>
    <cellStyle name="40% - Accent5 9 2" xfId="1530" xr:uid="{917C2790-E72F-4EC0-A26A-BB2BED155142}"/>
    <cellStyle name="40% - Accent6 10" xfId="1531" xr:uid="{0D948EC3-970D-46D7-A695-0047FA200889}"/>
    <cellStyle name="40% - Accent6 10 2" xfId="1532" xr:uid="{A4A14F3D-6B75-459C-B396-B85317626A1E}"/>
    <cellStyle name="40% - Accent6 11" xfId="1533" xr:uid="{1DA4D6B7-21F6-4F8A-8B0C-E805A001BF91}"/>
    <cellStyle name="40% - Accent6 11 2" xfId="1534" xr:uid="{F279DD4B-9DFD-4AF3-91FE-34D4DA3D66E1}"/>
    <cellStyle name="40% - Accent6 2" xfId="1535" xr:uid="{C9321614-8035-4846-9E7E-99137A75F85E}"/>
    <cellStyle name="40% - Accent6 2 2" xfId="1536" xr:uid="{6D32CC62-6783-4FD5-90D2-424D744A1321}"/>
    <cellStyle name="40% - Accent6 2 2 2" xfId="1537" xr:uid="{E2E19F54-7D04-4F2B-9E66-B6D7CE66077B}"/>
    <cellStyle name="40% - Accent6 2 3" xfId="1538" xr:uid="{52E5E5ED-48F1-4333-943F-AAC87537BBCD}"/>
    <cellStyle name="40% - Accent6 2 3 2" xfId="1539" xr:uid="{E2F7EBF8-6497-41FA-B695-09C067A38DF4}"/>
    <cellStyle name="40% - Accent6 2 4" xfId="1540" xr:uid="{EF93D6EC-CC58-4FD4-AFA5-E8A75713F5A4}"/>
    <cellStyle name="40% - Accent6 2 4 2" xfId="1541" xr:uid="{DAADC27A-BD86-44BE-B7B7-26D87E128BE3}"/>
    <cellStyle name="40% - Accent6 2 5" xfId="1542" xr:uid="{80863623-DA09-46D9-8613-5F0E5F0345B7}"/>
    <cellStyle name="40% - Accent6 2 5 2" xfId="1543" xr:uid="{B7B0F5B6-0CFB-468D-AEB6-5449FE5D3108}"/>
    <cellStyle name="40% - Accent6 2 6" xfId="1544" xr:uid="{ABF88C49-199A-4E78-A608-FF6B520754E4}"/>
    <cellStyle name="40% - Accent6 2 6 2" xfId="1545" xr:uid="{6F6D6EE7-B8BE-4B91-9894-D58B850B9F95}"/>
    <cellStyle name="40% - Accent6 2 7" xfId="1546" xr:uid="{169DDB9B-0A60-4104-B602-0EADE36B857B}"/>
    <cellStyle name="40% - Accent6 2 7 2" xfId="1547" xr:uid="{EF4A6AEF-5AAD-40E9-9002-A0207BED5A6E}"/>
    <cellStyle name="40% - Accent6 2 8" xfId="1548" xr:uid="{F5F72635-AA0E-4250-9AB5-852A911CEBCE}"/>
    <cellStyle name="40% - Accent6 3" xfId="1549" xr:uid="{448C85F8-3F02-486B-BF29-618DBBDEC306}"/>
    <cellStyle name="40% - Accent6 3 2" xfId="1550" xr:uid="{B3619868-1452-4F2A-A10D-9FECE5C5468D}"/>
    <cellStyle name="40% - Accent6 3 2 2" xfId="1551" xr:uid="{D72EA773-D865-4221-BCF4-75A1EACAB967}"/>
    <cellStyle name="40% - Accent6 3 3" xfId="1552" xr:uid="{313A67A6-84F4-4BAA-90D4-F408D14EFA2C}"/>
    <cellStyle name="40% - Accent6 3 3 2" xfId="1553" xr:uid="{C59AF4E6-87BE-4EFB-BBD6-5E981B0116C6}"/>
    <cellStyle name="40% - Accent6 3 4" xfId="1554" xr:uid="{2633CA6E-6182-47D2-B5B8-4FE8765F98F5}"/>
    <cellStyle name="40% - Accent6 3 4 2" xfId="1555" xr:uid="{D24A023C-B67E-4519-BD81-805CCA2596B4}"/>
    <cellStyle name="40% - Accent6 3 5" xfId="1556" xr:uid="{8A0D7A71-C18B-4FA3-854F-566935FBD766}"/>
    <cellStyle name="40% - Accent6 3 5 2" xfId="1557" xr:uid="{708AB9F8-9625-48C9-B2F6-DDDB23C2477D}"/>
    <cellStyle name="40% - Accent6 3 6" xfId="1558" xr:uid="{65210892-4755-4EAC-AE42-96333A3016F8}"/>
    <cellStyle name="40% - Accent6 3 6 2" xfId="1559" xr:uid="{ECE7B288-7C94-44A4-836C-3CE1CA572EE3}"/>
    <cellStyle name="40% - Accent6 3 7" xfId="1560" xr:uid="{4F01FE3F-2716-4709-AB5D-BE27E7680624}"/>
    <cellStyle name="40% - Accent6 3 7 2" xfId="1561" xr:uid="{DAB9B361-73D1-476B-9312-8DBBED4B4DAC}"/>
    <cellStyle name="40% - Accent6 3 8" xfId="1562" xr:uid="{CF215359-03F6-4B6E-A466-F6176C49F507}"/>
    <cellStyle name="40% - Accent6 4" xfId="1563" xr:uid="{CE9C621E-0FA8-4718-AABB-4AF2F52B0499}"/>
    <cellStyle name="40% - Accent6 4 2" xfId="1564" xr:uid="{F40B110A-60D4-4B12-A73C-4F285C7A20E3}"/>
    <cellStyle name="40% - Accent6 4 2 2" xfId="1565" xr:uid="{D6407090-4DE7-45FA-92A7-8756B69AAD61}"/>
    <cellStyle name="40% - Accent6 4 3" xfId="1566" xr:uid="{171F7D23-A867-46F6-A396-436F34145258}"/>
    <cellStyle name="40% - Accent6 4 3 2" xfId="1567" xr:uid="{2315D934-1DDF-4C9B-ACA5-87C25EC86C97}"/>
    <cellStyle name="40% - Accent6 4 4" xfId="1568" xr:uid="{7A539C16-9DB5-43A9-A254-D66005D0F3AA}"/>
    <cellStyle name="40% - Accent6 4 4 2" xfId="1569" xr:uid="{32ECA38C-7A06-4F35-A587-689532D6A425}"/>
    <cellStyle name="40% - Accent6 4 5" xfId="1570" xr:uid="{201F012B-6DC3-4FE3-9997-A6F287C7EEC8}"/>
    <cellStyle name="40% - Accent6 4 5 2" xfId="1571" xr:uid="{015F1057-4C66-4EED-A57D-C5B926AC8232}"/>
    <cellStyle name="40% - Accent6 4 6" xfId="1572" xr:uid="{A404DB1F-3E2E-421F-A7E9-DCE8B0F9EA36}"/>
    <cellStyle name="40% - Accent6 4 6 2" xfId="1573" xr:uid="{BE0499BF-C760-4263-A102-EC4C855BEC36}"/>
    <cellStyle name="40% - Accent6 4 7" xfId="1574" xr:uid="{64E9446E-AF14-45D2-B339-A504484F50CA}"/>
    <cellStyle name="40% - Accent6 4 7 2" xfId="1575" xr:uid="{B67E5403-9829-47A2-AC58-3F712159C9BE}"/>
    <cellStyle name="40% - Accent6 4 8" xfId="1576" xr:uid="{6AD7A009-DDB5-4C78-BCC6-F975DE3E6FF8}"/>
    <cellStyle name="40% - Accent6 5" xfId="1577" xr:uid="{7739C15E-7032-4529-BDD7-FF56B63FA035}"/>
    <cellStyle name="40% - Accent6 5 2" xfId="1578" xr:uid="{DC50AD65-EEA8-499A-94B4-0D9586F322DA}"/>
    <cellStyle name="40% - Accent6 5 2 2" xfId="1579" xr:uid="{6A265AF6-70D8-491A-B3E4-7ABE0C2A2EA3}"/>
    <cellStyle name="40% - Accent6 5 3" xfId="1580" xr:uid="{A39614B5-0189-4F12-948D-E5DB8DD1E5E3}"/>
    <cellStyle name="40% - Accent6 5 3 2" xfId="1581" xr:uid="{A9789BFC-85F1-4F2B-A7D0-F3EC781CBFF4}"/>
    <cellStyle name="40% - Accent6 5 4" xfId="1582" xr:uid="{AE3047E7-F883-4B8B-B132-46C3785E7E2A}"/>
    <cellStyle name="40% - Accent6 5 4 2" xfId="1583" xr:uid="{4D818C2B-9065-4FEC-A6CA-FFB41989ED12}"/>
    <cellStyle name="40% - Accent6 5 5" xfId="1584" xr:uid="{49404D31-A2CC-480C-B1D7-D09AF2B9899F}"/>
    <cellStyle name="40% - Accent6 5 5 2" xfId="1585" xr:uid="{E6CC7D96-7B6F-4339-BAB6-0D55D573C00C}"/>
    <cellStyle name="40% - Accent6 5 6" xfId="1586" xr:uid="{DD724E85-F32F-499F-B0CE-7743A809FBB9}"/>
    <cellStyle name="40% - Accent6 5 6 2" xfId="1587" xr:uid="{9E3E216B-D485-4D0F-AE7B-28276573EDF5}"/>
    <cellStyle name="40% - Accent6 5 7" xfId="1588" xr:uid="{25E5B29A-097D-43BE-A2FD-64CD0529ECD2}"/>
    <cellStyle name="40% - Accent6 5 7 2" xfId="1589" xr:uid="{CFA488CD-8BB4-4256-B737-7F3D6EBBB77C}"/>
    <cellStyle name="40% - Accent6 5 8" xfId="1590" xr:uid="{F70AE054-177D-49CF-8296-B2807A9046F6}"/>
    <cellStyle name="40% - Accent6 6" xfId="1591" xr:uid="{FC552044-7FF1-4678-9B2C-FDC003841189}"/>
    <cellStyle name="40% - Accent6 6 2" xfId="1592" xr:uid="{C6249F19-C888-4BE5-9923-E92F486E83AB}"/>
    <cellStyle name="40% - Accent6 6 2 2" xfId="1593" xr:uid="{3351C474-3914-4FD1-960D-E33A2798E156}"/>
    <cellStyle name="40% - Accent6 6 3" xfId="1594" xr:uid="{810CFE53-786C-4587-8A70-E949D6A48495}"/>
    <cellStyle name="40% - Accent6 6 3 2" xfId="1595" xr:uid="{97EDCF10-A61D-4C22-9D21-394B01DBA234}"/>
    <cellStyle name="40% - Accent6 6 4" xfId="1596" xr:uid="{3124ACD9-1789-4A3D-8A64-70B3434EDD03}"/>
    <cellStyle name="40% - Accent6 6 4 2" xfId="1597" xr:uid="{D3E04B69-D2A5-4F17-A90A-C1D6ECFAC532}"/>
    <cellStyle name="40% - Accent6 6 5" xfId="1598" xr:uid="{B8BB2DB3-D74B-4F4E-BE61-3BABC11F8D17}"/>
    <cellStyle name="40% - Accent6 6 5 2" xfId="1599" xr:uid="{F103062B-9A91-4FEE-A297-172FAED3C6A5}"/>
    <cellStyle name="40% - Accent6 6 6" xfId="1600" xr:uid="{5592449E-B38A-47FC-BB10-1C445CD744F2}"/>
    <cellStyle name="40% - Accent6 7" xfId="1601" xr:uid="{1115E1E2-E62B-4EE1-89CE-A989DED8F14E}"/>
    <cellStyle name="40% - Accent6 7 2" xfId="1602" xr:uid="{D34EBC00-D6C4-4736-824A-59F25B2EE6AE}"/>
    <cellStyle name="40% - Accent6 7 2 2" xfId="1603" xr:uid="{C61E364A-C0F9-4BA0-92DE-62504AE824E2}"/>
    <cellStyle name="40% - Accent6 7 3" xfId="1604" xr:uid="{DCE03E21-B6B3-469A-96FE-956DFE538361}"/>
    <cellStyle name="40% - Accent6 7 3 2" xfId="1605" xr:uid="{639017FB-8EF9-40CF-81C5-B8EAE2A1DBDB}"/>
    <cellStyle name="40% - Accent6 7 4" xfId="1606" xr:uid="{B71B0A78-CEF0-4FCA-BD05-3C318509A6C9}"/>
    <cellStyle name="40% - Accent6 7 4 2" xfId="1607" xr:uid="{05E28EE8-77C6-47D7-B32A-AC09E9004186}"/>
    <cellStyle name="40% - Accent6 7 5" xfId="1608" xr:uid="{01DE0A41-EFFB-4C20-ACB7-93F506D2CF3E}"/>
    <cellStyle name="40% - Accent6 7 5 2" xfId="1609" xr:uid="{663104ED-454E-4960-93E5-FBA77777D470}"/>
    <cellStyle name="40% - Accent6 7 6" xfId="1610" xr:uid="{6B14DAEE-AA86-4D99-BDA5-3C2E5CC91179}"/>
    <cellStyle name="40% - Accent6 8" xfId="1611" xr:uid="{97643168-1F7C-4308-B3E4-70A45BC40FA1}"/>
    <cellStyle name="40% - Accent6 8 2" xfId="1612" xr:uid="{9F805FDB-A3D2-468C-9372-E818366EC374}"/>
    <cellStyle name="40% - Accent6 9" xfId="1613" xr:uid="{523CF7A3-9BE7-4851-9A11-FF5D408774E0}"/>
    <cellStyle name="40% - Accent6 9 2" xfId="1614" xr:uid="{777F9355-8FC6-47C8-B556-A9FD143B2327}"/>
    <cellStyle name="60% - Accent1 10" xfId="1615" xr:uid="{AE919C60-594E-48F9-B2C8-637DE052AEE4}"/>
    <cellStyle name="60% - Accent1 11" xfId="1616" xr:uid="{529001D3-DB4A-4791-AED4-FD21708CC39E}"/>
    <cellStyle name="60% - Accent1 2" xfId="1617" xr:uid="{439AB1D7-22B5-4899-AD91-5162152B33F0}"/>
    <cellStyle name="60% - Accent1 2 2" xfId="1618" xr:uid="{AA334B6D-06AB-4F1A-829C-1B0FD69E7E78}"/>
    <cellStyle name="60% - Accent1 2 3" xfId="1619" xr:uid="{CD0BE052-E109-4F6C-AFA9-020B1BF258BE}"/>
    <cellStyle name="60% - Accent1 2 4" xfId="1620" xr:uid="{44F7CBF0-AB52-4621-AF6F-127109946C8E}"/>
    <cellStyle name="60% - Accent1 2 5" xfId="1621" xr:uid="{BA6D5DDE-79E4-4085-AE6C-DF0DE2B01CE4}"/>
    <cellStyle name="60% - Accent1 2 6" xfId="1622" xr:uid="{BB931895-4787-40FE-AFC8-36CDC22D481F}"/>
    <cellStyle name="60% - Accent1 2 7" xfId="1623" xr:uid="{5A907B09-2E46-4CE3-A461-236F371E3BA1}"/>
    <cellStyle name="60% - Accent1 3" xfId="1624" xr:uid="{AF3D095F-539B-414B-918D-E4D17990356F}"/>
    <cellStyle name="60% - Accent1 3 2" xfId="1625" xr:uid="{362EE9E2-4AFE-4141-90EE-AA1133B11220}"/>
    <cellStyle name="60% - Accent1 3 3" xfId="1626" xr:uid="{2B6EABDB-48C8-4E38-9F92-07CDC703E8D1}"/>
    <cellStyle name="60% - Accent1 3 4" xfId="1627" xr:uid="{640CBFCA-217E-46AB-8E75-BC3A6E7B7188}"/>
    <cellStyle name="60% - Accent1 3 5" xfId="1628" xr:uid="{849F104B-878C-4680-8D70-C3FA2D0942A5}"/>
    <cellStyle name="60% - Accent1 3 6" xfId="1629" xr:uid="{7F84636A-6FB3-4D0F-B1E8-0DDC26F2BC60}"/>
    <cellStyle name="60% - Accent1 3 7" xfId="1630" xr:uid="{93462FDF-04C0-449E-9DE9-E63605FFC729}"/>
    <cellStyle name="60% - Accent1 4" xfId="1631" xr:uid="{BB618F56-BBD8-407F-BD87-503519F754EB}"/>
    <cellStyle name="60% - Accent1 4 2" xfId="1632" xr:uid="{B743D7B9-04DC-4213-B2CA-480DAEAEE6F4}"/>
    <cellStyle name="60% - Accent1 4 3" xfId="1633" xr:uid="{5C7D2447-9AAC-4201-A0F5-7B750BEE306B}"/>
    <cellStyle name="60% - Accent1 4 4" xfId="1634" xr:uid="{CB63BEE3-C468-4139-9DCC-1E08BAB1B263}"/>
    <cellStyle name="60% - Accent1 4 5" xfId="1635" xr:uid="{F6E0466A-E815-4A53-915C-29F9217A1C89}"/>
    <cellStyle name="60% - Accent1 4 6" xfId="1636" xr:uid="{62C5F179-6195-477C-977A-6C99782DEBBE}"/>
    <cellStyle name="60% - Accent1 4 7" xfId="1637" xr:uid="{803BCFF6-B305-496A-B8E3-9906FAA6A8F0}"/>
    <cellStyle name="60% - Accent1 5" xfId="1638" xr:uid="{0F6039F9-E7D2-4B15-A790-67D90370A5A2}"/>
    <cellStyle name="60% - Accent1 5 2" xfId="1639" xr:uid="{7D7594C4-3B17-48DC-9F38-2E19A1F07238}"/>
    <cellStyle name="60% - Accent1 5 3" xfId="1640" xr:uid="{B3838EC9-4593-436A-85AE-FF647B58B20C}"/>
    <cellStyle name="60% - Accent1 5 4" xfId="1641" xr:uid="{FEF9D35C-8220-4807-9E5B-558E9746C388}"/>
    <cellStyle name="60% - Accent1 5 5" xfId="1642" xr:uid="{368D935A-7E97-426A-8D5B-50E6FE356F29}"/>
    <cellStyle name="60% - Accent1 5 6" xfId="1643" xr:uid="{8520D972-B846-4417-A12E-2679863D6B82}"/>
    <cellStyle name="60% - Accent1 5 7" xfId="1644" xr:uid="{EAB5A1BC-B9AB-4B69-9805-1FB0B6013DAB}"/>
    <cellStyle name="60% - Accent1 6" xfId="1645" xr:uid="{82C2E8E3-C2D0-43A0-BF56-BA5A9C8C527B}"/>
    <cellStyle name="60% - Accent1 6 2" xfId="1646" xr:uid="{A40ADC5C-EE93-4B9A-A0D4-24A83BFD16B4}"/>
    <cellStyle name="60% - Accent1 6 3" xfId="1647" xr:uid="{B01358F5-5BA3-4244-9C27-43004A2AD58D}"/>
    <cellStyle name="60% - Accent1 6 4" xfId="1648" xr:uid="{A1554BF6-356B-4F1C-8DB9-4B25EB4CB7C1}"/>
    <cellStyle name="60% - Accent1 6 5" xfId="1649" xr:uid="{97C0F074-530E-4DEF-BE2D-9902DA941BB9}"/>
    <cellStyle name="60% - Accent1 7" xfId="1650" xr:uid="{86D25212-C9D5-4202-A1B7-7603F65E3F0E}"/>
    <cellStyle name="60% - Accent1 7 2" xfId="1651" xr:uid="{9D364192-486B-4965-B2FC-61FAF588F8A4}"/>
    <cellStyle name="60% - Accent1 7 3" xfId="1652" xr:uid="{F29ED1B5-F09D-481F-B268-7DDE402B2AC5}"/>
    <cellStyle name="60% - Accent1 7 4" xfId="1653" xr:uid="{00688D89-4D80-4CE1-B846-11A07D6AA718}"/>
    <cellStyle name="60% - Accent1 7 5" xfId="1654" xr:uid="{C57AA562-F28D-4BAB-8E91-07D493C36201}"/>
    <cellStyle name="60% - Accent1 8" xfId="1655" xr:uid="{8B1A9A91-8204-47C7-9713-0B58B4A07949}"/>
    <cellStyle name="60% - Accent1 9" xfId="1656" xr:uid="{9590ED42-BD4A-44B4-9576-40D4C5B903A9}"/>
    <cellStyle name="60% - Accent2 10" xfId="1657" xr:uid="{9CCFB57D-11DD-4B16-A892-BDE2223BAD63}"/>
    <cellStyle name="60% - Accent2 11" xfId="1658" xr:uid="{DCB79A60-91B6-4981-99EA-15D803B24878}"/>
    <cellStyle name="60% - Accent2 2" xfId="1659" xr:uid="{E526A85D-16A8-410A-8A5C-67A115E22522}"/>
    <cellStyle name="60% - Accent2 2 2" xfId="1660" xr:uid="{BF53B3F7-AF6A-4D9B-8332-D8C69BAD09A3}"/>
    <cellStyle name="60% - Accent2 2 3" xfId="1661" xr:uid="{E918971F-F3F3-462B-8730-4A2DBB7671DF}"/>
    <cellStyle name="60% - Accent2 2 4" xfId="1662" xr:uid="{673FEE11-7ADB-4811-BAC3-23BA18AC9B21}"/>
    <cellStyle name="60% - Accent2 2 5" xfId="1663" xr:uid="{758E4A1B-AED9-46EF-BACF-8A67301E5B86}"/>
    <cellStyle name="60% - Accent2 2 6" xfId="1664" xr:uid="{43BB99E3-52A6-44C3-B0D1-D5C07BA85153}"/>
    <cellStyle name="60% - Accent2 2 7" xfId="1665" xr:uid="{9731B8CF-08D3-4FC8-8B87-65071BA06F63}"/>
    <cellStyle name="60% - Accent2 3" xfId="1666" xr:uid="{758752F6-A57F-42CD-B0AB-D85294C1BF3C}"/>
    <cellStyle name="60% - Accent2 3 2" xfId="1667" xr:uid="{1E0D1654-D01E-4DFE-917B-EED86B236D5B}"/>
    <cellStyle name="60% - Accent2 3 3" xfId="1668" xr:uid="{4D89E281-0AE5-41F5-8904-FC9CFD610D62}"/>
    <cellStyle name="60% - Accent2 3 4" xfId="1669" xr:uid="{A1E48D52-421A-4881-B708-36AB2A7462B9}"/>
    <cellStyle name="60% - Accent2 3 5" xfId="1670" xr:uid="{C57B6EA0-5C7A-41D1-AF67-814840E15C46}"/>
    <cellStyle name="60% - Accent2 3 6" xfId="1671" xr:uid="{3C54C937-A027-430C-BC96-AE5A4445BAC8}"/>
    <cellStyle name="60% - Accent2 3 7" xfId="1672" xr:uid="{72E3FB09-A4A1-4E66-AF6B-79EAD080AA2B}"/>
    <cellStyle name="60% - Accent2 4" xfId="1673" xr:uid="{A66C8DD8-603F-469C-92C6-14C19FD09AD7}"/>
    <cellStyle name="60% - Accent2 4 2" xfId="1674" xr:uid="{A8A25FB7-5D7C-455F-9E12-9E16C6A3AE58}"/>
    <cellStyle name="60% - Accent2 4 3" xfId="1675" xr:uid="{2D8C5011-E27C-4DAB-8145-1D1F4AB27A6E}"/>
    <cellStyle name="60% - Accent2 4 4" xfId="1676" xr:uid="{F00C8821-15DA-4CED-BCAD-8B267EB72BA2}"/>
    <cellStyle name="60% - Accent2 4 5" xfId="1677" xr:uid="{58DE30BB-047A-424D-801E-58C14430D3F7}"/>
    <cellStyle name="60% - Accent2 4 6" xfId="1678" xr:uid="{A772A16A-39B5-4810-B0D5-BD9AF900CDA6}"/>
    <cellStyle name="60% - Accent2 4 7" xfId="1679" xr:uid="{4973E286-E5D8-4746-B5E2-DF0DF9FB55BB}"/>
    <cellStyle name="60% - Accent2 5" xfId="1680" xr:uid="{93AEFF62-6378-4F82-8EBB-90BA7DC62894}"/>
    <cellStyle name="60% - Accent2 5 2" xfId="1681" xr:uid="{9BAFA236-4748-488E-9A5F-230778BC4E16}"/>
    <cellStyle name="60% - Accent2 5 3" xfId="1682" xr:uid="{EE5A4B5E-8804-4FB7-9A3A-7EFB6505EEE4}"/>
    <cellStyle name="60% - Accent2 5 4" xfId="1683" xr:uid="{465263B5-1F85-43A3-8AB3-704A0B13CBC6}"/>
    <cellStyle name="60% - Accent2 5 5" xfId="1684" xr:uid="{2535CFC7-D22C-46A6-8C8F-F8C446A8F9DA}"/>
    <cellStyle name="60% - Accent2 5 6" xfId="1685" xr:uid="{C418474B-FB99-49AB-A057-DF65E5AD100F}"/>
    <cellStyle name="60% - Accent2 5 7" xfId="1686" xr:uid="{FC5879EA-F5F9-42BF-9FA8-21B8D76C3514}"/>
    <cellStyle name="60% - Accent2 6" xfId="1687" xr:uid="{2F03ADCD-34F3-4182-A2FF-4C95A2353369}"/>
    <cellStyle name="60% - Accent2 6 2" xfId="1688" xr:uid="{AE1CA0FE-2D08-44D4-9210-21825AC624D9}"/>
    <cellStyle name="60% - Accent2 6 3" xfId="1689" xr:uid="{46E7F7C7-6DB8-4B65-97B4-FDE9DA1A3912}"/>
    <cellStyle name="60% - Accent2 6 4" xfId="1690" xr:uid="{09306D40-6D21-42A4-8FD9-F93B56DC221C}"/>
    <cellStyle name="60% - Accent2 6 5" xfId="1691" xr:uid="{8338FAF1-AFFE-41CA-A4C9-63CF0BC7CEAF}"/>
    <cellStyle name="60% - Accent2 7" xfId="1692" xr:uid="{80761156-E1AC-47A7-96B0-F9A9F30C05DD}"/>
    <cellStyle name="60% - Accent2 7 2" xfId="1693" xr:uid="{15458589-09F5-431F-9B7C-42B1CA93CF66}"/>
    <cellStyle name="60% - Accent2 7 3" xfId="1694" xr:uid="{263F859B-7486-4904-A739-BB6579681274}"/>
    <cellStyle name="60% - Accent2 7 4" xfId="1695" xr:uid="{45F3B593-CBBF-4493-9332-BF2892061583}"/>
    <cellStyle name="60% - Accent2 7 5" xfId="1696" xr:uid="{EC1569AD-339B-4158-849B-B16C4AD20949}"/>
    <cellStyle name="60% - Accent2 8" xfId="1697" xr:uid="{F424E0DB-A598-4776-8D6F-AC894A32DC4E}"/>
    <cellStyle name="60% - Accent2 9" xfId="1698" xr:uid="{F692EA7E-AA45-495F-B44C-739AED912492}"/>
    <cellStyle name="60% - Accent3 10" xfId="1699" xr:uid="{BBC732EE-BC08-4BEE-86EF-BB58F71B89A0}"/>
    <cellStyle name="60% - Accent3 11" xfId="1700" xr:uid="{96953B79-3BF3-43FE-96A0-A3B043322E7F}"/>
    <cellStyle name="60% - Accent3 2" xfId="1701" xr:uid="{74CA8A6A-4BB3-4EED-B1E8-E1E87791C402}"/>
    <cellStyle name="60% - Accent3 2 2" xfId="1702" xr:uid="{8617B65C-4DEA-43D6-B9E9-312DFF91E1F5}"/>
    <cellStyle name="60% - Accent3 2 3" xfId="1703" xr:uid="{0E59EC53-AACB-4C69-8EBF-350EBE1461E1}"/>
    <cellStyle name="60% - Accent3 2 4" xfId="1704" xr:uid="{B62EE208-813D-46C2-AA3F-CDABDA68B62C}"/>
    <cellStyle name="60% - Accent3 2 5" xfId="1705" xr:uid="{1C4FE3D2-748B-4A9A-8726-E401079A8AAB}"/>
    <cellStyle name="60% - Accent3 2 6" xfId="1706" xr:uid="{5668DCB9-18AB-49DE-9EAB-A27DB425FDED}"/>
    <cellStyle name="60% - Accent3 2 7" xfId="1707" xr:uid="{6CE92448-D376-4A15-9B63-BC004635F248}"/>
    <cellStyle name="60% - Accent3 3" xfId="1708" xr:uid="{FCE99C26-ADEC-465A-A511-F0A15251C5FF}"/>
    <cellStyle name="60% - Accent3 3 2" xfId="1709" xr:uid="{69EFEE63-B537-49EA-A113-37995D36555C}"/>
    <cellStyle name="60% - Accent3 3 3" xfId="1710" xr:uid="{D0AF9DCC-BEBE-4502-BAAF-089A656A5536}"/>
    <cellStyle name="60% - Accent3 3 4" xfId="1711" xr:uid="{AAFC1DD3-55CA-4A9D-B251-12BB69829C0E}"/>
    <cellStyle name="60% - Accent3 3 5" xfId="1712" xr:uid="{0BE06109-663F-45DF-A64F-15B11D0D4D67}"/>
    <cellStyle name="60% - Accent3 3 6" xfId="1713" xr:uid="{FF956838-EAEF-46E2-86FB-6D7632663409}"/>
    <cellStyle name="60% - Accent3 3 7" xfId="1714" xr:uid="{AC61744F-F240-4FEC-A5D0-F1DC41FBD594}"/>
    <cellStyle name="60% - Accent3 4" xfId="1715" xr:uid="{3252F855-14B3-4E45-827F-C9F1898DED98}"/>
    <cellStyle name="60% - Accent3 4 2" xfId="1716" xr:uid="{88EA5D8C-512D-4F24-8632-2D823D36DFE7}"/>
    <cellStyle name="60% - Accent3 4 3" xfId="1717" xr:uid="{3BA85A2C-372A-497C-9D8D-60EB8DF899BF}"/>
    <cellStyle name="60% - Accent3 4 4" xfId="1718" xr:uid="{E61ECFA9-9094-4E52-939D-E2ACFCEA1EE1}"/>
    <cellStyle name="60% - Accent3 4 5" xfId="1719" xr:uid="{55B6C5D7-B900-4D32-B77B-9E199D8E4D61}"/>
    <cellStyle name="60% - Accent3 4 6" xfId="1720" xr:uid="{DDB70FDF-9D07-4F67-8B80-6E9F01D7B9A0}"/>
    <cellStyle name="60% - Accent3 4 7" xfId="1721" xr:uid="{DFE0B943-9081-4E34-B9EF-42EDE202E8CB}"/>
    <cellStyle name="60% - Accent3 5" xfId="1722" xr:uid="{275C7F85-9ED5-44CF-93A6-50C8EC83313E}"/>
    <cellStyle name="60% - Accent3 5 2" xfId="1723" xr:uid="{277E7E18-013D-4CC2-8AEA-FCCCC3684A63}"/>
    <cellStyle name="60% - Accent3 5 3" xfId="1724" xr:uid="{0DF27C2C-A4B6-4301-92D9-7C08D431E7FD}"/>
    <cellStyle name="60% - Accent3 5 4" xfId="1725" xr:uid="{63EB75EA-040B-476A-A693-BA891AE228AD}"/>
    <cellStyle name="60% - Accent3 5 5" xfId="1726" xr:uid="{507A17BF-3C60-4991-8010-C2E0AC32B8CA}"/>
    <cellStyle name="60% - Accent3 5 6" xfId="1727" xr:uid="{A02B90F5-A584-47D8-893F-625E14420F79}"/>
    <cellStyle name="60% - Accent3 5 7" xfId="1728" xr:uid="{97569673-B3E1-417C-8437-65D9461D7B71}"/>
    <cellStyle name="60% - Accent3 6" xfId="1729" xr:uid="{069FE287-87FB-4CD7-AB18-5CDCB52EDF8E}"/>
    <cellStyle name="60% - Accent3 6 2" xfId="1730" xr:uid="{E629845A-3D0C-493F-A094-6F6CE7B52214}"/>
    <cellStyle name="60% - Accent3 6 3" xfId="1731" xr:uid="{F5836B0B-C0FB-4ACA-8EDB-0E9D83CB68A5}"/>
    <cellStyle name="60% - Accent3 6 4" xfId="1732" xr:uid="{6995BE67-700B-4CC6-8D49-684C273070C4}"/>
    <cellStyle name="60% - Accent3 6 5" xfId="1733" xr:uid="{1D7EC599-626D-4F77-920F-0F2BA24B7DDD}"/>
    <cellStyle name="60% - Accent3 7" xfId="1734" xr:uid="{CF9F14FB-1879-484F-B8C9-62479D70CF86}"/>
    <cellStyle name="60% - Accent3 7 2" xfId="1735" xr:uid="{5DD8AB3F-EC21-4A5A-A8F9-A54C1DD511CD}"/>
    <cellStyle name="60% - Accent3 7 3" xfId="1736" xr:uid="{930169FC-119D-471F-9723-97A497C6951F}"/>
    <cellStyle name="60% - Accent3 7 4" xfId="1737" xr:uid="{5DE1173D-A072-4BDD-A086-5E05D644CB5B}"/>
    <cellStyle name="60% - Accent3 7 5" xfId="1738" xr:uid="{8FC24601-623E-458C-B30E-8C648DB500D4}"/>
    <cellStyle name="60% - Accent3 8" xfId="1739" xr:uid="{C72BD306-03E0-4EA4-BD4E-63F72C29DB36}"/>
    <cellStyle name="60% - Accent3 9" xfId="1740" xr:uid="{BFF06A3B-AA73-4CDD-B597-CD360782A8F5}"/>
    <cellStyle name="60% - Accent4 10" xfId="1741" xr:uid="{C866B385-EA7B-4BE2-9D3D-B750FECA7987}"/>
    <cellStyle name="60% - Accent4 11" xfId="1742" xr:uid="{95D433CD-E5B2-4656-A532-CC6D5FA23FA2}"/>
    <cellStyle name="60% - Accent4 2" xfId="1743" xr:uid="{4FFF0680-A9EE-4F8F-886A-2DBE1AFF393C}"/>
    <cellStyle name="60% - Accent4 2 2" xfId="1744" xr:uid="{BEE4B70C-E754-4017-A0A6-36A8E3C8966F}"/>
    <cellStyle name="60% - Accent4 2 3" xfId="1745" xr:uid="{DA18CF0C-F42C-49D8-82BE-39E16CE7BA6F}"/>
    <cellStyle name="60% - Accent4 2 4" xfId="1746" xr:uid="{DE29EA57-86F1-457B-BC48-BA50891B2B53}"/>
    <cellStyle name="60% - Accent4 2 5" xfId="1747" xr:uid="{92CEA590-17CE-47D2-9309-827AB6FD290A}"/>
    <cellStyle name="60% - Accent4 2 6" xfId="1748" xr:uid="{59F68D9A-E226-4D19-BB63-C050D16BDA0E}"/>
    <cellStyle name="60% - Accent4 2 7" xfId="1749" xr:uid="{8F421D26-A82A-4232-8D2C-ADC8106721C2}"/>
    <cellStyle name="60% - Accent4 3" xfId="1750" xr:uid="{D98A3019-EB72-44FD-BA3B-04C793A67218}"/>
    <cellStyle name="60% - Accent4 3 2" xfId="1751" xr:uid="{334ABD46-DFB9-40E7-9710-1B8A4C5F0482}"/>
    <cellStyle name="60% - Accent4 3 3" xfId="1752" xr:uid="{E5473A22-9A9D-47E3-8CA7-BCAF3EAC8909}"/>
    <cellStyle name="60% - Accent4 3 4" xfId="1753" xr:uid="{A39C1BA9-38A4-4A45-A7A7-517468F44FB0}"/>
    <cellStyle name="60% - Accent4 3 5" xfId="1754" xr:uid="{CC00EF05-A3CB-4548-A97D-E56C3DB6EC41}"/>
    <cellStyle name="60% - Accent4 3 6" xfId="1755" xr:uid="{1CF9965A-38E3-4653-85A0-3DD418D3F7D8}"/>
    <cellStyle name="60% - Accent4 3 7" xfId="1756" xr:uid="{A255576D-7125-49EA-8246-5ED1172AB479}"/>
    <cellStyle name="60% - Accent4 4" xfId="1757" xr:uid="{0ED2A8F7-D316-4C6F-AB18-4B98C1D5672E}"/>
    <cellStyle name="60% - Accent4 4 2" xfId="1758" xr:uid="{324BE537-8E5E-4B4C-9903-4504831119C1}"/>
    <cellStyle name="60% - Accent4 4 3" xfId="1759" xr:uid="{A22BCB5A-8A6C-425E-BD57-E93F844324A1}"/>
    <cellStyle name="60% - Accent4 4 4" xfId="1760" xr:uid="{FA83488D-B209-460E-BAD4-E2435E9D9F8A}"/>
    <cellStyle name="60% - Accent4 4 5" xfId="1761" xr:uid="{26FE3A46-8C9F-457C-94A6-49F06D9B37BE}"/>
    <cellStyle name="60% - Accent4 4 6" xfId="1762" xr:uid="{B9302580-D1E6-4D1C-987D-EAC4476346EE}"/>
    <cellStyle name="60% - Accent4 4 7" xfId="1763" xr:uid="{36D469F2-CA21-4F5A-ACE0-06CB6100D423}"/>
    <cellStyle name="60% - Accent4 5" xfId="1764" xr:uid="{D5CF1FAC-ED24-4716-909A-16C389E43095}"/>
    <cellStyle name="60% - Accent4 5 2" xfId="1765" xr:uid="{193F148D-12F9-404C-82FB-39DAF05AA8EE}"/>
    <cellStyle name="60% - Accent4 5 3" xfId="1766" xr:uid="{AAD7FE63-436A-4D04-8AE2-39C1D372B41B}"/>
    <cellStyle name="60% - Accent4 5 4" xfId="1767" xr:uid="{D0B51068-67BD-4D91-A577-5BBC5DB37EDB}"/>
    <cellStyle name="60% - Accent4 5 5" xfId="1768" xr:uid="{A6EF4B76-AD20-4962-AC63-7149E267BCDA}"/>
    <cellStyle name="60% - Accent4 5 6" xfId="1769" xr:uid="{02656CA3-41EF-4107-A81E-18AF50A7594B}"/>
    <cellStyle name="60% - Accent4 5 7" xfId="1770" xr:uid="{FBFBD601-E164-4727-852B-83182A08F2C4}"/>
    <cellStyle name="60% - Accent4 6" xfId="1771" xr:uid="{663501AF-5553-4675-B5F0-6566260AA0B2}"/>
    <cellStyle name="60% - Accent4 6 2" xfId="1772" xr:uid="{6145D84C-4802-4850-B0F2-008C5446C5B7}"/>
    <cellStyle name="60% - Accent4 6 3" xfId="1773" xr:uid="{879E46B1-9E8D-4948-854E-3586EEC247EB}"/>
    <cellStyle name="60% - Accent4 6 4" xfId="1774" xr:uid="{02221124-5F6A-4431-B5AE-F3840BE38B22}"/>
    <cellStyle name="60% - Accent4 6 5" xfId="1775" xr:uid="{CC922D9F-6C37-487D-A94F-2F82836C7451}"/>
    <cellStyle name="60% - Accent4 7" xfId="1776" xr:uid="{949785FF-4D58-4007-AC97-F54EBF73FB3F}"/>
    <cellStyle name="60% - Accent4 7 2" xfId="1777" xr:uid="{DBE0E897-78D8-4588-B60E-28411D5F69CD}"/>
    <cellStyle name="60% - Accent4 7 3" xfId="1778" xr:uid="{50A33C7B-40D3-40FF-B389-190F6F671143}"/>
    <cellStyle name="60% - Accent4 7 4" xfId="1779" xr:uid="{903F16E0-F5B2-4CF0-9EFD-BABEEA52F43A}"/>
    <cellStyle name="60% - Accent4 7 5" xfId="1780" xr:uid="{BAFC871C-2F2B-424F-9F50-6A638663A3E4}"/>
    <cellStyle name="60% - Accent4 8" xfId="1781" xr:uid="{3751D67A-253C-4C3A-BA25-F4C3216D4715}"/>
    <cellStyle name="60% - Accent4 9" xfId="1782" xr:uid="{F1091762-39A7-4A1A-B1B8-662BEC9910A2}"/>
    <cellStyle name="60% - Accent5 10" xfId="1783" xr:uid="{09D49029-4496-4932-A6D0-3F49273008CE}"/>
    <cellStyle name="60% - Accent5 11" xfId="1784" xr:uid="{216E3962-5620-49F4-A3FD-A72CEBDC668D}"/>
    <cellStyle name="60% - Accent5 2" xfId="1785" xr:uid="{E7B4A400-32CD-4132-BC01-097F239C755C}"/>
    <cellStyle name="60% - Accent5 2 2" xfId="1786" xr:uid="{82D7FD5D-7BC0-4881-8033-F752082F525A}"/>
    <cellStyle name="60% - Accent5 2 3" xfId="1787" xr:uid="{40E4F44E-0162-4D13-AE0D-816D05B070DF}"/>
    <cellStyle name="60% - Accent5 2 4" xfId="1788" xr:uid="{706B5CED-B1C4-4109-B2E2-5EA523A528A6}"/>
    <cellStyle name="60% - Accent5 2 5" xfId="1789" xr:uid="{479CB152-F70D-42C3-A7FC-5C83674FCE47}"/>
    <cellStyle name="60% - Accent5 2 6" xfId="1790" xr:uid="{B37C54A0-86BE-426D-A2E9-E07946E76435}"/>
    <cellStyle name="60% - Accent5 2 7" xfId="1791" xr:uid="{5574DF65-210C-43C3-8368-B8A126C70EE9}"/>
    <cellStyle name="60% - Accent5 3" xfId="1792" xr:uid="{FD11CE2B-7FAA-4EA6-B624-36BD11CB5AAD}"/>
    <cellStyle name="60% - Accent5 3 2" xfId="1793" xr:uid="{BE167C9E-CD84-4B00-A178-B05106D092A6}"/>
    <cellStyle name="60% - Accent5 3 3" xfId="1794" xr:uid="{CA378FA1-3FBC-407E-B809-8CC9118BA6CD}"/>
    <cellStyle name="60% - Accent5 3 4" xfId="1795" xr:uid="{B2BCB0EA-F782-41B0-B598-7D7DAF0E8223}"/>
    <cellStyle name="60% - Accent5 3 5" xfId="1796" xr:uid="{A2216E31-8236-4304-BEBF-E3E3C55CCD43}"/>
    <cellStyle name="60% - Accent5 3 6" xfId="1797" xr:uid="{59A08B6C-C169-46B1-993F-0F4329584B7D}"/>
    <cellStyle name="60% - Accent5 3 7" xfId="1798" xr:uid="{6369A798-F031-417F-BA9F-088E0B5BCE6E}"/>
    <cellStyle name="60% - Accent5 4" xfId="1799" xr:uid="{E67BE6E3-8E1D-4A19-9887-5B5DC91D0544}"/>
    <cellStyle name="60% - Accent5 4 2" xfId="1800" xr:uid="{7D6DC236-D6AE-4034-A26B-40F27C51A94D}"/>
    <cellStyle name="60% - Accent5 4 3" xfId="1801" xr:uid="{BE25BD0E-2906-4241-B947-286593B46F58}"/>
    <cellStyle name="60% - Accent5 4 4" xfId="1802" xr:uid="{6A7F1CAC-F647-4766-9C26-0F9471E1751F}"/>
    <cellStyle name="60% - Accent5 4 5" xfId="1803" xr:uid="{F1A27F2E-C20F-4C3E-A78F-A0B9CE7E1929}"/>
    <cellStyle name="60% - Accent5 4 6" xfId="1804" xr:uid="{F762B12A-DDEA-48D2-8D54-E4E87EF979F6}"/>
    <cellStyle name="60% - Accent5 4 7" xfId="1805" xr:uid="{E18593A5-722C-4471-B656-E14B466F058B}"/>
    <cellStyle name="60% - Accent5 5" xfId="1806" xr:uid="{6C27180D-409D-4C1E-A442-F362D26D3632}"/>
    <cellStyle name="60% - Accent5 5 2" xfId="1807" xr:uid="{AF5FCC32-306C-46E6-B101-8F7FE49DDAD8}"/>
    <cellStyle name="60% - Accent5 5 3" xfId="1808" xr:uid="{229BE576-D7E8-4782-A719-4657FC31D999}"/>
    <cellStyle name="60% - Accent5 5 4" xfId="1809" xr:uid="{9BE241E6-D7DA-4E14-8476-6802FC734B76}"/>
    <cellStyle name="60% - Accent5 5 5" xfId="1810" xr:uid="{BFB1CCB6-58BB-42A1-84ED-F086F3C71C9B}"/>
    <cellStyle name="60% - Accent5 5 6" xfId="1811" xr:uid="{C5CCA132-0A39-4BBD-BEF0-23390955A587}"/>
    <cellStyle name="60% - Accent5 5 7" xfId="1812" xr:uid="{96AC625E-A750-413F-9A76-616ECB13F136}"/>
    <cellStyle name="60% - Accent5 6" xfId="1813" xr:uid="{6C7F3CF2-7C5F-4FF8-B56E-F6A6CED011CA}"/>
    <cellStyle name="60% - Accent5 6 2" xfId="1814" xr:uid="{2B2E5E60-C90E-4751-8126-F794131ECFD1}"/>
    <cellStyle name="60% - Accent5 6 3" xfId="1815" xr:uid="{A73AD7F7-6F81-4C8F-8CA8-8B9916A87DF8}"/>
    <cellStyle name="60% - Accent5 6 4" xfId="1816" xr:uid="{163B006A-AEF2-4F4E-8B32-C74153150A91}"/>
    <cellStyle name="60% - Accent5 6 5" xfId="1817" xr:uid="{7CD86DC1-5D57-4FB3-B502-31ACE406DFA5}"/>
    <cellStyle name="60% - Accent5 7" xfId="1818" xr:uid="{CE07A014-DB77-47DA-8779-CE42C4F95BC9}"/>
    <cellStyle name="60% - Accent5 7 2" xfId="1819" xr:uid="{3004B117-B4A9-4604-991D-919609F57B93}"/>
    <cellStyle name="60% - Accent5 7 3" xfId="1820" xr:uid="{710A0528-95AC-4FCB-9B12-F774BB8A4364}"/>
    <cellStyle name="60% - Accent5 7 4" xfId="1821" xr:uid="{7E089DFF-8B3F-459A-BCE1-493718AA2876}"/>
    <cellStyle name="60% - Accent5 7 5" xfId="1822" xr:uid="{C16DF028-907F-400B-8AD1-62A987B21707}"/>
    <cellStyle name="60% - Accent5 8" xfId="1823" xr:uid="{C6B010D5-903F-4C7E-8C0D-B057382023B2}"/>
    <cellStyle name="60% - Accent5 9" xfId="1824" xr:uid="{8E836F76-0018-477B-B2E0-7F57294B1376}"/>
    <cellStyle name="60% - Accent6 10" xfId="1825" xr:uid="{5130E729-7D3A-449F-8F78-54C08A1BBD8F}"/>
    <cellStyle name="60% - Accent6 11" xfId="1826" xr:uid="{CFC069CB-B4C6-41C2-871C-DF6C08CDB5E5}"/>
    <cellStyle name="60% - Accent6 2" xfId="1827" xr:uid="{39772D7C-3F24-44C5-9026-B136A0A08579}"/>
    <cellStyle name="60% - Accent6 2 2" xfId="1828" xr:uid="{71A8F8D8-3054-4854-A41E-3E07BBA7621D}"/>
    <cellStyle name="60% - Accent6 2 3" xfId="1829" xr:uid="{914D86EF-B70D-4BCA-B65F-89DF21983958}"/>
    <cellStyle name="60% - Accent6 2 4" xfId="1830" xr:uid="{95648B54-5DFC-4027-B8E0-3BA331DB8B47}"/>
    <cellStyle name="60% - Accent6 2 5" xfId="1831" xr:uid="{76FBAEE7-FF3B-4B8F-BE76-9F0EC33497CC}"/>
    <cellStyle name="60% - Accent6 2 6" xfId="1832" xr:uid="{539137D4-60B2-406F-9EE3-F10295991172}"/>
    <cellStyle name="60% - Accent6 2 7" xfId="1833" xr:uid="{E28FBFF8-6C1E-4F5E-B000-3DEFF17FB169}"/>
    <cellStyle name="60% - Accent6 3" xfId="1834" xr:uid="{967BDFA3-0C13-4B8A-AD8F-85CBDDC15A21}"/>
    <cellStyle name="60% - Accent6 3 2" xfId="1835" xr:uid="{42BAC9CF-DD5D-42B9-871A-E2F0FD81A8A2}"/>
    <cellStyle name="60% - Accent6 3 3" xfId="1836" xr:uid="{77C29502-FC8E-41A7-BABA-454DBDED2C50}"/>
    <cellStyle name="60% - Accent6 3 4" xfId="1837" xr:uid="{79FCD3F2-6433-4D28-A811-C6A1ACA6E8B2}"/>
    <cellStyle name="60% - Accent6 3 5" xfId="1838" xr:uid="{23D4E5FF-D40D-4FEB-ADC9-A7F13B34A1FB}"/>
    <cellStyle name="60% - Accent6 3 6" xfId="1839" xr:uid="{A8BC6D34-CAD4-42BE-A423-BCC6148B4D96}"/>
    <cellStyle name="60% - Accent6 3 7" xfId="1840" xr:uid="{A63B1898-C74A-4EA1-B070-2D84538BDB70}"/>
    <cellStyle name="60% - Accent6 4" xfId="1841" xr:uid="{CED99180-6B6C-45E6-ADBA-687E99DB641F}"/>
    <cellStyle name="60% - Accent6 4 2" xfId="1842" xr:uid="{4A90047A-97B0-499E-BB5B-758C473C76C9}"/>
    <cellStyle name="60% - Accent6 4 3" xfId="1843" xr:uid="{68B52377-30C0-4F5E-AEE2-DB3F7FEE0603}"/>
    <cellStyle name="60% - Accent6 4 4" xfId="1844" xr:uid="{B94ED932-E723-4A38-B0DD-7D8571C428E3}"/>
    <cellStyle name="60% - Accent6 4 5" xfId="1845" xr:uid="{C7073B30-01A7-4516-B99C-9A318ADC8D95}"/>
    <cellStyle name="60% - Accent6 4 6" xfId="1846" xr:uid="{318DBDE5-8D80-4960-A19E-B74DF5D0205D}"/>
    <cellStyle name="60% - Accent6 4 7" xfId="1847" xr:uid="{8E9355F2-0958-4516-B4C1-D69BADDBD77B}"/>
    <cellStyle name="60% - Accent6 5" xfId="1848" xr:uid="{015AA417-FB4C-4977-8C5B-7F936E6BE3BA}"/>
    <cellStyle name="60% - Accent6 5 2" xfId="1849" xr:uid="{B6319B10-BB26-4C44-A8F8-EBE0A27E538F}"/>
    <cellStyle name="60% - Accent6 5 3" xfId="1850" xr:uid="{1B451116-EDF9-434E-AEA9-808A5A4D97BF}"/>
    <cellStyle name="60% - Accent6 5 4" xfId="1851" xr:uid="{953798ED-BDA2-4E81-B69C-0E446808456A}"/>
    <cellStyle name="60% - Accent6 5 5" xfId="1852" xr:uid="{25EE09BB-CB30-446D-AF67-9FDC9507D9D3}"/>
    <cellStyle name="60% - Accent6 5 6" xfId="1853" xr:uid="{A5D31F0C-70C3-4628-B966-23A860F15864}"/>
    <cellStyle name="60% - Accent6 5 7" xfId="1854" xr:uid="{1AA7BB1C-1E4B-47F2-94D0-A75C47E17C71}"/>
    <cellStyle name="60% - Accent6 6" xfId="1855" xr:uid="{9E71A462-4BED-457E-979F-3737F544FF06}"/>
    <cellStyle name="60% - Accent6 6 2" xfId="1856" xr:uid="{617C140E-F2D7-4A65-8095-D8F3431B315A}"/>
    <cellStyle name="60% - Accent6 6 3" xfId="1857" xr:uid="{4103CE16-E06F-4EDD-9971-DC95ED408E70}"/>
    <cellStyle name="60% - Accent6 6 4" xfId="1858" xr:uid="{A0161469-D6D7-438F-9460-A1C2E4DB42DD}"/>
    <cellStyle name="60% - Accent6 6 5" xfId="1859" xr:uid="{F9D48839-4B7B-4A3E-8D96-532AF7A7B404}"/>
    <cellStyle name="60% - Accent6 7" xfId="1860" xr:uid="{FE31A1D1-A536-459D-A83E-9989BD32E981}"/>
    <cellStyle name="60% - Accent6 7 2" xfId="1861" xr:uid="{640B0911-5D80-4E14-A9E1-DB21ABF4B7F9}"/>
    <cellStyle name="60% - Accent6 7 3" xfId="1862" xr:uid="{7A34CEA6-FB87-48F3-8887-251E8799B09F}"/>
    <cellStyle name="60% - Accent6 7 4" xfId="1863" xr:uid="{1212AE66-5339-4C3A-A44E-3788CA70C275}"/>
    <cellStyle name="60% - Accent6 7 5" xfId="1864" xr:uid="{92F20A6C-1F4A-425A-A8F8-6B170652611D}"/>
    <cellStyle name="60% - Accent6 8" xfId="1865" xr:uid="{44BB73F0-2C4A-4F38-9489-FBBFD38FAC74}"/>
    <cellStyle name="60% - Accent6 9" xfId="1866" xr:uid="{74EC239C-5C92-415D-89D0-34D53FBB554B}"/>
    <cellStyle name="Accent1 10" xfId="1867" xr:uid="{550E7DDD-C84B-44EC-9CFC-DF015A675B1E}"/>
    <cellStyle name="Accent1 11" xfId="1868" xr:uid="{F286B76B-3465-46F7-9137-68D49C50E4DA}"/>
    <cellStyle name="Accent1 2" xfId="1869" xr:uid="{1AB14AD3-9DB4-4B2E-94EA-24D5BE0D1B67}"/>
    <cellStyle name="Accent1 2 2" xfId="1870" xr:uid="{F794ED77-4B22-42DD-B7B0-DE317A37E568}"/>
    <cellStyle name="Accent1 2 3" xfId="1871" xr:uid="{C51D5A33-C46B-43AB-B459-BA7D75825673}"/>
    <cellStyle name="Accent1 2 4" xfId="1872" xr:uid="{B412FE04-014C-4484-8392-CB3D76C8CF9F}"/>
    <cellStyle name="Accent1 2 5" xfId="1873" xr:uid="{67C24557-7404-42A7-9D5D-C0C6E48287D6}"/>
    <cellStyle name="Accent1 2 6" xfId="1874" xr:uid="{F3EDA3C2-89C7-4A15-BE3A-F870EFB9FDB2}"/>
    <cellStyle name="Accent1 2 7" xfId="1875" xr:uid="{6E6CAB64-8AA1-4B44-8EF8-B60442CAC223}"/>
    <cellStyle name="Accent1 3" xfId="1876" xr:uid="{62B61E09-83E0-42E3-A13E-12D122BF3792}"/>
    <cellStyle name="Accent1 3 2" xfId="1877" xr:uid="{00AE347B-771A-416B-9C59-4DF76DF7B8C6}"/>
    <cellStyle name="Accent1 3 3" xfId="1878" xr:uid="{A45707CB-9D24-4EC2-898F-FB603B91646D}"/>
    <cellStyle name="Accent1 3 4" xfId="1879" xr:uid="{E5A57F55-B569-4DE4-A94D-D5AEEC9A7EB7}"/>
    <cellStyle name="Accent1 3 5" xfId="1880" xr:uid="{CA145B72-8305-499A-8EFC-E98E4AD0E58E}"/>
    <cellStyle name="Accent1 3 6" xfId="1881" xr:uid="{125A3666-9A8F-4544-8846-C99E2F2A7209}"/>
    <cellStyle name="Accent1 3 7" xfId="1882" xr:uid="{451127D2-9831-49AB-911C-2E6B2D844992}"/>
    <cellStyle name="Accent1 4" xfId="1883" xr:uid="{30762197-44BB-4C32-8AE3-DFD777622478}"/>
    <cellStyle name="Accent1 4 2" xfId="1884" xr:uid="{AFCC9518-16BD-415E-B314-6E7D2142F3EB}"/>
    <cellStyle name="Accent1 4 3" xfId="1885" xr:uid="{372252D5-E792-4647-A9E5-0C975C205A2E}"/>
    <cellStyle name="Accent1 4 4" xfId="1886" xr:uid="{5EEC187F-0393-4C22-8EA0-BEBF40C0D06F}"/>
    <cellStyle name="Accent1 4 5" xfId="1887" xr:uid="{FD88C7EA-5D83-40B2-A1DF-719D563FC360}"/>
    <cellStyle name="Accent1 4 6" xfId="1888" xr:uid="{078D3F7E-7594-48FC-90CF-1E8CCA6CE33A}"/>
    <cellStyle name="Accent1 4 7" xfId="1889" xr:uid="{4EB35236-A280-42C4-B5AC-D56FC0948A0F}"/>
    <cellStyle name="Accent1 5" xfId="1890" xr:uid="{926122D1-8F7E-44B7-AF11-00DFD6E4B6DA}"/>
    <cellStyle name="Accent1 5 2" xfId="1891" xr:uid="{BC29BFE1-D8C4-4ECF-BFC8-2669358E365E}"/>
    <cellStyle name="Accent1 5 3" xfId="1892" xr:uid="{5C71907A-6132-4307-902F-A13384455D2A}"/>
    <cellStyle name="Accent1 5 4" xfId="1893" xr:uid="{52C8B2C8-CFD2-4F71-8442-B5F64ADEA93D}"/>
    <cellStyle name="Accent1 5 5" xfId="1894" xr:uid="{35816945-80BD-40F2-A9B6-388DFB0352F5}"/>
    <cellStyle name="Accent1 5 6" xfId="1895" xr:uid="{4BCB6901-6E21-4384-BD72-C979FC4727D1}"/>
    <cellStyle name="Accent1 5 7" xfId="1896" xr:uid="{FCE0DB99-5FC2-4C9E-82BC-97D4EDD7222A}"/>
    <cellStyle name="Accent1 6" xfId="1897" xr:uid="{68ABE86F-4924-43E4-B3D6-C33D2F0F1C25}"/>
    <cellStyle name="Accent1 6 2" xfId="1898" xr:uid="{619B6C71-A7D7-4B8E-A221-F2DD224651FB}"/>
    <cellStyle name="Accent1 6 3" xfId="1899" xr:uid="{7568F7D5-470E-4CA8-9EBC-85E894F5F34E}"/>
    <cellStyle name="Accent1 6 4" xfId="1900" xr:uid="{B2DCC65D-FC87-4857-86C4-3AF06452C63B}"/>
    <cellStyle name="Accent1 6 5" xfId="1901" xr:uid="{DAAB5C70-C68A-49A1-BFDA-953089FFB7C7}"/>
    <cellStyle name="Accent1 7" xfId="1902" xr:uid="{064096C4-15DB-4596-97E5-F86DFFB3C72B}"/>
    <cellStyle name="Accent1 7 2" xfId="1903" xr:uid="{CBC582B3-B527-4500-AD49-47D626E3CDA1}"/>
    <cellStyle name="Accent1 7 3" xfId="1904" xr:uid="{E1512BFE-404D-412A-AD0D-264D8F410DF3}"/>
    <cellStyle name="Accent1 7 4" xfId="1905" xr:uid="{8C82D565-9F39-45DD-9408-85CF3A5EBA91}"/>
    <cellStyle name="Accent1 7 5" xfId="1906" xr:uid="{E5CA7AA3-1EDC-444A-A394-AF0F2AEAC7BA}"/>
    <cellStyle name="Accent1 8" xfId="1907" xr:uid="{F65B8E75-5D3A-4A94-843E-480A7125452C}"/>
    <cellStyle name="Accent1 9" xfId="1908" xr:uid="{BB7E7DA2-4D18-4246-A4ED-0995E1AAC480}"/>
    <cellStyle name="Accent2 10" xfId="1909" xr:uid="{C0DCCF24-7169-4FE6-91FD-CE60CB561BF5}"/>
    <cellStyle name="Accent2 11" xfId="1910" xr:uid="{57DE29F0-CCCB-49A3-8BFB-C0457F768CDC}"/>
    <cellStyle name="Accent2 2" xfId="1911" xr:uid="{F08FE3DD-A277-45B4-ABE3-F8CD7F0690DD}"/>
    <cellStyle name="Accent2 2 2" xfId="1912" xr:uid="{3E98BBAE-FDE1-4B1D-8226-7786E8E206F8}"/>
    <cellStyle name="Accent2 2 3" xfId="1913" xr:uid="{0F614E82-178E-4FC1-89DE-A16E47709143}"/>
    <cellStyle name="Accent2 2 4" xfId="1914" xr:uid="{F2DEACDD-57E8-41F8-9F8F-FBF8AD576FD6}"/>
    <cellStyle name="Accent2 2 5" xfId="1915" xr:uid="{93C3C302-D16F-45C9-B8B2-1816BECF436B}"/>
    <cellStyle name="Accent2 2 6" xfId="1916" xr:uid="{7AF671F8-2685-44C9-8C85-C88CF9AB7D92}"/>
    <cellStyle name="Accent2 2 7" xfId="1917" xr:uid="{60F7F290-90C4-4FA4-99D9-FE8376A7CC35}"/>
    <cellStyle name="Accent2 3" xfId="1918" xr:uid="{E41343C1-5085-4859-989B-4D96616A1F51}"/>
    <cellStyle name="Accent2 3 2" xfId="1919" xr:uid="{22A77CBE-35B7-4A38-93C0-FC66273BE84E}"/>
    <cellStyle name="Accent2 3 3" xfId="1920" xr:uid="{37A23BA5-8E7A-41D8-89D4-BC67129DDE0C}"/>
    <cellStyle name="Accent2 3 4" xfId="1921" xr:uid="{EEA532CA-93F8-488F-B3CC-FE9FFEFCE6D7}"/>
    <cellStyle name="Accent2 3 5" xfId="1922" xr:uid="{1CE3F988-8D74-4DEC-80A0-2212CE48D432}"/>
    <cellStyle name="Accent2 3 6" xfId="1923" xr:uid="{574EE229-FD99-4414-9C8B-9DE844BEA1A3}"/>
    <cellStyle name="Accent2 3 7" xfId="1924" xr:uid="{5EF55129-0344-4892-86E7-39404E7F593B}"/>
    <cellStyle name="Accent2 4" xfId="1925" xr:uid="{909AB43A-C604-4647-B6AD-73EADCC39FE2}"/>
    <cellStyle name="Accent2 4 2" xfId="1926" xr:uid="{B159F8D8-C237-47F1-8F7C-C0EE1D411BD1}"/>
    <cellStyle name="Accent2 4 3" xfId="1927" xr:uid="{7D8B2735-1F47-49BF-968A-4BE30A00096E}"/>
    <cellStyle name="Accent2 4 4" xfId="1928" xr:uid="{9702B4F5-9F40-4190-BDB2-BCB8406C9B25}"/>
    <cellStyle name="Accent2 4 5" xfId="1929" xr:uid="{34BF7707-95FD-4FEE-956A-4BBC5009DDC2}"/>
    <cellStyle name="Accent2 4 6" xfId="1930" xr:uid="{62C0E561-D8C7-418A-B9A7-12BADD35ED47}"/>
    <cellStyle name="Accent2 4 7" xfId="1931" xr:uid="{A8C49ED7-BD1B-4C9A-919D-BCE9E382D7D5}"/>
    <cellStyle name="Accent2 5" xfId="1932" xr:uid="{E845A62E-9FAD-4977-9D10-2814D4450973}"/>
    <cellStyle name="Accent2 5 2" xfId="1933" xr:uid="{50446A82-F0D9-4BCF-A8F6-FB9C93CDC8C3}"/>
    <cellStyle name="Accent2 5 3" xfId="1934" xr:uid="{09AE745D-C60A-41E8-933D-9B926FD7C132}"/>
    <cellStyle name="Accent2 5 4" xfId="1935" xr:uid="{8AD8E6B2-0EA0-43C7-8F3A-BEC556E0214B}"/>
    <cellStyle name="Accent2 5 5" xfId="1936" xr:uid="{BF5064EC-74EE-476C-BAAF-F544F5D2A0D5}"/>
    <cellStyle name="Accent2 5 6" xfId="1937" xr:uid="{CBF51007-6869-475F-97F2-2D084F89ACBE}"/>
    <cellStyle name="Accent2 5 7" xfId="1938" xr:uid="{1149CE6F-86FA-4BF1-A5B8-98352C3E4A95}"/>
    <cellStyle name="Accent2 6" xfId="1939" xr:uid="{6842052F-E4F5-488B-A7FE-C31CDB3F8168}"/>
    <cellStyle name="Accent2 6 2" xfId="1940" xr:uid="{6FB80BC2-BEDC-4F31-8610-8F450C508CA8}"/>
    <cellStyle name="Accent2 6 3" xfId="1941" xr:uid="{523A3E37-10EC-4BF2-A752-677CF46CF43E}"/>
    <cellStyle name="Accent2 6 4" xfId="1942" xr:uid="{DD8FC75A-C9E0-4919-AF73-D88BAE47BE31}"/>
    <cellStyle name="Accent2 6 5" xfId="1943" xr:uid="{6921B219-173E-4BAB-ADA3-1DE616463057}"/>
    <cellStyle name="Accent2 7" xfId="1944" xr:uid="{4503D956-5B90-4C76-B769-7FD437314A23}"/>
    <cellStyle name="Accent2 7 2" xfId="1945" xr:uid="{BA460031-C62C-4F1E-86E1-89B5D98FEDAB}"/>
    <cellStyle name="Accent2 7 3" xfId="1946" xr:uid="{D09BDF1A-054C-4556-86BC-7D559C3B19A2}"/>
    <cellStyle name="Accent2 7 4" xfId="1947" xr:uid="{A3F2399C-F8E0-41B0-9008-5D62338B5C9F}"/>
    <cellStyle name="Accent2 7 5" xfId="1948" xr:uid="{7889E2A1-7A28-4272-9839-4D304490CD24}"/>
    <cellStyle name="Accent2 8" xfId="1949" xr:uid="{3DE76B0D-CE78-4024-A2D7-3EF5B8C8885E}"/>
    <cellStyle name="Accent2 9" xfId="1950" xr:uid="{B07DCB47-193E-4D81-A7CC-A34C4D34B803}"/>
    <cellStyle name="Accent3 10" xfId="1951" xr:uid="{72F0087D-C85D-4216-8BFE-A232E8C528A0}"/>
    <cellStyle name="Accent3 11" xfId="1952" xr:uid="{B4A82407-8F91-42D9-B31D-9B56BC47D96F}"/>
    <cellStyle name="Accent3 2" xfId="1953" xr:uid="{57FD6597-6AA1-4E94-876A-3B37A351A3A0}"/>
    <cellStyle name="Accent3 2 2" xfId="1954" xr:uid="{2B7E475C-A725-4E8A-B2CB-E8AD602A6610}"/>
    <cellStyle name="Accent3 2 3" xfId="1955" xr:uid="{F62E45FD-172C-4500-BD52-6B7685D1FE0C}"/>
    <cellStyle name="Accent3 2 4" xfId="1956" xr:uid="{3BF436DA-BF1A-4929-823E-E9FFDCDDCA72}"/>
    <cellStyle name="Accent3 2 5" xfId="1957" xr:uid="{511A9511-0287-4CCC-958A-01C9F5E28A60}"/>
    <cellStyle name="Accent3 2 6" xfId="1958" xr:uid="{DA0071AE-02A4-42E3-BC50-468ED5E82949}"/>
    <cellStyle name="Accent3 2 7" xfId="1959" xr:uid="{B7646346-1D3A-4357-A879-A85F3133AD1E}"/>
    <cellStyle name="Accent3 3" xfId="1960" xr:uid="{F1D74E66-0E39-408D-9E33-ED8F631ACA83}"/>
    <cellStyle name="Accent3 3 2" xfId="1961" xr:uid="{CD4834D0-CFCE-48CF-B1CD-AD049BA27250}"/>
    <cellStyle name="Accent3 3 3" xfId="1962" xr:uid="{C3BF2477-C4C6-461C-91CD-FD48EF8B1489}"/>
    <cellStyle name="Accent3 3 4" xfId="1963" xr:uid="{F272EBF0-0B0F-4A76-B6F6-FAB63CAA3884}"/>
    <cellStyle name="Accent3 3 5" xfId="1964" xr:uid="{DF9429C8-2268-4ACE-9921-4AB603D834DF}"/>
    <cellStyle name="Accent3 3 6" xfId="1965" xr:uid="{3A6B7B9C-8359-4E85-8D93-0A400E4537E8}"/>
    <cellStyle name="Accent3 3 7" xfId="1966" xr:uid="{977037EC-4619-49D6-95F3-C2B4E9D730EE}"/>
    <cellStyle name="Accent3 4" xfId="1967" xr:uid="{9E356569-2A3F-4CB5-85FE-FD261966E436}"/>
    <cellStyle name="Accent3 4 2" xfId="1968" xr:uid="{48F899DF-C95A-4662-9D74-76D7ECF18E76}"/>
    <cellStyle name="Accent3 4 3" xfId="1969" xr:uid="{9861EC84-AF29-48A6-9457-0CDE35F8D47E}"/>
    <cellStyle name="Accent3 4 4" xfId="1970" xr:uid="{0C514EF8-DF10-4ACC-87A8-B87C843DACA8}"/>
    <cellStyle name="Accent3 4 5" xfId="1971" xr:uid="{CAB34B26-E91C-4659-890B-A278A77ED07B}"/>
    <cellStyle name="Accent3 4 6" xfId="1972" xr:uid="{5AFEE8AC-2BC8-4538-8D43-BCE87DAC108B}"/>
    <cellStyle name="Accent3 4 7" xfId="1973" xr:uid="{F238CEF8-8921-47CE-B744-9D9B436BE6A9}"/>
    <cellStyle name="Accent3 5" xfId="1974" xr:uid="{E8DC98F0-31EC-4B5D-9603-BB34F15B3E15}"/>
    <cellStyle name="Accent3 5 2" xfId="1975" xr:uid="{477B195A-B16D-408A-AB36-43DB14C89BAE}"/>
    <cellStyle name="Accent3 5 3" xfId="1976" xr:uid="{9276D0C5-9629-4F04-AC0C-3A8AE1832216}"/>
    <cellStyle name="Accent3 5 4" xfId="1977" xr:uid="{E0918B4D-EEB7-4C80-AC28-CEABE43C9722}"/>
    <cellStyle name="Accent3 5 5" xfId="1978" xr:uid="{2CB01252-ED07-406F-BBF3-52BE9DA79165}"/>
    <cellStyle name="Accent3 5 6" xfId="1979" xr:uid="{6578259D-F91F-4517-B4F6-1E88285FCDA3}"/>
    <cellStyle name="Accent3 5 7" xfId="1980" xr:uid="{1B77D8FF-BE5F-457E-9412-42FD883EE2CC}"/>
    <cellStyle name="Accent3 6" xfId="1981" xr:uid="{E4096E51-C2AD-4BC7-9882-5C2A9021412F}"/>
    <cellStyle name="Accent3 6 2" xfId="1982" xr:uid="{A9D4E8AB-1999-43C6-A307-0DBBD42C9211}"/>
    <cellStyle name="Accent3 6 3" xfId="1983" xr:uid="{13A51AFB-0A1C-4651-B790-BB10539CAF10}"/>
    <cellStyle name="Accent3 6 4" xfId="1984" xr:uid="{3BDD8153-7A33-4262-A464-9307CD999D77}"/>
    <cellStyle name="Accent3 6 5" xfId="1985" xr:uid="{B47B54E4-46BA-4B08-AD45-5627A1D544D8}"/>
    <cellStyle name="Accent3 7" xfId="1986" xr:uid="{8D1E5AF0-5E24-469F-A81C-2DABD4772019}"/>
    <cellStyle name="Accent3 7 2" xfId="1987" xr:uid="{D9DF6CF9-601F-4193-A23F-D5AC45AD2350}"/>
    <cellStyle name="Accent3 7 3" xfId="1988" xr:uid="{6BB61E32-9188-403A-AE38-BE8C5999D537}"/>
    <cellStyle name="Accent3 7 4" xfId="1989" xr:uid="{030A2A70-FC73-477A-A3D5-9800D9E66FAF}"/>
    <cellStyle name="Accent3 7 5" xfId="1990" xr:uid="{17A53058-1715-4A8C-9712-BFD673BF384D}"/>
    <cellStyle name="Accent3 8" xfId="1991" xr:uid="{3A23150A-D9DB-4AAE-9AFC-0D72F9925A75}"/>
    <cellStyle name="Accent3 9" xfId="1992" xr:uid="{8E4C7A6F-A3B5-44D3-81D0-9270CD2DD8A4}"/>
    <cellStyle name="Accent4 10" xfId="1993" xr:uid="{9BBF22C1-1F6D-41AC-9BCF-EB8C751F70FB}"/>
    <cellStyle name="Accent4 11" xfId="1994" xr:uid="{4F851359-605F-402E-8BC9-3BBEE23C84F3}"/>
    <cellStyle name="Accent4 2" xfId="1995" xr:uid="{C53518C6-CA28-46B8-A65E-1670D0004B12}"/>
    <cellStyle name="Accent4 2 2" xfId="1996" xr:uid="{61F68349-DD5B-46EC-A8E3-53AFC9056FC9}"/>
    <cellStyle name="Accent4 2 3" xfId="1997" xr:uid="{D15CF155-25C5-4239-B0DF-F5542AE1AD3A}"/>
    <cellStyle name="Accent4 2 4" xfId="1998" xr:uid="{66210A52-4B30-4168-B45B-C43A4F3BF67F}"/>
    <cellStyle name="Accent4 2 5" xfId="1999" xr:uid="{9263C671-6754-4216-A639-0B91B16D9B36}"/>
    <cellStyle name="Accent4 2 6" xfId="2000" xr:uid="{2F9D0199-2C2F-492B-AFB5-12F9971D75D2}"/>
    <cellStyle name="Accent4 2 7" xfId="2001" xr:uid="{D56F2416-F92A-4984-9A68-325A78B505B4}"/>
    <cellStyle name="Accent4 3" xfId="2002" xr:uid="{5148C88E-FED2-43F4-A6F2-BD075CAF4947}"/>
    <cellStyle name="Accent4 3 2" xfId="2003" xr:uid="{AAACBB77-F930-4339-A708-1531D23A2EB1}"/>
    <cellStyle name="Accent4 3 3" xfId="2004" xr:uid="{4A5BC722-25CA-4D39-9DEC-A315D172C7D1}"/>
    <cellStyle name="Accent4 3 4" xfId="2005" xr:uid="{B6260D5A-0827-4725-BAA4-50E3FED6E7A0}"/>
    <cellStyle name="Accent4 3 5" xfId="2006" xr:uid="{FFE4000E-9D4A-41E7-BB2B-F0099EF4CB2F}"/>
    <cellStyle name="Accent4 3 6" xfId="2007" xr:uid="{E962B841-0EE3-406E-87F0-312D8490B381}"/>
    <cellStyle name="Accent4 3 7" xfId="2008" xr:uid="{6658DC3D-63C1-46B6-B3F6-022AFF73A076}"/>
    <cellStyle name="Accent4 4" xfId="2009" xr:uid="{19D4103D-6AC5-4C91-89A6-1C4075B1B010}"/>
    <cellStyle name="Accent4 4 2" xfId="2010" xr:uid="{54D04B71-44B9-484E-A723-940DEA761DC0}"/>
    <cellStyle name="Accent4 4 3" xfId="2011" xr:uid="{51B4365A-530F-43E0-B490-4E3994B20726}"/>
    <cellStyle name="Accent4 4 4" xfId="2012" xr:uid="{AB2B4803-4800-4355-A3BC-A9A6211BB978}"/>
    <cellStyle name="Accent4 4 5" xfId="2013" xr:uid="{FDA3A004-5E84-485C-9EB0-BF0B99034A7E}"/>
    <cellStyle name="Accent4 4 6" xfId="2014" xr:uid="{D8D3444F-7432-4325-B5AF-C883AF48EB21}"/>
    <cellStyle name="Accent4 4 7" xfId="2015" xr:uid="{C2A1A6FE-FD43-48CD-A993-644C543D46D7}"/>
    <cellStyle name="Accent4 5" xfId="2016" xr:uid="{EFB4E20B-B981-43C4-9314-FA1EFBCB9E5C}"/>
    <cellStyle name="Accent4 5 2" xfId="2017" xr:uid="{EE9A612B-3181-471E-A2B3-74891D8D4409}"/>
    <cellStyle name="Accent4 5 3" xfId="2018" xr:uid="{5877AED3-D578-4488-8A46-1411E38ADD5F}"/>
    <cellStyle name="Accent4 5 4" xfId="2019" xr:uid="{B403322B-B74B-4C75-8190-4ECF16157058}"/>
    <cellStyle name="Accent4 5 5" xfId="2020" xr:uid="{D997AD77-5389-4BDF-BEF8-3C0E891CF0AB}"/>
    <cellStyle name="Accent4 5 6" xfId="2021" xr:uid="{05C6EC61-54A3-4C68-9A28-C40FAF33F2EE}"/>
    <cellStyle name="Accent4 5 7" xfId="2022" xr:uid="{F3782D7D-534D-49AA-8B15-B37C7F311509}"/>
    <cellStyle name="Accent4 6" xfId="2023" xr:uid="{27BDFDEF-956E-4FBC-B229-9CE959B75D19}"/>
    <cellStyle name="Accent4 6 2" xfId="2024" xr:uid="{310CFD53-92EF-4547-9375-67BF015E7102}"/>
    <cellStyle name="Accent4 6 3" xfId="2025" xr:uid="{8C93E8C1-3C38-4504-9AE1-6779FEBB4E85}"/>
    <cellStyle name="Accent4 6 4" xfId="2026" xr:uid="{72E1B01C-D9FB-45FC-A22E-CAC1D545D7CD}"/>
    <cellStyle name="Accent4 6 5" xfId="2027" xr:uid="{435CB336-9C7C-4E69-9EE1-FC0A75C7AAD7}"/>
    <cellStyle name="Accent4 7" xfId="2028" xr:uid="{15CF6682-68E0-44E2-AF3C-672D9430A16C}"/>
    <cellStyle name="Accent4 7 2" xfId="2029" xr:uid="{15132CDA-3312-4EA1-87F9-974F1859606D}"/>
    <cellStyle name="Accent4 7 3" xfId="2030" xr:uid="{8CD93692-3B3B-47FE-868E-1341FD857A56}"/>
    <cellStyle name="Accent4 7 4" xfId="2031" xr:uid="{6C1A1820-A5DF-420A-887E-A069A73DC8C9}"/>
    <cellStyle name="Accent4 7 5" xfId="2032" xr:uid="{F55029D4-A9C1-4C23-8A86-7DC86574DFD4}"/>
    <cellStyle name="Accent4 8" xfId="2033" xr:uid="{6422B42C-F32E-4434-9710-219BC5273F41}"/>
    <cellStyle name="Accent4 9" xfId="2034" xr:uid="{4109FCEF-13AB-42E9-96CB-192C30198B4D}"/>
    <cellStyle name="Accent5 10" xfId="2035" xr:uid="{BE88FEA1-25CB-468F-9D96-A0BA9B32F6A4}"/>
    <cellStyle name="Accent5 11" xfId="2036" xr:uid="{7753FFC0-D585-4CE4-BF65-1C394E03C594}"/>
    <cellStyle name="Accent5 2" xfId="2037" xr:uid="{409D31E0-F83D-4D56-9D9B-9F32A403A13B}"/>
    <cellStyle name="Accent5 2 2" xfId="2038" xr:uid="{437E1182-371E-42EB-8AF4-E99BC6DA17E4}"/>
    <cellStyle name="Accent5 2 3" xfId="2039" xr:uid="{6DFD216F-9C13-4748-91B7-621F70ABAECD}"/>
    <cellStyle name="Accent5 2 4" xfId="2040" xr:uid="{A7370CD4-B320-447A-A234-ECCED9D0C38E}"/>
    <cellStyle name="Accent5 2 5" xfId="2041" xr:uid="{6734A3C0-9F70-4654-9EF4-84C9FA6CB298}"/>
    <cellStyle name="Accent5 2 6" xfId="2042" xr:uid="{B13A36F7-CEBE-42D1-A50B-6A74E143D1CA}"/>
    <cellStyle name="Accent5 2 7" xfId="2043" xr:uid="{4BF530BC-A186-405A-8A27-8E3A76F37BDE}"/>
    <cellStyle name="Accent5 3" xfId="2044" xr:uid="{090309AE-9444-4EF4-A8E8-F24BD631AAC9}"/>
    <cellStyle name="Accent5 3 2" xfId="2045" xr:uid="{29B689B7-8DA5-48CC-B527-CFF025523E67}"/>
    <cellStyle name="Accent5 3 3" xfId="2046" xr:uid="{4DD9603D-76CD-47DD-8F2E-B8DA76A8992C}"/>
    <cellStyle name="Accent5 3 4" xfId="2047" xr:uid="{F2ED8766-EEB4-4FA1-80E6-B961018C0E44}"/>
    <cellStyle name="Accent5 3 5" xfId="2048" xr:uid="{3D46F0D7-BBBA-4C59-8753-CBE09DFE877F}"/>
    <cellStyle name="Accent5 3 6" xfId="2049" xr:uid="{A5EED644-3A9E-4C42-AC61-4C3B782F503F}"/>
    <cellStyle name="Accent5 3 7" xfId="2050" xr:uid="{572F3AFB-C6AF-46CD-A69C-159C1A16FD32}"/>
    <cellStyle name="Accent5 4" xfId="2051" xr:uid="{AA01FCC3-1DED-44FB-B725-4EF7C05628B3}"/>
    <cellStyle name="Accent5 4 2" xfId="2052" xr:uid="{F964FAAD-F2E6-41BD-ADD6-8023B21254BE}"/>
    <cellStyle name="Accent5 4 3" xfId="2053" xr:uid="{E008D474-F3D7-486F-B0A7-74F48294A952}"/>
    <cellStyle name="Accent5 4 4" xfId="2054" xr:uid="{EFDE553B-AAD0-4749-975F-933E0EBEA39F}"/>
    <cellStyle name="Accent5 4 5" xfId="2055" xr:uid="{63B88F6E-F5A9-4EB2-B901-EBB7D89B1328}"/>
    <cellStyle name="Accent5 4 6" xfId="2056" xr:uid="{1D55FAEA-FCB9-47C5-86F3-7401D9022FBD}"/>
    <cellStyle name="Accent5 4 7" xfId="2057" xr:uid="{256A586D-9E68-4FFF-A1C5-59A600B79EE2}"/>
    <cellStyle name="Accent5 5" xfId="2058" xr:uid="{DBC4C257-A544-402A-A54E-807432A1508C}"/>
    <cellStyle name="Accent5 5 2" xfId="2059" xr:uid="{94FFFF2D-5277-4B83-B94C-43C92F9F9ACA}"/>
    <cellStyle name="Accent5 5 3" xfId="2060" xr:uid="{079A89C2-A42D-4FFB-913D-480A57D3E694}"/>
    <cellStyle name="Accent5 5 4" xfId="2061" xr:uid="{20C3E761-E15C-479B-8F91-D7231ABFB4A1}"/>
    <cellStyle name="Accent5 5 5" xfId="2062" xr:uid="{7FE4BB7B-2597-4FBA-AE03-FE8832F9F6F8}"/>
    <cellStyle name="Accent5 5 6" xfId="2063" xr:uid="{C493DE15-64F6-4FF9-9DE5-2D50DE3BA7F3}"/>
    <cellStyle name="Accent5 5 7" xfId="2064" xr:uid="{A5CB58BC-3F2A-465C-9AB9-3B0D8910D94C}"/>
    <cellStyle name="Accent5 6" xfId="2065" xr:uid="{3675A523-E7C0-496B-9629-973FD27012C2}"/>
    <cellStyle name="Accent5 6 2" xfId="2066" xr:uid="{CAE84E56-E6C2-452C-B01E-2D25766C1815}"/>
    <cellStyle name="Accent5 6 3" xfId="2067" xr:uid="{86DA4F6D-594D-4CD1-8D5C-6A3DD984B1C3}"/>
    <cellStyle name="Accent5 6 4" xfId="2068" xr:uid="{A184909C-73F5-454C-AA62-77EAF93CD8D8}"/>
    <cellStyle name="Accent5 6 5" xfId="2069" xr:uid="{75DADE16-396B-4F46-862D-45AF5BBA4901}"/>
    <cellStyle name="Accent5 7" xfId="2070" xr:uid="{45906536-4F4E-4FC1-B9C1-738E93DB09AE}"/>
    <cellStyle name="Accent5 7 2" xfId="2071" xr:uid="{7C09AFD2-2B82-447A-8686-CAF7C7C17EB3}"/>
    <cellStyle name="Accent5 7 3" xfId="2072" xr:uid="{CC27C962-D385-4505-9AED-8BA6495E5E7C}"/>
    <cellStyle name="Accent5 7 4" xfId="2073" xr:uid="{3ABE815B-EA2E-43B4-B18E-B47234161FA4}"/>
    <cellStyle name="Accent5 7 5" xfId="2074" xr:uid="{5E3D2D32-8DC2-4B63-97D5-DAE08AA3D35E}"/>
    <cellStyle name="Accent5 8" xfId="2075" xr:uid="{45A87AB8-F7B8-4015-B5E9-8F4280F90125}"/>
    <cellStyle name="Accent5 9" xfId="2076" xr:uid="{46A52DD7-30FE-445A-955C-6036B82B64C6}"/>
    <cellStyle name="Accent6 10" xfId="2077" xr:uid="{57929D44-D75D-4807-86DF-E007AE92E307}"/>
    <cellStyle name="Accent6 11" xfId="2078" xr:uid="{68B96AAA-398C-487A-800E-CFC59DF822ED}"/>
    <cellStyle name="Accent6 2" xfId="2079" xr:uid="{4147C8F2-D4F5-48F3-AC75-A7C2E119AD59}"/>
    <cellStyle name="Accent6 2 2" xfId="2080" xr:uid="{A338A639-8238-4862-823C-7049229140AD}"/>
    <cellStyle name="Accent6 2 3" xfId="2081" xr:uid="{67C88189-9F2D-4C07-91E5-E5E8866B7C04}"/>
    <cellStyle name="Accent6 2 4" xfId="2082" xr:uid="{D47AADA6-1877-4B78-9FD4-0D37186370BD}"/>
    <cellStyle name="Accent6 2 5" xfId="2083" xr:uid="{22B82146-D3A8-4275-99FC-98EB2976314F}"/>
    <cellStyle name="Accent6 2 6" xfId="2084" xr:uid="{E2B42D10-356C-4097-87CB-2D1E21CCE859}"/>
    <cellStyle name="Accent6 2 7" xfId="2085" xr:uid="{1959B95D-443A-4E95-9B52-795D46A94196}"/>
    <cellStyle name="Accent6 3" xfId="2086" xr:uid="{7C2B1AAD-F005-4B4F-852A-8637BDDAF565}"/>
    <cellStyle name="Accent6 3 2" xfId="2087" xr:uid="{80B5E31B-6120-4E8F-97B0-E2EDEE4DB4C6}"/>
    <cellStyle name="Accent6 3 3" xfId="2088" xr:uid="{A4DB6BA5-C101-46CF-AB3E-09BDE76A5D94}"/>
    <cellStyle name="Accent6 3 4" xfId="2089" xr:uid="{758802FF-B04D-4781-9FAE-8BDFB0737B0C}"/>
    <cellStyle name="Accent6 3 5" xfId="2090" xr:uid="{632AFDB6-4C62-420C-BF0D-519AD11CD2B8}"/>
    <cellStyle name="Accent6 3 6" xfId="2091" xr:uid="{A661DD0D-E6A4-4B05-A00F-7E08164CF6D0}"/>
    <cellStyle name="Accent6 3 7" xfId="2092" xr:uid="{F5849E23-DC2A-40CF-9C39-76F4151BBC75}"/>
    <cellStyle name="Accent6 4" xfId="2093" xr:uid="{EFFC6C64-1AAE-4B53-9076-C2AA4686D57D}"/>
    <cellStyle name="Accent6 4 2" xfId="2094" xr:uid="{BF78F1FB-01C0-4F45-941C-E408C8C99FD0}"/>
    <cellStyle name="Accent6 4 3" xfId="2095" xr:uid="{40C6EC09-A249-4651-ABA2-F52C73B6F17B}"/>
    <cellStyle name="Accent6 4 4" xfId="2096" xr:uid="{C3286631-A69E-4A99-A37E-858C3C118F6A}"/>
    <cellStyle name="Accent6 4 5" xfId="2097" xr:uid="{4F66DE91-7B49-4799-B3CA-9177D5FC3074}"/>
    <cellStyle name="Accent6 4 6" xfId="2098" xr:uid="{7909FC98-64C2-4EA7-ACDA-CB37A8AE46C7}"/>
    <cellStyle name="Accent6 4 7" xfId="2099" xr:uid="{2A5313B9-2B67-4C98-B5F1-B627E2BE4D1D}"/>
    <cellStyle name="Accent6 5" xfId="2100" xr:uid="{2F73DEA8-2604-4799-86C1-D84EFA5250F4}"/>
    <cellStyle name="Accent6 5 2" xfId="2101" xr:uid="{6CB2C192-617F-413E-B1CD-6FAA1FB6E5E9}"/>
    <cellStyle name="Accent6 5 3" xfId="2102" xr:uid="{713E6BF6-8D00-407E-A78B-474FF8AE7150}"/>
    <cellStyle name="Accent6 5 4" xfId="2103" xr:uid="{A8E7DA18-6555-4EB7-9A5D-4DAC1A252FEE}"/>
    <cellStyle name="Accent6 5 5" xfId="2104" xr:uid="{AAA8F6A0-8405-4488-A799-94702BDC61BC}"/>
    <cellStyle name="Accent6 5 6" xfId="2105" xr:uid="{5AC69A4D-2541-40C7-9676-421601332DE2}"/>
    <cellStyle name="Accent6 5 7" xfId="2106" xr:uid="{0A3F243D-24A4-45E3-B339-6EAEAE9702DD}"/>
    <cellStyle name="Accent6 6" xfId="2107" xr:uid="{2E1B7790-D6DC-4561-8C56-543D068F9F57}"/>
    <cellStyle name="Accent6 6 2" xfId="2108" xr:uid="{A2A5600C-67C5-45B5-8C30-23E050E85751}"/>
    <cellStyle name="Accent6 6 3" xfId="2109" xr:uid="{CE0DF527-9702-4166-8105-782A5785237E}"/>
    <cellStyle name="Accent6 6 4" xfId="2110" xr:uid="{BD3B4945-D606-4236-857A-C0D13D858A5C}"/>
    <cellStyle name="Accent6 6 5" xfId="2111" xr:uid="{BCFE79F8-0FEB-4639-BE8A-C0EF523753F8}"/>
    <cellStyle name="Accent6 7" xfId="2112" xr:uid="{F3DD5E15-AA75-43EC-A132-1090F92AC91D}"/>
    <cellStyle name="Accent6 7 2" xfId="2113" xr:uid="{DDBB8561-CA83-4975-8D70-94868113F7AE}"/>
    <cellStyle name="Accent6 7 3" xfId="2114" xr:uid="{5AA47F65-47EA-401D-9358-9A14015416F9}"/>
    <cellStyle name="Accent6 7 4" xfId="2115" xr:uid="{4D21E4C6-D5D2-46D6-955F-0859BB392A7E}"/>
    <cellStyle name="Accent6 7 5" xfId="2116" xr:uid="{D8531766-0E3C-46B0-868F-1642D27C9345}"/>
    <cellStyle name="Accent6 8" xfId="2117" xr:uid="{AF5DBCA1-2FB4-4F06-B7AE-179546EA8FF2}"/>
    <cellStyle name="Accent6 9" xfId="2118" xr:uid="{93605285-08D1-47E0-9406-7678EF6A6A7F}"/>
    <cellStyle name="Annuity Factor" xfId="2119" xr:uid="{5E6E988F-3BC2-47BD-A5E9-D18DE9DCE416}"/>
    <cellStyle name="Bad 10" xfId="2120" xr:uid="{22E22F12-C5F2-48C7-B019-94BE5549767D}"/>
    <cellStyle name="Bad 11" xfId="2121" xr:uid="{B2AA7235-0384-4BEF-96D1-B075AFA7AD71}"/>
    <cellStyle name="Bad 2" xfId="2122" xr:uid="{7D95AF67-6087-4770-BA79-96F3390B87D9}"/>
    <cellStyle name="Bad 2 2" xfId="2123" xr:uid="{1EEEA8EF-2E83-4659-A335-A542FE93C913}"/>
    <cellStyle name="Bad 2 3" xfId="2124" xr:uid="{7B2A0A1C-D44C-4538-B4B9-DDAC1E594F8D}"/>
    <cellStyle name="Bad 2 4" xfId="2125" xr:uid="{CF7DB08D-8FA4-411E-8E51-F3027669099D}"/>
    <cellStyle name="Bad 2 5" xfId="2126" xr:uid="{4602B216-731F-47DA-8867-66DA266398E8}"/>
    <cellStyle name="Bad 2 6" xfId="2127" xr:uid="{A6792EE0-940F-4EAF-8AE2-9C48F0314B00}"/>
    <cellStyle name="Bad 2 7" xfId="2128" xr:uid="{CF562C53-7CD0-4AB2-B84A-7E9EE1EE6119}"/>
    <cellStyle name="Bad 3" xfId="2129" xr:uid="{3D5E0C27-7CB0-4546-B981-AACBBEA05AEA}"/>
    <cellStyle name="Bad 3 2" xfId="2130" xr:uid="{DC3C4E23-D12B-4E37-A924-008301A811D8}"/>
    <cellStyle name="Bad 3 3" xfId="2131" xr:uid="{12CD0664-113F-453D-A2D1-3CB53ECBF4CF}"/>
    <cellStyle name="Bad 3 4" xfId="2132" xr:uid="{5E0C8733-680B-4748-9808-6BFB7CA05F55}"/>
    <cellStyle name="Bad 3 5" xfId="2133" xr:uid="{0682A09B-234E-46B3-AA53-16D489B6A9BF}"/>
    <cellStyle name="Bad 3 6" xfId="2134" xr:uid="{C6A61B0D-FDF9-4851-B99C-A38AFAB078F8}"/>
    <cellStyle name="Bad 3 7" xfId="2135" xr:uid="{B9237CD2-0F5A-4FC3-A672-07C62F38636C}"/>
    <cellStyle name="Bad 4" xfId="2136" xr:uid="{EA095A4A-0D5A-4E8D-8E2E-FDA0BAE8E706}"/>
    <cellStyle name="Bad 4 2" xfId="2137" xr:uid="{94C4E211-153B-451A-BB2D-1902E12E7889}"/>
    <cellStyle name="Bad 4 3" xfId="2138" xr:uid="{2AB52455-F15C-4790-92D8-7EF1C51F5DD6}"/>
    <cellStyle name="Bad 4 4" xfId="2139" xr:uid="{2DF4D4DB-727D-41D2-84F6-5D6520FFD737}"/>
    <cellStyle name="Bad 4 5" xfId="2140" xr:uid="{1CF28079-59AD-4322-BBB3-E39DC0F8C751}"/>
    <cellStyle name="Bad 4 6" xfId="2141" xr:uid="{0E5DD390-2698-4DFF-A459-AC5DA41979A9}"/>
    <cellStyle name="Bad 4 7" xfId="2142" xr:uid="{FDBF928F-5097-4013-A15F-19414B9DEEB9}"/>
    <cellStyle name="Bad 5" xfId="2143" xr:uid="{F4EB17D8-C8B6-4270-A43B-2FE8FCCEC977}"/>
    <cellStyle name="Bad 5 2" xfId="2144" xr:uid="{66335EDF-035D-4DFB-812A-6E608CCC7833}"/>
    <cellStyle name="Bad 5 3" xfId="2145" xr:uid="{C8531C47-0CBD-4E66-8802-5943A4924BB6}"/>
    <cellStyle name="Bad 5 4" xfId="2146" xr:uid="{DA34F115-AA75-487E-98BE-1C00FEC15EB7}"/>
    <cellStyle name="Bad 5 5" xfId="2147" xr:uid="{6C895B87-9565-4014-B3E4-A5FAE892AA4D}"/>
    <cellStyle name="Bad 5 6" xfId="2148" xr:uid="{C54C23B8-E6DD-4684-9085-1B1023EC24F7}"/>
    <cellStyle name="Bad 5 7" xfId="2149" xr:uid="{AF8EDE74-8125-464E-85BD-5038F51730FD}"/>
    <cellStyle name="Bad 6" xfId="2150" xr:uid="{7B271F9A-16E5-409F-B276-F7658FD10997}"/>
    <cellStyle name="Bad 6 2" xfId="2151" xr:uid="{D9FE054E-6342-40FF-8F62-F907196444FC}"/>
    <cellStyle name="Bad 6 3" xfId="2152" xr:uid="{837D5B2B-5656-4F2B-A9C4-D0E86C42C585}"/>
    <cellStyle name="Bad 6 4" xfId="2153" xr:uid="{BA7B663E-6589-4EDE-A109-1527156DB5B6}"/>
    <cellStyle name="Bad 6 5" xfId="2154" xr:uid="{271BE2FE-0BB5-4D9B-832A-4C6FCE9A3E10}"/>
    <cellStyle name="Bad 7" xfId="2155" xr:uid="{76ECE456-ED61-4ECA-9240-873344CBC11A}"/>
    <cellStyle name="Bad 7 2" xfId="2156" xr:uid="{1BA0B98A-1597-4860-B03D-C52CB3911CA3}"/>
    <cellStyle name="Bad 7 3" xfId="2157" xr:uid="{6A3BD30B-0E98-45B0-A08F-AA61B66FD3F1}"/>
    <cellStyle name="Bad 7 4" xfId="2158" xr:uid="{16E8043B-B922-4CD6-8132-EE62DBDD4847}"/>
    <cellStyle name="Bad 7 5" xfId="2159" xr:uid="{2C4A78E5-92CA-43F9-B1DC-4AB8B432B2A9}"/>
    <cellStyle name="Bad 8" xfId="2160" xr:uid="{BF4F63AB-12E8-4B4C-827F-1BEDD68962E7}"/>
    <cellStyle name="Bad 9" xfId="2161" xr:uid="{330B25EE-DF62-4E9B-BBC5-08943C3DBFCC}"/>
    <cellStyle name="Calculation 10" xfId="2162" xr:uid="{FC837C50-D447-4036-B50C-2A581CDC4999}"/>
    <cellStyle name="Calculation 11" xfId="2163" xr:uid="{03C48C52-28CC-47F3-8C1A-D1C54168FD7E}"/>
    <cellStyle name="Calculation 2" xfId="2164" xr:uid="{663B84FF-91FF-4256-9807-A5958650C393}"/>
    <cellStyle name="Calculation 2 2" xfId="2165" xr:uid="{87267708-64B3-42A8-A6D1-BBD0B2B3DAD7}"/>
    <cellStyle name="Calculation 2 3" xfId="2166" xr:uid="{91EBF820-3AA8-49F9-82FC-D678D3A7A4AB}"/>
    <cellStyle name="Calculation 2 4" xfId="2167" xr:uid="{0F4C4E32-6383-4FB5-9D38-F82ED21869CC}"/>
    <cellStyle name="Calculation 2 5" xfId="2168" xr:uid="{1CEAB332-8CC8-4BE8-A074-CA2C40D8591D}"/>
    <cellStyle name="Calculation 2 6" xfId="2169" xr:uid="{53120963-9A65-4BDB-9E01-347AA13A2A0A}"/>
    <cellStyle name="Calculation 2 7" xfId="2170" xr:uid="{4A150B34-61B3-44CC-97B3-B5466BC85A36}"/>
    <cellStyle name="Calculation 3" xfId="2171" xr:uid="{8C66FC1B-78B1-45BA-85EC-80D79C1B817B}"/>
    <cellStyle name="Calculation 3 2" xfId="2172" xr:uid="{3C8BDFCD-3271-4AB6-942D-FC7333BA4920}"/>
    <cellStyle name="Calculation 3 3" xfId="2173" xr:uid="{DDD9CFAB-8613-44CE-BAA8-C05D3599EAA1}"/>
    <cellStyle name="Calculation 3 4" xfId="2174" xr:uid="{A0DDB27E-383D-4F68-A7AB-56415919EBDC}"/>
    <cellStyle name="Calculation 3 5" xfId="2175" xr:uid="{20D889E5-1791-4AF6-98B3-6ECCCB5A6081}"/>
    <cellStyle name="Calculation 3 6" xfId="2176" xr:uid="{711B9D15-B969-43F1-B02A-FB8FF48B76F6}"/>
    <cellStyle name="Calculation 3 7" xfId="2177" xr:uid="{544E1305-6CA0-41EB-816F-970739FF57DF}"/>
    <cellStyle name="Calculation 4" xfId="2178" xr:uid="{A4534983-72F2-4A02-A540-E63B59993FE6}"/>
    <cellStyle name="Calculation 4 2" xfId="2179" xr:uid="{00A8CBF7-CFED-4553-ACE6-0E3D2B73C063}"/>
    <cellStyle name="Calculation 4 3" xfId="2180" xr:uid="{3E7E9B89-BC1A-467C-96DA-D86150AE04BE}"/>
    <cellStyle name="Calculation 4 4" xfId="2181" xr:uid="{2FB2BB34-4477-4CC4-BDFF-359769A29D28}"/>
    <cellStyle name="Calculation 4 5" xfId="2182" xr:uid="{A98FE253-C5DC-479E-BA8B-584AE24D30B1}"/>
    <cellStyle name="Calculation 4 6" xfId="2183" xr:uid="{505D5C07-A523-420F-A77F-8DCE3F91A3B9}"/>
    <cellStyle name="Calculation 4 7" xfId="2184" xr:uid="{3C120493-F266-4839-AF69-1946C73E9AB6}"/>
    <cellStyle name="Calculation 5" xfId="2185" xr:uid="{3893616C-6843-422D-9B02-5433B74F644F}"/>
    <cellStyle name="Calculation 5 2" xfId="2186" xr:uid="{6C47378D-A9DF-4E3F-8D67-D4D5136F5D20}"/>
    <cellStyle name="Calculation 5 3" xfId="2187" xr:uid="{8C5A536A-92A8-4CA1-9787-FCE6C05C3CAD}"/>
    <cellStyle name="Calculation 5 4" xfId="2188" xr:uid="{518E6203-CA92-480B-9421-F470C861D1AB}"/>
    <cellStyle name="Calculation 5 5" xfId="2189" xr:uid="{0C9636FC-71AD-4F99-94EE-A22DF9EC9486}"/>
    <cellStyle name="Calculation 5 6" xfId="2190" xr:uid="{1502D84D-014A-41B7-8A0E-3184CB171E52}"/>
    <cellStyle name="Calculation 5 7" xfId="2191" xr:uid="{1796F20E-F014-4239-96A8-637BF654717E}"/>
    <cellStyle name="Calculation 6" xfId="2192" xr:uid="{87C323C1-EC44-4661-A70D-60B05F620A32}"/>
    <cellStyle name="Calculation 6 2" xfId="2193" xr:uid="{4241B9C0-3AF5-4CDC-A576-EFC40948606D}"/>
    <cellStyle name="Calculation 6 3" xfId="2194" xr:uid="{0ABDCECE-C0C4-4B34-8F5E-87B788E13F49}"/>
    <cellStyle name="Calculation 6 4" xfId="2195" xr:uid="{CB9E7E17-4063-4E34-8CAF-8F728AEB70AB}"/>
    <cellStyle name="Calculation 6 5" xfId="2196" xr:uid="{DC1344C2-C848-4EA1-B6F4-31B09C39977C}"/>
    <cellStyle name="Calculation 7" xfId="2197" xr:uid="{750A7F83-E37B-4349-8F9E-3B0686555995}"/>
    <cellStyle name="Calculation 7 2" xfId="2198" xr:uid="{BA28E5C7-12A7-4A2F-B0E7-D4823A051894}"/>
    <cellStyle name="Calculation 7 3" xfId="2199" xr:uid="{43AE08D2-4ADB-4B57-AE7D-E7FD60D1DF23}"/>
    <cellStyle name="Calculation 7 4" xfId="2200" xr:uid="{BAD36843-0CD6-4DE6-91C6-C79743CF2595}"/>
    <cellStyle name="Calculation 7 5" xfId="2201" xr:uid="{64D8E2B7-5F2A-43C7-9B39-723ADD4A1A4B}"/>
    <cellStyle name="Calculation 8" xfId="2202" xr:uid="{C3F63996-DB65-42C4-AC5F-357527927916}"/>
    <cellStyle name="Calculation 9" xfId="2203" xr:uid="{87A0959F-DF9E-4C7E-92E3-AECB9269868E}"/>
    <cellStyle name="Check Cell 10" xfId="2204" xr:uid="{71ADE85D-55B8-4F1B-BA2E-73CFD84D4602}"/>
    <cellStyle name="Check Cell 11" xfId="2205" xr:uid="{8D8E30B9-EEB7-485B-B794-0ED2BCFFF8F8}"/>
    <cellStyle name="Check Cell 2" xfId="2206" xr:uid="{4CB3235E-BE68-4685-BDD8-46F2EFA02A46}"/>
    <cellStyle name="Check Cell 2 2" xfId="2207" xr:uid="{BA8842C5-4EAA-4EC3-B889-685283BA4C8D}"/>
    <cellStyle name="Check Cell 2 3" xfId="2208" xr:uid="{655F054C-BB89-4926-BA62-24BC18EBE406}"/>
    <cellStyle name="Check Cell 2 4" xfId="2209" xr:uid="{9D145CE0-C5FB-45A8-B8BB-6E7D4BA80982}"/>
    <cellStyle name="Check Cell 2 5" xfId="2210" xr:uid="{2C300831-A488-4216-AF7B-E2ABC7417E7A}"/>
    <cellStyle name="Check Cell 2 6" xfId="2211" xr:uid="{A77A7CE3-E771-4F18-A26D-520F93A394E4}"/>
    <cellStyle name="Check Cell 2 7" xfId="2212" xr:uid="{2EBB0778-89D3-4E8E-8800-A90B44AC6A51}"/>
    <cellStyle name="Check Cell 3" xfId="2213" xr:uid="{1487D578-D375-47CF-900B-489941CCF2E3}"/>
    <cellStyle name="Check Cell 3 2" xfId="2214" xr:uid="{0A76A04B-BC14-4151-A0E4-36948F2B38FF}"/>
    <cellStyle name="Check Cell 3 3" xfId="2215" xr:uid="{9B07BD5B-6004-4C29-BC51-E148D48D7D0A}"/>
    <cellStyle name="Check Cell 3 4" xfId="2216" xr:uid="{148A7957-1761-4774-B5B0-5B2560D9F9DE}"/>
    <cellStyle name="Check Cell 3 5" xfId="2217" xr:uid="{B7B36774-2E43-475D-B83D-7D4A2B640F68}"/>
    <cellStyle name="Check Cell 3 6" xfId="2218" xr:uid="{E6D6D742-F0D8-4518-BCB1-BE62E3380F34}"/>
    <cellStyle name="Check Cell 3 7" xfId="2219" xr:uid="{A0DE64DA-8A07-4ADD-8066-FC370293B95A}"/>
    <cellStyle name="Check Cell 4" xfId="2220" xr:uid="{3837481F-D77C-47DA-940E-F3A2DD755162}"/>
    <cellStyle name="Check Cell 4 2" xfId="2221" xr:uid="{0D02A80B-48D5-498E-8DB2-F875930F3952}"/>
    <cellStyle name="Check Cell 4 3" xfId="2222" xr:uid="{95FEEE74-C616-4E94-AB1C-3FD89C2F0C36}"/>
    <cellStyle name="Check Cell 4 4" xfId="2223" xr:uid="{3B3664CF-8778-4876-BDB6-0ED7F8B2CCD2}"/>
    <cellStyle name="Check Cell 4 5" xfId="2224" xr:uid="{65789450-F7C8-4CE1-B998-3BEE6E0FE686}"/>
    <cellStyle name="Check Cell 4 6" xfId="2225" xr:uid="{B1091772-ACF3-4CA8-9F4E-14EDC39C21A5}"/>
    <cellStyle name="Check Cell 4 7" xfId="2226" xr:uid="{3A97BAF9-041C-4E1E-B2F8-C7EC0A278433}"/>
    <cellStyle name="Check Cell 5" xfId="2227" xr:uid="{F4BA8649-6D1A-40BC-9DA0-D014EF0BD765}"/>
    <cellStyle name="Check Cell 5 2" xfId="2228" xr:uid="{C58E1324-A6E9-473A-B183-1CDF21876083}"/>
    <cellStyle name="Check Cell 5 3" xfId="2229" xr:uid="{0E7F4737-87B0-40A8-9630-721DF02E4B3A}"/>
    <cellStyle name="Check Cell 5 4" xfId="2230" xr:uid="{705B2E0A-94A8-4F8A-996F-D450DD502D43}"/>
    <cellStyle name="Check Cell 5 5" xfId="2231" xr:uid="{2445822A-2E41-4DF0-A86D-A30CB6E98CF0}"/>
    <cellStyle name="Check Cell 5 6" xfId="2232" xr:uid="{C02A31BA-3C91-467B-AFDB-79632F260700}"/>
    <cellStyle name="Check Cell 5 7" xfId="2233" xr:uid="{8F65EF97-FD42-4EF4-A2F5-81EA25799B1B}"/>
    <cellStyle name="Check Cell 6" xfId="2234" xr:uid="{52F23EDC-9D79-48A3-9B92-087A8B5989A2}"/>
    <cellStyle name="Check Cell 6 2" xfId="2235" xr:uid="{761C5F1C-78CB-4841-B6B8-348EDAB52BBA}"/>
    <cellStyle name="Check Cell 6 3" xfId="2236" xr:uid="{57B64ED8-C8BC-459F-9DAF-83289EA7FFF8}"/>
    <cellStyle name="Check Cell 6 4" xfId="2237" xr:uid="{2E70978E-4E69-4ED2-A1FF-244C642A9A06}"/>
    <cellStyle name="Check Cell 6 5" xfId="2238" xr:uid="{3E1159E2-73CC-4582-8336-6FE9B7689A25}"/>
    <cellStyle name="Check Cell 7" xfId="2239" xr:uid="{CAC6D1D4-AE5F-4ABA-B696-4F031F066B24}"/>
    <cellStyle name="Check Cell 7 2" xfId="2240" xr:uid="{EAF3E7D9-E95D-4154-A2C7-DD51F8E6A52E}"/>
    <cellStyle name="Check Cell 7 3" xfId="2241" xr:uid="{6D5395F3-6376-4DA4-9CF9-F88ED20AACAF}"/>
    <cellStyle name="Check Cell 7 4" xfId="2242" xr:uid="{FE3F027A-2E5D-4ABA-B7A0-2FE3365BA103}"/>
    <cellStyle name="Check Cell 7 5" xfId="2243" xr:uid="{7E590BEB-728A-441A-993F-2C22FDC3E23A}"/>
    <cellStyle name="Check Cell 8" xfId="2244" xr:uid="{2CF00E5B-2144-482B-A5D1-7A1B9A16F9EB}"/>
    <cellStyle name="Check Cell 9" xfId="2245" xr:uid="{07911C54-F783-41E8-9145-F986B8E7000C}"/>
    <cellStyle name="Comma" xfId="54820" builtinId="3"/>
    <cellStyle name="Comma 10" xfId="54822" xr:uid="{0C451E70-0D35-4FAC-BA3A-050B8EA54CC4}"/>
    <cellStyle name="Comma 13" xfId="38" xr:uid="{60A045EC-406B-4B0C-9273-E9BA37A223DF}"/>
    <cellStyle name="Comma 13 2" xfId="284" xr:uid="{CA9DEAD2-0E43-4677-B92F-A5365886C92A}"/>
    <cellStyle name="Comma 2" xfId="11" xr:uid="{00000000-0005-0000-0000-000001000000}"/>
    <cellStyle name="Comma 2 2" xfId="39" xr:uid="{73DB0D4D-FBFC-4B13-BFCF-7B9EAF8D050A}"/>
    <cellStyle name="Comma 2 2 2" xfId="175" xr:uid="{5A152068-A626-40F1-B72F-1DFBE637A89A}"/>
    <cellStyle name="Comma 2 3" xfId="54770" xr:uid="{F76D78E9-C7AB-4987-A951-73CC2C837E6F}"/>
    <cellStyle name="Comma 3" xfId="30" xr:uid="{48F6CE97-F39C-47E5-A76E-1B7E98B69FD1}"/>
    <cellStyle name="Comma 3 10" xfId="2246" xr:uid="{AB64290D-A19D-4D49-BAC0-22864A64A346}"/>
    <cellStyle name="Comma 3 10 2" xfId="2247" xr:uid="{A7FE387B-BB9A-4901-81E0-AC45898CFF19}"/>
    <cellStyle name="Comma 3 10 2 2" xfId="2248" xr:uid="{281AFABB-751C-4F72-924C-E0C5D0AF5DEF}"/>
    <cellStyle name="Comma 3 10 2 2 2" xfId="2249" xr:uid="{ABE3ABFC-B486-4006-BA0F-E985BDF8C676}"/>
    <cellStyle name="Comma 3 10 2 2 2 2" xfId="2250" xr:uid="{680CA53E-BF05-4987-BCFE-D1AA574D5A96}"/>
    <cellStyle name="Comma 3 10 2 2 3" xfId="2251" xr:uid="{D961DA8B-76C6-437F-AAA9-0B7EA419EFF8}"/>
    <cellStyle name="Comma 3 10 2 3" xfId="2252" xr:uid="{CD1C27CA-2A0B-4A3F-8C2D-16F36CD1274C}"/>
    <cellStyle name="Comma 3 10 2 3 2" xfId="2253" xr:uid="{C0E65D31-6E52-49D2-BCA6-BCD2DC0B454E}"/>
    <cellStyle name="Comma 3 10 2 4" xfId="2254" xr:uid="{8503CCAC-84F2-47C5-88F3-8267D3148DFC}"/>
    <cellStyle name="Comma 3 10 3" xfId="2255" xr:uid="{36C54C9E-7F97-4B79-AA12-E211D26C5722}"/>
    <cellStyle name="Comma 3 10 3 2" xfId="2256" xr:uid="{4B93C785-43AF-42B1-BC5A-D7DE4ECDCA93}"/>
    <cellStyle name="Comma 3 10 3 2 2" xfId="2257" xr:uid="{C7799745-A372-4DBD-9304-889616A66CAB}"/>
    <cellStyle name="Comma 3 10 3 3" xfId="2258" xr:uid="{FD0A1212-90E5-492E-BE24-6B23B310A9FF}"/>
    <cellStyle name="Comma 3 10 4" xfId="2259" xr:uid="{A4449377-AC3F-42B0-AB6E-F71E19303EB3}"/>
    <cellStyle name="Comma 3 10 4 2" xfId="2260" xr:uid="{F65D66ED-1F74-4F82-8036-549FB5359310}"/>
    <cellStyle name="Comma 3 10 5" xfId="2261" xr:uid="{FB128F0F-7CCE-4BCE-9543-BBD14C603CB1}"/>
    <cellStyle name="Comma 3 11" xfId="2262" xr:uid="{B1C572AE-93C8-4AF0-AF53-70DEC718C2EF}"/>
    <cellStyle name="Comma 3 11 2" xfId="2263" xr:uid="{DA0D1B02-14B8-4F8E-AC5E-5738BDA7E562}"/>
    <cellStyle name="Comma 3 11 2 2" xfId="2264" xr:uid="{EE3BD602-6DC7-42C6-B5B9-06C9187F267B}"/>
    <cellStyle name="Comma 3 11 2 2 2" xfId="2265" xr:uid="{B6549E7E-34C6-47B8-8219-4283E0935B49}"/>
    <cellStyle name="Comma 3 11 2 3" xfId="2266" xr:uid="{31696FDD-04B3-4A97-A5AF-1C2C0C91E464}"/>
    <cellStyle name="Comma 3 11 3" xfId="2267" xr:uid="{03CAA9F0-C25F-4256-B7DE-1AA2F683B2C8}"/>
    <cellStyle name="Comma 3 11 3 2" xfId="2268" xr:uid="{D9F32CA4-473F-4E06-AFBE-290D9E4484E4}"/>
    <cellStyle name="Comma 3 11 4" xfId="2269" xr:uid="{4D1A91DE-D7A9-4149-B623-DAFCBE1E3C54}"/>
    <cellStyle name="Comma 3 12" xfId="2270" xr:uid="{A7B8C78C-69A9-446F-931F-59AD487D0604}"/>
    <cellStyle name="Comma 3 12 2" xfId="2271" xr:uid="{2F3C2474-3169-43D2-A128-F23E32293D15}"/>
    <cellStyle name="Comma 3 12 2 2" xfId="2272" xr:uid="{EAE88EEC-D328-49A2-BF01-5B6101365D60}"/>
    <cellStyle name="Comma 3 12 3" xfId="2273" xr:uid="{FCE1610E-636D-45B9-9B9A-1F520A31885A}"/>
    <cellStyle name="Comma 3 13" xfId="2274" xr:uid="{5227C42C-4657-45F1-9322-1A3F822BC7C4}"/>
    <cellStyle name="Comma 3 13 2" xfId="2275" xr:uid="{B4CB4F38-5789-4763-AA72-3342462E12CE}"/>
    <cellStyle name="Comma 3 14" xfId="2276" xr:uid="{BA359DF9-A2F1-44B8-A226-85B6E5789B4E}"/>
    <cellStyle name="Comma 3 15" xfId="54771" xr:uid="{E7F419D3-6279-47F4-81D2-582CFEEA821E}"/>
    <cellStyle name="Comma 3 16" xfId="174" xr:uid="{5F34C885-9346-48B8-976C-DF3347774EB4}"/>
    <cellStyle name="Comma 3 2" xfId="2277" xr:uid="{FCD9503E-47EB-436F-B564-B2BBA4F64059}"/>
    <cellStyle name="Comma 3 2 10" xfId="2278" xr:uid="{B7D55019-6C47-4ADF-9135-EA0602723892}"/>
    <cellStyle name="Comma 3 2 10 2" xfId="2279" xr:uid="{A58E15CD-6A2A-4631-A293-6E18F19CE942}"/>
    <cellStyle name="Comma 3 2 10 2 2" xfId="2280" xr:uid="{D2B0791D-E464-441C-BAD9-6D7F7BAFFF5D}"/>
    <cellStyle name="Comma 3 2 10 3" xfId="2281" xr:uid="{F889D812-B80A-4F11-9016-0B971969FE1A}"/>
    <cellStyle name="Comma 3 2 11" xfId="2282" xr:uid="{02713537-0A3B-4C80-9738-254D4F151EA0}"/>
    <cellStyle name="Comma 3 2 11 2" xfId="2283" xr:uid="{0BE71D6E-8B6E-433E-96B0-DE3AE59EBA37}"/>
    <cellStyle name="Comma 3 2 12" xfId="2284" xr:uid="{140FDCBD-1E60-40E8-8B86-635F06CB0BF0}"/>
    <cellStyle name="Comma 3 2 13" xfId="54772" xr:uid="{DF9F47F0-EE10-4793-9DD6-4B93A0B9AA14}"/>
    <cellStyle name="Comma 3 2 14" xfId="54807" xr:uid="{8F8D1171-C190-482E-9A35-B4AC734A67EE}"/>
    <cellStyle name="Comma 3 2 2" xfId="2285" xr:uid="{39C0A477-98A3-4F40-9A7E-D0011E5050DB}"/>
    <cellStyle name="Comma 3 2 2 10" xfId="2286" xr:uid="{A246788E-2BE4-4900-9131-0C3D50FFB315}"/>
    <cellStyle name="Comma 3 2 2 10 2" xfId="2287" xr:uid="{19432537-B034-4AA4-86E4-CB0FD21766CC}"/>
    <cellStyle name="Comma 3 2 2 11" xfId="2288" xr:uid="{D8849F5C-DD23-4397-A3C9-219B126665D2}"/>
    <cellStyle name="Comma 3 2 2 2" xfId="2289" xr:uid="{0BE09467-09C7-4A24-8CF5-50600EE6421D}"/>
    <cellStyle name="Comma 3 2 2 2 2" xfId="2290" xr:uid="{3D8A7B66-C4EF-4C04-AE35-B4E60813B948}"/>
    <cellStyle name="Comma 3 2 2 2 2 2" xfId="2291" xr:uid="{010E3DE5-CBBD-4172-9510-61CA72BD653C}"/>
    <cellStyle name="Comma 3 2 2 2 2 2 2" xfId="2292" xr:uid="{57010125-2253-4D9F-9186-6A89D81CE49A}"/>
    <cellStyle name="Comma 3 2 2 2 2 2 2 2" xfId="2293" xr:uid="{A48197EE-9357-4741-A5B6-C9A3566E04A7}"/>
    <cellStyle name="Comma 3 2 2 2 2 2 2 2 2" xfId="2294" xr:uid="{44D4649C-31C2-43CF-98D8-1F8EC5C4FDF0}"/>
    <cellStyle name="Comma 3 2 2 2 2 2 2 2 2 2" xfId="2295" xr:uid="{4070CFC4-8C7F-4C10-9C26-E9F97264314B}"/>
    <cellStyle name="Comma 3 2 2 2 2 2 2 2 2 2 2" xfId="2296" xr:uid="{A11D8B82-ECE7-4B7C-9B1B-4384BB580129}"/>
    <cellStyle name="Comma 3 2 2 2 2 2 2 2 2 3" xfId="2297" xr:uid="{79990ED6-518B-4F11-B507-1E2DB0784A9E}"/>
    <cellStyle name="Comma 3 2 2 2 2 2 2 2 3" xfId="2298" xr:uid="{0A9CD3CA-7DBE-4115-8D50-82EE38C5D04F}"/>
    <cellStyle name="Comma 3 2 2 2 2 2 2 2 3 2" xfId="2299" xr:uid="{C4E7F88E-771C-4AD8-8041-740BD5EEAAD7}"/>
    <cellStyle name="Comma 3 2 2 2 2 2 2 2 4" xfId="2300" xr:uid="{9D1AE194-B4C7-45F7-A9C0-4C0FC351F3E5}"/>
    <cellStyle name="Comma 3 2 2 2 2 2 2 3" xfId="2301" xr:uid="{AC1E8051-79FA-4940-92E6-D6A179392DCB}"/>
    <cellStyle name="Comma 3 2 2 2 2 2 2 3 2" xfId="2302" xr:uid="{C19A6576-FD28-406D-BC07-0143B49BC8B9}"/>
    <cellStyle name="Comma 3 2 2 2 2 2 2 3 2 2" xfId="2303" xr:uid="{443EB946-7EEC-4AC8-B4E6-F06DDB007A8A}"/>
    <cellStyle name="Comma 3 2 2 2 2 2 2 3 3" xfId="2304" xr:uid="{584A32A7-1CDA-4B92-86D2-9866F8B00E57}"/>
    <cellStyle name="Comma 3 2 2 2 2 2 2 4" xfId="2305" xr:uid="{1DC45CDD-454E-4B93-84FB-7C0559C832E9}"/>
    <cellStyle name="Comma 3 2 2 2 2 2 2 4 2" xfId="2306" xr:uid="{B24108AF-68CA-4F02-B31E-9012613857A9}"/>
    <cellStyle name="Comma 3 2 2 2 2 2 2 5" xfId="2307" xr:uid="{F24EE04F-AF9A-45B1-B99E-EF764B1AE795}"/>
    <cellStyle name="Comma 3 2 2 2 2 2 3" xfId="2308" xr:uid="{2242B37C-B30C-4A99-8827-91250B4EDBE9}"/>
    <cellStyle name="Comma 3 2 2 2 2 2 3 2" xfId="2309" xr:uid="{355D78AE-062F-4ACE-B224-A088D0C86989}"/>
    <cellStyle name="Comma 3 2 2 2 2 2 3 2 2" xfId="2310" xr:uid="{9D13309D-F876-4B36-A348-638FF0B869E0}"/>
    <cellStyle name="Comma 3 2 2 2 2 2 3 2 2 2" xfId="2311" xr:uid="{E26AE916-EDA0-48CA-A91D-4E158617B7BE}"/>
    <cellStyle name="Comma 3 2 2 2 2 2 3 2 3" xfId="2312" xr:uid="{1284C8A5-D680-4360-8580-964641119896}"/>
    <cellStyle name="Comma 3 2 2 2 2 2 3 3" xfId="2313" xr:uid="{2942654C-D14D-4743-9A05-96BF215F37A0}"/>
    <cellStyle name="Comma 3 2 2 2 2 2 3 3 2" xfId="2314" xr:uid="{390011A2-12B0-4A9D-A78E-C36BD2219542}"/>
    <cellStyle name="Comma 3 2 2 2 2 2 3 4" xfId="2315" xr:uid="{ECEC5C0C-F3FF-4D68-A87C-90611F544099}"/>
    <cellStyle name="Comma 3 2 2 2 2 2 4" xfId="2316" xr:uid="{98A8CD05-55BD-458A-AC4F-3885B24A9D96}"/>
    <cellStyle name="Comma 3 2 2 2 2 2 4 2" xfId="2317" xr:uid="{56883447-6C19-4F5B-9951-7A0A09EB0638}"/>
    <cellStyle name="Comma 3 2 2 2 2 2 4 2 2" xfId="2318" xr:uid="{8572E9FB-CC42-4E56-9392-CDCEB15CD37D}"/>
    <cellStyle name="Comma 3 2 2 2 2 2 4 3" xfId="2319" xr:uid="{23CD7090-D273-49D4-B4A7-9A53CED4DAAC}"/>
    <cellStyle name="Comma 3 2 2 2 2 2 5" xfId="2320" xr:uid="{FFCEA4D2-006C-4575-BE1D-284B808423CA}"/>
    <cellStyle name="Comma 3 2 2 2 2 2 5 2" xfId="2321" xr:uid="{45A74678-8D40-43F5-838B-F47C809CD698}"/>
    <cellStyle name="Comma 3 2 2 2 2 2 6" xfId="2322" xr:uid="{A9E35091-CDD5-4664-B0D9-AA7291501E58}"/>
    <cellStyle name="Comma 3 2 2 2 2 3" xfId="2323" xr:uid="{DC166FCD-6AAB-4C26-B806-D8E492855F2E}"/>
    <cellStyle name="Comma 3 2 2 2 2 3 2" xfId="2324" xr:uid="{856E70E5-CF9F-4067-B1EA-BBDF38D6FB91}"/>
    <cellStyle name="Comma 3 2 2 2 2 3 2 2" xfId="2325" xr:uid="{CFDBC80D-F612-48E1-83BE-3C94B5F0A54E}"/>
    <cellStyle name="Comma 3 2 2 2 2 3 2 2 2" xfId="2326" xr:uid="{9FFD461C-13C8-4632-A0A7-690B24E8F29B}"/>
    <cellStyle name="Comma 3 2 2 2 2 3 2 2 2 2" xfId="2327" xr:uid="{087CFB4C-65DC-4155-B1C2-BBFABE6D259E}"/>
    <cellStyle name="Comma 3 2 2 2 2 3 2 2 3" xfId="2328" xr:uid="{EA873E86-B5C8-4F58-8571-F1E11BEF42CF}"/>
    <cellStyle name="Comma 3 2 2 2 2 3 2 3" xfId="2329" xr:uid="{B5470954-093C-4BA8-9C8A-C3157E6B6693}"/>
    <cellStyle name="Comma 3 2 2 2 2 3 2 3 2" xfId="2330" xr:uid="{D40B66A6-204C-4A67-A4AA-A8F5D476C47B}"/>
    <cellStyle name="Comma 3 2 2 2 2 3 2 4" xfId="2331" xr:uid="{BD69284C-8D07-4E6E-9D14-C533153B80DA}"/>
    <cellStyle name="Comma 3 2 2 2 2 3 3" xfId="2332" xr:uid="{7D77B108-5C7C-463D-8CA8-90243DCFA25F}"/>
    <cellStyle name="Comma 3 2 2 2 2 3 3 2" xfId="2333" xr:uid="{BF9818E1-EE19-4BE4-A294-5D1559938FB9}"/>
    <cellStyle name="Comma 3 2 2 2 2 3 3 2 2" xfId="2334" xr:uid="{2C86071A-BC90-47CF-B21B-D3ACF968E7B6}"/>
    <cellStyle name="Comma 3 2 2 2 2 3 3 3" xfId="2335" xr:uid="{372FB8F2-B497-49CA-BE7E-8F65C3250DE0}"/>
    <cellStyle name="Comma 3 2 2 2 2 3 4" xfId="2336" xr:uid="{90AE06E3-AC91-409E-802A-A47968B53120}"/>
    <cellStyle name="Comma 3 2 2 2 2 3 4 2" xfId="2337" xr:uid="{97DCF57E-FAAD-407B-8CA4-158BEF42E9FF}"/>
    <cellStyle name="Comma 3 2 2 2 2 3 5" xfId="2338" xr:uid="{CB87B255-D5D2-47F1-A1E0-05BA301BEE66}"/>
    <cellStyle name="Comma 3 2 2 2 2 4" xfId="2339" xr:uid="{4EC2AD44-022A-4510-B0B7-90BAD8F7C6E1}"/>
    <cellStyle name="Comma 3 2 2 2 2 4 2" xfId="2340" xr:uid="{567DAB4C-0397-482D-8E8F-9F8F53557C4B}"/>
    <cellStyle name="Comma 3 2 2 2 2 4 2 2" xfId="2341" xr:uid="{FA84394E-6821-469F-9B0C-FF37CC7EB8BE}"/>
    <cellStyle name="Comma 3 2 2 2 2 4 2 2 2" xfId="2342" xr:uid="{8148E677-30E4-4BDD-B4AD-F99727844D4A}"/>
    <cellStyle name="Comma 3 2 2 2 2 4 2 3" xfId="2343" xr:uid="{93ACF34A-2E73-4B30-8731-A1C261765F5C}"/>
    <cellStyle name="Comma 3 2 2 2 2 4 3" xfId="2344" xr:uid="{5E7C2510-605F-43A1-8B5A-AFAB004ABFB9}"/>
    <cellStyle name="Comma 3 2 2 2 2 4 3 2" xfId="2345" xr:uid="{0066BBFF-DFD6-4DF4-8AAC-56BBBC0A98FD}"/>
    <cellStyle name="Comma 3 2 2 2 2 4 4" xfId="2346" xr:uid="{99251E4E-682E-45C8-A1F4-108EB7D478E5}"/>
    <cellStyle name="Comma 3 2 2 2 2 5" xfId="2347" xr:uid="{F5801737-4BB1-4290-8A87-BC31D43E1E4E}"/>
    <cellStyle name="Comma 3 2 2 2 2 5 2" xfId="2348" xr:uid="{012A6168-B77E-422D-B8D1-8CC2F16688C9}"/>
    <cellStyle name="Comma 3 2 2 2 2 5 2 2" xfId="2349" xr:uid="{E9FD693B-7C5A-4544-8416-4B5875BABCA4}"/>
    <cellStyle name="Comma 3 2 2 2 2 5 3" xfId="2350" xr:uid="{69C9D620-9E4C-4C35-A2DB-AE39435FE703}"/>
    <cellStyle name="Comma 3 2 2 2 2 6" xfId="2351" xr:uid="{481A7B89-23E8-4FDE-8948-58D9A3C3A41C}"/>
    <cellStyle name="Comma 3 2 2 2 2 6 2" xfId="2352" xr:uid="{22AEB226-37E1-4F7D-A197-C89A77E8CA00}"/>
    <cellStyle name="Comma 3 2 2 2 2 7" xfId="2353" xr:uid="{958CB483-307F-423D-9EF4-563162B8356C}"/>
    <cellStyle name="Comma 3 2 2 2 3" xfId="2354" xr:uid="{C4CD6AF4-8CDF-46CF-92E8-7105C229DBD2}"/>
    <cellStyle name="Comma 3 2 2 2 3 2" xfId="2355" xr:uid="{177ADDD2-5629-4BD3-A36D-4EDD2FB542BD}"/>
    <cellStyle name="Comma 3 2 2 2 3 2 2" xfId="2356" xr:uid="{CC15F1E4-43B0-49B1-9FCF-322BCD0E3E52}"/>
    <cellStyle name="Comma 3 2 2 2 3 2 2 2" xfId="2357" xr:uid="{5A724CEB-CCC5-4A3F-A2E3-B297CADBFEFE}"/>
    <cellStyle name="Comma 3 2 2 2 3 2 2 2 2" xfId="2358" xr:uid="{6577CBED-DB03-42BF-9499-F2FA963A0427}"/>
    <cellStyle name="Comma 3 2 2 2 3 2 2 2 2 2" xfId="2359" xr:uid="{DF467141-A938-4AF9-858F-465CB9803A53}"/>
    <cellStyle name="Comma 3 2 2 2 3 2 2 2 3" xfId="2360" xr:uid="{EBB3B336-10C3-4EDB-8635-8A1700419361}"/>
    <cellStyle name="Comma 3 2 2 2 3 2 2 3" xfId="2361" xr:uid="{1F06068A-CB6A-4E08-9A51-E9DF6E7DC9D1}"/>
    <cellStyle name="Comma 3 2 2 2 3 2 2 3 2" xfId="2362" xr:uid="{F11F40B5-71CA-4FA5-AD25-25E6E20DB426}"/>
    <cellStyle name="Comma 3 2 2 2 3 2 2 4" xfId="2363" xr:uid="{8EEAE5AE-D09A-409B-8999-1C042FFC0C98}"/>
    <cellStyle name="Comma 3 2 2 2 3 2 3" xfId="2364" xr:uid="{BA59D523-5E3E-4D93-8485-01092A347D59}"/>
    <cellStyle name="Comma 3 2 2 2 3 2 3 2" xfId="2365" xr:uid="{61EC13BB-A042-4151-BF74-A1AE09F45CED}"/>
    <cellStyle name="Comma 3 2 2 2 3 2 3 2 2" xfId="2366" xr:uid="{72D6C030-F723-4370-A8C4-2D09DADA8556}"/>
    <cellStyle name="Comma 3 2 2 2 3 2 3 3" xfId="2367" xr:uid="{EF35803A-E12A-4301-8D6D-F4388BFA6CD0}"/>
    <cellStyle name="Comma 3 2 2 2 3 2 4" xfId="2368" xr:uid="{273A47F1-73DA-4FAF-861B-025EA6CCFBB6}"/>
    <cellStyle name="Comma 3 2 2 2 3 2 4 2" xfId="2369" xr:uid="{DF6292E0-E94E-42E0-9870-FF991213F549}"/>
    <cellStyle name="Comma 3 2 2 2 3 2 5" xfId="2370" xr:uid="{0E09AB02-9D0E-4CFA-9906-D56F5C3DDF82}"/>
    <cellStyle name="Comma 3 2 2 2 3 3" xfId="2371" xr:uid="{5ABE3640-E33D-46AF-BDC9-9E71EA7A8FD8}"/>
    <cellStyle name="Comma 3 2 2 2 3 3 2" xfId="2372" xr:uid="{F48952D8-199A-430B-8012-FBE5CE8F4942}"/>
    <cellStyle name="Comma 3 2 2 2 3 3 2 2" xfId="2373" xr:uid="{C62430A1-868B-4BD8-9FA7-D36AFD6F01F5}"/>
    <cellStyle name="Comma 3 2 2 2 3 3 2 2 2" xfId="2374" xr:uid="{58330299-92DB-443D-AEDE-D602E7D725C4}"/>
    <cellStyle name="Comma 3 2 2 2 3 3 2 3" xfId="2375" xr:uid="{5F7F21A4-09DA-4D5B-9494-AE4491C61963}"/>
    <cellStyle name="Comma 3 2 2 2 3 3 3" xfId="2376" xr:uid="{14AC7CF4-8653-4847-BE9E-19E047A8007D}"/>
    <cellStyle name="Comma 3 2 2 2 3 3 3 2" xfId="2377" xr:uid="{5A94BEE6-E0C3-4B24-A5A3-A18D458198E4}"/>
    <cellStyle name="Comma 3 2 2 2 3 3 4" xfId="2378" xr:uid="{B70A3C68-9657-4731-BACD-947C5E6DE530}"/>
    <cellStyle name="Comma 3 2 2 2 3 4" xfId="2379" xr:uid="{D105E809-AC62-4990-A538-21C2ED6DC34F}"/>
    <cellStyle name="Comma 3 2 2 2 3 4 2" xfId="2380" xr:uid="{1BE2180D-2423-4575-A72B-A8A1EC844A9C}"/>
    <cellStyle name="Comma 3 2 2 2 3 4 2 2" xfId="2381" xr:uid="{FDF38744-832D-481E-8DDF-D29FBC3AA319}"/>
    <cellStyle name="Comma 3 2 2 2 3 4 3" xfId="2382" xr:uid="{7BAF12DB-139E-4D3F-8C10-6EBE401F8C17}"/>
    <cellStyle name="Comma 3 2 2 2 3 5" xfId="2383" xr:uid="{098B3746-B9D1-4188-AB87-30107795B21F}"/>
    <cellStyle name="Comma 3 2 2 2 3 5 2" xfId="2384" xr:uid="{D98D68C0-2C53-411D-864B-EF7589DD2761}"/>
    <cellStyle name="Comma 3 2 2 2 3 6" xfId="2385" xr:uid="{7F0AE4F4-B22A-4FA6-95C9-71AD80D08624}"/>
    <cellStyle name="Comma 3 2 2 2 4" xfId="2386" xr:uid="{8CAA3EC1-A35C-477D-9EB5-B51A61489685}"/>
    <cellStyle name="Comma 3 2 2 2 4 2" xfId="2387" xr:uid="{E6EC3374-BD9F-42BB-89F3-B0F6A9D1369C}"/>
    <cellStyle name="Comma 3 2 2 2 4 2 2" xfId="2388" xr:uid="{4F6BD4AA-0E8D-44EC-8096-09BD4EF48906}"/>
    <cellStyle name="Comma 3 2 2 2 4 2 2 2" xfId="2389" xr:uid="{1FBD3546-409D-4E47-AF2A-D71EBE2D9186}"/>
    <cellStyle name="Comma 3 2 2 2 4 2 2 2 2" xfId="2390" xr:uid="{04287E22-885B-47AA-A362-81AB09802D67}"/>
    <cellStyle name="Comma 3 2 2 2 4 2 2 3" xfId="2391" xr:uid="{5FF5A944-EF0E-4D33-B515-10204414A63F}"/>
    <cellStyle name="Comma 3 2 2 2 4 2 3" xfId="2392" xr:uid="{A5F1F0FE-C49E-4274-BC4C-A510F8F59D71}"/>
    <cellStyle name="Comma 3 2 2 2 4 2 3 2" xfId="2393" xr:uid="{24E961B4-9B3E-4B87-8000-D0ECF9A89D1D}"/>
    <cellStyle name="Comma 3 2 2 2 4 2 4" xfId="2394" xr:uid="{E141F613-9B35-4CCB-875E-0BCE42062701}"/>
    <cellStyle name="Comma 3 2 2 2 4 3" xfId="2395" xr:uid="{A98734B9-4EC5-43D8-8FD7-AC5D1B8BCB37}"/>
    <cellStyle name="Comma 3 2 2 2 4 3 2" xfId="2396" xr:uid="{564B501A-BC74-472E-8378-8DC256007304}"/>
    <cellStyle name="Comma 3 2 2 2 4 3 2 2" xfId="2397" xr:uid="{8528A913-39D9-4C93-BE21-847CF94A202E}"/>
    <cellStyle name="Comma 3 2 2 2 4 3 3" xfId="2398" xr:uid="{976D8556-B05C-44DC-B6A4-DB07418205A4}"/>
    <cellStyle name="Comma 3 2 2 2 4 4" xfId="2399" xr:uid="{29D198EE-6233-45FA-844F-86C17E46F5EB}"/>
    <cellStyle name="Comma 3 2 2 2 4 4 2" xfId="2400" xr:uid="{2590F6C3-5CF7-4B60-B333-66C02425B172}"/>
    <cellStyle name="Comma 3 2 2 2 4 5" xfId="2401" xr:uid="{627CB4C4-8C5F-40D8-9E2D-B0F5032F3817}"/>
    <cellStyle name="Comma 3 2 2 2 5" xfId="2402" xr:uid="{B2AFF8B2-E698-4CFB-A295-05FD77ABC95A}"/>
    <cellStyle name="Comma 3 2 2 2 5 2" xfId="2403" xr:uid="{1A75AE3C-F86A-4312-AFC6-03FB1E809D38}"/>
    <cellStyle name="Comma 3 2 2 2 5 2 2" xfId="2404" xr:uid="{E822F6C0-1ED9-490B-9282-D17A603C8B34}"/>
    <cellStyle name="Comma 3 2 2 2 5 2 2 2" xfId="2405" xr:uid="{A542521E-F80C-4038-8F30-C897CEDABAB5}"/>
    <cellStyle name="Comma 3 2 2 2 5 2 3" xfId="2406" xr:uid="{695891A2-92CE-4DEF-9EB3-0818F6EA8851}"/>
    <cellStyle name="Comma 3 2 2 2 5 3" xfId="2407" xr:uid="{B45E031E-7939-480F-89E9-6EDB121C882C}"/>
    <cellStyle name="Comma 3 2 2 2 5 3 2" xfId="2408" xr:uid="{5F33F878-F654-4A63-A5FB-7C011DD41C8B}"/>
    <cellStyle name="Comma 3 2 2 2 5 4" xfId="2409" xr:uid="{162F18C0-1812-4874-9DD7-46E9F480918F}"/>
    <cellStyle name="Comma 3 2 2 2 6" xfId="2410" xr:uid="{2D6FBE7C-F603-4434-8E42-3403D5E62F2A}"/>
    <cellStyle name="Comma 3 2 2 2 6 2" xfId="2411" xr:uid="{60E1E22E-BC55-41C6-A67F-ABB551C788EE}"/>
    <cellStyle name="Comma 3 2 2 2 6 2 2" xfId="2412" xr:uid="{A16D928F-745E-46E0-963F-3B93F8211953}"/>
    <cellStyle name="Comma 3 2 2 2 6 3" xfId="2413" xr:uid="{0A0818B4-1F3E-4BA0-81F2-11FB39443F90}"/>
    <cellStyle name="Comma 3 2 2 2 7" xfId="2414" xr:uid="{06EBDFE1-7BCA-4887-A6B7-2D9477541BEF}"/>
    <cellStyle name="Comma 3 2 2 2 7 2" xfId="2415" xr:uid="{0C443F3C-2C38-449F-9DD1-E6A228E6FB37}"/>
    <cellStyle name="Comma 3 2 2 2 8" xfId="2416" xr:uid="{D7590AB5-2005-41AE-A1D5-F73C507E956D}"/>
    <cellStyle name="Comma 3 2 2 3" xfId="2417" xr:uid="{278225FF-D419-41B6-8C92-70DDD6A74D13}"/>
    <cellStyle name="Comma 3 2 2 4" xfId="2418" xr:uid="{7E955D44-102D-42B4-8FE4-C0ABD56925D6}"/>
    <cellStyle name="Comma 3 2 2 4 2" xfId="2419" xr:uid="{2A124ECF-E712-4D67-94F9-AD893B5677B6}"/>
    <cellStyle name="Comma 3 2 2 4 2 2" xfId="2420" xr:uid="{DB81E7B7-23C1-472B-BDB0-9EA6C50104EB}"/>
    <cellStyle name="Comma 3 2 2 4 2 2 2" xfId="2421" xr:uid="{15E69EE3-0A24-45C3-B756-EBE147100240}"/>
    <cellStyle name="Comma 3 2 2 4 2 2 2 2" xfId="2422" xr:uid="{10557D59-F2FA-407E-B3E1-967557BC113D}"/>
    <cellStyle name="Comma 3 2 2 4 2 2 2 2 2" xfId="2423" xr:uid="{9763279D-ADA7-4159-B0B3-77603F9DE1A5}"/>
    <cellStyle name="Comma 3 2 2 4 2 2 2 2 2 2" xfId="2424" xr:uid="{A5751E6A-E57B-49B6-9D0D-455F8E5016BE}"/>
    <cellStyle name="Comma 3 2 2 4 2 2 2 2 2 2 2" xfId="2425" xr:uid="{EF5AC733-A2B1-46C7-BCC5-28B96C5E4307}"/>
    <cellStyle name="Comma 3 2 2 4 2 2 2 2 2 3" xfId="2426" xr:uid="{B44B045F-8CF3-4D59-8D94-F7475E35A6B6}"/>
    <cellStyle name="Comma 3 2 2 4 2 2 2 2 3" xfId="2427" xr:uid="{03C2DAE6-E6AA-4AC8-9477-5D758542AA8E}"/>
    <cellStyle name="Comma 3 2 2 4 2 2 2 2 3 2" xfId="2428" xr:uid="{46BBB405-3CC7-4038-800F-41CC17D00BFD}"/>
    <cellStyle name="Comma 3 2 2 4 2 2 2 2 4" xfId="2429" xr:uid="{41ED540F-2F48-4081-BB15-FEEC380C779A}"/>
    <cellStyle name="Comma 3 2 2 4 2 2 2 3" xfId="2430" xr:uid="{3C198AFB-269A-4AA0-9F8E-83F55E4D9240}"/>
    <cellStyle name="Comma 3 2 2 4 2 2 2 3 2" xfId="2431" xr:uid="{D4DB1AE4-5B4F-4FFD-9C29-161C589051AB}"/>
    <cellStyle name="Comma 3 2 2 4 2 2 2 3 2 2" xfId="2432" xr:uid="{28A8FAF5-BA30-4C76-87DF-76AD4F2553F7}"/>
    <cellStyle name="Comma 3 2 2 4 2 2 2 3 3" xfId="2433" xr:uid="{4F0CD0B9-1BB6-4B24-BF8D-CBDB63961C79}"/>
    <cellStyle name="Comma 3 2 2 4 2 2 2 4" xfId="2434" xr:uid="{85C97948-4C43-47D5-B573-9AEF9AD6EDBB}"/>
    <cellStyle name="Comma 3 2 2 4 2 2 2 4 2" xfId="2435" xr:uid="{978547B9-5169-44EB-B19D-DCCE217A48B6}"/>
    <cellStyle name="Comma 3 2 2 4 2 2 2 5" xfId="2436" xr:uid="{A9AE3DC0-36C0-4415-89FE-90346307E6D9}"/>
    <cellStyle name="Comma 3 2 2 4 2 2 3" xfId="2437" xr:uid="{AD30D9D4-88A5-4863-AF0E-56AA41E22DFD}"/>
    <cellStyle name="Comma 3 2 2 4 2 2 3 2" xfId="2438" xr:uid="{3C6A4F27-37E4-49F8-941F-6E6214EDD890}"/>
    <cellStyle name="Comma 3 2 2 4 2 2 3 2 2" xfId="2439" xr:uid="{E8B940DF-9D55-4C65-BFDE-E823FD1A88B6}"/>
    <cellStyle name="Comma 3 2 2 4 2 2 3 2 2 2" xfId="2440" xr:uid="{B46CCB75-2D13-48B8-BBC9-1F8B4AA73351}"/>
    <cellStyle name="Comma 3 2 2 4 2 2 3 2 3" xfId="2441" xr:uid="{DF74F8D3-DBA5-4CCC-B51C-B55A7775665A}"/>
    <cellStyle name="Comma 3 2 2 4 2 2 3 3" xfId="2442" xr:uid="{4C61701E-0B28-4062-B299-653E39D58C97}"/>
    <cellStyle name="Comma 3 2 2 4 2 2 3 3 2" xfId="2443" xr:uid="{870C94DC-16C4-4F9E-B002-DF2A9135A5AE}"/>
    <cellStyle name="Comma 3 2 2 4 2 2 3 4" xfId="2444" xr:uid="{AE8DE86A-DC15-413F-9501-0602C0A38DE8}"/>
    <cellStyle name="Comma 3 2 2 4 2 2 4" xfId="2445" xr:uid="{EA15C645-254A-4AF6-B656-486B4224CA4A}"/>
    <cellStyle name="Comma 3 2 2 4 2 2 4 2" xfId="2446" xr:uid="{85852BB5-B52D-4DC5-A248-92B784517065}"/>
    <cellStyle name="Comma 3 2 2 4 2 2 4 2 2" xfId="2447" xr:uid="{0F744E63-5DA3-40ED-99AC-03A128F968AC}"/>
    <cellStyle name="Comma 3 2 2 4 2 2 4 3" xfId="2448" xr:uid="{33F1F699-4AE3-4D54-B73E-C9D021AE2E78}"/>
    <cellStyle name="Comma 3 2 2 4 2 2 5" xfId="2449" xr:uid="{ED9287F5-58BE-4490-833D-E2A1EC5F142F}"/>
    <cellStyle name="Comma 3 2 2 4 2 2 5 2" xfId="2450" xr:uid="{71958E11-4B07-4D4C-99DD-903F81B464F4}"/>
    <cellStyle name="Comma 3 2 2 4 2 2 6" xfId="2451" xr:uid="{4D7CAF7C-7167-4F47-B7CC-881111A80F99}"/>
    <cellStyle name="Comma 3 2 2 4 2 3" xfId="2452" xr:uid="{88EA541C-CCA3-4FB6-A05A-F4D6E4B1434F}"/>
    <cellStyle name="Comma 3 2 2 4 2 3 2" xfId="2453" xr:uid="{32BC2FAF-1566-487E-9144-DCA1ADFA1972}"/>
    <cellStyle name="Comma 3 2 2 4 2 3 2 2" xfId="2454" xr:uid="{8035C510-F6CC-48BB-B610-7400D1F1BA49}"/>
    <cellStyle name="Comma 3 2 2 4 2 3 2 2 2" xfId="2455" xr:uid="{FAA74E8F-4DB9-451C-92FD-8498BCC9883A}"/>
    <cellStyle name="Comma 3 2 2 4 2 3 2 2 2 2" xfId="2456" xr:uid="{04C4E648-9D95-4FA1-8B6B-2CE49DDE9E6C}"/>
    <cellStyle name="Comma 3 2 2 4 2 3 2 2 3" xfId="2457" xr:uid="{CCA5AD87-5D58-4086-8BE8-7EBE8DFAB462}"/>
    <cellStyle name="Comma 3 2 2 4 2 3 2 3" xfId="2458" xr:uid="{82514D86-08B2-4815-BD50-6AB3C96CDD60}"/>
    <cellStyle name="Comma 3 2 2 4 2 3 2 3 2" xfId="2459" xr:uid="{1F5354EE-DE88-4388-8521-73FA1B0485EA}"/>
    <cellStyle name="Comma 3 2 2 4 2 3 2 4" xfId="2460" xr:uid="{EFAE84B9-4AF6-4F19-B54D-476375A1E11C}"/>
    <cellStyle name="Comma 3 2 2 4 2 3 3" xfId="2461" xr:uid="{C58E026F-7A94-481A-B6C9-21B9D1B13ACF}"/>
    <cellStyle name="Comma 3 2 2 4 2 3 3 2" xfId="2462" xr:uid="{61C9A10C-6356-4223-8681-B20AD22CAF67}"/>
    <cellStyle name="Comma 3 2 2 4 2 3 3 2 2" xfId="2463" xr:uid="{E5C073C1-ADA6-4389-9176-46207359A5ED}"/>
    <cellStyle name="Comma 3 2 2 4 2 3 3 3" xfId="2464" xr:uid="{5726FCD5-BB6C-481C-A90E-7EFD8B536D37}"/>
    <cellStyle name="Comma 3 2 2 4 2 3 4" xfId="2465" xr:uid="{4C269D16-8376-4657-B67A-282BBFD63702}"/>
    <cellStyle name="Comma 3 2 2 4 2 3 4 2" xfId="2466" xr:uid="{8A75C469-BC61-44E4-9900-F5B5CAAAA6E0}"/>
    <cellStyle name="Comma 3 2 2 4 2 3 5" xfId="2467" xr:uid="{7FBBB42B-F95D-46C9-BED3-4642B78D67BA}"/>
    <cellStyle name="Comma 3 2 2 4 2 4" xfId="2468" xr:uid="{31AF6FD0-F9D7-4D5D-AFCD-399E8D6D05CF}"/>
    <cellStyle name="Comma 3 2 2 4 2 4 2" xfId="2469" xr:uid="{13176FFF-D8D2-44CB-B786-EBDA219D2FA1}"/>
    <cellStyle name="Comma 3 2 2 4 2 4 2 2" xfId="2470" xr:uid="{63D03F79-5387-4751-A233-036687D46177}"/>
    <cellStyle name="Comma 3 2 2 4 2 4 2 2 2" xfId="2471" xr:uid="{51F3A5CD-0C35-412B-B961-8D0BA352C109}"/>
    <cellStyle name="Comma 3 2 2 4 2 4 2 3" xfId="2472" xr:uid="{FC08FE80-6CD5-462A-9E67-C108ADAB9ED3}"/>
    <cellStyle name="Comma 3 2 2 4 2 4 3" xfId="2473" xr:uid="{592B5BFE-8839-407A-BF84-0E7C63459593}"/>
    <cellStyle name="Comma 3 2 2 4 2 4 3 2" xfId="2474" xr:uid="{2D2C1CA6-F029-415E-AB36-B34725325992}"/>
    <cellStyle name="Comma 3 2 2 4 2 4 4" xfId="2475" xr:uid="{5DD7C4B0-9EDA-4FA8-B46E-C30B546240EA}"/>
    <cellStyle name="Comma 3 2 2 4 2 5" xfId="2476" xr:uid="{4103EA30-ACAA-43CD-B314-0E97F6BE8933}"/>
    <cellStyle name="Comma 3 2 2 4 2 5 2" xfId="2477" xr:uid="{B8F7F17D-021D-4BD6-87E6-ECBC63E95C29}"/>
    <cellStyle name="Comma 3 2 2 4 2 5 2 2" xfId="2478" xr:uid="{4162EC29-6B64-4306-9CA1-796D3C12D89B}"/>
    <cellStyle name="Comma 3 2 2 4 2 5 3" xfId="2479" xr:uid="{7F682B1A-21F6-42CC-8F22-FAE68A32C30B}"/>
    <cellStyle name="Comma 3 2 2 4 2 6" xfId="2480" xr:uid="{F24D35A8-AF48-4C2B-8B11-26BF3F89B32F}"/>
    <cellStyle name="Comma 3 2 2 4 2 6 2" xfId="2481" xr:uid="{D7E50CD4-AD0F-4588-A4A0-20DF54572A47}"/>
    <cellStyle name="Comma 3 2 2 4 2 7" xfId="2482" xr:uid="{4698C992-0386-41FC-B95A-66B625A668F9}"/>
    <cellStyle name="Comma 3 2 2 4 3" xfId="2483" xr:uid="{641DC366-A00A-4E56-B888-DCB81EB3D6C2}"/>
    <cellStyle name="Comma 3 2 2 4 3 2" xfId="2484" xr:uid="{1E816FE7-F6B3-40A5-819B-D73A3C3E8D41}"/>
    <cellStyle name="Comma 3 2 2 4 3 2 2" xfId="2485" xr:uid="{C701E518-F9CE-4A36-88F6-7E1197AA521F}"/>
    <cellStyle name="Comma 3 2 2 4 3 2 2 2" xfId="2486" xr:uid="{7A30FE31-1518-4971-944A-1B72C637C413}"/>
    <cellStyle name="Comma 3 2 2 4 3 2 2 2 2" xfId="2487" xr:uid="{E52A423A-4BF5-4103-9391-C2AD7637082D}"/>
    <cellStyle name="Comma 3 2 2 4 3 2 2 2 2 2" xfId="2488" xr:uid="{023E8720-8F78-43B4-80A5-9792FD7B5E4E}"/>
    <cellStyle name="Comma 3 2 2 4 3 2 2 2 3" xfId="2489" xr:uid="{87CE41D1-2DE1-46CD-96B4-538972C61438}"/>
    <cellStyle name="Comma 3 2 2 4 3 2 2 3" xfId="2490" xr:uid="{D25B657B-9C60-4623-AFDB-8F05E9224372}"/>
    <cellStyle name="Comma 3 2 2 4 3 2 2 3 2" xfId="2491" xr:uid="{FB31914D-6B61-4D7A-B078-E7C26D7C7F64}"/>
    <cellStyle name="Comma 3 2 2 4 3 2 2 4" xfId="2492" xr:uid="{81CE3DC8-8258-481C-936B-7795B9169511}"/>
    <cellStyle name="Comma 3 2 2 4 3 2 3" xfId="2493" xr:uid="{00D5E222-9597-4B40-A9AF-D17AF0D0A059}"/>
    <cellStyle name="Comma 3 2 2 4 3 2 3 2" xfId="2494" xr:uid="{83C06223-D853-47C7-B94A-96FE0C017FF2}"/>
    <cellStyle name="Comma 3 2 2 4 3 2 3 2 2" xfId="2495" xr:uid="{1F0C55E9-C606-48C6-BD13-2A2C0FDCF5A0}"/>
    <cellStyle name="Comma 3 2 2 4 3 2 3 3" xfId="2496" xr:uid="{A38D183A-685F-4FCB-A71B-F408F2D05DE0}"/>
    <cellStyle name="Comma 3 2 2 4 3 2 4" xfId="2497" xr:uid="{9992862A-E564-4B8A-8548-3B67CB91B637}"/>
    <cellStyle name="Comma 3 2 2 4 3 2 4 2" xfId="2498" xr:uid="{8750EE45-1A43-46D1-8D07-AB63915C3262}"/>
    <cellStyle name="Comma 3 2 2 4 3 2 5" xfId="2499" xr:uid="{1140FCEE-3106-416E-A664-C1AFA2B87E5E}"/>
    <cellStyle name="Comma 3 2 2 4 3 3" xfId="2500" xr:uid="{6663357A-C9A4-4C30-A51A-B5C64758F4C1}"/>
    <cellStyle name="Comma 3 2 2 4 3 3 2" xfId="2501" xr:uid="{339D1171-FD70-4202-82E0-9B6DF14F1915}"/>
    <cellStyle name="Comma 3 2 2 4 3 3 2 2" xfId="2502" xr:uid="{5AD92B9A-1D3D-4D5B-A8A9-6811A5D0FB55}"/>
    <cellStyle name="Comma 3 2 2 4 3 3 2 2 2" xfId="2503" xr:uid="{ADABF480-83A8-4AD1-BCC5-78FE48B2847A}"/>
    <cellStyle name="Comma 3 2 2 4 3 3 2 3" xfId="2504" xr:uid="{B916E822-7D07-40F5-8BB1-A4A3586C53D6}"/>
    <cellStyle name="Comma 3 2 2 4 3 3 3" xfId="2505" xr:uid="{DEF8F7E0-48F6-4CBE-AB24-8C3BC0D2EF34}"/>
    <cellStyle name="Comma 3 2 2 4 3 3 3 2" xfId="2506" xr:uid="{EB33996D-74A1-42E9-95E7-C311BEC279B6}"/>
    <cellStyle name="Comma 3 2 2 4 3 3 4" xfId="2507" xr:uid="{C6CB3365-22A4-4F46-8A77-146FA65C347C}"/>
    <cellStyle name="Comma 3 2 2 4 3 4" xfId="2508" xr:uid="{6319132B-4AD9-416F-AD4E-4E19E827C5A5}"/>
    <cellStyle name="Comma 3 2 2 4 3 4 2" xfId="2509" xr:uid="{7F6422D0-99A4-44EA-88B9-F362652A58AB}"/>
    <cellStyle name="Comma 3 2 2 4 3 4 2 2" xfId="2510" xr:uid="{E2292B8D-C902-4542-A53E-EF9A439D5331}"/>
    <cellStyle name="Comma 3 2 2 4 3 4 3" xfId="2511" xr:uid="{8040B806-6A4D-4F13-B318-6C4A399A9CEB}"/>
    <cellStyle name="Comma 3 2 2 4 3 5" xfId="2512" xr:uid="{257835DA-01E2-475B-BFF6-5AEA7CAFEBDD}"/>
    <cellStyle name="Comma 3 2 2 4 3 5 2" xfId="2513" xr:uid="{147A90AD-0665-4FAF-B00E-4B79899E9067}"/>
    <cellStyle name="Comma 3 2 2 4 3 6" xfId="2514" xr:uid="{F8899482-E3E9-4CD8-8903-A8A0DFDE8614}"/>
    <cellStyle name="Comma 3 2 2 4 4" xfId="2515" xr:uid="{329FDB79-7914-4E02-B8A8-A9016E328C83}"/>
    <cellStyle name="Comma 3 2 2 4 4 2" xfId="2516" xr:uid="{043EA644-AEAC-45DC-8B1A-311C21671691}"/>
    <cellStyle name="Comma 3 2 2 4 4 2 2" xfId="2517" xr:uid="{3236A1B5-7894-4986-A92F-829EC189D2BA}"/>
    <cellStyle name="Comma 3 2 2 4 4 2 2 2" xfId="2518" xr:uid="{2E4FE35E-A48D-4278-8F79-A6FE096207FC}"/>
    <cellStyle name="Comma 3 2 2 4 4 2 2 2 2" xfId="2519" xr:uid="{5F3E1319-F13A-4ED6-AE90-4830151AF544}"/>
    <cellStyle name="Comma 3 2 2 4 4 2 2 3" xfId="2520" xr:uid="{6712469E-4C93-40BE-BC0D-7F7A2C8BC3A1}"/>
    <cellStyle name="Comma 3 2 2 4 4 2 3" xfId="2521" xr:uid="{C178FEFC-9B17-4589-8FDE-B454554A762A}"/>
    <cellStyle name="Comma 3 2 2 4 4 2 3 2" xfId="2522" xr:uid="{A89ED701-FE6A-45AA-B98F-6C5BEF1CE437}"/>
    <cellStyle name="Comma 3 2 2 4 4 2 4" xfId="2523" xr:uid="{7F9257D7-492E-4D24-B789-FCF8ED16E815}"/>
    <cellStyle name="Comma 3 2 2 4 4 3" xfId="2524" xr:uid="{61793B16-B37C-4A21-87E1-E1856BE34281}"/>
    <cellStyle name="Comma 3 2 2 4 4 3 2" xfId="2525" xr:uid="{C02DA8AE-19B1-4851-86F8-B486EAF17C02}"/>
    <cellStyle name="Comma 3 2 2 4 4 3 2 2" xfId="2526" xr:uid="{9D824080-9B60-46FF-8E36-112F34ED98A1}"/>
    <cellStyle name="Comma 3 2 2 4 4 3 3" xfId="2527" xr:uid="{8B803A0D-9724-41AD-B939-4065E8B6E37E}"/>
    <cellStyle name="Comma 3 2 2 4 4 4" xfId="2528" xr:uid="{C26C85A8-3553-47DA-9068-78ABC3C954F8}"/>
    <cellStyle name="Comma 3 2 2 4 4 4 2" xfId="2529" xr:uid="{A195E1C4-C3C2-4A11-8B62-2F4A9E3E3AFD}"/>
    <cellStyle name="Comma 3 2 2 4 4 5" xfId="2530" xr:uid="{0BD64D95-A120-4C76-BA33-57B4DA9ACE63}"/>
    <cellStyle name="Comma 3 2 2 4 5" xfId="2531" xr:uid="{8AFE9999-2EBD-4E4B-A85F-06AE06DAD36A}"/>
    <cellStyle name="Comma 3 2 2 4 5 2" xfId="2532" xr:uid="{AE8F9CAF-D90F-4819-8DF1-A82267004E63}"/>
    <cellStyle name="Comma 3 2 2 4 5 2 2" xfId="2533" xr:uid="{EC9E3A20-3767-4589-8978-477FBD3A1ECC}"/>
    <cellStyle name="Comma 3 2 2 4 5 2 2 2" xfId="2534" xr:uid="{B0647B98-CADC-4E7D-AAE0-799C8ED51209}"/>
    <cellStyle name="Comma 3 2 2 4 5 2 3" xfId="2535" xr:uid="{68191A1D-DD3B-45A0-82DF-120C71DF35F5}"/>
    <cellStyle name="Comma 3 2 2 4 5 3" xfId="2536" xr:uid="{FACE8CAE-9101-46E4-9B49-D0458B9E349C}"/>
    <cellStyle name="Comma 3 2 2 4 5 3 2" xfId="2537" xr:uid="{98888B67-1580-4E27-8D75-2C5C926265FA}"/>
    <cellStyle name="Comma 3 2 2 4 5 4" xfId="2538" xr:uid="{AC9FAFC1-E0FC-47DB-BBF7-E9DBAF14653E}"/>
    <cellStyle name="Comma 3 2 2 4 6" xfId="2539" xr:uid="{0DCAEAB0-6A8A-4E9C-90EA-C458FEBBE9B9}"/>
    <cellStyle name="Comma 3 2 2 4 6 2" xfId="2540" xr:uid="{2BE3556E-1CFC-43F9-AD23-DEAD2E61B291}"/>
    <cellStyle name="Comma 3 2 2 4 6 2 2" xfId="2541" xr:uid="{4C7E5699-EFA7-4845-8C17-16963D7ECFCB}"/>
    <cellStyle name="Comma 3 2 2 4 6 3" xfId="2542" xr:uid="{E7B0E29E-DD5A-4BF9-A0A0-5314C6A07398}"/>
    <cellStyle name="Comma 3 2 2 4 7" xfId="2543" xr:uid="{428B9376-8A5A-40C1-8291-B10592BA755E}"/>
    <cellStyle name="Comma 3 2 2 4 7 2" xfId="2544" xr:uid="{2CB412A7-32C1-4216-9D23-B41FBCB4D13E}"/>
    <cellStyle name="Comma 3 2 2 4 8" xfId="2545" xr:uid="{2EEB25F0-7BE4-4FD8-A184-8139566BD124}"/>
    <cellStyle name="Comma 3 2 2 5" xfId="2546" xr:uid="{37121B82-8BC9-448D-823A-BC09C1F67460}"/>
    <cellStyle name="Comma 3 2 2 5 2" xfId="2547" xr:uid="{4993551E-402D-4C69-BC3A-54D3B894C217}"/>
    <cellStyle name="Comma 3 2 2 5 2 2" xfId="2548" xr:uid="{3706F4B8-0D1E-473A-A89C-86A1B3B96F60}"/>
    <cellStyle name="Comma 3 2 2 5 2 2 2" xfId="2549" xr:uid="{DB826DFD-2E44-4CAF-AEDC-7C41779BC8D4}"/>
    <cellStyle name="Comma 3 2 2 5 2 2 2 2" xfId="2550" xr:uid="{8B0C42D2-2E0B-428D-97CC-DEF718C5CC49}"/>
    <cellStyle name="Comma 3 2 2 5 2 2 2 2 2" xfId="2551" xr:uid="{6291E5A5-A44C-43EC-83E2-8AC7D98FFA06}"/>
    <cellStyle name="Comma 3 2 2 5 2 2 2 2 2 2" xfId="2552" xr:uid="{4953BCD9-1B40-4FA8-9064-D51C686C16B0}"/>
    <cellStyle name="Comma 3 2 2 5 2 2 2 2 3" xfId="2553" xr:uid="{8162DEA7-DACB-4F9D-9582-8DB9D5C15B67}"/>
    <cellStyle name="Comma 3 2 2 5 2 2 2 3" xfId="2554" xr:uid="{59728401-CC3F-4EF6-8328-412B6FAC4DB3}"/>
    <cellStyle name="Comma 3 2 2 5 2 2 2 3 2" xfId="2555" xr:uid="{78772149-BA7D-4416-B725-3A98CF05CDCC}"/>
    <cellStyle name="Comma 3 2 2 5 2 2 2 4" xfId="2556" xr:uid="{7744C5AF-12DF-40B2-9AD7-1A59CAAF0AD6}"/>
    <cellStyle name="Comma 3 2 2 5 2 2 3" xfId="2557" xr:uid="{126E481E-1630-4FEC-AC78-6ACE2E78BE54}"/>
    <cellStyle name="Comma 3 2 2 5 2 2 3 2" xfId="2558" xr:uid="{4CEB43C9-1FC9-42F3-A117-2FDFDE3D8F4F}"/>
    <cellStyle name="Comma 3 2 2 5 2 2 3 2 2" xfId="2559" xr:uid="{060BB5B4-8FC6-4651-8C62-024994543BEC}"/>
    <cellStyle name="Comma 3 2 2 5 2 2 3 3" xfId="2560" xr:uid="{6B2A9011-E352-475D-9DA9-A60DF82B44D7}"/>
    <cellStyle name="Comma 3 2 2 5 2 2 4" xfId="2561" xr:uid="{11A15B04-AA19-42E9-BA83-BD2DC03A107E}"/>
    <cellStyle name="Comma 3 2 2 5 2 2 4 2" xfId="2562" xr:uid="{130F7B8E-5910-4000-BCAE-0D06A116DFA5}"/>
    <cellStyle name="Comma 3 2 2 5 2 2 5" xfId="2563" xr:uid="{6812F9CF-9A2E-4F16-B9AC-17F81ADE2E5F}"/>
    <cellStyle name="Comma 3 2 2 5 2 3" xfId="2564" xr:uid="{A8551C8C-A823-45D1-9185-E0494C807FD3}"/>
    <cellStyle name="Comma 3 2 2 5 2 3 2" xfId="2565" xr:uid="{28DE42A8-261E-4AF0-AFAD-C7358402C168}"/>
    <cellStyle name="Comma 3 2 2 5 2 3 2 2" xfId="2566" xr:uid="{24141E40-982C-4B87-BCD6-635E1A6F3C9F}"/>
    <cellStyle name="Comma 3 2 2 5 2 3 2 2 2" xfId="2567" xr:uid="{F7D669A8-DDF8-46D2-B1EC-2756C65466F7}"/>
    <cellStyle name="Comma 3 2 2 5 2 3 2 3" xfId="2568" xr:uid="{53ACE024-E94D-483B-9B35-A05D5255BE09}"/>
    <cellStyle name="Comma 3 2 2 5 2 3 3" xfId="2569" xr:uid="{740F0919-998F-4B18-B150-7CC2A3FE27CE}"/>
    <cellStyle name="Comma 3 2 2 5 2 3 3 2" xfId="2570" xr:uid="{64B0AF59-244F-4E79-BC89-66385CA3A937}"/>
    <cellStyle name="Comma 3 2 2 5 2 3 4" xfId="2571" xr:uid="{A3348421-0013-4AB3-B705-6C609F0B00BC}"/>
    <cellStyle name="Comma 3 2 2 5 2 4" xfId="2572" xr:uid="{BED06EF5-A6DB-41B4-A045-E04CC2351232}"/>
    <cellStyle name="Comma 3 2 2 5 2 4 2" xfId="2573" xr:uid="{40941695-9F3D-4E9A-BCEF-589C6D1F7853}"/>
    <cellStyle name="Comma 3 2 2 5 2 4 2 2" xfId="2574" xr:uid="{B7B2BA95-1D9D-4234-83A4-28FC1FEB6D9E}"/>
    <cellStyle name="Comma 3 2 2 5 2 4 3" xfId="2575" xr:uid="{554B3203-8C5E-4A57-9AF4-7F255AC83582}"/>
    <cellStyle name="Comma 3 2 2 5 2 5" xfId="2576" xr:uid="{16DC25CA-0CF9-408A-A8A7-727F2A41FDAC}"/>
    <cellStyle name="Comma 3 2 2 5 2 5 2" xfId="2577" xr:uid="{C1DDCF01-2463-45B0-91AA-00D5A6FDC283}"/>
    <cellStyle name="Comma 3 2 2 5 2 6" xfId="2578" xr:uid="{438FA3DB-387A-4F9D-A77C-DA8A53D63D01}"/>
    <cellStyle name="Comma 3 2 2 5 3" xfId="2579" xr:uid="{CE665FEB-C512-40A0-8078-53E6BB8A322F}"/>
    <cellStyle name="Comma 3 2 2 5 3 2" xfId="2580" xr:uid="{FF667986-A80B-4BC3-9333-6CFB2C9834B6}"/>
    <cellStyle name="Comma 3 2 2 5 3 2 2" xfId="2581" xr:uid="{2475C8F5-E513-43ED-8E0D-9623DD824EFF}"/>
    <cellStyle name="Comma 3 2 2 5 3 2 2 2" xfId="2582" xr:uid="{9AF6B879-E142-4CCA-90AB-8C25D465AE7D}"/>
    <cellStyle name="Comma 3 2 2 5 3 2 2 2 2" xfId="2583" xr:uid="{819887A2-9B04-4E01-8E70-86CAA73ECF40}"/>
    <cellStyle name="Comma 3 2 2 5 3 2 2 3" xfId="2584" xr:uid="{384CC1DC-5788-4958-B670-F81B108BB87C}"/>
    <cellStyle name="Comma 3 2 2 5 3 2 3" xfId="2585" xr:uid="{FAB60BC4-A126-4C3A-9DB8-2CBE4EA49001}"/>
    <cellStyle name="Comma 3 2 2 5 3 2 3 2" xfId="2586" xr:uid="{91DD83F3-E087-4001-B9D3-7717F63E2215}"/>
    <cellStyle name="Comma 3 2 2 5 3 2 4" xfId="2587" xr:uid="{31AE05A8-BB69-433D-980E-E82E22DE4B7C}"/>
    <cellStyle name="Comma 3 2 2 5 3 3" xfId="2588" xr:uid="{D447F0F8-D452-41D5-8617-828E4554D5EB}"/>
    <cellStyle name="Comma 3 2 2 5 3 3 2" xfId="2589" xr:uid="{B0F39B79-C0C2-41FC-A9E5-BD598AAC1DED}"/>
    <cellStyle name="Comma 3 2 2 5 3 3 2 2" xfId="2590" xr:uid="{BE0E3CD5-4B6D-4A10-AFDF-AEB2C92B0E7F}"/>
    <cellStyle name="Comma 3 2 2 5 3 3 3" xfId="2591" xr:uid="{10D31ECB-11DC-4E37-AB76-C3DE8378CDF5}"/>
    <cellStyle name="Comma 3 2 2 5 3 4" xfId="2592" xr:uid="{F63C35BA-D6BA-4FC6-B097-4BD47FC29F6D}"/>
    <cellStyle name="Comma 3 2 2 5 3 4 2" xfId="2593" xr:uid="{7EDF441B-88A4-4636-9A75-DCA96B234AAA}"/>
    <cellStyle name="Comma 3 2 2 5 3 5" xfId="2594" xr:uid="{B4440DB0-2CAC-4A64-A8F3-8139D0FDC0AE}"/>
    <cellStyle name="Comma 3 2 2 5 4" xfId="2595" xr:uid="{FF1696DF-41D6-493B-8AEF-024D1F8F4E14}"/>
    <cellStyle name="Comma 3 2 2 5 4 2" xfId="2596" xr:uid="{F0B394E5-16C7-429B-AF75-C0B8BC6D7F76}"/>
    <cellStyle name="Comma 3 2 2 5 4 2 2" xfId="2597" xr:uid="{3F68F1E5-ED55-4FD5-9BFE-FB5D0E4C1389}"/>
    <cellStyle name="Comma 3 2 2 5 4 2 2 2" xfId="2598" xr:uid="{366D7EA9-902D-4DB2-BB98-98D08AF723BC}"/>
    <cellStyle name="Comma 3 2 2 5 4 2 3" xfId="2599" xr:uid="{0483AF19-947D-4C84-8130-B19D5645BED5}"/>
    <cellStyle name="Comma 3 2 2 5 4 3" xfId="2600" xr:uid="{B161DD13-D305-4313-BB0F-EBD04173AFEB}"/>
    <cellStyle name="Comma 3 2 2 5 4 3 2" xfId="2601" xr:uid="{4FE0B530-B3D9-4365-B2E1-E42B10AC20D0}"/>
    <cellStyle name="Comma 3 2 2 5 4 4" xfId="2602" xr:uid="{A7AE3D6C-0355-4952-8273-5CB29244B299}"/>
    <cellStyle name="Comma 3 2 2 5 5" xfId="2603" xr:uid="{60B1662B-755F-44ED-A6F2-45DE98892A9B}"/>
    <cellStyle name="Comma 3 2 2 5 5 2" xfId="2604" xr:uid="{3942AB93-D8CE-4BBC-976D-368D108BC27D}"/>
    <cellStyle name="Comma 3 2 2 5 5 2 2" xfId="2605" xr:uid="{65122D81-32BB-47BC-9D79-BF11E94CDDD6}"/>
    <cellStyle name="Comma 3 2 2 5 5 3" xfId="2606" xr:uid="{98467404-B920-4792-9C27-5046B9A83297}"/>
    <cellStyle name="Comma 3 2 2 5 6" xfId="2607" xr:uid="{1989F939-4BCF-4942-8EE5-2452503604EA}"/>
    <cellStyle name="Comma 3 2 2 5 6 2" xfId="2608" xr:uid="{EBB60535-508E-4E23-81BC-25E4BC83C5E9}"/>
    <cellStyle name="Comma 3 2 2 5 7" xfId="2609" xr:uid="{C83BF0D6-B621-4949-9085-BCFCA5136B0E}"/>
    <cellStyle name="Comma 3 2 2 6" xfId="2610" xr:uid="{3917947F-A6DE-4D99-8741-A0AEFCAF7B2C}"/>
    <cellStyle name="Comma 3 2 2 6 2" xfId="2611" xr:uid="{14733750-12FA-407E-9DE4-5079943FC641}"/>
    <cellStyle name="Comma 3 2 2 6 2 2" xfId="2612" xr:uid="{65C2F316-49C0-4427-B14C-A70C3205E79F}"/>
    <cellStyle name="Comma 3 2 2 6 2 2 2" xfId="2613" xr:uid="{BE4500D3-AB82-4952-AC95-F830B60E1D7A}"/>
    <cellStyle name="Comma 3 2 2 6 2 2 2 2" xfId="2614" xr:uid="{245CCC52-1D57-45BA-94CA-FF00BC84CD45}"/>
    <cellStyle name="Comma 3 2 2 6 2 2 2 2 2" xfId="2615" xr:uid="{27ED118D-BAF7-41A4-A578-EC9F9AF55A10}"/>
    <cellStyle name="Comma 3 2 2 6 2 2 2 3" xfId="2616" xr:uid="{52602EC3-8240-48F5-B699-E2E20439FC36}"/>
    <cellStyle name="Comma 3 2 2 6 2 2 3" xfId="2617" xr:uid="{BBA933D2-7047-4307-9383-87D78D988C9B}"/>
    <cellStyle name="Comma 3 2 2 6 2 2 3 2" xfId="2618" xr:uid="{0CDEBAA8-CB3C-4E1E-939A-9A06DDC8776B}"/>
    <cellStyle name="Comma 3 2 2 6 2 2 4" xfId="2619" xr:uid="{9C038722-C75E-4877-9B1E-C4F49F609610}"/>
    <cellStyle name="Comma 3 2 2 6 2 3" xfId="2620" xr:uid="{3CDD0B63-8247-4997-943B-954FD4EA50C8}"/>
    <cellStyle name="Comma 3 2 2 6 2 3 2" xfId="2621" xr:uid="{46D557BE-96DB-4E6D-BE3F-9DC8832BBF79}"/>
    <cellStyle name="Comma 3 2 2 6 2 3 2 2" xfId="2622" xr:uid="{127D499D-6AF2-4D18-989C-F1DAF803C2F2}"/>
    <cellStyle name="Comma 3 2 2 6 2 3 3" xfId="2623" xr:uid="{549498E8-05B8-45A2-B99E-4F7FDFD05528}"/>
    <cellStyle name="Comma 3 2 2 6 2 4" xfId="2624" xr:uid="{61C0AEAD-7426-48C9-AB24-D0D7768E7CD8}"/>
    <cellStyle name="Comma 3 2 2 6 2 4 2" xfId="2625" xr:uid="{613471E8-BC7B-4CDB-B0B3-6694F3D19F0B}"/>
    <cellStyle name="Comma 3 2 2 6 2 5" xfId="2626" xr:uid="{C31B6356-95F9-4BB2-85E1-DD4754475A81}"/>
    <cellStyle name="Comma 3 2 2 6 3" xfId="2627" xr:uid="{81EC3D9A-4755-4E7D-AF5B-8941F7769FEE}"/>
    <cellStyle name="Comma 3 2 2 6 3 2" xfId="2628" xr:uid="{97C599AB-0357-4994-AA40-2CABA8E90BE9}"/>
    <cellStyle name="Comma 3 2 2 6 3 2 2" xfId="2629" xr:uid="{7A46EE6C-D632-42B7-AD93-6F32CE2094A4}"/>
    <cellStyle name="Comma 3 2 2 6 3 2 2 2" xfId="2630" xr:uid="{044FD405-A1A7-49A5-B4D2-EF463744F94D}"/>
    <cellStyle name="Comma 3 2 2 6 3 2 3" xfId="2631" xr:uid="{7433A520-7089-493B-96FE-468A9C80395D}"/>
    <cellStyle name="Comma 3 2 2 6 3 3" xfId="2632" xr:uid="{5E773F8F-E93C-4A06-B467-A3DBCC0DA9E0}"/>
    <cellStyle name="Comma 3 2 2 6 3 3 2" xfId="2633" xr:uid="{5E45FC37-8522-4AE4-8836-B77331625537}"/>
    <cellStyle name="Comma 3 2 2 6 3 4" xfId="2634" xr:uid="{713AA426-310D-461A-A182-F3FB6DDDDB20}"/>
    <cellStyle name="Comma 3 2 2 6 4" xfId="2635" xr:uid="{1DCB58AB-D22E-4A03-8DFA-75950106AC77}"/>
    <cellStyle name="Comma 3 2 2 6 4 2" xfId="2636" xr:uid="{D18CBD72-627B-416E-988C-C08FF77C46D0}"/>
    <cellStyle name="Comma 3 2 2 6 4 2 2" xfId="2637" xr:uid="{D4D58846-079C-4F5F-84F0-EA8B47B48BC2}"/>
    <cellStyle name="Comma 3 2 2 6 4 3" xfId="2638" xr:uid="{5452D08C-FC24-488C-9DB6-85AF9E4252C7}"/>
    <cellStyle name="Comma 3 2 2 6 5" xfId="2639" xr:uid="{9C91B318-22C4-4F9A-B79A-70E410A2FF87}"/>
    <cellStyle name="Comma 3 2 2 6 5 2" xfId="2640" xr:uid="{E07B7513-8BCB-47BA-B595-6AE3B28A3DF2}"/>
    <cellStyle name="Comma 3 2 2 6 6" xfId="2641" xr:uid="{D606A870-D142-4946-A754-15104B5D9A41}"/>
    <cellStyle name="Comma 3 2 2 7" xfId="2642" xr:uid="{D87A16E7-6299-475B-A2DA-414288BF6258}"/>
    <cellStyle name="Comma 3 2 2 7 2" xfId="2643" xr:uid="{8AE20B5E-B185-4CC4-9743-2396C52A2764}"/>
    <cellStyle name="Comma 3 2 2 7 2 2" xfId="2644" xr:uid="{B01BC09A-C87E-4605-82FD-3C30A7E44273}"/>
    <cellStyle name="Comma 3 2 2 7 2 2 2" xfId="2645" xr:uid="{D89EA1F4-2419-409C-86CF-54DF90567F21}"/>
    <cellStyle name="Comma 3 2 2 7 2 2 2 2" xfId="2646" xr:uid="{E394FCB9-B577-4855-83B4-D31867565D08}"/>
    <cellStyle name="Comma 3 2 2 7 2 2 3" xfId="2647" xr:uid="{C8DEBF86-336D-415E-AB13-2B0F0CEECF34}"/>
    <cellStyle name="Comma 3 2 2 7 2 3" xfId="2648" xr:uid="{04A5706E-B011-4B27-988E-AD0B364A0018}"/>
    <cellStyle name="Comma 3 2 2 7 2 3 2" xfId="2649" xr:uid="{A51837E3-103D-40EE-92CF-06CB2758D504}"/>
    <cellStyle name="Comma 3 2 2 7 2 4" xfId="2650" xr:uid="{19D2B87F-0597-41F5-8A2F-A747F7208E87}"/>
    <cellStyle name="Comma 3 2 2 7 3" xfId="2651" xr:uid="{027808F1-2792-41A6-B216-E2C6A1C5F14B}"/>
    <cellStyle name="Comma 3 2 2 7 3 2" xfId="2652" xr:uid="{73AA16C3-10BE-4CF8-A9D3-226901D45B85}"/>
    <cellStyle name="Comma 3 2 2 7 3 2 2" xfId="2653" xr:uid="{87B21C17-5F9D-40E5-8AC3-3EB508B778D6}"/>
    <cellStyle name="Comma 3 2 2 7 3 3" xfId="2654" xr:uid="{742C1DBE-B3C9-407F-8637-92129E7672AF}"/>
    <cellStyle name="Comma 3 2 2 7 4" xfId="2655" xr:uid="{BA2DCC46-629A-424F-8A2B-E9B7FBCDBE7F}"/>
    <cellStyle name="Comma 3 2 2 7 4 2" xfId="2656" xr:uid="{6E1A2FE1-A555-488E-A6D8-0CA20AE48F31}"/>
    <cellStyle name="Comma 3 2 2 7 5" xfId="2657" xr:uid="{8651BE68-CE07-4C4D-A289-9E545E99BABD}"/>
    <cellStyle name="Comma 3 2 2 8" xfId="2658" xr:uid="{AF61F5B4-786D-4252-884A-AC0B923A9A1E}"/>
    <cellStyle name="Comma 3 2 2 8 2" xfId="2659" xr:uid="{289B17A1-F9F6-47E8-9B17-F4147569C877}"/>
    <cellStyle name="Comma 3 2 2 8 2 2" xfId="2660" xr:uid="{A18814DA-BA97-4DC1-97D8-9AE12D5F52E4}"/>
    <cellStyle name="Comma 3 2 2 8 2 2 2" xfId="2661" xr:uid="{73064166-C4E9-4BCC-9DEE-29D800EEDDDC}"/>
    <cellStyle name="Comma 3 2 2 8 2 3" xfId="2662" xr:uid="{1D6CCC76-C7DE-4BD5-85D3-25F49FEA6195}"/>
    <cellStyle name="Comma 3 2 2 8 3" xfId="2663" xr:uid="{AFACA59F-B2B0-4397-9F1F-C643CD9F75B5}"/>
    <cellStyle name="Comma 3 2 2 8 3 2" xfId="2664" xr:uid="{6010579D-0BE7-4F9A-A4D5-231F11BC1F10}"/>
    <cellStyle name="Comma 3 2 2 8 4" xfId="2665" xr:uid="{5DD2FCB3-32A2-48C0-AF79-1F3256B8E5EC}"/>
    <cellStyle name="Comma 3 2 2 9" xfId="2666" xr:uid="{078822C3-4D02-4061-B0C0-2E2754854D8B}"/>
    <cellStyle name="Comma 3 2 2 9 2" xfId="2667" xr:uid="{79D6A4D5-BB24-4F23-AC8E-A4ACAB18F5BE}"/>
    <cellStyle name="Comma 3 2 2 9 2 2" xfId="2668" xr:uid="{EF816A4B-9F43-4AA0-8422-B4B595E255BA}"/>
    <cellStyle name="Comma 3 2 2 9 3" xfId="2669" xr:uid="{8CB88978-E65C-4ADB-ACB2-EAA56E75C4DA}"/>
    <cellStyle name="Comma 3 2 3" xfId="2670" xr:uid="{E34F43B7-6034-4F30-8F14-B7884904A725}"/>
    <cellStyle name="Comma 3 2 3 2" xfId="2671" xr:uid="{5DE43CFF-154F-4158-B178-5E059E2221A6}"/>
    <cellStyle name="Comma 3 2 3 2 2" xfId="2672" xr:uid="{A822D2EC-EEA6-4741-9E47-D33DC29866F6}"/>
    <cellStyle name="Comma 3 2 3 2 2 2" xfId="2673" xr:uid="{A56143BE-E64B-48EC-9668-203EF40D868A}"/>
    <cellStyle name="Comma 3 2 3 2 2 2 2" xfId="2674" xr:uid="{5A436F6D-2DDE-415B-95FC-0C0414AA8317}"/>
    <cellStyle name="Comma 3 2 3 2 2 2 2 2" xfId="2675" xr:uid="{FC946770-A23C-40A3-8A7E-B9F3C400E41A}"/>
    <cellStyle name="Comma 3 2 3 2 2 2 2 2 2" xfId="2676" xr:uid="{603FE2C4-6332-46A4-917F-9C03E5414B8F}"/>
    <cellStyle name="Comma 3 2 3 2 2 2 2 2 2 2" xfId="2677" xr:uid="{5D74C377-3E87-4B02-87EC-2917F27C60F6}"/>
    <cellStyle name="Comma 3 2 3 2 2 2 2 2 3" xfId="2678" xr:uid="{7E044497-23E6-40BA-9DF8-2D967E05AED2}"/>
    <cellStyle name="Comma 3 2 3 2 2 2 2 3" xfId="2679" xr:uid="{EC4FED00-C482-4167-B092-932389846F9A}"/>
    <cellStyle name="Comma 3 2 3 2 2 2 2 3 2" xfId="2680" xr:uid="{029BAA5D-F736-4552-9E32-D96719E81EF3}"/>
    <cellStyle name="Comma 3 2 3 2 2 2 2 4" xfId="2681" xr:uid="{965EECD9-F3EB-4C70-9B28-ACFE27B9E0BC}"/>
    <cellStyle name="Comma 3 2 3 2 2 2 3" xfId="2682" xr:uid="{B375CFFF-2290-4F14-BE66-54F19DCE9866}"/>
    <cellStyle name="Comma 3 2 3 2 2 2 3 2" xfId="2683" xr:uid="{CEC21B5A-C8F5-4150-8D54-82382D41F9B0}"/>
    <cellStyle name="Comma 3 2 3 2 2 2 3 2 2" xfId="2684" xr:uid="{DB151491-AC06-4332-97C9-156BED3DDD09}"/>
    <cellStyle name="Comma 3 2 3 2 2 2 3 3" xfId="2685" xr:uid="{419B8813-0759-4160-9100-B56454B393BC}"/>
    <cellStyle name="Comma 3 2 3 2 2 2 4" xfId="2686" xr:uid="{3F3C0E53-1220-48FC-97EB-FEF48CA45187}"/>
    <cellStyle name="Comma 3 2 3 2 2 2 4 2" xfId="2687" xr:uid="{191DC7D2-0EA1-4D75-972F-4473AC4CADD9}"/>
    <cellStyle name="Comma 3 2 3 2 2 2 5" xfId="2688" xr:uid="{EE9B3453-B71B-4C8F-82FE-372300B912CE}"/>
    <cellStyle name="Comma 3 2 3 2 2 3" xfId="2689" xr:uid="{42420405-AC63-4F69-BB04-39D5F1731736}"/>
    <cellStyle name="Comma 3 2 3 2 2 3 2" xfId="2690" xr:uid="{1C4DB3D7-0C23-46AD-9AF7-887A72E14E9B}"/>
    <cellStyle name="Comma 3 2 3 2 2 3 2 2" xfId="2691" xr:uid="{3B8E0AFB-C960-43AD-B055-83683BC02BE0}"/>
    <cellStyle name="Comma 3 2 3 2 2 3 2 2 2" xfId="2692" xr:uid="{B6715D8E-9AF2-4814-AD21-C767CA26B3D6}"/>
    <cellStyle name="Comma 3 2 3 2 2 3 2 3" xfId="2693" xr:uid="{44793E28-1F56-45C1-AFB3-114421300A49}"/>
    <cellStyle name="Comma 3 2 3 2 2 3 3" xfId="2694" xr:uid="{F560A09C-93DE-45A3-AFD2-E51B5CE26686}"/>
    <cellStyle name="Comma 3 2 3 2 2 3 3 2" xfId="2695" xr:uid="{4BD9B4FC-1519-4B6A-BEB5-1BBCF39BCABE}"/>
    <cellStyle name="Comma 3 2 3 2 2 3 4" xfId="2696" xr:uid="{2EE03DE5-329B-412A-A240-B3A70281F364}"/>
    <cellStyle name="Comma 3 2 3 2 2 4" xfId="2697" xr:uid="{603E4189-7BB9-4597-A47E-7277F51B50D8}"/>
    <cellStyle name="Comma 3 2 3 2 2 4 2" xfId="2698" xr:uid="{0AFE2600-B138-4CF5-8368-46CDF78B69F3}"/>
    <cellStyle name="Comma 3 2 3 2 2 4 2 2" xfId="2699" xr:uid="{B07D4443-BBBE-4FB6-84F4-23413A82412F}"/>
    <cellStyle name="Comma 3 2 3 2 2 4 3" xfId="2700" xr:uid="{BC6DE031-72C1-4166-B04D-ED072EB26AA3}"/>
    <cellStyle name="Comma 3 2 3 2 2 5" xfId="2701" xr:uid="{47774614-99EC-4855-83AB-71548B2B697C}"/>
    <cellStyle name="Comma 3 2 3 2 2 5 2" xfId="2702" xr:uid="{FEDC2BC4-174E-48C0-B30D-89CCC798607F}"/>
    <cellStyle name="Comma 3 2 3 2 2 6" xfId="2703" xr:uid="{3C583BE5-A8A7-4CDC-A615-D0ECBDC062A6}"/>
    <cellStyle name="Comma 3 2 3 2 3" xfId="2704" xr:uid="{3568E514-1076-4AD2-AFE7-39703E5AC5EE}"/>
    <cellStyle name="Comma 3 2 3 2 3 2" xfId="2705" xr:uid="{E023F83A-C233-4907-85ED-5EA4FE34DEEE}"/>
    <cellStyle name="Comma 3 2 3 2 3 2 2" xfId="2706" xr:uid="{51B15469-1391-4FFD-B3B8-E88123090388}"/>
    <cellStyle name="Comma 3 2 3 2 3 2 2 2" xfId="2707" xr:uid="{99C3FC8D-3696-4C8C-88FA-DF76D5E0A63F}"/>
    <cellStyle name="Comma 3 2 3 2 3 2 2 2 2" xfId="2708" xr:uid="{014CAD3C-29BC-4109-82D8-622E9624CBBF}"/>
    <cellStyle name="Comma 3 2 3 2 3 2 2 3" xfId="2709" xr:uid="{5DD8E876-0A3B-4FD1-A75B-D9EA9AEB1675}"/>
    <cellStyle name="Comma 3 2 3 2 3 2 3" xfId="2710" xr:uid="{FE99E901-10EB-42F6-85F7-25800278195F}"/>
    <cellStyle name="Comma 3 2 3 2 3 2 3 2" xfId="2711" xr:uid="{3A99540B-F381-4996-BE63-429AB5C42302}"/>
    <cellStyle name="Comma 3 2 3 2 3 2 4" xfId="2712" xr:uid="{2702BE00-434C-473B-B303-2A6EC9EBDE34}"/>
    <cellStyle name="Comma 3 2 3 2 3 3" xfId="2713" xr:uid="{6475F36E-A0C5-47C5-BBDB-ED6BFBDDEE21}"/>
    <cellStyle name="Comma 3 2 3 2 3 3 2" xfId="2714" xr:uid="{6450A4F6-FC50-4438-806F-7657F4E92E3F}"/>
    <cellStyle name="Comma 3 2 3 2 3 3 2 2" xfId="2715" xr:uid="{2F5F4D75-0F57-4B61-8976-F39188309135}"/>
    <cellStyle name="Comma 3 2 3 2 3 3 3" xfId="2716" xr:uid="{AC01DCF3-A11A-477A-A2A0-E10C5038CB8E}"/>
    <cellStyle name="Comma 3 2 3 2 3 4" xfId="2717" xr:uid="{91583354-C82C-498C-A96C-668A6809C0A8}"/>
    <cellStyle name="Comma 3 2 3 2 3 4 2" xfId="2718" xr:uid="{F74C891D-4B26-400E-B3E1-4ED47A02D84A}"/>
    <cellStyle name="Comma 3 2 3 2 3 5" xfId="2719" xr:uid="{58C2520F-660F-43D0-A7BD-A136476053CD}"/>
    <cellStyle name="Comma 3 2 3 2 4" xfId="2720" xr:uid="{0018B59E-CF02-4AC6-B240-B873B2372814}"/>
    <cellStyle name="Comma 3 2 3 2 4 2" xfId="2721" xr:uid="{863D11C8-216B-4E03-B852-4C384287FF91}"/>
    <cellStyle name="Comma 3 2 3 2 4 2 2" xfId="2722" xr:uid="{68054164-4293-4692-8F37-330F72D18706}"/>
    <cellStyle name="Comma 3 2 3 2 4 2 2 2" xfId="2723" xr:uid="{8C3F0A9D-5FC0-4EF9-9D19-99F2EB5C3D3F}"/>
    <cellStyle name="Comma 3 2 3 2 4 2 3" xfId="2724" xr:uid="{D759A625-FB3D-451A-BFC1-0EED8D69FBE6}"/>
    <cellStyle name="Comma 3 2 3 2 4 3" xfId="2725" xr:uid="{076369F0-1498-4D81-B0EB-65E74DCDC598}"/>
    <cellStyle name="Comma 3 2 3 2 4 3 2" xfId="2726" xr:uid="{313A33D6-5A06-43EE-9B1E-C964B7F14853}"/>
    <cellStyle name="Comma 3 2 3 2 4 4" xfId="2727" xr:uid="{4AC2FF8E-CCC6-45E3-BB8E-FDC67861AFB8}"/>
    <cellStyle name="Comma 3 2 3 2 5" xfId="2728" xr:uid="{5AABA253-BA70-45E6-9B66-1EAB2971EE33}"/>
    <cellStyle name="Comma 3 2 3 2 5 2" xfId="2729" xr:uid="{C4AAB347-A0D6-45AA-B616-7F4D970D68F2}"/>
    <cellStyle name="Comma 3 2 3 2 5 2 2" xfId="2730" xr:uid="{BF9C0814-0C77-4F39-918B-A09D347126D3}"/>
    <cellStyle name="Comma 3 2 3 2 5 3" xfId="2731" xr:uid="{AF2392E1-47F2-4678-9CB3-351FD0FE4DA7}"/>
    <cellStyle name="Comma 3 2 3 2 6" xfId="2732" xr:uid="{D4337BF5-5D38-4382-96F1-5EC3D56B2FF4}"/>
    <cellStyle name="Comma 3 2 3 2 6 2" xfId="2733" xr:uid="{9C5A4AF3-0E25-48F8-AD02-923695D78FE5}"/>
    <cellStyle name="Comma 3 2 3 2 7" xfId="2734" xr:uid="{084A5DCE-93C0-4975-BD6F-EF84B357691B}"/>
    <cellStyle name="Comma 3 2 3 3" xfId="2735" xr:uid="{ED13B484-9B70-492C-B011-742101E1D25F}"/>
    <cellStyle name="Comma 3 2 3 3 2" xfId="2736" xr:uid="{90742B1C-30E1-4C35-9BB4-160DEC18ADD6}"/>
    <cellStyle name="Comma 3 2 3 3 2 2" xfId="2737" xr:uid="{C568CF23-1D1B-4EE1-821A-1BDA5C4B639C}"/>
    <cellStyle name="Comma 3 2 3 3 2 2 2" xfId="2738" xr:uid="{7180557F-5581-416F-8084-441EE666D009}"/>
    <cellStyle name="Comma 3 2 3 3 2 2 2 2" xfId="2739" xr:uid="{C87F18D9-8A75-44D1-8387-33FC41A5FA70}"/>
    <cellStyle name="Comma 3 2 3 3 2 2 2 2 2" xfId="2740" xr:uid="{1938305F-0BF3-4229-B895-09A4849C6103}"/>
    <cellStyle name="Comma 3 2 3 3 2 2 2 3" xfId="2741" xr:uid="{5F1BA70F-B51F-450F-BAA2-BCFCFC1BF7ED}"/>
    <cellStyle name="Comma 3 2 3 3 2 2 3" xfId="2742" xr:uid="{1015A96F-4EA5-4BA9-9B0C-9E4686E720D0}"/>
    <cellStyle name="Comma 3 2 3 3 2 2 3 2" xfId="2743" xr:uid="{C6292117-969D-4ECD-9216-86E2011AB5C5}"/>
    <cellStyle name="Comma 3 2 3 3 2 2 4" xfId="2744" xr:uid="{D6F4961D-0EE0-4764-994E-673018DE4B87}"/>
    <cellStyle name="Comma 3 2 3 3 2 3" xfId="2745" xr:uid="{A6D9B95D-EDBA-46B6-85EB-D485AD70E74C}"/>
    <cellStyle name="Comma 3 2 3 3 2 3 2" xfId="2746" xr:uid="{D370FEC7-C49A-447C-8FEC-2425128E37C5}"/>
    <cellStyle name="Comma 3 2 3 3 2 3 2 2" xfId="2747" xr:uid="{23FA86C4-B4B9-42A4-9D62-94B77CBCEAA0}"/>
    <cellStyle name="Comma 3 2 3 3 2 3 3" xfId="2748" xr:uid="{BB988C53-2D98-430C-88A5-53A3F8366821}"/>
    <cellStyle name="Comma 3 2 3 3 2 4" xfId="2749" xr:uid="{A6AE028B-F857-4B5B-9281-61C16F06FBEB}"/>
    <cellStyle name="Comma 3 2 3 3 2 4 2" xfId="2750" xr:uid="{A6E06072-B578-4232-8E39-5013741731CD}"/>
    <cellStyle name="Comma 3 2 3 3 2 5" xfId="2751" xr:uid="{0738D6D9-E9E2-484A-AD6F-69873F37B9AE}"/>
    <cellStyle name="Comma 3 2 3 3 3" xfId="2752" xr:uid="{18E86831-2378-4CF6-8837-951B2B5489FC}"/>
    <cellStyle name="Comma 3 2 3 3 3 2" xfId="2753" xr:uid="{EEC06EB1-64C3-4625-9248-586895F475F6}"/>
    <cellStyle name="Comma 3 2 3 3 3 2 2" xfId="2754" xr:uid="{48DBCFF0-4917-40F1-9A52-EB9E97B3386C}"/>
    <cellStyle name="Comma 3 2 3 3 3 2 2 2" xfId="2755" xr:uid="{AF4F39A7-9E46-45FE-BDB5-E7532B916577}"/>
    <cellStyle name="Comma 3 2 3 3 3 2 3" xfId="2756" xr:uid="{5F37268A-E3D7-47A3-B492-71CA35CFFDFF}"/>
    <cellStyle name="Comma 3 2 3 3 3 3" xfId="2757" xr:uid="{B75F7606-36F1-4FBD-8F0E-8763200F4F65}"/>
    <cellStyle name="Comma 3 2 3 3 3 3 2" xfId="2758" xr:uid="{E652CEF3-8136-46D8-9B51-7F65421E5927}"/>
    <cellStyle name="Comma 3 2 3 3 3 4" xfId="2759" xr:uid="{9D5DFBA4-E8EA-4BFB-8E1B-95B03EEC6542}"/>
    <cellStyle name="Comma 3 2 3 3 4" xfId="2760" xr:uid="{AEED72EC-8CED-43EA-9DA3-C41EE5D6BE70}"/>
    <cellStyle name="Comma 3 2 3 3 4 2" xfId="2761" xr:uid="{26490A4F-D962-4C05-8F41-448B0B2A25C8}"/>
    <cellStyle name="Comma 3 2 3 3 4 2 2" xfId="2762" xr:uid="{8695E34A-41E9-42D8-84F4-1A9184CEF536}"/>
    <cellStyle name="Comma 3 2 3 3 4 3" xfId="2763" xr:uid="{154B8A4B-4CFD-4DC0-A083-1EB642F93001}"/>
    <cellStyle name="Comma 3 2 3 3 5" xfId="2764" xr:uid="{B20C3CFF-0D7F-41A9-8332-5F01A2049FB4}"/>
    <cellStyle name="Comma 3 2 3 3 5 2" xfId="2765" xr:uid="{C14EDE87-82C8-4AA2-A64D-31937B2EE9B5}"/>
    <cellStyle name="Comma 3 2 3 3 6" xfId="2766" xr:uid="{7E653657-8E68-462A-8CC9-30F8AAC2CAFB}"/>
    <cellStyle name="Comma 3 2 3 4" xfId="2767" xr:uid="{C3DE9573-AEE6-4870-AF1A-5A0A39E7D418}"/>
    <cellStyle name="Comma 3 2 3 4 2" xfId="2768" xr:uid="{E044FF8F-6CA4-46B3-A014-7DBB33F5EDF8}"/>
    <cellStyle name="Comma 3 2 3 4 2 2" xfId="2769" xr:uid="{E091229F-971F-46E5-9CE6-DC5FD4DCC333}"/>
    <cellStyle name="Comma 3 2 3 4 2 2 2" xfId="2770" xr:uid="{582CFAE7-41E9-495E-A74A-6A456316DB64}"/>
    <cellStyle name="Comma 3 2 3 4 2 2 2 2" xfId="2771" xr:uid="{DC9F4004-63DD-4330-8A79-FA7C8E992697}"/>
    <cellStyle name="Comma 3 2 3 4 2 2 3" xfId="2772" xr:uid="{2CEEDC91-02D5-487D-8E76-5B8189E2FADE}"/>
    <cellStyle name="Comma 3 2 3 4 2 3" xfId="2773" xr:uid="{262F3D45-ECF0-4E60-8FCF-B57CE3C39B2F}"/>
    <cellStyle name="Comma 3 2 3 4 2 3 2" xfId="2774" xr:uid="{AAA50D71-F254-4DD9-8087-5B6B786E3332}"/>
    <cellStyle name="Comma 3 2 3 4 2 4" xfId="2775" xr:uid="{5BD90BC4-F617-4723-8D3C-41D957136E4D}"/>
    <cellStyle name="Comma 3 2 3 4 3" xfId="2776" xr:uid="{CBD45FD6-4E67-4C4F-9658-082EB9CB82CE}"/>
    <cellStyle name="Comma 3 2 3 4 3 2" xfId="2777" xr:uid="{99297956-63BA-4109-B86D-96880A566823}"/>
    <cellStyle name="Comma 3 2 3 4 3 2 2" xfId="2778" xr:uid="{AEFD4955-485D-4648-BD58-7AC84E4BDF75}"/>
    <cellStyle name="Comma 3 2 3 4 3 3" xfId="2779" xr:uid="{0BC6B504-1695-4254-856C-E544B6DAF300}"/>
    <cellStyle name="Comma 3 2 3 4 4" xfId="2780" xr:uid="{C36716BA-0CAC-4D91-80BC-CED4830AEF9D}"/>
    <cellStyle name="Comma 3 2 3 4 4 2" xfId="2781" xr:uid="{CCDF58CF-1E31-4D0F-BA4C-9FA0C29C7241}"/>
    <cellStyle name="Comma 3 2 3 4 5" xfId="2782" xr:uid="{F426DD58-0678-44A3-9910-110F4848CCC4}"/>
    <cellStyle name="Comma 3 2 3 5" xfId="2783" xr:uid="{200608D5-A698-4F0A-B32A-08351642107A}"/>
    <cellStyle name="Comma 3 2 3 5 2" xfId="2784" xr:uid="{B94E4675-E5DE-43F7-B383-F6070356C327}"/>
    <cellStyle name="Comma 3 2 3 5 2 2" xfId="2785" xr:uid="{AACDDEBB-4396-403E-9151-197E73934383}"/>
    <cellStyle name="Comma 3 2 3 5 2 2 2" xfId="2786" xr:uid="{1D0A3D5B-3A96-4F34-AC47-38BE4525EF32}"/>
    <cellStyle name="Comma 3 2 3 5 2 3" xfId="2787" xr:uid="{3A6F424F-5490-46DE-9272-E89F5A402FBE}"/>
    <cellStyle name="Comma 3 2 3 5 3" xfId="2788" xr:uid="{F48D6CF6-78AE-4C3A-AE06-712DF17593D9}"/>
    <cellStyle name="Comma 3 2 3 5 3 2" xfId="2789" xr:uid="{A76B1A78-F6B5-46D6-86F0-2192296419BB}"/>
    <cellStyle name="Comma 3 2 3 5 4" xfId="2790" xr:uid="{5FA6017E-BDCC-4668-963B-123690D4397C}"/>
    <cellStyle name="Comma 3 2 3 6" xfId="2791" xr:uid="{F024587B-6D7B-4700-A008-A23A01007AD2}"/>
    <cellStyle name="Comma 3 2 3 6 2" xfId="2792" xr:uid="{ECD02949-0F37-4704-AE9E-30F6974206E3}"/>
    <cellStyle name="Comma 3 2 3 6 2 2" xfId="2793" xr:uid="{7E4E60AC-9A15-4482-85A5-735FD80A7928}"/>
    <cellStyle name="Comma 3 2 3 6 3" xfId="2794" xr:uid="{4447DA0E-3D1B-45E9-A0F3-2E49040656EE}"/>
    <cellStyle name="Comma 3 2 3 7" xfId="2795" xr:uid="{2ABB3D77-4CB9-40F7-8D2A-162B6AD1079D}"/>
    <cellStyle name="Comma 3 2 3 7 2" xfId="2796" xr:uid="{FFB4540A-9B71-4964-AFE6-9FA93FA67EF1}"/>
    <cellStyle name="Comma 3 2 3 8" xfId="2797" xr:uid="{43B7B9EC-2FC2-471F-8259-65A55F8DDB1B}"/>
    <cellStyle name="Comma 3 2 4" xfId="2798" xr:uid="{A7A07C60-8886-4C24-AD14-E102B73106DF}"/>
    <cellStyle name="Comma 3 2 5" xfId="2799" xr:uid="{2D142894-F6AD-455A-8142-CD2EA8A742CD}"/>
    <cellStyle name="Comma 3 2 5 2" xfId="2800" xr:uid="{6CD8B734-D4C5-482F-A78C-4BA127DF783F}"/>
    <cellStyle name="Comma 3 2 5 2 2" xfId="2801" xr:uid="{8C9BD6F3-576B-4DAA-ACAE-59A6BB223CFE}"/>
    <cellStyle name="Comma 3 2 5 2 2 2" xfId="2802" xr:uid="{BD4AA8B5-C594-40A1-9155-533406E18DC0}"/>
    <cellStyle name="Comma 3 2 5 2 2 2 2" xfId="2803" xr:uid="{DD30C02E-2242-4D63-99DA-3193BF2D8EA1}"/>
    <cellStyle name="Comma 3 2 5 2 2 2 2 2" xfId="2804" xr:uid="{969E45E6-C2C8-4FEE-AD6E-98DA25C804FC}"/>
    <cellStyle name="Comma 3 2 5 2 2 2 2 2 2" xfId="2805" xr:uid="{81A5C535-A4CD-4A1E-BAEE-9482E2FD0C05}"/>
    <cellStyle name="Comma 3 2 5 2 2 2 2 2 2 2" xfId="2806" xr:uid="{D005FBB5-CAD2-443B-BAB6-1A7FAB55A1AD}"/>
    <cellStyle name="Comma 3 2 5 2 2 2 2 2 3" xfId="2807" xr:uid="{090DF0FC-3B5E-48A5-8005-F4CCF1E3DA82}"/>
    <cellStyle name="Comma 3 2 5 2 2 2 2 3" xfId="2808" xr:uid="{615E84C2-844A-43DA-8286-ADA37DE154FE}"/>
    <cellStyle name="Comma 3 2 5 2 2 2 2 3 2" xfId="2809" xr:uid="{59443082-569B-4F53-AC9F-53C4A5B24B23}"/>
    <cellStyle name="Comma 3 2 5 2 2 2 2 4" xfId="2810" xr:uid="{05379171-CDE7-47F5-81DA-0D21D710D13E}"/>
    <cellStyle name="Comma 3 2 5 2 2 2 3" xfId="2811" xr:uid="{69DD65C5-9DD8-4C2B-AEDE-A191A2F976FB}"/>
    <cellStyle name="Comma 3 2 5 2 2 2 3 2" xfId="2812" xr:uid="{6DE1A37E-537E-4901-ABFA-05C3BF47B208}"/>
    <cellStyle name="Comma 3 2 5 2 2 2 3 2 2" xfId="2813" xr:uid="{819D72FB-2B29-4767-8901-695E87D02A38}"/>
    <cellStyle name="Comma 3 2 5 2 2 2 3 3" xfId="2814" xr:uid="{53BB11B2-87CC-43C2-82D8-71E2459614E4}"/>
    <cellStyle name="Comma 3 2 5 2 2 2 4" xfId="2815" xr:uid="{FDBB6685-CA0D-4782-9896-7A2CCF73A673}"/>
    <cellStyle name="Comma 3 2 5 2 2 2 4 2" xfId="2816" xr:uid="{5B0A9AD9-2035-4675-899D-DB68481E3A31}"/>
    <cellStyle name="Comma 3 2 5 2 2 2 5" xfId="2817" xr:uid="{095B9F19-29CD-4FB1-A13B-1A8050FF3F15}"/>
    <cellStyle name="Comma 3 2 5 2 2 3" xfId="2818" xr:uid="{358AB243-78C4-4C24-B137-F1859C4019ED}"/>
    <cellStyle name="Comma 3 2 5 2 2 3 2" xfId="2819" xr:uid="{1CAEEA9E-19B4-4FAC-9ADF-95DA5DFDAF48}"/>
    <cellStyle name="Comma 3 2 5 2 2 3 2 2" xfId="2820" xr:uid="{86E776FA-170E-415E-9301-B7433C1A17BD}"/>
    <cellStyle name="Comma 3 2 5 2 2 3 2 2 2" xfId="2821" xr:uid="{E6F22342-35EB-4619-A647-FB3C400380E3}"/>
    <cellStyle name="Comma 3 2 5 2 2 3 2 3" xfId="2822" xr:uid="{9F95E220-0C9A-4198-9FD6-0EBB9CBF5851}"/>
    <cellStyle name="Comma 3 2 5 2 2 3 3" xfId="2823" xr:uid="{BBE352F0-80E5-489F-8135-3CDDDD38AF0D}"/>
    <cellStyle name="Comma 3 2 5 2 2 3 3 2" xfId="2824" xr:uid="{C20F45F9-1C91-4190-9AC9-72E2C2C85B04}"/>
    <cellStyle name="Comma 3 2 5 2 2 3 4" xfId="2825" xr:uid="{CA080DCF-433C-4543-832F-0E7A45ED0F68}"/>
    <cellStyle name="Comma 3 2 5 2 2 4" xfId="2826" xr:uid="{DA2C7D85-9286-49BC-AF9D-B7473760062F}"/>
    <cellStyle name="Comma 3 2 5 2 2 4 2" xfId="2827" xr:uid="{C42C82E6-6C91-4822-A1A9-F15B7B97C7EC}"/>
    <cellStyle name="Comma 3 2 5 2 2 4 2 2" xfId="2828" xr:uid="{885CAF23-D7E1-4046-937A-6F6066408010}"/>
    <cellStyle name="Comma 3 2 5 2 2 4 3" xfId="2829" xr:uid="{85AF1D8D-381D-49E3-AC3F-9E8A422571EC}"/>
    <cellStyle name="Comma 3 2 5 2 2 5" xfId="2830" xr:uid="{CB690E39-7AF1-4BB0-9C87-DB4BB57DB1FF}"/>
    <cellStyle name="Comma 3 2 5 2 2 5 2" xfId="2831" xr:uid="{6F15946E-D8C6-4EAE-9C99-1C62C76A5DCE}"/>
    <cellStyle name="Comma 3 2 5 2 2 6" xfId="2832" xr:uid="{606F1740-F93F-4A54-88E8-BC4360F8B518}"/>
    <cellStyle name="Comma 3 2 5 2 3" xfId="2833" xr:uid="{3D72F5B7-D824-43E4-AD7A-0A638D83AA41}"/>
    <cellStyle name="Comma 3 2 5 2 3 2" xfId="2834" xr:uid="{DE7CE37C-5C29-423C-B275-A748AB44B30B}"/>
    <cellStyle name="Comma 3 2 5 2 3 2 2" xfId="2835" xr:uid="{6CB37B7F-B62E-4D34-86E1-93745072FC16}"/>
    <cellStyle name="Comma 3 2 5 2 3 2 2 2" xfId="2836" xr:uid="{0455E344-2250-460D-BDA2-F9B62F2826E8}"/>
    <cellStyle name="Comma 3 2 5 2 3 2 2 2 2" xfId="2837" xr:uid="{2D33ED71-F646-4A8F-A2EC-EAD723A3A268}"/>
    <cellStyle name="Comma 3 2 5 2 3 2 2 3" xfId="2838" xr:uid="{A88B2969-53D8-48C7-8A2B-CE13537B0184}"/>
    <cellStyle name="Comma 3 2 5 2 3 2 3" xfId="2839" xr:uid="{87B58B0E-3C42-44A5-B53C-74DBFF798C2A}"/>
    <cellStyle name="Comma 3 2 5 2 3 2 3 2" xfId="2840" xr:uid="{A4BF46B4-BB3E-4FB5-A1FA-A6B00E83FD2D}"/>
    <cellStyle name="Comma 3 2 5 2 3 2 4" xfId="2841" xr:uid="{77A9CF62-1FBC-4842-ABE1-0518754AAAA5}"/>
    <cellStyle name="Comma 3 2 5 2 3 3" xfId="2842" xr:uid="{E5056EB6-128C-416A-8DAB-A3E48E431D1A}"/>
    <cellStyle name="Comma 3 2 5 2 3 3 2" xfId="2843" xr:uid="{5571297C-C9AA-4AA0-8941-632E8EC2E72B}"/>
    <cellStyle name="Comma 3 2 5 2 3 3 2 2" xfId="2844" xr:uid="{8E4862E4-F209-4115-8262-22E7A1ACA240}"/>
    <cellStyle name="Comma 3 2 5 2 3 3 3" xfId="2845" xr:uid="{AC1E7B61-C776-4F21-9F24-B57BC72373F8}"/>
    <cellStyle name="Comma 3 2 5 2 3 4" xfId="2846" xr:uid="{042B7F70-08EA-484C-B16B-563021BD780F}"/>
    <cellStyle name="Comma 3 2 5 2 3 4 2" xfId="2847" xr:uid="{01361BD7-D2A5-4225-8D56-E871816B4230}"/>
    <cellStyle name="Comma 3 2 5 2 3 5" xfId="2848" xr:uid="{B0CBBBB3-E1F0-4FE1-96C9-160936091FA2}"/>
    <cellStyle name="Comma 3 2 5 2 4" xfId="2849" xr:uid="{DF40EDDE-C4C3-48A7-8994-0E692750B179}"/>
    <cellStyle name="Comma 3 2 5 2 4 2" xfId="2850" xr:uid="{294680BA-9FD0-4B6A-B8F5-FFB3FE2C5F3A}"/>
    <cellStyle name="Comma 3 2 5 2 4 2 2" xfId="2851" xr:uid="{DE9C039E-CDFA-4C18-AFFC-98FCF3EE44BB}"/>
    <cellStyle name="Comma 3 2 5 2 4 2 2 2" xfId="2852" xr:uid="{3353B520-5E72-4709-B6C8-4C8A54C2118B}"/>
    <cellStyle name="Comma 3 2 5 2 4 2 3" xfId="2853" xr:uid="{1E4E9CE3-75C5-4508-AE1A-B9AD7D57D87D}"/>
    <cellStyle name="Comma 3 2 5 2 4 3" xfId="2854" xr:uid="{D9F65C5E-4E76-40BF-848D-26EC4923B932}"/>
    <cellStyle name="Comma 3 2 5 2 4 3 2" xfId="2855" xr:uid="{5F7C29D8-0C1B-43C9-BEAB-1991A26A5D79}"/>
    <cellStyle name="Comma 3 2 5 2 4 4" xfId="2856" xr:uid="{F1FCE933-7101-4B29-8ED7-24C52699DC6D}"/>
    <cellStyle name="Comma 3 2 5 2 5" xfId="2857" xr:uid="{463FD7D8-7EC5-4F10-9DB1-7A059C4BDA1C}"/>
    <cellStyle name="Comma 3 2 5 2 5 2" xfId="2858" xr:uid="{C39D751D-458E-4157-8F22-B2E82CFE2E2E}"/>
    <cellStyle name="Comma 3 2 5 2 5 2 2" xfId="2859" xr:uid="{CA63C8E4-56BC-44AF-AE83-4B214A286EEA}"/>
    <cellStyle name="Comma 3 2 5 2 5 3" xfId="2860" xr:uid="{BE09BC55-CE36-4B81-BEFE-5CE11C09901F}"/>
    <cellStyle name="Comma 3 2 5 2 6" xfId="2861" xr:uid="{F48ACAFC-8F11-480E-A2E1-62A88D02C070}"/>
    <cellStyle name="Comma 3 2 5 2 6 2" xfId="2862" xr:uid="{84B99C4C-56A3-4437-BEAA-1FC66498BD46}"/>
    <cellStyle name="Comma 3 2 5 2 7" xfId="2863" xr:uid="{8AC98DE3-FECE-47AE-AFA8-AE40F05B6614}"/>
    <cellStyle name="Comma 3 2 5 3" xfId="2864" xr:uid="{853DD675-2AFC-44A8-8938-5A1D5AD9A3FB}"/>
    <cellStyle name="Comma 3 2 5 3 2" xfId="2865" xr:uid="{98BB9345-F1F8-4275-A3CA-302B158237A9}"/>
    <cellStyle name="Comma 3 2 5 3 2 2" xfId="2866" xr:uid="{B05317F6-9BB8-4C95-A69E-73C14492AE17}"/>
    <cellStyle name="Comma 3 2 5 3 2 2 2" xfId="2867" xr:uid="{40EA0B30-4082-4077-AF91-0A10C1227F90}"/>
    <cellStyle name="Comma 3 2 5 3 2 2 2 2" xfId="2868" xr:uid="{2774DAA9-7FFB-4CDE-9104-BD7215F9A15B}"/>
    <cellStyle name="Comma 3 2 5 3 2 2 2 2 2" xfId="2869" xr:uid="{1EEC2703-8E4C-40BD-A695-AF7F0D42F1CC}"/>
    <cellStyle name="Comma 3 2 5 3 2 2 2 3" xfId="2870" xr:uid="{5FC5D71C-1FAC-4347-A6E7-E4D563404D4C}"/>
    <cellStyle name="Comma 3 2 5 3 2 2 3" xfId="2871" xr:uid="{FF22AA16-D731-4FA9-AAE9-6EF00123E3C7}"/>
    <cellStyle name="Comma 3 2 5 3 2 2 3 2" xfId="2872" xr:uid="{D5D3B663-A3A3-44EE-B2B9-A8BF9E96C168}"/>
    <cellStyle name="Comma 3 2 5 3 2 2 4" xfId="2873" xr:uid="{FC7AEAFA-4C1C-4FBA-B42D-552DBF6F2935}"/>
    <cellStyle name="Comma 3 2 5 3 2 3" xfId="2874" xr:uid="{91236367-95FF-4749-AC04-AF5706C9DFD5}"/>
    <cellStyle name="Comma 3 2 5 3 2 3 2" xfId="2875" xr:uid="{93D1B745-78A7-4B7E-84E9-9701BB4FBDE4}"/>
    <cellStyle name="Comma 3 2 5 3 2 3 2 2" xfId="2876" xr:uid="{6117BB37-2B53-41ED-B2E6-1EEB62546737}"/>
    <cellStyle name="Comma 3 2 5 3 2 3 3" xfId="2877" xr:uid="{F0CB4DCB-7E6D-4C78-898F-C6A8AC46EAD9}"/>
    <cellStyle name="Comma 3 2 5 3 2 4" xfId="2878" xr:uid="{7147FBCA-543A-4FB0-A902-6197AEC69034}"/>
    <cellStyle name="Comma 3 2 5 3 2 4 2" xfId="2879" xr:uid="{10855CEF-92F1-40F0-B892-B7FC46C36294}"/>
    <cellStyle name="Comma 3 2 5 3 2 5" xfId="2880" xr:uid="{2146273F-D41F-4D3F-AF47-FB97E349C4E3}"/>
    <cellStyle name="Comma 3 2 5 3 3" xfId="2881" xr:uid="{1D4AFE78-4D7B-4030-B589-0C6366E81993}"/>
    <cellStyle name="Comma 3 2 5 3 3 2" xfId="2882" xr:uid="{C6A325A3-FCAE-4211-9A9B-8DB058FFCB6A}"/>
    <cellStyle name="Comma 3 2 5 3 3 2 2" xfId="2883" xr:uid="{EFE0B181-66D8-4AC6-BEE9-73E9F37FA57F}"/>
    <cellStyle name="Comma 3 2 5 3 3 2 2 2" xfId="2884" xr:uid="{A725DD3B-EE88-4E87-941D-AE5CA6C40787}"/>
    <cellStyle name="Comma 3 2 5 3 3 2 3" xfId="2885" xr:uid="{57B05CDE-C242-42EF-B18F-7D2AB7909B18}"/>
    <cellStyle name="Comma 3 2 5 3 3 3" xfId="2886" xr:uid="{07472EF2-B876-4C0B-A280-D7AD9AE854DA}"/>
    <cellStyle name="Comma 3 2 5 3 3 3 2" xfId="2887" xr:uid="{98726ABD-575E-43B9-8C70-5F3B34F44436}"/>
    <cellStyle name="Comma 3 2 5 3 3 4" xfId="2888" xr:uid="{7FD11FCC-5705-460E-8621-978537AE04FA}"/>
    <cellStyle name="Comma 3 2 5 3 4" xfId="2889" xr:uid="{9D7C29A1-796D-4706-BA89-F200E3BB0C87}"/>
    <cellStyle name="Comma 3 2 5 3 4 2" xfId="2890" xr:uid="{65CD6FA2-3257-4DEC-AB9D-951806062C85}"/>
    <cellStyle name="Comma 3 2 5 3 4 2 2" xfId="2891" xr:uid="{9D639529-DD9E-4B1A-916C-D4914B7E8A0D}"/>
    <cellStyle name="Comma 3 2 5 3 4 3" xfId="2892" xr:uid="{5FDC63A2-E820-4ACF-AE4C-8D6452DF82BA}"/>
    <cellStyle name="Comma 3 2 5 3 5" xfId="2893" xr:uid="{5959DF27-EFB7-432D-AEE7-2D05787D574F}"/>
    <cellStyle name="Comma 3 2 5 3 5 2" xfId="2894" xr:uid="{0D5F877E-F9F1-4F56-BD05-B62D66F534BA}"/>
    <cellStyle name="Comma 3 2 5 3 6" xfId="2895" xr:uid="{CFEDB19B-A1F5-4489-B211-9EAF4E7A139F}"/>
    <cellStyle name="Comma 3 2 5 4" xfId="2896" xr:uid="{29936090-BEFF-4573-8E1F-15BDBD77F57E}"/>
    <cellStyle name="Comma 3 2 5 4 2" xfId="2897" xr:uid="{610652FE-26E9-49BE-883A-9A2BCB4DA9F3}"/>
    <cellStyle name="Comma 3 2 5 4 2 2" xfId="2898" xr:uid="{0E3E7B97-6DE7-4542-8660-A239A5D42D8D}"/>
    <cellStyle name="Comma 3 2 5 4 2 2 2" xfId="2899" xr:uid="{B6F50C49-AEFD-4600-B2B4-22ECBB1AE86E}"/>
    <cellStyle name="Comma 3 2 5 4 2 2 2 2" xfId="2900" xr:uid="{E5E1919B-DB11-4A66-B191-BF11F388BA06}"/>
    <cellStyle name="Comma 3 2 5 4 2 2 3" xfId="2901" xr:uid="{7754ED9B-7A6D-4405-864D-055387D64202}"/>
    <cellStyle name="Comma 3 2 5 4 2 3" xfId="2902" xr:uid="{24375DF7-C413-4081-8483-D64A95AD437C}"/>
    <cellStyle name="Comma 3 2 5 4 2 3 2" xfId="2903" xr:uid="{80BF2864-863F-4C1E-A3E0-16BDC06AD629}"/>
    <cellStyle name="Comma 3 2 5 4 2 4" xfId="2904" xr:uid="{7DA49B41-D88F-4EB8-9E9C-C2767870ADEE}"/>
    <cellStyle name="Comma 3 2 5 4 3" xfId="2905" xr:uid="{0A563F27-A722-4478-AF1E-8D2E75B6DED5}"/>
    <cellStyle name="Comma 3 2 5 4 3 2" xfId="2906" xr:uid="{5F31C141-3571-4393-98A5-2C4D4B87B465}"/>
    <cellStyle name="Comma 3 2 5 4 3 2 2" xfId="2907" xr:uid="{8DEF9894-9503-42F7-984F-6A2CBEE66E96}"/>
    <cellStyle name="Comma 3 2 5 4 3 3" xfId="2908" xr:uid="{54FA7281-F5B8-40DB-AED8-D372A96F5083}"/>
    <cellStyle name="Comma 3 2 5 4 4" xfId="2909" xr:uid="{2B97E1C3-7CA1-4C6F-8680-CEA8A015B9EE}"/>
    <cellStyle name="Comma 3 2 5 4 4 2" xfId="2910" xr:uid="{C38100DC-AA16-49BF-9A88-65ADB71D19F7}"/>
    <cellStyle name="Comma 3 2 5 4 5" xfId="2911" xr:uid="{C81B494A-E524-43D9-95F1-0A4BD37F1AB2}"/>
    <cellStyle name="Comma 3 2 5 5" xfId="2912" xr:uid="{CEBC79BB-AD8F-43B1-9886-94827718F050}"/>
    <cellStyle name="Comma 3 2 5 5 2" xfId="2913" xr:uid="{E303324A-4964-45E8-B7BA-E9BF2E014E78}"/>
    <cellStyle name="Comma 3 2 5 5 2 2" xfId="2914" xr:uid="{F36F9918-1DE8-40AE-8794-E1BF3A9735D0}"/>
    <cellStyle name="Comma 3 2 5 5 2 2 2" xfId="2915" xr:uid="{3160407A-1AC6-41BC-A829-6EA0BCEC4A76}"/>
    <cellStyle name="Comma 3 2 5 5 2 3" xfId="2916" xr:uid="{699A3BC2-04CA-4B64-9779-25181B92FA80}"/>
    <cellStyle name="Comma 3 2 5 5 3" xfId="2917" xr:uid="{755D62D2-A828-4784-8DC8-71BB179A51CA}"/>
    <cellStyle name="Comma 3 2 5 5 3 2" xfId="2918" xr:uid="{128C58ED-0AB5-4563-9D4A-41AF4319F3CE}"/>
    <cellStyle name="Comma 3 2 5 5 4" xfId="2919" xr:uid="{6A460AC4-D69D-4DEB-8A00-8759DC96F0BB}"/>
    <cellStyle name="Comma 3 2 5 6" xfId="2920" xr:uid="{4B9C5168-1D13-4645-AD68-433718ABC78F}"/>
    <cellStyle name="Comma 3 2 5 6 2" xfId="2921" xr:uid="{3A1BBC4A-7238-48B9-B542-B42CC13F6F69}"/>
    <cellStyle name="Comma 3 2 5 6 2 2" xfId="2922" xr:uid="{113C8EE7-DEA8-424C-B288-4E60FE753453}"/>
    <cellStyle name="Comma 3 2 5 6 3" xfId="2923" xr:uid="{D9AF2B79-9C45-47AC-B69F-6278AC51A491}"/>
    <cellStyle name="Comma 3 2 5 7" xfId="2924" xr:uid="{58A109E0-29B2-4C91-B555-75C2B7D86511}"/>
    <cellStyle name="Comma 3 2 5 7 2" xfId="2925" xr:uid="{91B36A27-6041-4B1D-9A28-97C4FF571461}"/>
    <cellStyle name="Comma 3 2 5 8" xfId="2926" xr:uid="{0A98E2BC-B023-4D4D-8810-91315732F94F}"/>
    <cellStyle name="Comma 3 2 6" xfId="2927" xr:uid="{D95FC823-7F5F-4324-BF70-EB9E16C433AD}"/>
    <cellStyle name="Comma 3 2 6 2" xfId="2928" xr:uid="{980CCF0E-2E1F-49C2-BB0F-C87B0C3C24AF}"/>
    <cellStyle name="Comma 3 2 6 2 2" xfId="2929" xr:uid="{5C174D05-D2AA-4946-9197-6D1C50290D94}"/>
    <cellStyle name="Comma 3 2 6 2 2 2" xfId="2930" xr:uid="{71FD3CC2-407D-4D69-BB50-784FF343B685}"/>
    <cellStyle name="Comma 3 2 6 2 2 2 2" xfId="2931" xr:uid="{E54A71A7-4BD2-4A25-A86F-432E13F7DD33}"/>
    <cellStyle name="Comma 3 2 6 2 2 2 2 2" xfId="2932" xr:uid="{65504ED0-26C0-4D56-B4A7-5B2DB1502B53}"/>
    <cellStyle name="Comma 3 2 6 2 2 2 2 2 2" xfId="2933" xr:uid="{090D68F6-0DC9-475E-ACEE-D65772463757}"/>
    <cellStyle name="Comma 3 2 6 2 2 2 2 3" xfId="2934" xr:uid="{6F897F1E-497D-4868-89FE-079DFFFEAE8B}"/>
    <cellStyle name="Comma 3 2 6 2 2 2 3" xfId="2935" xr:uid="{B83B2F9F-FD30-4C50-B36C-B56D9CA60E48}"/>
    <cellStyle name="Comma 3 2 6 2 2 2 3 2" xfId="2936" xr:uid="{23868F43-B187-460F-8C4A-EAF259F9776A}"/>
    <cellStyle name="Comma 3 2 6 2 2 2 4" xfId="2937" xr:uid="{CE710C5F-2432-47F0-AED6-D9719A5E3495}"/>
    <cellStyle name="Comma 3 2 6 2 2 3" xfId="2938" xr:uid="{86F079D3-F759-43C8-BAAE-868D7BA08E7B}"/>
    <cellStyle name="Comma 3 2 6 2 2 3 2" xfId="2939" xr:uid="{25CCA3A6-8613-4038-BABC-65BA0A5637F9}"/>
    <cellStyle name="Comma 3 2 6 2 2 3 2 2" xfId="2940" xr:uid="{2D32C387-D2E3-485D-A7B2-71160173454E}"/>
    <cellStyle name="Comma 3 2 6 2 2 3 3" xfId="2941" xr:uid="{5F3C029E-E5CA-464C-B583-A67329869C27}"/>
    <cellStyle name="Comma 3 2 6 2 2 4" xfId="2942" xr:uid="{E6CC8B28-CAFF-4135-A87F-B3B43573EFD1}"/>
    <cellStyle name="Comma 3 2 6 2 2 4 2" xfId="2943" xr:uid="{1CC4BFBE-A4A3-4E06-BA6F-281B95765A9C}"/>
    <cellStyle name="Comma 3 2 6 2 2 5" xfId="2944" xr:uid="{B6DDCB8A-D561-4340-BF13-9D49A2EA07F3}"/>
    <cellStyle name="Comma 3 2 6 2 3" xfId="2945" xr:uid="{FD3E3C33-91C7-44ED-B751-2C9B8D3240F0}"/>
    <cellStyle name="Comma 3 2 6 2 3 2" xfId="2946" xr:uid="{A4EB0BB1-1412-4FBE-A750-1152D43B84B3}"/>
    <cellStyle name="Comma 3 2 6 2 3 2 2" xfId="2947" xr:uid="{CE3C4ED4-3E9B-4028-802F-74AEBD96DF1F}"/>
    <cellStyle name="Comma 3 2 6 2 3 2 2 2" xfId="2948" xr:uid="{44561078-172A-4D8A-8AD4-620F5511BFA6}"/>
    <cellStyle name="Comma 3 2 6 2 3 2 3" xfId="2949" xr:uid="{C7C715BC-0A8B-4CFE-B95B-914BDCC990C7}"/>
    <cellStyle name="Comma 3 2 6 2 3 3" xfId="2950" xr:uid="{1AEF4D52-2B5B-48BC-B6EC-B6A540E666B5}"/>
    <cellStyle name="Comma 3 2 6 2 3 3 2" xfId="2951" xr:uid="{BEDF2535-E8A3-4F01-A011-F06F4A39CA1E}"/>
    <cellStyle name="Comma 3 2 6 2 3 4" xfId="2952" xr:uid="{C4FFE83F-CF6A-4277-9910-7DC6AD8A61E1}"/>
    <cellStyle name="Comma 3 2 6 2 4" xfId="2953" xr:uid="{55586F06-C8B4-44A4-B569-9535B66D45E4}"/>
    <cellStyle name="Comma 3 2 6 2 4 2" xfId="2954" xr:uid="{2508CC34-E574-4FFB-8DCE-A55DCC783924}"/>
    <cellStyle name="Comma 3 2 6 2 4 2 2" xfId="2955" xr:uid="{4B6BE814-93E2-4338-AF7F-398C866B6F4B}"/>
    <cellStyle name="Comma 3 2 6 2 4 3" xfId="2956" xr:uid="{0409872B-DCDA-46B6-85C9-E2557C0E632A}"/>
    <cellStyle name="Comma 3 2 6 2 5" xfId="2957" xr:uid="{A07A600C-0BF1-48BB-AC3C-A8FBBDCCD87E}"/>
    <cellStyle name="Comma 3 2 6 2 5 2" xfId="2958" xr:uid="{E968F988-7152-49E2-AA11-F7243FECF164}"/>
    <cellStyle name="Comma 3 2 6 2 6" xfId="2959" xr:uid="{8FB7F859-7B76-4167-A19B-701AE6247ACF}"/>
    <cellStyle name="Comma 3 2 6 3" xfId="2960" xr:uid="{97896E16-312B-44C5-91BC-91182A857B7A}"/>
    <cellStyle name="Comma 3 2 6 3 2" xfId="2961" xr:uid="{F4D5E2C8-4DFC-444D-8A09-5E7AF64CC032}"/>
    <cellStyle name="Comma 3 2 6 3 2 2" xfId="2962" xr:uid="{F367724F-3A9E-416B-BD18-4DF604A06611}"/>
    <cellStyle name="Comma 3 2 6 3 2 2 2" xfId="2963" xr:uid="{E9E94541-5F38-4863-B357-4C4AA82BA983}"/>
    <cellStyle name="Comma 3 2 6 3 2 2 2 2" xfId="2964" xr:uid="{8FCC9CA4-29EB-4483-9A67-B70622599BB8}"/>
    <cellStyle name="Comma 3 2 6 3 2 2 3" xfId="2965" xr:uid="{788333A5-4369-46CC-B544-62080F0FC9A9}"/>
    <cellStyle name="Comma 3 2 6 3 2 3" xfId="2966" xr:uid="{6201903E-BA3A-44D1-8CFC-760247AB5726}"/>
    <cellStyle name="Comma 3 2 6 3 2 3 2" xfId="2967" xr:uid="{F13018B7-0328-45AA-A0B9-F6DAA4B2A38F}"/>
    <cellStyle name="Comma 3 2 6 3 2 4" xfId="2968" xr:uid="{EE0A18AD-B6AA-47C7-AAEB-61E4C12B8004}"/>
    <cellStyle name="Comma 3 2 6 3 3" xfId="2969" xr:uid="{D2A8546A-7E23-4D5C-8616-2785AE0461EB}"/>
    <cellStyle name="Comma 3 2 6 3 3 2" xfId="2970" xr:uid="{7B665CDF-C7B5-4C45-B2B5-B48310F96C77}"/>
    <cellStyle name="Comma 3 2 6 3 3 2 2" xfId="2971" xr:uid="{0CB7B7F2-06B7-4B8A-8AAB-8C1AA41EF66E}"/>
    <cellStyle name="Comma 3 2 6 3 3 3" xfId="2972" xr:uid="{52283E0E-E6D2-48CD-A31C-C234B3F06747}"/>
    <cellStyle name="Comma 3 2 6 3 4" xfId="2973" xr:uid="{AA8E1A04-7413-429C-92C6-4D68D6ABB12D}"/>
    <cellStyle name="Comma 3 2 6 3 4 2" xfId="2974" xr:uid="{4C4E7E09-61EB-43B5-92D2-6520679646B8}"/>
    <cellStyle name="Comma 3 2 6 3 5" xfId="2975" xr:uid="{6DA5690F-DA7E-48F0-B101-0EE50F90C7E0}"/>
    <cellStyle name="Comma 3 2 6 4" xfId="2976" xr:uid="{6BD2D343-7F35-449C-8FE7-5D8F16F0A33A}"/>
    <cellStyle name="Comma 3 2 6 4 2" xfId="2977" xr:uid="{2918C738-1061-476B-9278-97B259D0E6C6}"/>
    <cellStyle name="Comma 3 2 6 4 2 2" xfId="2978" xr:uid="{75868887-562A-476B-8C28-19BCB239329D}"/>
    <cellStyle name="Comma 3 2 6 4 2 2 2" xfId="2979" xr:uid="{5E4153CD-BD97-47DA-982D-DE2D22B0C597}"/>
    <cellStyle name="Comma 3 2 6 4 2 3" xfId="2980" xr:uid="{B3B6E7AC-0FF5-47E8-A912-43A48514A88A}"/>
    <cellStyle name="Comma 3 2 6 4 3" xfId="2981" xr:uid="{76C6EE13-8C30-4C76-8A51-E9AB045445FB}"/>
    <cellStyle name="Comma 3 2 6 4 3 2" xfId="2982" xr:uid="{90352ED2-76B0-4B79-B6DB-FA85C6F82249}"/>
    <cellStyle name="Comma 3 2 6 4 4" xfId="2983" xr:uid="{7AB57656-6B8C-4B0F-8616-F3A864586F2A}"/>
    <cellStyle name="Comma 3 2 6 5" xfId="2984" xr:uid="{E89C08AF-B50E-4188-9C8F-53416829E7E0}"/>
    <cellStyle name="Comma 3 2 6 5 2" xfId="2985" xr:uid="{569B4DA8-8FA0-46BE-9EEB-485EF9931D87}"/>
    <cellStyle name="Comma 3 2 6 5 2 2" xfId="2986" xr:uid="{7AEC1D83-96D1-4AE9-B005-59BF4260B722}"/>
    <cellStyle name="Comma 3 2 6 5 3" xfId="2987" xr:uid="{A13B9071-24B4-4E6D-AA0B-1003FBDDB2A8}"/>
    <cellStyle name="Comma 3 2 6 6" xfId="2988" xr:uid="{41471A70-419F-4146-BE3D-AB077AFFFA54}"/>
    <cellStyle name="Comma 3 2 6 6 2" xfId="2989" xr:uid="{A82C2625-8F9D-4E13-9424-786D1BFE10F3}"/>
    <cellStyle name="Comma 3 2 6 7" xfId="2990" xr:uid="{2E6A3CEC-B9D8-4C40-8256-D13974EFD0F1}"/>
    <cellStyle name="Comma 3 2 7" xfId="2991" xr:uid="{694C7D1D-57CB-4640-83D4-E92DD8E46813}"/>
    <cellStyle name="Comma 3 2 7 2" xfId="2992" xr:uid="{521C0B63-88B0-4281-8FA9-08735EBA26BC}"/>
    <cellStyle name="Comma 3 2 7 2 2" xfId="2993" xr:uid="{C8193185-E540-4313-A51A-E6769C593581}"/>
    <cellStyle name="Comma 3 2 7 2 2 2" xfId="2994" xr:uid="{F286C6CD-5872-48C5-8014-BD7051655E6C}"/>
    <cellStyle name="Comma 3 2 7 2 2 2 2" xfId="2995" xr:uid="{168C108A-A273-4061-9D60-89B50705F753}"/>
    <cellStyle name="Comma 3 2 7 2 2 2 2 2" xfId="2996" xr:uid="{341FA3DD-80D6-4401-A948-3AE137A7EA93}"/>
    <cellStyle name="Comma 3 2 7 2 2 2 3" xfId="2997" xr:uid="{B0523F84-5AB0-4E5D-A997-86657FB05925}"/>
    <cellStyle name="Comma 3 2 7 2 2 3" xfId="2998" xr:uid="{8BE5695A-672D-40CC-868B-9BD69E51B8E2}"/>
    <cellStyle name="Comma 3 2 7 2 2 3 2" xfId="2999" xr:uid="{479C1228-5922-47AD-8E94-BFF3323F0FF7}"/>
    <cellStyle name="Comma 3 2 7 2 2 4" xfId="3000" xr:uid="{945E8080-FB0C-47DF-8039-1D0C66426CB7}"/>
    <cellStyle name="Comma 3 2 7 2 3" xfId="3001" xr:uid="{7028ECA2-589D-454F-A12F-3D438F5C03AF}"/>
    <cellStyle name="Comma 3 2 7 2 3 2" xfId="3002" xr:uid="{7183FDD3-B3BA-47A1-9F39-3B20A228EE96}"/>
    <cellStyle name="Comma 3 2 7 2 3 2 2" xfId="3003" xr:uid="{51BAB685-ED81-464A-BDE9-33A6011E1D3D}"/>
    <cellStyle name="Comma 3 2 7 2 3 3" xfId="3004" xr:uid="{3F2451D5-5294-4E4F-93A4-95891C39E0DB}"/>
    <cellStyle name="Comma 3 2 7 2 4" xfId="3005" xr:uid="{636F0E40-CCAE-43FF-B367-9D4CCF7D58CA}"/>
    <cellStyle name="Comma 3 2 7 2 4 2" xfId="3006" xr:uid="{9337118E-8FB2-43E4-8101-20EC119C13CB}"/>
    <cellStyle name="Comma 3 2 7 2 5" xfId="3007" xr:uid="{85388C08-091F-48C2-8C9D-F83DD40D2DFC}"/>
    <cellStyle name="Comma 3 2 7 3" xfId="3008" xr:uid="{87623EC6-4406-4291-92CB-55DCBFC66F77}"/>
    <cellStyle name="Comma 3 2 7 3 2" xfId="3009" xr:uid="{E999C58F-6707-4C36-9E0D-B0A97F600AC7}"/>
    <cellStyle name="Comma 3 2 7 3 2 2" xfId="3010" xr:uid="{E54457BA-74BF-4C0F-8EC1-EE549F94A1BC}"/>
    <cellStyle name="Comma 3 2 7 3 2 2 2" xfId="3011" xr:uid="{3A98A3EB-BB9E-4F6E-9B30-46A6BE5F286F}"/>
    <cellStyle name="Comma 3 2 7 3 2 3" xfId="3012" xr:uid="{98656AB7-37BE-48A7-B14A-6E40B1AE4FE1}"/>
    <cellStyle name="Comma 3 2 7 3 3" xfId="3013" xr:uid="{C3757F08-C385-4B09-B024-BA3EBBFD931A}"/>
    <cellStyle name="Comma 3 2 7 3 3 2" xfId="3014" xr:uid="{0FD4622E-BDD0-45AA-A0DE-EBF8A40F1963}"/>
    <cellStyle name="Comma 3 2 7 3 4" xfId="3015" xr:uid="{3B151771-832A-43EB-9596-FC209A67AFCC}"/>
    <cellStyle name="Comma 3 2 7 4" xfId="3016" xr:uid="{A4F739D1-8AC1-4177-B9B4-F7A51BD82A51}"/>
    <cellStyle name="Comma 3 2 7 4 2" xfId="3017" xr:uid="{05F3DF99-B0A7-4A7C-B088-F4C1D4842350}"/>
    <cellStyle name="Comma 3 2 7 4 2 2" xfId="3018" xr:uid="{36F6B7AC-FB0C-4103-A51B-8BAEB7A1AA46}"/>
    <cellStyle name="Comma 3 2 7 4 3" xfId="3019" xr:uid="{C8DA5835-DBBE-4330-81BF-6630FB0D82C1}"/>
    <cellStyle name="Comma 3 2 7 5" xfId="3020" xr:uid="{5EFBE3F9-2C82-4549-AD26-5DA77863C74A}"/>
    <cellStyle name="Comma 3 2 7 5 2" xfId="3021" xr:uid="{7A2BD33E-44D0-4773-B933-31FD4676C0BC}"/>
    <cellStyle name="Comma 3 2 7 6" xfId="3022" xr:uid="{B21726FB-ACC4-400B-A495-CD8ABA17DD35}"/>
    <cellStyle name="Comma 3 2 8" xfId="3023" xr:uid="{DA967C46-225A-4664-A93B-BFF5CFC8C427}"/>
    <cellStyle name="Comma 3 2 8 2" xfId="3024" xr:uid="{95CA11A3-A8A7-40EA-9098-8954119816BC}"/>
    <cellStyle name="Comma 3 2 8 2 2" xfId="3025" xr:uid="{702C8325-0422-4EAC-B995-35B4B15F262F}"/>
    <cellStyle name="Comma 3 2 8 2 2 2" xfId="3026" xr:uid="{35F5159E-CAF6-4984-B0EA-2965B36029B6}"/>
    <cellStyle name="Comma 3 2 8 2 2 2 2" xfId="3027" xr:uid="{4E6D2DC4-3752-4DBB-9546-DD207413C148}"/>
    <cellStyle name="Comma 3 2 8 2 2 3" xfId="3028" xr:uid="{5192D463-F30C-47FB-BA62-DA59439D62CD}"/>
    <cellStyle name="Comma 3 2 8 2 3" xfId="3029" xr:uid="{423CF79F-322B-461C-BC49-3F92223D91C6}"/>
    <cellStyle name="Comma 3 2 8 2 3 2" xfId="3030" xr:uid="{600CEF90-D573-4973-9695-40E27071267F}"/>
    <cellStyle name="Comma 3 2 8 2 4" xfId="3031" xr:uid="{F565DE45-74C5-4B0B-9AA9-DC3DEA173D9E}"/>
    <cellStyle name="Comma 3 2 8 3" xfId="3032" xr:uid="{E972BD81-6FB6-4BD2-9DE7-5F741430A890}"/>
    <cellStyle name="Comma 3 2 8 3 2" xfId="3033" xr:uid="{C1A6B7CF-FB35-4F74-BA1A-A5BAE79B16FC}"/>
    <cellStyle name="Comma 3 2 8 3 2 2" xfId="3034" xr:uid="{053C88C8-6EA7-41F4-B53C-839267351FA5}"/>
    <cellStyle name="Comma 3 2 8 3 3" xfId="3035" xr:uid="{FF592EA6-3F83-4ED7-8022-B3F4EBD58CD3}"/>
    <cellStyle name="Comma 3 2 8 4" xfId="3036" xr:uid="{9B0DE98A-ACB1-4DA7-9950-A14A5FF02C2C}"/>
    <cellStyle name="Comma 3 2 8 4 2" xfId="3037" xr:uid="{56F8D4F1-DB75-40C7-BE89-CEED88F972F2}"/>
    <cellStyle name="Comma 3 2 8 5" xfId="3038" xr:uid="{4140E418-DC11-4B66-826E-5B5414BC7B75}"/>
    <cellStyle name="Comma 3 2 9" xfId="3039" xr:uid="{D0BA5997-8102-4E5F-A4F7-37D86BEB3CF9}"/>
    <cellStyle name="Comma 3 2 9 2" xfId="3040" xr:uid="{1F831436-AC50-418D-B5BF-023C23656028}"/>
    <cellStyle name="Comma 3 2 9 2 2" xfId="3041" xr:uid="{C50504C9-8E70-4D46-AC94-8AA527F24797}"/>
    <cellStyle name="Comma 3 2 9 2 2 2" xfId="3042" xr:uid="{C3461B54-724C-4320-BA54-673203D181BD}"/>
    <cellStyle name="Comma 3 2 9 2 3" xfId="3043" xr:uid="{C771C78C-FBDD-4805-A090-C1BF5559B943}"/>
    <cellStyle name="Comma 3 2 9 3" xfId="3044" xr:uid="{7D65B660-E3BC-492A-A383-5F8FFF6EF7F8}"/>
    <cellStyle name="Comma 3 2 9 3 2" xfId="3045" xr:uid="{9AED6BCF-355C-4110-BF21-4255339B9E81}"/>
    <cellStyle name="Comma 3 2 9 4" xfId="3046" xr:uid="{126689A2-5062-46FF-A436-0BFC3FB665DD}"/>
    <cellStyle name="Comma 3 3" xfId="3047" xr:uid="{93388E2E-11CB-433B-A735-3C6C8DAF3989}"/>
    <cellStyle name="Comma 3 4" xfId="3048" xr:uid="{C4E747C2-59F8-47F9-A5FA-2ACDF9C90649}"/>
    <cellStyle name="Comma 3 4 10" xfId="3049" xr:uid="{AFD71F12-0987-4496-B3D5-E5F370628634}"/>
    <cellStyle name="Comma 3 4 10 2" xfId="3050" xr:uid="{C97E2F06-F2AF-4848-B56B-0B856765BCD0}"/>
    <cellStyle name="Comma 3 4 11" xfId="3051" xr:uid="{DEF8D645-D1D3-4F12-8A1B-901DB9781F38}"/>
    <cellStyle name="Comma 3 4 2" xfId="3052" xr:uid="{05161656-1ECC-40EC-A3AF-EBE26B1C8D04}"/>
    <cellStyle name="Comma 3 4 2 2" xfId="3053" xr:uid="{A0F760E6-91CB-4764-937E-46BE94D284D9}"/>
    <cellStyle name="Comma 3 4 2 2 2" xfId="3054" xr:uid="{2E098188-0D77-42DA-8008-713EA06EF71C}"/>
    <cellStyle name="Comma 3 4 2 2 2 2" xfId="3055" xr:uid="{8BDC2B7B-25A4-4D52-89F9-193DFDC5E584}"/>
    <cellStyle name="Comma 3 4 2 2 2 2 2" xfId="3056" xr:uid="{B5BE6D71-E7E1-44D4-A4DA-B63DF34DBF9A}"/>
    <cellStyle name="Comma 3 4 2 2 2 2 2 2" xfId="3057" xr:uid="{7CF2E14A-A7F6-4AF7-BFA1-478DD8196BCA}"/>
    <cellStyle name="Comma 3 4 2 2 2 2 2 2 2" xfId="3058" xr:uid="{9D744A0A-9DE2-4624-8A63-7CE6A141AC41}"/>
    <cellStyle name="Comma 3 4 2 2 2 2 2 2 2 2" xfId="3059" xr:uid="{4BACA5BA-3D2E-49D7-9D4F-F62180E03D43}"/>
    <cellStyle name="Comma 3 4 2 2 2 2 2 2 3" xfId="3060" xr:uid="{37F5B625-9BFD-436B-817E-0716C15A3587}"/>
    <cellStyle name="Comma 3 4 2 2 2 2 2 3" xfId="3061" xr:uid="{32EE7FA2-DCA0-4A41-B4E7-4B344BBCABC2}"/>
    <cellStyle name="Comma 3 4 2 2 2 2 2 3 2" xfId="3062" xr:uid="{D1DE6168-3E23-445F-96F2-DC2DEAFF6A10}"/>
    <cellStyle name="Comma 3 4 2 2 2 2 2 4" xfId="3063" xr:uid="{05905398-D770-47F1-A009-B28E6500CE99}"/>
    <cellStyle name="Comma 3 4 2 2 2 2 3" xfId="3064" xr:uid="{F35DE115-FC73-4F06-AF17-D5E42CE5475E}"/>
    <cellStyle name="Comma 3 4 2 2 2 2 3 2" xfId="3065" xr:uid="{6E509A20-9245-4F8E-979B-B8B76A61D8D9}"/>
    <cellStyle name="Comma 3 4 2 2 2 2 3 2 2" xfId="3066" xr:uid="{C77A3017-5A3F-4391-B0E3-7F5EACA38DF6}"/>
    <cellStyle name="Comma 3 4 2 2 2 2 3 3" xfId="3067" xr:uid="{884AD240-E7CB-40C2-AA0C-21B51A2F0829}"/>
    <cellStyle name="Comma 3 4 2 2 2 2 4" xfId="3068" xr:uid="{52A229BF-2B3B-472E-B0E4-1D78FE9684B1}"/>
    <cellStyle name="Comma 3 4 2 2 2 2 4 2" xfId="3069" xr:uid="{25AA1FAB-16FD-4BE6-BFCA-124A4A6E797C}"/>
    <cellStyle name="Comma 3 4 2 2 2 2 5" xfId="3070" xr:uid="{08C501DE-F575-4284-9F48-60F892DC398E}"/>
    <cellStyle name="Comma 3 4 2 2 2 3" xfId="3071" xr:uid="{D8129B0E-902F-4156-99B8-9B5B66DE9143}"/>
    <cellStyle name="Comma 3 4 2 2 2 3 2" xfId="3072" xr:uid="{CFFAE225-1834-4ACA-95CF-598F3AAB7699}"/>
    <cellStyle name="Comma 3 4 2 2 2 3 2 2" xfId="3073" xr:uid="{5123AA01-9A66-4C40-ADC6-8A27FA78427F}"/>
    <cellStyle name="Comma 3 4 2 2 2 3 2 2 2" xfId="3074" xr:uid="{8679DB0F-DF83-4C57-8BB7-EAA4FBD4647D}"/>
    <cellStyle name="Comma 3 4 2 2 2 3 2 3" xfId="3075" xr:uid="{820A0759-ED73-479E-8C78-4DA1C0966258}"/>
    <cellStyle name="Comma 3 4 2 2 2 3 3" xfId="3076" xr:uid="{56EC1792-3B0B-4B22-ABA5-85C847E95763}"/>
    <cellStyle name="Comma 3 4 2 2 2 3 3 2" xfId="3077" xr:uid="{B120E217-608A-4525-9D2C-A74040FC4E59}"/>
    <cellStyle name="Comma 3 4 2 2 2 3 4" xfId="3078" xr:uid="{1F83783A-6D00-4E8C-85F5-4BE48689C3A6}"/>
    <cellStyle name="Comma 3 4 2 2 2 4" xfId="3079" xr:uid="{FCD3F7D3-D014-46A7-BD63-D549ED00CFBA}"/>
    <cellStyle name="Comma 3 4 2 2 2 4 2" xfId="3080" xr:uid="{BE81AE9D-D6A8-4D59-B60F-6BDBF165DC99}"/>
    <cellStyle name="Comma 3 4 2 2 2 4 2 2" xfId="3081" xr:uid="{EFC6B9C8-00CC-411C-A8C0-E054778D3C66}"/>
    <cellStyle name="Comma 3 4 2 2 2 4 3" xfId="3082" xr:uid="{F3C616E0-3B1E-4B9D-9302-1532E058738D}"/>
    <cellStyle name="Comma 3 4 2 2 2 5" xfId="3083" xr:uid="{4E702BA1-C4E3-49ED-B840-04F94566F141}"/>
    <cellStyle name="Comma 3 4 2 2 2 5 2" xfId="3084" xr:uid="{E7423DEE-BC17-4F6C-AC12-7900582AE27B}"/>
    <cellStyle name="Comma 3 4 2 2 2 6" xfId="3085" xr:uid="{3E7810C4-24A5-4EF0-BDD9-787113667AC2}"/>
    <cellStyle name="Comma 3 4 2 2 3" xfId="3086" xr:uid="{3D41A2BB-DDD0-4E9A-A1C3-430FBEB1B0C7}"/>
    <cellStyle name="Comma 3 4 2 2 3 2" xfId="3087" xr:uid="{705712A6-8B0E-4C1E-889F-6BA37262461C}"/>
    <cellStyle name="Comma 3 4 2 2 3 2 2" xfId="3088" xr:uid="{55DD0832-3934-4529-9516-AAA6FFB81CE9}"/>
    <cellStyle name="Comma 3 4 2 2 3 2 2 2" xfId="3089" xr:uid="{01AC51B6-640C-4456-B0EA-CA05723EB86E}"/>
    <cellStyle name="Comma 3 4 2 2 3 2 2 2 2" xfId="3090" xr:uid="{E239A574-63D5-471A-BEBF-E66A8A9BFF0D}"/>
    <cellStyle name="Comma 3 4 2 2 3 2 2 3" xfId="3091" xr:uid="{55EC0937-C161-4929-B6C5-0B8445F15C7D}"/>
    <cellStyle name="Comma 3 4 2 2 3 2 3" xfId="3092" xr:uid="{E4642F05-E672-4545-A49B-E5D6A4A2576D}"/>
    <cellStyle name="Comma 3 4 2 2 3 2 3 2" xfId="3093" xr:uid="{6EE8F17A-9B2E-486B-935D-DF344A286876}"/>
    <cellStyle name="Comma 3 4 2 2 3 2 4" xfId="3094" xr:uid="{B8BC7D92-5E62-4C08-A536-67C1EB726FE1}"/>
    <cellStyle name="Comma 3 4 2 2 3 3" xfId="3095" xr:uid="{63AEF17E-BC4B-4F19-A2B4-CC6FA477DFF2}"/>
    <cellStyle name="Comma 3 4 2 2 3 3 2" xfId="3096" xr:uid="{EF710697-D76B-4679-832E-259433C29B1A}"/>
    <cellStyle name="Comma 3 4 2 2 3 3 2 2" xfId="3097" xr:uid="{588B1D23-0E36-4C45-A140-969DD4C41023}"/>
    <cellStyle name="Comma 3 4 2 2 3 3 3" xfId="3098" xr:uid="{FB17E125-D2B8-497A-98CA-0A069B346ABA}"/>
    <cellStyle name="Comma 3 4 2 2 3 4" xfId="3099" xr:uid="{3B98C608-9B43-4592-A9FD-FE87B936211F}"/>
    <cellStyle name="Comma 3 4 2 2 3 4 2" xfId="3100" xr:uid="{2C54B774-7FF8-4BCE-833F-EAF6D5EE051E}"/>
    <cellStyle name="Comma 3 4 2 2 3 5" xfId="3101" xr:uid="{F972E116-EA55-45B9-BA33-646578C67118}"/>
    <cellStyle name="Comma 3 4 2 2 4" xfId="3102" xr:uid="{FB665566-113A-45EE-AAE5-1B7F0D11724F}"/>
    <cellStyle name="Comma 3 4 2 2 4 2" xfId="3103" xr:uid="{BB8B9088-019E-4ED4-8294-DCB4F3A4A69F}"/>
    <cellStyle name="Comma 3 4 2 2 4 2 2" xfId="3104" xr:uid="{70419A41-B83A-4C3F-B771-5EE3E78FFDF6}"/>
    <cellStyle name="Comma 3 4 2 2 4 2 2 2" xfId="3105" xr:uid="{510CFD80-B1B1-4214-959E-76AE529ADE7D}"/>
    <cellStyle name="Comma 3 4 2 2 4 2 3" xfId="3106" xr:uid="{6D172327-9C52-499A-9A8E-279E699D4DF0}"/>
    <cellStyle name="Comma 3 4 2 2 4 3" xfId="3107" xr:uid="{950D8D64-6424-4932-95B1-2B314C0C617C}"/>
    <cellStyle name="Comma 3 4 2 2 4 3 2" xfId="3108" xr:uid="{92AE80BF-9909-4D0C-9D97-121589647A97}"/>
    <cellStyle name="Comma 3 4 2 2 4 4" xfId="3109" xr:uid="{5F05BBC1-36C4-4D6F-9016-048ED1227391}"/>
    <cellStyle name="Comma 3 4 2 2 5" xfId="3110" xr:uid="{CA03F1EF-942C-4505-B777-CA047889C253}"/>
    <cellStyle name="Comma 3 4 2 2 5 2" xfId="3111" xr:uid="{99AED11A-8659-4EE9-A6AF-940112EE4A8C}"/>
    <cellStyle name="Comma 3 4 2 2 5 2 2" xfId="3112" xr:uid="{1E2EBB99-DF77-4AE4-B0BC-7630A843B190}"/>
    <cellStyle name="Comma 3 4 2 2 5 3" xfId="3113" xr:uid="{3BD4425D-F103-45E8-99F2-30A12270294C}"/>
    <cellStyle name="Comma 3 4 2 2 6" xfId="3114" xr:uid="{64A25D80-1B11-4470-8F61-7ACFA475EF5C}"/>
    <cellStyle name="Comma 3 4 2 2 6 2" xfId="3115" xr:uid="{6BCBD710-0CED-4A3D-8880-F30D23B9827D}"/>
    <cellStyle name="Comma 3 4 2 2 7" xfId="3116" xr:uid="{7AE9B268-6542-46E4-B1F6-DF1667E9F421}"/>
    <cellStyle name="Comma 3 4 2 3" xfId="3117" xr:uid="{73E4A3B1-3D47-458B-88B4-85FA9CBEC0CF}"/>
    <cellStyle name="Comma 3 4 2 3 2" xfId="3118" xr:uid="{711A8EE8-AC9F-4731-B184-8D699B69D57F}"/>
    <cellStyle name="Comma 3 4 2 3 2 2" xfId="3119" xr:uid="{0FFDF9E6-2427-4CB3-A513-E3AD4186EE83}"/>
    <cellStyle name="Comma 3 4 2 3 2 2 2" xfId="3120" xr:uid="{46059DAB-3515-4BFC-8668-09BCAAFB79EA}"/>
    <cellStyle name="Comma 3 4 2 3 2 2 2 2" xfId="3121" xr:uid="{A6C9DE34-E483-4A85-906C-D3DCDD2AA673}"/>
    <cellStyle name="Comma 3 4 2 3 2 2 2 2 2" xfId="3122" xr:uid="{A40FE7E5-278E-4DE1-AE0E-F2737A1A072D}"/>
    <cellStyle name="Comma 3 4 2 3 2 2 2 3" xfId="3123" xr:uid="{8768B976-495A-4AF8-9FE8-9F795786A74E}"/>
    <cellStyle name="Comma 3 4 2 3 2 2 3" xfId="3124" xr:uid="{6B8C3015-D38C-4590-95A2-DAFA455944E5}"/>
    <cellStyle name="Comma 3 4 2 3 2 2 3 2" xfId="3125" xr:uid="{9B7F532C-C4E6-42A9-B49C-CE4CE5BC5B9A}"/>
    <cellStyle name="Comma 3 4 2 3 2 2 4" xfId="3126" xr:uid="{BCCE6752-ADB0-418B-BF13-0EB68ECB1C08}"/>
    <cellStyle name="Comma 3 4 2 3 2 3" xfId="3127" xr:uid="{1297C270-7214-474C-A165-FEAB02598A9C}"/>
    <cellStyle name="Comma 3 4 2 3 2 3 2" xfId="3128" xr:uid="{434DF37E-EB39-4C45-AC7E-8EFC09092F66}"/>
    <cellStyle name="Comma 3 4 2 3 2 3 2 2" xfId="3129" xr:uid="{C00FA423-E43B-4C99-ADA4-B181A261B49A}"/>
    <cellStyle name="Comma 3 4 2 3 2 3 3" xfId="3130" xr:uid="{DA272720-D71B-44DD-B17D-B9AC10682D5A}"/>
    <cellStyle name="Comma 3 4 2 3 2 4" xfId="3131" xr:uid="{91925556-31A0-4B11-8E1C-658C434EBBB7}"/>
    <cellStyle name="Comma 3 4 2 3 2 4 2" xfId="3132" xr:uid="{10562FFD-013D-4678-A0C0-CB686DAB3F76}"/>
    <cellStyle name="Comma 3 4 2 3 2 5" xfId="3133" xr:uid="{83C39E6B-1852-44F1-B8FF-127F15D69CD5}"/>
    <cellStyle name="Comma 3 4 2 3 3" xfId="3134" xr:uid="{5052222C-496E-4D2D-8B70-D291C43CE75B}"/>
    <cellStyle name="Comma 3 4 2 3 3 2" xfId="3135" xr:uid="{006CCD46-1BE2-4884-97EE-94BA297BDB4B}"/>
    <cellStyle name="Comma 3 4 2 3 3 2 2" xfId="3136" xr:uid="{800D5741-7E5A-49B2-82DB-5903C39F438C}"/>
    <cellStyle name="Comma 3 4 2 3 3 2 2 2" xfId="3137" xr:uid="{824B15A0-B913-4F0D-875E-7A0B564DE8DA}"/>
    <cellStyle name="Comma 3 4 2 3 3 2 3" xfId="3138" xr:uid="{E54EA392-BDB9-4EB8-9357-9A51595792F1}"/>
    <cellStyle name="Comma 3 4 2 3 3 3" xfId="3139" xr:uid="{FC614B10-9F1A-4236-BF68-3F06B0DC641B}"/>
    <cellStyle name="Comma 3 4 2 3 3 3 2" xfId="3140" xr:uid="{CFCA5369-CFFB-4D37-B522-2EDD961D55DC}"/>
    <cellStyle name="Comma 3 4 2 3 3 4" xfId="3141" xr:uid="{4D8747F4-2843-4E54-83E8-A2467FDD1D86}"/>
    <cellStyle name="Comma 3 4 2 3 4" xfId="3142" xr:uid="{BA159ABF-8B21-498B-8F2F-B30ED1BDEBD8}"/>
    <cellStyle name="Comma 3 4 2 3 4 2" xfId="3143" xr:uid="{838243DA-434C-46BC-8F6F-08B785F3CB3C}"/>
    <cellStyle name="Comma 3 4 2 3 4 2 2" xfId="3144" xr:uid="{F97D1235-AEB9-495C-9217-DC889E993D4F}"/>
    <cellStyle name="Comma 3 4 2 3 4 3" xfId="3145" xr:uid="{26E4A5AE-7FAD-442F-8605-47A81B910716}"/>
    <cellStyle name="Comma 3 4 2 3 5" xfId="3146" xr:uid="{EC4F17E6-1ED3-4EA7-B718-760D6BD73350}"/>
    <cellStyle name="Comma 3 4 2 3 5 2" xfId="3147" xr:uid="{6AC61A55-E09F-461C-8368-925CEFE4F2E9}"/>
    <cellStyle name="Comma 3 4 2 3 6" xfId="3148" xr:uid="{7B6BDF02-622E-4EB3-8C71-72A65E3C5477}"/>
    <cellStyle name="Comma 3 4 2 4" xfId="3149" xr:uid="{F9984D36-2BFD-4EFC-AE15-E3F83B47EA49}"/>
    <cellStyle name="Comma 3 4 2 4 2" xfId="3150" xr:uid="{A2AA04EA-99D6-4A49-987D-824F12CAAC14}"/>
    <cellStyle name="Comma 3 4 2 4 2 2" xfId="3151" xr:uid="{6742EEA2-94E9-41F2-871E-40309CC43848}"/>
    <cellStyle name="Comma 3 4 2 4 2 2 2" xfId="3152" xr:uid="{FAB43C54-AD6F-44E0-B16B-499D4F256C67}"/>
    <cellStyle name="Comma 3 4 2 4 2 2 2 2" xfId="3153" xr:uid="{C9134B91-301B-4171-859E-A1916DD2C61F}"/>
    <cellStyle name="Comma 3 4 2 4 2 2 3" xfId="3154" xr:uid="{DBAD71CD-C040-4484-97D6-391C7C16490A}"/>
    <cellStyle name="Comma 3 4 2 4 2 3" xfId="3155" xr:uid="{84D1458C-9DD4-4F48-938D-F1C5DC835467}"/>
    <cellStyle name="Comma 3 4 2 4 2 3 2" xfId="3156" xr:uid="{17C3EDDB-B05D-4F4A-9D5C-3C6122F9D71C}"/>
    <cellStyle name="Comma 3 4 2 4 2 4" xfId="3157" xr:uid="{3E0F43D3-2925-4384-95FA-08B6E7B4886B}"/>
    <cellStyle name="Comma 3 4 2 4 3" xfId="3158" xr:uid="{4C4D1A8F-F304-4558-825C-11EF6F118E94}"/>
    <cellStyle name="Comma 3 4 2 4 3 2" xfId="3159" xr:uid="{108D552F-B93C-4315-BFA6-3E19F123582E}"/>
    <cellStyle name="Comma 3 4 2 4 3 2 2" xfId="3160" xr:uid="{8ADCC050-E1B0-42CE-8B78-05D6A7829A9D}"/>
    <cellStyle name="Comma 3 4 2 4 3 3" xfId="3161" xr:uid="{1703787C-4B17-49F7-968A-D6AE9EEA5EB4}"/>
    <cellStyle name="Comma 3 4 2 4 4" xfId="3162" xr:uid="{A44CDF1F-B740-4416-8BC7-F3E14A67437F}"/>
    <cellStyle name="Comma 3 4 2 4 4 2" xfId="3163" xr:uid="{5138D81E-DBE6-4DE1-BDE8-14D1E08CBEBC}"/>
    <cellStyle name="Comma 3 4 2 4 5" xfId="3164" xr:uid="{A6C683BD-0686-489D-911F-E21D6E62348F}"/>
    <cellStyle name="Comma 3 4 2 5" xfId="3165" xr:uid="{9D5C8645-5EE1-4335-8342-A677291144E4}"/>
    <cellStyle name="Comma 3 4 2 5 2" xfId="3166" xr:uid="{F97849AA-B7AF-427F-9828-4970A41EC179}"/>
    <cellStyle name="Comma 3 4 2 5 2 2" xfId="3167" xr:uid="{233324BD-4F0D-4C33-9718-15EDB8E82F69}"/>
    <cellStyle name="Comma 3 4 2 5 2 2 2" xfId="3168" xr:uid="{CC04AFFA-EA71-4EEA-BC51-A2C90250C8AA}"/>
    <cellStyle name="Comma 3 4 2 5 2 3" xfId="3169" xr:uid="{EEA020AC-EA5F-4449-8490-EB9A836B6CD0}"/>
    <cellStyle name="Comma 3 4 2 5 3" xfId="3170" xr:uid="{C258F0D7-0078-44F7-9BB6-33B49F6D911D}"/>
    <cellStyle name="Comma 3 4 2 5 3 2" xfId="3171" xr:uid="{83FCE76F-A3CF-4DFC-8958-6046E0CA4738}"/>
    <cellStyle name="Comma 3 4 2 5 4" xfId="3172" xr:uid="{368C782E-5230-4CCD-8D24-C532C7C6FC8A}"/>
    <cellStyle name="Comma 3 4 2 6" xfId="3173" xr:uid="{064722A6-F97A-4393-BA27-B3228DB879A6}"/>
    <cellStyle name="Comma 3 4 2 6 2" xfId="3174" xr:uid="{BDAF1F7B-2339-4122-984F-C2B69719B6FB}"/>
    <cellStyle name="Comma 3 4 2 6 2 2" xfId="3175" xr:uid="{9F4B6F6B-346E-4481-88CB-20491BF012E2}"/>
    <cellStyle name="Comma 3 4 2 6 3" xfId="3176" xr:uid="{EC10136B-3309-448A-96C2-A4F3F228F0A7}"/>
    <cellStyle name="Comma 3 4 2 7" xfId="3177" xr:uid="{578A120C-CDF3-4860-B2BE-83366A598C00}"/>
    <cellStyle name="Comma 3 4 2 7 2" xfId="3178" xr:uid="{B5A41F32-ACA6-4906-A445-CF7039411594}"/>
    <cellStyle name="Comma 3 4 2 8" xfId="3179" xr:uid="{90924572-AFDA-4CFD-9A2F-5CC9FC46C411}"/>
    <cellStyle name="Comma 3 4 3" xfId="3180" xr:uid="{5E9AF4BC-E4AF-47E3-AFDC-4FAD799C35BE}"/>
    <cellStyle name="Comma 3 4 4" xfId="3181" xr:uid="{4E0B1F65-64D8-43FB-A88B-10C480044E69}"/>
    <cellStyle name="Comma 3 4 4 2" xfId="3182" xr:uid="{13AD957E-4A5B-4A8D-8594-36B287B55FE2}"/>
    <cellStyle name="Comma 3 4 4 2 2" xfId="3183" xr:uid="{80C3C61A-3823-444B-98CC-BD0949E27BCB}"/>
    <cellStyle name="Comma 3 4 4 2 2 2" xfId="3184" xr:uid="{1CD543D4-89D6-4257-BEAB-FFA12BC62D84}"/>
    <cellStyle name="Comma 3 4 4 2 2 2 2" xfId="3185" xr:uid="{2ADBC4DF-190B-43ED-8AFF-FDD78F191EDB}"/>
    <cellStyle name="Comma 3 4 4 2 2 2 2 2" xfId="3186" xr:uid="{11BCC5DD-FCE3-4CBA-BE54-1B4168A2931C}"/>
    <cellStyle name="Comma 3 4 4 2 2 2 2 2 2" xfId="3187" xr:uid="{0D3320D8-4822-4631-B618-AF4AB52DA0B3}"/>
    <cellStyle name="Comma 3 4 4 2 2 2 2 2 2 2" xfId="3188" xr:uid="{33A9C6C2-353E-4777-A97B-1D12CCE831D3}"/>
    <cellStyle name="Comma 3 4 4 2 2 2 2 2 3" xfId="3189" xr:uid="{53810623-26B8-442D-8912-C001574E1D28}"/>
    <cellStyle name="Comma 3 4 4 2 2 2 2 3" xfId="3190" xr:uid="{8FF6D53E-AC58-4FB1-BCCB-7637DD137A7F}"/>
    <cellStyle name="Comma 3 4 4 2 2 2 2 3 2" xfId="3191" xr:uid="{546DF518-C68E-4151-80CE-129799565458}"/>
    <cellStyle name="Comma 3 4 4 2 2 2 2 4" xfId="3192" xr:uid="{51156987-9B58-4DEC-9BEF-DFD27D4443BC}"/>
    <cellStyle name="Comma 3 4 4 2 2 2 3" xfId="3193" xr:uid="{9C105560-7D1E-47A9-A09B-463EADA895F8}"/>
    <cellStyle name="Comma 3 4 4 2 2 2 3 2" xfId="3194" xr:uid="{7C0838A2-5546-4F6A-A8DD-A9DFDB87DD1C}"/>
    <cellStyle name="Comma 3 4 4 2 2 2 3 2 2" xfId="3195" xr:uid="{02A33D60-461E-46B9-956E-DA7F885E6D7A}"/>
    <cellStyle name="Comma 3 4 4 2 2 2 3 3" xfId="3196" xr:uid="{310FB694-8EDA-486A-88DB-26E20CBC97B0}"/>
    <cellStyle name="Comma 3 4 4 2 2 2 4" xfId="3197" xr:uid="{8B718F17-7EA8-4549-AF87-DA4FE73DCEFF}"/>
    <cellStyle name="Comma 3 4 4 2 2 2 4 2" xfId="3198" xr:uid="{91632EF6-B5CA-4AB1-B961-B52AF0F84356}"/>
    <cellStyle name="Comma 3 4 4 2 2 2 5" xfId="3199" xr:uid="{D61FDE2A-E8BB-4D57-8935-8DF1EFCB46D4}"/>
    <cellStyle name="Comma 3 4 4 2 2 3" xfId="3200" xr:uid="{F0CC2FCD-054F-41AB-93E2-E216924471B9}"/>
    <cellStyle name="Comma 3 4 4 2 2 3 2" xfId="3201" xr:uid="{CA3B92CF-2FBC-4595-91BE-DB7A5BE03C47}"/>
    <cellStyle name="Comma 3 4 4 2 2 3 2 2" xfId="3202" xr:uid="{0FD2CD09-7140-493B-B804-7B7B15870AEE}"/>
    <cellStyle name="Comma 3 4 4 2 2 3 2 2 2" xfId="3203" xr:uid="{C9981BFF-8F9E-464D-B5BB-6FF6E96A1668}"/>
    <cellStyle name="Comma 3 4 4 2 2 3 2 3" xfId="3204" xr:uid="{73303145-197D-4406-B22C-C249FBEF5960}"/>
    <cellStyle name="Comma 3 4 4 2 2 3 3" xfId="3205" xr:uid="{D4495788-9787-4AD3-8BED-8AF7697B0995}"/>
    <cellStyle name="Comma 3 4 4 2 2 3 3 2" xfId="3206" xr:uid="{76964E38-E9CE-45AD-94FB-83045157B7A1}"/>
    <cellStyle name="Comma 3 4 4 2 2 3 4" xfId="3207" xr:uid="{C49460FF-372F-4647-9221-F66F174AD047}"/>
    <cellStyle name="Comma 3 4 4 2 2 4" xfId="3208" xr:uid="{8779772F-9D3A-44F6-A53D-C7F565C5D18A}"/>
    <cellStyle name="Comma 3 4 4 2 2 4 2" xfId="3209" xr:uid="{D8EC1274-493F-4459-9D33-EBCDFB638FC9}"/>
    <cellStyle name="Comma 3 4 4 2 2 4 2 2" xfId="3210" xr:uid="{71F276B8-662C-4F38-B475-E6C622B7C3E6}"/>
    <cellStyle name="Comma 3 4 4 2 2 4 3" xfId="3211" xr:uid="{74D1BD5B-7528-4BE6-9334-AE108F43DFDB}"/>
    <cellStyle name="Comma 3 4 4 2 2 5" xfId="3212" xr:uid="{42BD4566-4182-4EEE-86D9-75BAC57C45D5}"/>
    <cellStyle name="Comma 3 4 4 2 2 5 2" xfId="3213" xr:uid="{AD929059-6953-41A0-BB8F-61F137EDE42F}"/>
    <cellStyle name="Comma 3 4 4 2 2 6" xfId="3214" xr:uid="{5E85ED88-0C49-4C55-A836-CE10FC663519}"/>
    <cellStyle name="Comma 3 4 4 2 3" xfId="3215" xr:uid="{90D28F00-324D-4B2F-B985-96E341D5B8CF}"/>
    <cellStyle name="Comma 3 4 4 2 3 2" xfId="3216" xr:uid="{DA990802-9324-4290-8315-E627A420472A}"/>
    <cellStyle name="Comma 3 4 4 2 3 2 2" xfId="3217" xr:uid="{938250BE-33A5-4F89-BE44-BD64C3957F96}"/>
    <cellStyle name="Comma 3 4 4 2 3 2 2 2" xfId="3218" xr:uid="{9CF10F7E-5B43-4F97-A1D8-69FA310D0B67}"/>
    <cellStyle name="Comma 3 4 4 2 3 2 2 2 2" xfId="3219" xr:uid="{A8A9DFD4-F6D0-4BBD-9DB9-93CA9F03CA57}"/>
    <cellStyle name="Comma 3 4 4 2 3 2 2 3" xfId="3220" xr:uid="{2FE84875-E35C-4823-902D-C97EA0E49F1B}"/>
    <cellStyle name="Comma 3 4 4 2 3 2 3" xfId="3221" xr:uid="{CDA71475-BABF-4746-871A-C53DCE5E5833}"/>
    <cellStyle name="Comma 3 4 4 2 3 2 3 2" xfId="3222" xr:uid="{0EC11F60-DDD0-4E84-A79E-CDA597E6339A}"/>
    <cellStyle name="Comma 3 4 4 2 3 2 4" xfId="3223" xr:uid="{FA0EFBDC-03E3-49C8-A59F-913FD681AB51}"/>
    <cellStyle name="Comma 3 4 4 2 3 3" xfId="3224" xr:uid="{F0E767D9-93EE-49FD-81A7-CAF449977946}"/>
    <cellStyle name="Comma 3 4 4 2 3 3 2" xfId="3225" xr:uid="{93F40491-93FD-48F4-8064-7B7FF9473E1E}"/>
    <cellStyle name="Comma 3 4 4 2 3 3 2 2" xfId="3226" xr:uid="{FFB5EB81-9732-4435-B29B-01E6409A9BDF}"/>
    <cellStyle name="Comma 3 4 4 2 3 3 3" xfId="3227" xr:uid="{42DA09EE-4B19-4ABA-9467-3D9C94DDAFBA}"/>
    <cellStyle name="Comma 3 4 4 2 3 4" xfId="3228" xr:uid="{2F26024F-3BED-47D3-B178-88F105EC8011}"/>
    <cellStyle name="Comma 3 4 4 2 3 4 2" xfId="3229" xr:uid="{922FEACB-7AA1-4FEF-8CAA-EF2C7443D07F}"/>
    <cellStyle name="Comma 3 4 4 2 3 5" xfId="3230" xr:uid="{63E0F71C-BBBD-4593-96FD-F6C3DD18C3F1}"/>
    <cellStyle name="Comma 3 4 4 2 4" xfId="3231" xr:uid="{C93CF7BA-433A-4F2A-BFEC-837F4BB5D4CA}"/>
    <cellStyle name="Comma 3 4 4 2 4 2" xfId="3232" xr:uid="{206CEE95-7CC2-431B-B293-DDB76AC9D031}"/>
    <cellStyle name="Comma 3 4 4 2 4 2 2" xfId="3233" xr:uid="{274666FD-B259-46CD-89BE-B657926B811D}"/>
    <cellStyle name="Comma 3 4 4 2 4 2 2 2" xfId="3234" xr:uid="{9F365898-E5AF-4198-B999-70A056DD3E7B}"/>
    <cellStyle name="Comma 3 4 4 2 4 2 3" xfId="3235" xr:uid="{7FB95AEB-3567-494C-B0EC-92173A38B931}"/>
    <cellStyle name="Comma 3 4 4 2 4 3" xfId="3236" xr:uid="{DDB61A2A-BDC6-4CE4-9C56-62340C0B9DFC}"/>
    <cellStyle name="Comma 3 4 4 2 4 3 2" xfId="3237" xr:uid="{991EE433-79C3-4F19-A139-1624485664C5}"/>
    <cellStyle name="Comma 3 4 4 2 4 4" xfId="3238" xr:uid="{95AFE183-4DCC-4D72-9F1B-A6D4500ED1A3}"/>
    <cellStyle name="Comma 3 4 4 2 5" xfId="3239" xr:uid="{00DCA4E4-E5B7-4995-96B4-1F0F519FA061}"/>
    <cellStyle name="Comma 3 4 4 2 5 2" xfId="3240" xr:uid="{2851C080-4756-4166-A9E4-40DADB031FE4}"/>
    <cellStyle name="Comma 3 4 4 2 5 2 2" xfId="3241" xr:uid="{FEB144F1-68D1-4CBC-9F92-83E0C1D9F94A}"/>
    <cellStyle name="Comma 3 4 4 2 5 3" xfId="3242" xr:uid="{07B6FFE9-4E8A-44A3-9466-9D8071E2BAA2}"/>
    <cellStyle name="Comma 3 4 4 2 6" xfId="3243" xr:uid="{82435156-F91D-4C0B-B548-9C190FB5FAD3}"/>
    <cellStyle name="Comma 3 4 4 2 6 2" xfId="3244" xr:uid="{A37E3A77-209B-4D85-9E3A-3051C2D9DDE0}"/>
    <cellStyle name="Comma 3 4 4 2 7" xfId="3245" xr:uid="{77BCC650-A8C6-4D7A-9A39-1B93877EA4D6}"/>
    <cellStyle name="Comma 3 4 4 3" xfId="3246" xr:uid="{CACFCC72-C8F9-4A9C-B7D8-0A7918EEB9E5}"/>
    <cellStyle name="Comma 3 4 4 3 2" xfId="3247" xr:uid="{BE490267-8981-4130-8213-86C31CA9A3CE}"/>
    <cellStyle name="Comma 3 4 4 3 2 2" xfId="3248" xr:uid="{B5E24879-7456-4620-9AF9-072A80B74191}"/>
    <cellStyle name="Comma 3 4 4 3 2 2 2" xfId="3249" xr:uid="{493601FD-E02A-4F24-925D-5920B65B3095}"/>
    <cellStyle name="Comma 3 4 4 3 2 2 2 2" xfId="3250" xr:uid="{FF998CAE-226B-4845-ABA0-32A64EC4366E}"/>
    <cellStyle name="Comma 3 4 4 3 2 2 2 2 2" xfId="3251" xr:uid="{F9E43F05-D448-4D04-89BD-98E309E0FE59}"/>
    <cellStyle name="Comma 3 4 4 3 2 2 2 3" xfId="3252" xr:uid="{FBEF03F0-1B61-488C-BB1F-2C51C22C1AC1}"/>
    <cellStyle name="Comma 3 4 4 3 2 2 3" xfId="3253" xr:uid="{E0549426-FEDA-43AF-A660-C136F0CCD4C2}"/>
    <cellStyle name="Comma 3 4 4 3 2 2 3 2" xfId="3254" xr:uid="{5392D28F-ECAD-4AF3-AC76-E698A505E020}"/>
    <cellStyle name="Comma 3 4 4 3 2 2 4" xfId="3255" xr:uid="{7B42F473-6A21-429C-B2AA-B87F1ECB9D1B}"/>
    <cellStyle name="Comma 3 4 4 3 2 3" xfId="3256" xr:uid="{016B2B89-8B0F-4FE8-98B0-62DCDCCAB727}"/>
    <cellStyle name="Comma 3 4 4 3 2 3 2" xfId="3257" xr:uid="{A543FA3A-D9F0-4C06-88B6-1C43075FB017}"/>
    <cellStyle name="Comma 3 4 4 3 2 3 2 2" xfId="3258" xr:uid="{989DBEF4-6774-42A6-91C4-AC09EC86A884}"/>
    <cellStyle name="Comma 3 4 4 3 2 3 3" xfId="3259" xr:uid="{0106B0C1-6639-4566-8A58-19BDAD6FCBD7}"/>
    <cellStyle name="Comma 3 4 4 3 2 4" xfId="3260" xr:uid="{8C19D155-5875-4EA8-BA15-C123108055AC}"/>
    <cellStyle name="Comma 3 4 4 3 2 4 2" xfId="3261" xr:uid="{E3E86631-AE64-4D8C-9DEA-9A5BDC28825F}"/>
    <cellStyle name="Comma 3 4 4 3 2 5" xfId="3262" xr:uid="{B7554262-5F04-41E2-8163-A20F593512FE}"/>
    <cellStyle name="Comma 3 4 4 3 3" xfId="3263" xr:uid="{1E5F2308-0B25-4867-8B5C-87C8A45DAE68}"/>
    <cellStyle name="Comma 3 4 4 3 3 2" xfId="3264" xr:uid="{1A528A59-CCE3-474E-8FFF-4EE53CFDEE69}"/>
    <cellStyle name="Comma 3 4 4 3 3 2 2" xfId="3265" xr:uid="{65F1261D-CC3C-4FB5-8186-DC18575F91DA}"/>
    <cellStyle name="Comma 3 4 4 3 3 2 2 2" xfId="3266" xr:uid="{6F655665-CF00-4F74-AB6F-FB2BADCC423C}"/>
    <cellStyle name="Comma 3 4 4 3 3 2 3" xfId="3267" xr:uid="{0E7EF24B-9A55-4710-A504-D170D9FBDF7D}"/>
    <cellStyle name="Comma 3 4 4 3 3 3" xfId="3268" xr:uid="{5C3CB7D8-5A9D-4F0E-8D0C-D721A4B87AC2}"/>
    <cellStyle name="Comma 3 4 4 3 3 3 2" xfId="3269" xr:uid="{FEE450D9-E269-4D94-A144-20A0B37BEDC4}"/>
    <cellStyle name="Comma 3 4 4 3 3 4" xfId="3270" xr:uid="{146DE445-6892-4E5F-9222-BB5F33851E11}"/>
    <cellStyle name="Comma 3 4 4 3 4" xfId="3271" xr:uid="{10AF4ADE-C23C-423C-8BAC-E459BAAF45EC}"/>
    <cellStyle name="Comma 3 4 4 3 4 2" xfId="3272" xr:uid="{FC6E0619-6843-4B39-A599-6C8BE87AE6CE}"/>
    <cellStyle name="Comma 3 4 4 3 4 2 2" xfId="3273" xr:uid="{48C15790-B2F2-4956-B3EB-361E608239B8}"/>
    <cellStyle name="Comma 3 4 4 3 4 3" xfId="3274" xr:uid="{4E7F48CB-35B6-4EBE-A57B-EBFB8F34F6AA}"/>
    <cellStyle name="Comma 3 4 4 3 5" xfId="3275" xr:uid="{EED39366-35F8-43B4-A87E-B9D432F811D6}"/>
    <cellStyle name="Comma 3 4 4 3 5 2" xfId="3276" xr:uid="{BA6D3CF2-5576-4E0B-9B1B-FE97AA7545E8}"/>
    <cellStyle name="Comma 3 4 4 3 6" xfId="3277" xr:uid="{195ADE57-C325-4C91-8F9D-E3F1077AA4AB}"/>
    <cellStyle name="Comma 3 4 4 4" xfId="3278" xr:uid="{1E3BB53E-03D9-4FEB-92C1-D5F0495608D2}"/>
    <cellStyle name="Comma 3 4 4 4 2" xfId="3279" xr:uid="{3D6F562C-27EE-4CF9-95A5-33E5A2BF26CF}"/>
    <cellStyle name="Comma 3 4 4 4 2 2" xfId="3280" xr:uid="{22B6693C-3D69-44A5-B6D9-453956BBC551}"/>
    <cellStyle name="Comma 3 4 4 4 2 2 2" xfId="3281" xr:uid="{55C24BC4-30E5-48EA-AC5F-9C0039A07936}"/>
    <cellStyle name="Comma 3 4 4 4 2 2 2 2" xfId="3282" xr:uid="{AD3CDDBE-C3A0-4734-8FED-C172B805DF2B}"/>
    <cellStyle name="Comma 3 4 4 4 2 2 3" xfId="3283" xr:uid="{AB3CF188-94E0-4AF6-A76D-E3F99133C109}"/>
    <cellStyle name="Comma 3 4 4 4 2 3" xfId="3284" xr:uid="{E0A11190-254D-41B9-AC2B-A6B41D445A0F}"/>
    <cellStyle name="Comma 3 4 4 4 2 3 2" xfId="3285" xr:uid="{95F78E60-D8F1-4934-84F0-30E944F476B4}"/>
    <cellStyle name="Comma 3 4 4 4 2 4" xfId="3286" xr:uid="{67F0A3A0-B520-45F0-8BD0-E0AD1783F5CB}"/>
    <cellStyle name="Comma 3 4 4 4 3" xfId="3287" xr:uid="{A8B6B235-D896-44A3-9C7D-F03077986FEB}"/>
    <cellStyle name="Comma 3 4 4 4 3 2" xfId="3288" xr:uid="{CF712E6E-BBEB-4C3C-ABB0-85E73290D823}"/>
    <cellStyle name="Comma 3 4 4 4 3 2 2" xfId="3289" xr:uid="{E26A25F2-6CD1-4B53-927A-570DC89CBC17}"/>
    <cellStyle name="Comma 3 4 4 4 3 3" xfId="3290" xr:uid="{0E713F73-2183-4A44-BB0F-B4A39BD241B7}"/>
    <cellStyle name="Comma 3 4 4 4 4" xfId="3291" xr:uid="{E3106712-6E47-44C7-927D-EFEB2861237A}"/>
    <cellStyle name="Comma 3 4 4 4 4 2" xfId="3292" xr:uid="{C78EFF51-92E2-4DD1-B396-8036655592FA}"/>
    <cellStyle name="Comma 3 4 4 4 5" xfId="3293" xr:uid="{A9B2C5B0-550E-43F7-B025-5A48DEBEC8B7}"/>
    <cellStyle name="Comma 3 4 4 5" xfId="3294" xr:uid="{DBC8CB94-F232-418B-9724-41627BC41DC7}"/>
    <cellStyle name="Comma 3 4 4 5 2" xfId="3295" xr:uid="{C1F31BE1-A712-43E6-ADAE-5322FEB649DA}"/>
    <cellStyle name="Comma 3 4 4 5 2 2" xfId="3296" xr:uid="{C7A64FA4-834C-4D60-AB5A-CC22BFF0BA7F}"/>
    <cellStyle name="Comma 3 4 4 5 2 2 2" xfId="3297" xr:uid="{69563118-3E93-4CC7-BA28-15D1C29FE1C3}"/>
    <cellStyle name="Comma 3 4 4 5 2 3" xfId="3298" xr:uid="{3BEAD852-9429-42E4-9EF8-CB1D5E4BB382}"/>
    <cellStyle name="Comma 3 4 4 5 3" xfId="3299" xr:uid="{EFE53D25-BAAD-48F7-B26B-CB0027ECF2A4}"/>
    <cellStyle name="Comma 3 4 4 5 3 2" xfId="3300" xr:uid="{26530A08-B2A0-4EBB-9D66-35BA6AE8D77C}"/>
    <cellStyle name="Comma 3 4 4 5 4" xfId="3301" xr:uid="{69C6DD78-9273-49DD-BE9C-B31C833DB7FE}"/>
    <cellStyle name="Comma 3 4 4 6" xfId="3302" xr:uid="{B44C2603-4E2A-4952-8634-E9BE5F608564}"/>
    <cellStyle name="Comma 3 4 4 6 2" xfId="3303" xr:uid="{5C41DFA5-59A8-40E2-B5AE-4C9332738E10}"/>
    <cellStyle name="Comma 3 4 4 6 2 2" xfId="3304" xr:uid="{707EF0C6-DBDA-4EEF-86E9-3F83C676E186}"/>
    <cellStyle name="Comma 3 4 4 6 3" xfId="3305" xr:uid="{67457F03-488E-49EB-954E-889429685153}"/>
    <cellStyle name="Comma 3 4 4 7" xfId="3306" xr:uid="{D04DBA37-1E77-4B00-9D34-40700188AED8}"/>
    <cellStyle name="Comma 3 4 4 7 2" xfId="3307" xr:uid="{C5D60668-C503-4DF7-88B7-B4BFC2324DFC}"/>
    <cellStyle name="Comma 3 4 4 8" xfId="3308" xr:uid="{59D7AD69-5BC2-496F-9739-80263D12623B}"/>
    <cellStyle name="Comma 3 4 5" xfId="3309" xr:uid="{991A8ABA-EA95-4263-8FE1-B6F1B908AC3E}"/>
    <cellStyle name="Comma 3 4 5 2" xfId="3310" xr:uid="{DFC5C606-A92F-4746-9BDA-3E2DBB0291E9}"/>
    <cellStyle name="Comma 3 4 5 2 2" xfId="3311" xr:uid="{EB5E1102-5AA7-4347-8399-4755F1682E48}"/>
    <cellStyle name="Comma 3 4 5 2 2 2" xfId="3312" xr:uid="{10308DA2-4ED2-4733-A9A6-AF0AA6B0517C}"/>
    <cellStyle name="Comma 3 4 5 2 2 2 2" xfId="3313" xr:uid="{0948BC1F-520C-4EC1-8F5E-810391EF3004}"/>
    <cellStyle name="Comma 3 4 5 2 2 2 2 2" xfId="3314" xr:uid="{D14F60A7-DBAF-4AE7-BAA4-1F3158152093}"/>
    <cellStyle name="Comma 3 4 5 2 2 2 2 2 2" xfId="3315" xr:uid="{A859F17C-5901-4A8C-8791-762D01E524FB}"/>
    <cellStyle name="Comma 3 4 5 2 2 2 2 3" xfId="3316" xr:uid="{5C3314C5-DD25-48AB-8FC9-354A55100A6D}"/>
    <cellStyle name="Comma 3 4 5 2 2 2 3" xfId="3317" xr:uid="{70327612-4F85-4748-805E-4A9514392817}"/>
    <cellStyle name="Comma 3 4 5 2 2 2 3 2" xfId="3318" xr:uid="{AA4CF158-AC36-4B8F-916A-CD8F99DA03F6}"/>
    <cellStyle name="Comma 3 4 5 2 2 2 4" xfId="3319" xr:uid="{7B73C0CE-F5BA-472E-AB5B-A56AFB2634CC}"/>
    <cellStyle name="Comma 3 4 5 2 2 3" xfId="3320" xr:uid="{7C3B2898-E178-4A55-8809-C36691879726}"/>
    <cellStyle name="Comma 3 4 5 2 2 3 2" xfId="3321" xr:uid="{39F59CB8-C121-4659-B86E-C26F28952F28}"/>
    <cellStyle name="Comma 3 4 5 2 2 3 2 2" xfId="3322" xr:uid="{0729234B-54AC-4AC7-96B1-E8376801C51C}"/>
    <cellStyle name="Comma 3 4 5 2 2 3 3" xfId="3323" xr:uid="{D9BCE61D-DED0-4439-8586-BAD263BE5785}"/>
    <cellStyle name="Comma 3 4 5 2 2 4" xfId="3324" xr:uid="{A3067E37-777E-4F97-8D05-D1898D486B1C}"/>
    <cellStyle name="Comma 3 4 5 2 2 4 2" xfId="3325" xr:uid="{80C51F8A-303A-4F55-9911-C4B95369EC91}"/>
    <cellStyle name="Comma 3 4 5 2 2 5" xfId="3326" xr:uid="{0F448311-E363-4471-B958-1B8AAB02BADF}"/>
    <cellStyle name="Comma 3 4 5 2 3" xfId="3327" xr:uid="{3CD44C56-FFAB-4716-8BDF-B30832E3337D}"/>
    <cellStyle name="Comma 3 4 5 2 3 2" xfId="3328" xr:uid="{6247A30F-11B5-4884-9ACB-947879C8DF6A}"/>
    <cellStyle name="Comma 3 4 5 2 3 2 2" xfId="3329" xr:uid="{52326EB5-D989-43D6-9E4F-653021846AFB}"/>
    <cellStyle name="Comma 3 4 5 2 3 2 2 2" xfId="3330" xr:uid="{7B6A301B-9BB2-4A43-8F65-47B76233AC4E}"/>
    <cellStyle name="Comma 3 4 5 2 3 2 3" xfId="3331" xr:uid="{05F0ED8D-7897-47B8-8DFA-FD9244E90C2C}"/>
    <cellStyle name="Comma 3 4 5 2 3 3" xfId="3332" xr:uid="{00487684-6C3F-47F0-B309-FD91280E5D19}"/>
    <cellStyle name="Comma 3 4 5 2 3 3 2" xfId="3333" xr:uid="{2ED8861B-BA25-4ECE-9E69-36DCD3ADDD53}"/>
    <cellStyle name="Comma 3 4 5 2 3 4" xfId="3334" xr:uid="{7A501CF4-4B14-4D40-A87E-D6B74DF37100}"/>
    <cellStyle name="Comma 3 4 5 2 4" xfId="3335" xr:uid="{95897FDF-6860-46E5-AE91-FE309A305A18}"/>
    <cellStyle name="Comma 3 4 5 2 4 2" xfId="3336" xr:uid="{8F9D5ECE-EBF0-4DF5-A03D-BE6382DF2364}"/>
    <cellStyle name="Comma 3 4 5 2 4 2 2" xfId="3337" xr:uid="{ACBF76BC-9C75-4DC2-935D-44904AA30087}"/>
    <cellStyle name="Comma 3 4 5 2 4 3" xfId="3338" xr:uid="{47A70D0A-1FF3-4659-A0A6-E0D359A2DEE6}"/>
    <cellStyle name="Comma 3 4 5 2 5" xfId="3339" xr:uid="{AA0E433F-9539-4483-84C0-55674DD1D3DE}"/>
    <cellStyle name="Comma 3 4 5 2 5 2" xfId="3340" xr:uid="{48EC791F-327E-4AF7-B1EA-FF40F18D928F}"/>
    <cellStyle name="Comma 3 4 5 2 6" xfId="3341" xr:uid="{79B8A8A7-39D8-4912-8E20-C9A4103E492D}"/>
    <cellStyle name="Comma 3 4 5 3" xfId="3342" xr:uid="{5B220B75-62C8-4EEE-89CF-EE096276BBA5}"/>
    <cellStyle name="Comma 3 4 5 3 2" xfId="3343" xr:uid="{A6726E5F-489E-4487-9775-0999C6D28784}"/>
    <cellStyle name="Comma 3 4 5 3 2 2" xfId="3344" xr:uid="{CCEB1B2B-A337-4835-A543-BB10618F6A82}"/>
    <cellStyle name="Comma 3 4 5 3 2 2 2" xfId="3345" xr:uid="{B7FFA764-ADAE-4219-B6DD-4ABA6F204973}"/>
    <cellStyle name="Comma 3 4 5 3 2 2 2 2" xfId="3346" xr:uid="{3D84A468-9F7A-4E79-A01E-CB175395F878}"/>
    <cellStyle name="Comma 3 4 5 3 2 2 3" xfId="3347" xr:uid="{ABBDFF1A-4441-4D19-B835-4322B4E8F07C}"/>
    <cellStyle name="Comma 3 4 5 3 2 3" xfId="3348" xr:uid="{504F16EF-75DE-47BE-8D10-CE9633F6717D}"/>
    <cellStyle name="Comma 3 4 5 3 2 3 2" xfId="3349" xr:uid="{0B8BC09E-DD88-4982-8FE2-B731E5EE2FEB}"/>
    <cellStyle name="Comma 3 4 5 3 2 4" xfId="3350" xr:uid="{98D1729B-EE5D-436D-9686-791344986FE2}"/>
    <cellStyle name="Comma 3 4 5 3 3" xfId="3351" xr:uid="{2D907340-33B3-4159-97AD-11C3964BEC61}"/>
    <cellStyle name="Comma 3 4 5 3 3 2" xfId="3352" xr:uid="{DCE58BD2-7372-403A-ADFC-1695A11E3576}"/>
    <cellStyle name="Comma 3 4 5 3 3 2 2" xfId="3353" xr:uid="{04814B85-751F-48FE-998A-A6DFA74C821C}"/>
    <cellStyle name="Comma 3 4 5 3 3 3" xfId="3354" xr:uid="{912C9A9F-33EC-4F5B-A65E-9EC2A7C741AA}"/>
    <cellStyle name="Comma 3 4 5 3 4" xfId="3355" xr:uid="{B2BC6AA7-2AB4-47C6-B048-8416D4E44A6B}"/>
    <cellStyle name="Comma 3 4 5 3 4 2" xfId="3356" xr:uid="{D65F21B6-8F3B-4024-B122-EF1FCE12E634}"/>
    <cellStyle name="Comma 3 4 5 3 5" xfId="3357" xr:uid="{0662FDA9-E598-4A1A-8423-2FF8F03F226C}"/>
    <cellStyle name="Comma 3 4 5 4" xfId="3358" xr:uid="{91A7013E-684C-41B0-982B-0BC61309F120}"/>
    <cellStyle name="Comma 3 4 5 4 2" xfId="3359" xr:uid="{5E42DAD3-E0E2-4C98-A912-257D6C3CA194}"/>
    <cellStyle name="Comma 3 4 5 4 2 2" xfId="3360" xr:uid="{B478E240-BCC9-49C4-8657-283C7462EC58}"/>
    <cellStyle name="Comma 3 4 5 4 2 2 2" xfId="3361" xr:uid="{679F05E8-0171-4BDF-BDFB-3731B5EB3922}"/>
    <cellStyle name="Comma 3 4 5 4 2 3" xfId="3362" xr:uid="{E9CE1735-C025-4D34-8601-5D084C8FFB58}"/>
    <cellStyle name="Comma 3 4 5 4 3" xfId="3363" xr:uid="{BC9AB666-31ED-461E-8087-D063129656E9}"/>
    <cellStyle name="Comma 3 4 5 4 3 2" xfId="3364" xr:uid="{F29CCDF7-313F-46CB-B165-E3252F909DE5}"/>
    <cellStyle name="Comma 3 4 5 4 4" xfId="3365" xr:uid="{E14FC47F-73DD-4F65-A109-9ED331245E25}"/>
    <cellStyle name="Comma 3 4 5 5" xfId="3366" xr:uid="{CF967F35-61B5-4247-AAAE-8BC6790D3DB3}"/>
    <cellStyle name="Comma 3 4 5 5 2" xfId="3367" xr:uid="{994B8FFF-72C1-48E2-B982-F15D24D4ACB0}"/>
    <cellStyle name="Comma 3 4 5 5 2 2" xfId="3368" xr:uid="{55C27705-A6A9-4959-BA66-9FD065D1C7A2}"/>
    <cellStyle name="Comma 3 4 5 5 3" xfId="3369" xr:uid="{C82A30C0-6968-4A84-83FC-96C7B22099B9}"/>
    <cellStyle name="Comma 3 4 5 6" xfId="3370" xr:uid="{31D085FE-F9C0-4E4A-A397-97BED4A66136}"/>
    <cellStyle name="Comma 3 4 5 6 2" xfId="3371" xr:uid="{952C0041-B4F6-4008-A62B-E6396DB473CA}"/>
    <cellStyle name="Comma 3 4 5 7" xfId="3372" xr:uid="{091A9BEA-88A7-4257-BE41-4BBC503AF400}"/>
    <cellStyle name="Comma 3 4 6" xfId="3373" xr:uid="{22DFFA4E-B3F8-42A8-B5D3-42E15A8B10BB}"/>
    <cellStyle name="Comma 3 4 6 2" xfId="3374" xr:uid="{9EC6AA6E-3FF4-4506-81FD-E9818279B8AE}"/>
    <cellStyle name="Comma 3 4 6 2 2" xfId="3375" xr:uid="{FF682AB5-7473-4027-A9C4-B6CB09417E0E}"/>
    <cellStyle name="Comma 3 4 6 2 2 2" xfId="3376" xr:uid="{C0920B04-E315-4D0D-A975-D69A9D04EADE}"/>
    <cellStyle name="Comma 3 4 6 2 2 2 2" xfId="3377" xr:uid="{922C2D1E-1C76-40C4-B4F9-7175C5FE251B}"/>
    <cellStyle name="Comma 3 4 6 2 2 2 2 2" xfId="3378" xr:uid="{1D8B4696-AB20-492A-B24E-DF39E94861A7}"/>
    <cellStyle name="Comma 3 4 6 2 2 2 3" xfId="3379" xr:uid="{DD5A3FE3-18A2-47A9-8A72-0A84FCEA0F25}"/>
    <cellStyle name="Comma 3 4 6 2 2 3" xfId="3380" xr:uid="{C03284B0-FFFC-4475-9267-750683CB894B}"/>
    <cellStyle name="Comma 3 4 6 2 2 3 2" xfId="3381" xr:uid="{33E6D18B-AE5F-4915-B261-6C57A74BEDEB}"/>
    <cellStyle name="Comma 3 4 6 2 2 4" xfId="3382" xr:uid="{5D479C2A-05FC-4FFA-BF80-0F18F1E3232F}"/>
    <cellStyle name="Comma 3 4 6 2 3" xfId="3383" xr:uid="{6777074E-EF67-4417-ACD0-1C3A3A6D1732}"/>
    <cellStyle name="Comma 3 4 6 2 3 2" xfId="3384" xr:uid="{F55FFDC0-067C-47D1-AFA2-97637C64A8B7}"/>
    <cellStyle name="Comma 3 4 6 2 3 2 2" xfId="3385" xr:uid="{70F28460-DA4C-4CF0-933F-6676BAEF6421}"/>
    <cellStyle name="Comma 3 4 6 2 3 3" xfId="3386" xr:uid="{DC3C817C-8426-46EB-AA4C-2346726E8F9E}"/>
    <cellStyle name="Comma 3 4 6 2 4" xfId="3387" xr:uid="{03C37663-6409-40EF-B1FD-A272330609CB}"/>
    <cellStyle name="Comma 3 4 6 2 4 2" xfId="3388" xr:uid="{71DCC034-5901-4B0E-B5DE-3AF12828972D}"/>
    <cellStyle name="Comma 3 4 6 2 5" xfId="3389" xr:uid="{7C73A422-1CA1-4F56-A2AD-36B75B1F4AAA}"/>
    <cellStyle name="Comma 3 4 6 3" xfId="3390" xr:uid="{D1F624BC-6688-4C40-8F5E-9B8B532BB651}"/>
    <cellStyle name="Comma 3 4 6 3 2" xfId="3391" xr:uid="{86BF5016-45BC-45D6-B784-D7B80C0AF9B3}"/>
    <cellStyle name="Comma 3 4 6 3 2 2" xfId="3392" xr:uid="{1C2D0E49-CA9B-417C-920F-4CA1538131F0}"/>
    <cellStyle name="Comma 3 4 6 3 2 2 2" xfId="3393" xr:uid="{BBAD7FB7-94E4-49A7-871E-2F1AFC0246D7}"/>
    <cellStyle name="Comma 3 4 6 3 2 3" xfId="3394" xr:uid="{3CA4A307-7695-4DE3-9183-4E0874994F83}"/>
    <cellStyle name="Comma 3 4 6 3 3" xfId="3395" xr:uid="{2FEB21F6-905B-4961-91C3-C6E12E0E07D1}"/>
    <cellStyle name="Comma 3 4 6 3 3 2" xfId="3396" xr:uid="{2E7A375B-EC06-4FF0-8EB0-AC9C32527A63}"/>
    <cellStyle name="Comma 3 4 6 3 4" xfId="3397" xr:uid="{704C535F-9B9E-4EB3-BE6C-B70ED8720381}"/>
    <cellStyle name="Comma 3 4 6 4" xfId="3398" xr:uid="{CD3288BD-5F6A-41CC-81E6-F6DDCD038AE1}"/>
    <cellStyle name="Comma 3 4 6 4 2" xfId="3399" xr:uid="{E80EF0F1-24D0-4570-B4D8-68A5DABA88D6}"/>
    <cellStyle name="Comma 3 4 6 4 2 2" xfId="3400" xr:uid="{A0872E3C-854C-482E-B11C-DE65601ADFBD}"/>
    <cellStyle name="Comma 3 4 6 4 3" xfId="3401" xr:uid="{4BBD6078-1741-44F3-8454-3DCA1A343205}"/>
    <cellStyle name="Comma 3 4 6 5" xfId="3402" xr:uid="{4801D407-AE67-4D4D-81A5-912BFF2FC381}"/>
    <cellStyle name="Comma 3 4 6 5 2" xfId="3403" xr:uid="{9BD484A6-0075-4994-83A5-69BA58D7BB37}"/>
    <cellStyle name="Comma 3 4 6 6" xfId="3404" xr:uid="{98587C68-B83F-4906-A437-3FEDA600A366}"/>
    <cellStyle name="Comma 3 4 7" xfId="3405" xr:uid="{3429EC22-AE87-457A-BC19-7F7425007196}"/>
    <cellStyle name="Comma 3 4 7 2" xfId="3406" xr:uid="{FD66F2E1-B407-49D2-A42B-916867A3682C}"/>
    <cellStyle name="Comma 3 4 7 2 2" xfId="3407" xr:uid="{E46103F8-78B1-444F-809E-4D63DEE61205}"/>
    <cellStyle name="Comma 3 4 7 2 2 2" xfId="3408" xr:uid="{14D769E8-4D00-4FB5-BB13-B3A3BED76D90}"/>
    <cellStyle name="Comma 3 4 7 2 2 2 2" xfId="3409" xr:uid="{BCA5022D-4194-4FC5-AA3A-B32911F6F7D1}"/>
    <cellStyle name="Comma 3 4 7 2 2 3" xfId="3410" xr:uid="{AD237243-ABB7-4323-92B6-8E7CE79BD868}"/>
    <cellStyle name="Comma 3 4 7 2 3" xfId="3411" xr:uid="{F67786FB-2BBC-49A9-9DD0-66D40AC16D03}"/>
    <cellStyle name="Comma 3 4 7 2 3 2" xfId="3412" xr:uid="{9104AACD-52D9-4010-AF2A-F6BBC91DF628}"/>
    <cellStyle name="Comma 3 4 7 2 4" xfId="3413" xr:uid="{88A24F65-226E-485D-B12C-BBC2035B0B95}"/>
    <cellStyle name="Comma 3 4 7 3" xfId="3414" xr:uid="{D539B71B-98EC-4757-8D8B-65DF38142918}"/>
    <cellStyle name="Comma 3 4 7 3 2" xfId="3415" xr:uid="{8B49E997-736C-4A39-B275-EB56E3107E2F}"/>
    <cellStyle name="Comma 3 4 7 3 2 2" xfId="3416" xr:uid="{E36CCDCA-D994-4BD7-AAA8-6D2A4D60FC85}"/>
    <cellStyle name="Comma 3 4 7 3 3" xfId="3417" xr:uid="{E48139DD-0CEA-405A-A508-F7EC2B6AFDDA}"/>
    <cellStyle name="Comma 3 4 7 4" xfId="3418" xr:uid="{B1AF2A60-3FD8-49BB-8662-5AAF7FA14F81}"/>
    <cellStyle name="Comma 3 4 7 4 2" xfId="3419" xr:uid="{6A33EDDC-413B-4A74-AD00-EAE637C56763}"/>
    <cellStyle name="Comma 3 4 7 5" xfId="3420" xr:uid="{6C32D425-C60A-44A8-AACD-037617AC852C}"/>
    <cellStyle name="Comma 3 4 8" xfId="3421" xr:uid="{534F8183-4CEF-42B7-9DB0-459EB157AA13}"/>
    <cellStyle name="Comma 3 4 8 2" xfId="3422" xr:uid="{EAAD9DC1-37B3-45C4-BD59-EB09FA455CBC}"/>
    <cellStyle name="Comma 3 4 8 2 2" xfId="3423" xr:uid="{D4FC7D4A-9718-4598-AA72-ACC8275A5A39}"/>
    <cellStyle name="Comma 3 4 8 2 2 2" xfId="3424" xr:uid="{53B679A0-9BBA-4D1F-B649-D50C7BB3F0B3}"/>
    <cellStyle name="Comma 3 4 8 2 3" xfId="3425" xr:uid="{35DD6537-2697-4DC1-8DE3-0E6E89BCBF34}"/>
    <cellStyle name="Comma 3 4 8 3" xfId="3426" xr:uid="{125835AF-0C0C-47D8-8E04-159D4CF9DD44}"/>
    <cellStyle name="Comma 3 4 8 3 2" xfId="3427" xr:uid="{D74D146D-84F4-42F7-88B5-1579316F5529}"/>
    <cellStyle name="Comma 3 4 8 4" xfId="3428" xr:uid="{8A1799A6-7116-4EC6-9FA8-4DFDE076A0FB}"/>
    <cellStyle name="Comma 3 4 9" xfId="3429" xr:uid="{2FFA13E5-35A2-4A0C-86BD-98D5D2BAFE84}"/>
    <cellStyle name="Comma 3 4 9 2" xfId="3430" xr:uid="{8D63E3B4-143E-4406-BF1C-87A82763EF51}"/>
    <cellStyle name="Comma 3 4 9 2 2" xfId="3431" xr:uid="{351DAE7E-BFE6-4D32-AF8E-3BDAA3331AF5}"/>
    <cellStyle name="Comma 3 4 9 3" xfId="3432" xr:uid="{61CA0FE4-2473-4684-BEC3-66E109F4202A}"/>
    <cellStyle name="Comma 3 5" xfId="3433" xr:uid="{B1B687BF-63C4-4FC0-9D61-62BBA7447EF4}"/>
    <cellStyle name="Comma 3 5 2" xfId="3434" xr:uid="{25FF14EF-8695-495C-896C-FCE09657293B}"/>
    <cellStyle name="Comma 3 5 2 2" xfId="3435" xr:uid="{FD61325C-3446-4A4D-B8F5-D86E85DCCEF6}"/>
    <cellStyle name="Comma 3 5 2 2 2" xfId="3436" xr:uid="{6D87EA4A-65B9-4B34-BD3F-F26551114DA4}"/>
    <cellStyle name="Comma 3 5 2 2 2 2" xfId="3437" xr:uid="{74201848-CCF9-43CD-9EE7-5D3A34E9110C}"/>
    <cellStyle name="Comma 3 5 2 2 2 2 2" xfId="3438" xr:uid="{06B5BFC1-832B-44FC-82FC-368A57B02FBE}"/>
    <cellStyle name="Comma 3 5 2 2 2 2 2 2" xfId="3439" xr:uid="{45DDD9CA-0A0C-4616-9FEB-9CF894ACF9CC}"/>
    <cellStyle name="Comma 3 5 2 2 2 2 2 2 2" xfId="3440" xr:uid="{2CC4D301-B5D0-44CE-8FA1-9ACDF8F8244A}"/>
    <cellStyle name="Comma 3 5 2 2 2 2 2 3" xfId="3441" xr:uid="{65E1DC18-5804-4F17-AECE-964813B4F7D0}"/>
    <cellStyle name="Comma 3 5 2 2 2 2 3" xfId="3442" xr:uid="{0500574F-8BD0-4ECD-AF9A-5375D2964541}"/>
    <cellStyle name="Comma 3 5 2 2 2 2 3 2" xfId="3443" xr:uid="{2F7CB4F5-FD28-4964-9E2B-B82EFAB5D528}"/>
    <cellStyle name="Comma 3 5 2 2 2 2 4" xfId="3444" xr:uid="{49D35FB7-55CC-42F1-93E3-E1202E588728}"/>
    <cellStyle name="Comma 3 5 2 2 2 3" xfId="3445" xr:uid="{54C758A2-8D77-4DFC-AE6F-F5807C0E9263}"/>
    <cellStyle name="Comma 3 5 2 2 2 3 2" xfId="3446" xr:uid="{37185F2D-D022-4B7B-8486-BC1E17B31A61}"/>
    <cellStyle name="Comma 3 5 2 2 2 3 2 2" xfId="3447" xr:uid="{E4E42F74-34E4-4C8F-A4EB-2CC28D305AA9}"/>
    <cellStyle name="Comma 3 5 2 2 2 3 3" xfId="3448" xr:uid="{6E51BD21-8D11-4492-921B-652F5EB75B48}"/>
    <cellStyle name="Comma 3 5 2 2 2 4" xfId="3449" xr:uid="{62822833-88B3-4FBD-98B0-8A573B43FFF6}"/>
    <cellStyle name="Comma 3 5 2 2 2 4 2" xfId="3450" xr:uid="{44976C05-D145-495A-96B0-91CABA668C04}"/>
    <cellStyle name="Comma 3 5 2 2 2 5" xfId="3451" xr:uid="{97788074-990D-4C2C-B73A-1B0EDF4A2CB1}"/>
    <cellStyle name="Comma 3 5 2 2 3" xfId="3452" xr:uid="{A97A42B1-239C-4C3B-8733-F2201103D108}"/>
    <cellStyle name="Comma 3 5 2 2 3 2" xfId="3453" xr:uid="{83ECE7B2-B44C-4BE4-A1B6-0AB7873A04B8}"/>
    <cellStyle name="Comma 3 5 2 2 3 2 2" xfId="3454" xr:uid="{4D955EB6-AEF8-45A2-9ED8-805516B01AA9}"/>
    <cellStyle name="Comma 3 5 2 2 3 2 2 2" xfId="3455" xr:uid="{3D5EB729-1FB3-4DC9-BEA7-2A1762A5FED2}"/>
    <cellStyle name="Comma 3 5 2 2 3 2 3" xfId="3456" xr:uid="{86FDA1F3-9140-4207-8843-D84F17FD6E7B}"/>
    <cellStyle name="Comma 3 5 2 2 3 3" xfId="3457" xr:uid="{63A7A47B-52C8-4A0C-BF7F-168F1A2145E3}"/>
    <cellStyle name="Comma 3 5 2 2 3 3 2" xfId="3458" xr:uid="{9E01052A-BD02-4036-A04E-6219397D3A84}"/>
    <cellStyle name="Comma 3 5 2 2 3 4" xfId="3459" xr:uid="{1D7B3627-361A-4163-982D-787E6CD8E9F0}"/>
    <cellStyle name="Comma 3 5 2 2 4" xfId="3460" xr:uid="{633582EE-3896-4B53-8BE0-4A2B0BAC1258}"/>
    <cellStyle name="Comma 3 5 2 2 4 2" xfId="3461" xr:uid="{1742C7AF-F23E-42EA-9899-8E25E6BE39BD}"/>
    <cellStyle name="Comma 3 5 2 2 4 2 2" xfId="3462" xr:uid="{6ED2A30D-934F-4D3D-AA54-A9EE855C116F}"/>
    <cellStyle name="Comma 3 5 2 2 4 3" xfId="3463" xr:uid="{4596A1D7-D988-48FC-BF48-FEEA4D559273}"/>
    <cellStyle name="Comma 3 5 2 2 5" xfId="3464" xr:uid="{D1E75849-BE95-4EC4-A3F3-E0DEFC787DE4}"/>
    <cellStyle name="Comma 3 5 2 2 5 2" xfId="3465" xr:uid="{BC71A7CE-08E0-4803-AAAD-62ED3DCD1A49}"/>
    <cellStyle name="Comma 3 5 2 2 6" xfId="3466" xr:uid="{128A47D8-B81F-486F-A147-34BBB2298DC2}"/>
    <cellStyle name="Comma 3 5 2 3" xfId="3467" xr:uid="{C79B671F-4175-448B-8759-B832AD64C23F}"/>
    <cellStyle name="Comma 3 5 2 3 2" xfId="3468" xr:uid="{EF35273E-0596-482D-8A23-1C67F7DEC998}"/>
    <cellStyle name="Comma 3 5 2 3 2 2" xfId="3469" xr:uid="{990FD544-B64D-42E6-A021-D3E3A6C3663E}"/>
    <cellStyle name="Comma 3 5 2 3 2 2 2" xfId="3470" xr:uid="{04460E7D-42F2-475A-A4FE-F03802ED2490}"/>
    <cellStyle name="Comma 3 5 2 3 2 2 2 2" xfId="3471" xr:uid="{DB8B7A6C-D6B2-43CD-A956-9C1CE20B08F9}"/>
    <cellStyle name="Comma 3 5 2 3 2 2 3" xfId="3472" xr:uid="{068E9F5F-8CE7-4343-9CB9-F0C461525BE1}"/>
    <cellStyle name="Comma 3 5 2 3 2 3" xfId="3473" xr:uid="{27A94EA9-F04D-4755-88AD-3EA83844A108}"/>
    <cellStyle name="Comma 3 5 2 3 2 3 2" xfId="3474" xr:uid="{D60BF9EC-1807-4905-ADE7-026EDD5499ED}"/>
    <cellStyle name="Comma 3 5 2 3 2 4" xfId="3475" xr:uid="{E22D2975-B6FA-4BBA-B292-FAC69A3CCC84}"/>
    <cellStyle name="Comma 3 5 2 3 3" xfId="3476" xr:uid="{10B4D844-94E5-41FE-83FD-9A477A213859}"/>
    <cellStyle name="Comma 3 5 2 3 3 2" xfId="3477" xr:uid="{A6A9803E-74F9-4AD1-9617-6C880243FC98}"/>
    <cellStyle name="Comma 3 5 2 3 3 2 2" xfId="3478" xr:uid="{A6171A4C-1081-4498-B866-FBA0FE5384E1}"/>
    <cellStyle name="Comma 3 5 2 3 3 3" xfId="3479" xr:uid="{3B0D794B-0E52-486C-838B-216F5EAC1922}"/>
    <cellStyle name="Comma 3 5 2 3 4" xfId="3480" xr:uid="{0896BE1A-311B-4C01-87EC-CE59F7A5CB9B}"/>
    <cellStyle name="Comma 3 5 2 3 4 2" xfId="3481" xr:uid="{6BCCC31F-4BA9-4846-A6F9-9D8AC206A0F2}"/>
    <cellStyle name="Comma 3 5 2 3 5" xfId="3482" xr:uid="{9B3E4D0B-D89F-4CED-AF2A-E83963020A1E}"/>
    <cellStyle name="Comma 3 5 2 4" xfId="3483" xr:uid="{6F2571D7-B546-4E86-BA6C-EE8D55860B6F}"/>
    <cellStyle name="Comma 3 5 2 4 2" xfId="3484" xr:uid="{B2B38977-F7D0-4026-A7AE-745E9215719B}"/>
    <cellStyle name="Comma 3 5 2 4 2 2" xfId="3485" xr:uid="{94BF0089-91BF-4621-AB04-610165107C66}"/>
    <cellStyle name="Comma 3 5 2 4 2 2 2" xfId="3486" xr:uid="{167C8ACE-7954-4D73-8978-75D816427865}"/>
    <cellStyle name="Comma 3 5 2 4 2 3" xfId="3487" xr:uid="{09390D08-F402-4F74-A088-5F343045DD5C}"/>
    <cellStyle name="Comma 3 5 2 4 3" xfId="3488" xr:uid="{D04531A4-D446-417F-8C6C-0CE247D147E8}"/>
    <cellStyle name="Comma 3 5 2 4 3 2" xfId="3489" xr:uid="{176B053B-BC2F-4A74-80A6-E034B3F46950}"/>
    <cellStyle name="Comma 3 5 2 4 4" xfId="3490" xr:uid="{8F2A5607-E0DD-43FC-ACA0-54359FCA4D2B}"/>
    <cellStyle name="Comma 3 5 2 5" xfId="3491" xr:uid="{063D7DD9-5D4D-4F4F-96EA-E9DF013C515D}"/>
    <cellStyle name="Comma 3 5 2 5 2" xfId="3492" xr:uid="{6CF1F310-2ED6-4D18-94C1-CD40D5197ED1}"/>
    <cellStyle name="Comma 3 5 2 5 2 2" xfId="3493" xr:uid="{BED4914A-A7C4-40DA-A506-15CB6FF90DDF}"/>
    <cellStyle name="Comma 3 5 2 5 3" xfId="3494" xr:uid="{EEAB75EE-F16A-4D71-9B42-272282DF5391}"/>
    <cellStyle name="Comma 3 5 2 6" xfId="3495" xr:uid="{6848F4A4-BD11-4E9C-87B6-E56110E11129}"/>
    <cellStyle name="Comma 3 5 2 6 2" xfId="3496" xr:uid="{455764F5-FDFE-4992-94B3-040802669AD7}"/>
    <cellStyle name="Comma 3 5 2 7" xfId="3497" xr:uid="{53C3A546-C43A-4324-921A-37720208202B}"/>
    <cellStyle name="Comma 3 5 3" xfId="3498" xr:uid="{9F8A5936-B8E0-418C-B2C7-1FCE205C3B65}"/>
    <cellStyle name="Comma 3 5 3 2" xfId="3499" xr:uid="{4A2B4809-7315-4BFF-B4B7-0A8A1D650934}"/>
    <cellStyle name="Comma 3 5 3 2 2" xfId="3500" xr:uid="{17B49278-CEEF-442C-B8D5-D7A1995652FB}"/>
    <cellStyle name="Comma 3 5 3 2 2 2" xfId="3501" xr:uid="{40B6EBB8-5449-4338-922E-FD53AD6E6D10}"/>
    <cellStyle name="Comma 3 5 3 2 2 2 2" xfId="3502" xr:uid="{A57EA8C1-9A20-4B39-9612-F0F7BA051905}"/>
    <cellStyle name="Comma 3 5 3 2 2 2 2 2" xfId="3503" xr:uid="{A7B0DF5D-4FB2-4D62-8BEB-7D7FB27878BC}"/>
    <cellStyle name="Comma 3 5 3 2 2 2 3" xfId="3504" xr:uid="{AC9246CD-7262-412E-AECB-1606BF902878}"/>
    <cellStyle name="Comma 3 5 3 2 2 3" xfId="3505" xr:uid="{8F7ECD83-B1D7-4C8D-8274-5AA531224E13}"/>
    <cellStyle name="Comma 3 5 3 2 2 3 2" xfId="3506" xr:uid="{455AD7A8-15C4-4286-A909-73168BC39A66}"/>
    <cellStyle name="Comma 3 5 3 2 2 4" xfId="3507" xr:uid="{3E238091-30B0-47A0-A850-35C247EABDC7}"/>
    <cellStyle name="Comma 3 5 3 2 3" xfId="3508" xr:uid="{A8B6B7C8-AA68-4F1B-95C2-97773D458851}"/>
    <cellStyle name="Comma 3 5 3 2 3 2" xfId="3509" xr:uid="{26184FF2-A9EE-4C3F-9302-56F452D70745}"/>
    <cellStyle name="Comma 3 5 3 2 3 2 2" xfId="3510" xr:uid="{04F032CB-AFA1-4A88-93F1-E21A9CA0D3AD}"/>
    <cellStyle name="Comma 3 5 3 2 3 3" xfId="3511" xr:uid="{AC0B7EE8-E7AE-4848-A2CC-2E6A1B834BED}"/>
    <cellStyle name="Comma 3 5 3 2 4" xfId="3512" xr:uid="{19057EBA-12D2-4B5E-B4F9-41CB35682D9F}"/>
    <cellStyle name="Comma 3 5 3 2 4 2" xfId="3513" xr:uid="{79BAC22C-9606-4942-BA3C-43EED30F39CF}"/>
    <cellStyle name="Comma 3 5 3 2 5" xfId="3514" xr:uid="{B2568C38-2928-4B7E-A0F9-0AFB5E00214D}"/>
    <cellStyle name="Comma 3 5 3 3" xfId="3515" xr:uid="{DE396CF1-DE92-48BD-B4F2-48EEBB7EDF06}"/>
    <cellStyle name="Comma 3 5 3 3 2" xfId="3516" xr:uid="{15F5ED46-B034-41B7-81B5-6A525A570737}"/>
    <cellStyle name="Comma 3 5 3 3 2 2" xfId="3517" xr:uid="{BD67FF73-E9F2-4153-978A-2289EF314350}"/>
    <cellStyle name="Comma 3 5 3 3 2 2 2" xfId="3518" xr:uid="{90847557-871B-4D63-87B7-0C9DE7466B43}"/>
    <cellStyle name="Comma 3 5 3 3 2 3" xfId="3519" xr:uid="{F599F761-1BA1-4A6F-80F1-8BB3ADF63CAF}"/>
    <cellStyle name="Comma 3 5 3 3 3" xfId="3520" xr:uid="{7634D9C6-2D59-47AD-AA99-4CCD5880BC5C}"/>
    <cellStyle name="Comma 3 5 3 3 3 2" xfId="3521" xr:uid="{B24B5323-E320-4D14-A84C-F165716F7D7A}"/>
    <cellStyle name="Comma 3 5 3 3 4" xfId="3522" xr:uid="{97E4A8B3-36D9-4CA4-AA39-51CAB6DB0A2E}"/>
    <cellStyle name="Comma 3 5 3 4" xfId="3523" xr:uid="{95FE08A9-6E06-4AB3-8118-F462CB9F1CF7}"/>
    <cellStyle name="Comma 3 5 3 4 2" xfId="3524" xr:uid="{FDB5CE7D-5AA9-48C3-B9A7-EFCA732C464B}"/>
    <cellStyle name="Comma 3 5 3 4 2 2" xfId="3525" xr:uid="{986B94F0-F93D-430C-B827-A53F0650513F}"/>
    <cellStyle name="Comma 3 5 3 4 3" xfId="3526" xr:uid="{187863B2-19C9-4897-8CC1-D3B2F93D2640}"/>
    <cellStyle name="Comma 3 5 3 5" xfId="3527" xr:uid="{57F59EBD-D7A0-4252-8FE1-ED002841F4F2}"/>
    <cellStyle name="Comma 3 5 3 5 2" xfId="3528" xr:uid="{7AC62582-8D9D-4C69-8AC7-CDA4F1AE170E}"/>
    <cellStyle name="Comma 3 5 3 6" xfId="3529" xr:uid="{1A61A4B2-F57B-41C9-B15F-8C5B08DE03F3}"/>
    <cellStyle name="Comma 3 5 4" xfId="3530" xr:uid="{D9561833-FAB9-4856-B92C-9EECC8D43FED}"/>
    <cellStyle name="Comma 3 5 4 2" xfId="3531" xr:uid="{8407CD42-19D0-46B1-A986-84AB243A66FA}"/>
    <cellStyle name="Comma 3 5 4 2 2" xfId="3532" xr:uid="{9040659F-976F-40FE-837E-AB775F3CB57C}"/>
    <cellStyle name="Comma 3 5 4 2 2 2" xfId="3533" xr:uid="{F875F444-F91E-4180-817F-4DA7939F450E}"/>
    <cellStyle name="Comma 3 5 4 2 2 2 2" xfId="3534" xr:uid="{FF511F41-BB37-4CF3-AD08-088C412E0E95}"/>
    <cellStyle name="Comma 3 5 4 2 2 3" xfId="3535" xr:uid="{3981A710-A3CB-4202-A865-B5C3F8BAC7CE}"/>
    <cellStyle name="Comma 3 5 4 2 3" xfId="3536" xr:uid="{E04ED5A8-C5E8-46F4-A02E-A5D0B40F9892}"/>
    <cellStyle name="Comma 3 5 4 2 3 2" xfId="3537" xr:uid="{EDD770AD-C529-448E-9F3D-2BE713512588}"/>
    <cellStyle name="Comma 3 5 4 2 4" xfId="3538" xr:uid="{696AB525-9DD8-4D82-88E2-7506FEC65CC9}"/>
    <cellStyle name="Comma 3 5 4 3" xfId="3539" xr:uid="{0A5A3C95-832C-4012-8D87-1897F65081B9}"/>
    <cellStyle name="Comma 3 5 4 3 2" xfId="3540" xr:uid="{8AD24798-D73D-41B7-9736-B9C6EC43C20D}"/>
    <cellStyle name="Comma 3 5 4 3 2 2" xfId="3541" xr:uid="{A57FBE86-707F-44F6-92B6-23A446DBFC25}"/>
    <cellStyle name="Comma 3 5 4 3 3" xfId="3542" xr:uid="{2A17985A-3BCF-43B0-81D1-A28915690734}"/>
    <cellStyle name="Comma 3 5 4 4" xfId="3543" xr:uid="{21D3F255-87AE-4284-92EB-15DD91FA687D}"/>
    <cellStyle name="Comma 3 5 4 4 2" xfId="3544" xr:uid="{1568BD36-96BD-4FBB-AF60-AC4DA7E0A16F}"/>
    <cellStyle name="Comma 3 5 4 5" xfId="3545" xr:uid="{1F30E3FA-46CE-425D-BAEA-3141A894A685}"/>
    <cellStyle name="Comma 3 5 5" xfId="3546" xr:uid="{C789F52D-2B66-40CD-A042-7FB5667BA6B3}"/>
    <cellStyle name="Comma 3 5 5 2" xfId="3547" xr:uid="{B3A88C15-F9B7-44BE-942B-B6F08D48BF13}"/>
    <cellStyle name="Comma 3 5 5 2 2" xfId="3548" xr:uid="{FCB0B296-93FE-414A-AE9F-FF515C04BA78}"/>
    <cellStyle name="Comma 3 5 5 2 2 2" xfId="3549" xr:uid="{7EF8AB4D-DB85-40BF-8218-42B234A615EB}"/>
    <cellStyle name="Comma 3 5 5 2 3" xfId="3550" xr:uid="{8398F99B-264E-4DE4-9E99-C78E114E424D}"/>
    <cellStyle name="Comma 3 5 5 3" xfId="3551" xr:uid="{2FC64246-F48B-4720-A6CC-8E4400F70A87}"/>
    <cellStyle name="Comma 3 5 5 3 2" xfId="3552" xr:uid="{14745497-4AAD-42DC-9B9D-7E7485F89D46}"/>
    <cellStyle name="Comma 3 5 5 4" xfId="3553" xr:uid="{78516282-5130-44E1-9593-4DDDE27D7D47}"/>
    <cellStyle name="Comma 3 5 6" xfId="3554" xr:uid="{E4FCBD4B-1452-4FDC-811A-62C2B224DB30}"/>
    <cellStyle name="Comma 3 5 6 2" xfId="3555" xr:uid="{62E738E6-997F-4BA5-8704-3CAF4BC6E747}"/>
    <cellStyle name="Comma 3 5 6 2 2" xfId="3556" xr:uid="{55A36C08-B2BF-403C-A733-F58DFF7DD7D2}"/>
    <cellStyle name="Comma 3 5 6 3" xfId="3557" xr:uid="{C3BA11C8-1A6F-4B06-8873-856CFEECB3B1}"/>
    <cellStyle name="Comma 3 5 7" xfId="3558" xr:uid="{178C3B07-29D8-4127-B7EE-6677A9EEABB1}"/>
    <cellStyle name="Comma 3 5 7 2" xfId="3559" xr:uid="{254EAD36-B52C-450E-A666-D32295167172}"/>
    <cellStyle name="Comma 3 5 8" xfId="3560" xr:uid="{A0B0CCE6-A75A-4FE3-97E1-37449B4C7C48}"/>
    <cellStyle name="Comma 3 6" xfId="3561" xr:uid="{9042779A-3557-4369-A979-F1DBE60812E9}"/>
    <cellStyle name="Comma 3 7" xfId="3562" xr:uid="{6C8588DE-BFE7-46F0-9415-82137D7653F0}"/>
    <cellStyle name="Comma 3 7 2" xfId="3563" xr:uid="{0B156B58-0C57-46AD-A981-2064AD49FE69}"/>
    <cellStyle name="Comma 3 7 2 2" xfId="3564" xr:uid="{C62190EB-C0BF-4647-9076-C1F948EE9A7F}"/>
    <cellStyle name="Comma 3 7 2 2 2" xfId="3565" xr:uid="{EF095EA9-8AB1-4A47-A1DA-816A5A0CE458}"/>
    <cellStyle name="Comma 3 7 2 2 2 2" xfId="3566" xr:uid="{09674B03-B899-4AFB-A185-3B81EF4C704F}"/>
    <cellStyle name="Comma 3 7 2 2 2 2 2" xfId="3567" xr:uid="{D78AABFD-0266-4AD9-AF6B-1DAB3AA9B60A}"/>
    <cellStyle name="Comma 3 7 2 2 2 2 2 2" xfId="3568" xr:uid="{7C58C476-864B-454F-AD54-F60A02C13EAE}"/>
    <cellStyle name="Comma 3 7 2 2 2 2 2 2 2" xfId="3569" xr:uid="{F1F8CC8A-2D57-4F5B-9E7A-713A3E1D8B6E}"/>
    <cellStyle name="Comma 3 7 2 2 2 2 2 3" xfId="3570" xr:uid="{6561D922-BD31-4EB3-BB6E-14E754544A68}"/>
    <cellStyle name="Comma 3 7 2 2 2 2 3" xfId="3571" xr:uid="{5F7498B3-5BE3-40C2-B8B9-C33C224029E5}"/>
    <cellStyle name="Comma 3 7 2 2 2 2 3 2" xfId="3572" xr:uid="{C5C9A60B-D198-498E-AC3C-A64CBFC86EF0}"/>
    <cellStyle name="Comma 3 7 2 2 2 2 4" xfId="3573" xr:uid="{8A4265DF-3B98-4D83-80C3-2814BEE15D62}"/>
    <cellStyle name="Comma 3 7 2 2 2 3" xfId="3574" xr:uid="{9C3FF528-CB11-49F5-9FF5-0BFCB01735FE}"/>
    <cellStyle name="Comma 3 7 2 2 2 3 2" xfId="3575" xr:uid="{7A08949E-8656-4944-BCF4-1D743052EF4B}"/>
    <cellStyle name="Comma 3 7 2 2 2 3 2 2" xfId="3576" xr:uid="{1F8257BE-1420-4E4C-BB0A-454D8AC407F4}"/>
    <cellStyle name="Comma 3 7 2 2 2 3 3" xfId="3577" xr:uid="{FC72B088-DFA2-49A2-91A0-D3A79224AC31}"/>
    <cellStyle name="Comma 3 7 2 2 2 4" xfId="3578" xr:uid="{5B9F5F04-EDD6-4573-8373-B56BBA46F1BA}"/>
    <cellStyle name="Comma 3 7 2 2 2 4 2" xfId="3579" xr:uid="{270CC93A-6B3E-437C-8107-FCE5EA175E72}"/>
    <cellStyle name="Comma 3 7 2 2 2 5" xfId="3580" xr:uid="{DCE35F6E-CEE2-4191-ABA8-60401D216560}"/>
    <cellStyle name="Comma 3 7 2 2 3" xfId="3581" xr:uid="{2F647617-FEBA-4ED1-83DC-DD19A0898A53}"/>
    <cellStyle name="Comma 3 7 2 2 3 2" xfId="3582" xr:uid="{B0940DF5-EE37-4BD0-98C9-EAB85F3CF947}"/>
    <cellStyle name="Comma 3 7 2 2 3 2 2" xfId="3583" xr:uid="{76FA69B9-DF8F-4459-9D5C-79C18B8C1738}"/>
    <cellStyle name="Comma 3 7 2 2 3 2 2 2" xfId="3584" xr:uid="{8EAC2D93-A67B-418B-9BF4-BEF0D5F87BF7}"/>
    <cellStyle name="Comma 3 7 2 2 3 2 3" xfId="3585" xr:uid="{855B8032-D6D4-441F-AAAE-4B6A5AF78375}"/>
    <cellStyle name="Comma 3 7 2 2 3 3" xfId="3586" xr:uid="{719CA749-C117-4F5D-BFD4-202FD31FC733}"/>
    <cellStyle name="Comma 3 7 2 2 3 3 2" xfId="3587" xr:uid="{F73BB990-A677-4536-B632-681022689BA1}"/>
    <cellStyle name="Comma 3 7 2 2 3 4" xfId="3588" xr:uid="{89BFC64B-9DE0-4950-B777-37C02CB7A478}"/>
    <cellStyle name="Comma 3 7 2 2 4" xfId="3589" xr:uid="{AFC49D15-E392-4D7E-8BD5-79AE1E44B330}"/>
    <cellStyle name="Comma 3 7 2 2 4 2" xfId="3590" xr:uid="{4111D156-C4CD-415E-93BA-415BA0E42EC1}"/>
    <cellStyle name="Comma 3 7 2 2 4 2 2" xfId="3591" xr:uid="{24268772-65E3-4546-9188-04EAF150060B}"/>
    <cellStyle name="Comma 3 7 2 2 4 3" xfId="3592" xr:uid="{BE1EBDE0-D842-483C-8ACF-FE19CBE8126A}"/>
    <cellStyle name="Comma 3 7 2 2 5" xfId="3593" xr:uid="{504F86F1-7651-498D-BB0F-E75A7B1222DA}"/>
    <cellStyle name="Comma 3 7 2 2 5 2" xfId="3594" xr:uid="{BF2D84FE-2194-461C-9932-9FFB3E5EB69C}"/>
    <cellStyle name="Comma 3 7 2 2 6" xfId="3595" xr:uid="{2C1F1C30-AD1C-4BFE-AA63-FD90DCA9ECCD}"/>
    <cellStyle name="Comma 3 7 2 3" xfId="3596" xr:uid="{59E0925C-A056-4D08-AA29-4079B558C1EC}"/>
    <cellStyle name="Comma 3 7 2 3 2" xfId="3597" xr:uid="{5AABF363-3850-464B-B1BE-D37D1065EBF3}"/>
    <cellStyle name="Comma 3 7 2 3 2 2" xfId="3598" xr:uid="{51DFBC2D-FC14-49DD-BE69-DBF52820FE81}"/>
    <cellStyle name="Comma 3 7 2 3 2 2 2" xfId="3599" xr:uid="{C6A70C60-DC1D-4F1A-BB36-569024F6A28A}"/>
    <cellStyle name="Comma 3 7 2 3 2 2 2 2" xfId="3600" xr:uid="{51F64A60-A472-40FB-86F5-813A177AA9D4}"/>
    <cellStyle name="Comma 3 7 2 3 2 2 3" xfId="3601" xr:uid="{E3970232-1BAE-444C-BE6F-9F18BA3764D0}"/>
    <cellStyle name="Comma 3 7 2 3 2 3" xfId="3602" xr:uid="{A7EBC2FE-480C-4480-A0C3-17BDA39ADA3F}"/>
    <cellStyle name="Comma 3 7 2 3 2 3 2" xfId="3603" xr:uid="{4B4C8F3C-8C18-4491-8603-B9B112FBF9ED}"/>
    <cellStyle name="Comma 3 7 2 3 2 4" xfId="3604" xr:uid="{707943B8-0F05-4376-AC17-72EC72D3C2FE}"/>
    <cellStyle name="Comma 3 7 2 3 3" xfId="3605" xr:uid="{736CB87C-6B72-4755-ADAD-1359CD18FF5F}"/>
    <cellStyle name="Comma 3 7 2 3 3 2" xfId="3606" xr:uid="{A00DA10B-B9E0-4B9F-9347-04A0D67B18B6}"/>
    <cellStyle name="Comma 3 7 2 3 3 2 2" xfId="3607" xr:uid="{8445DAA8-0DB2-4ADD-B0AC-9AF4F880864D}"/>
    <cellStyle name="Comma 3 7 2 3 3 3" xfId="3608" xr:uid="{3F28C9F2-8DA8-4A94-8FD6-8C040322CF04}"/>
    <cellStyle name="Comma 3 7 2 3 4" xfId="3609" xr:uid="{ABD6681B-7E95-4F30-94DB-7849B372CC04}"/>
    <cellStyle name="Comma 3 7 2 3 4 2" xfId="3610" xr:uid="{687D5C50-6DF1-4B4D-872A-88AEC07F4678}"/>
    <cellStyle name="Comma 3 7 2 3 5" xfId="3611" xr:uid="{C76159D4-4E84-47BC-ADD5-F55AFE2663FE}"/>
    <cellStyle name="Comma 3 7 2 4" xfId="3612" xr:uid="{779005D9-A404-4B5D-9720-B3750F09636B}"/>
    <cellStyle name="Comma 3 7 2 4 2" xfId="3613" xr:uid="{05A6AD5F-6219-494B-B996-A54534A6471D}"/>
    <cellStyle name="Comma 3 7 2 4 2 2" xfId="3614" xr:uid="{4FA26DB0-91F7-49A1-BAB7-78133C12A553}"/>
    <cellStyle name="Comma 3 7 2 4 2 2 2" xfId="3615" xr:uid="{9624D4E3-0E19-44AE-A481-5F69CBA59565}"/>
    <cellStyle name="Comma 3 7 2 4 2 3" xfId="3616" xr:uid="{9AFC553D-D498-4F4A-9051-0A9317EDACD4}"/>
    <cellStyle name="Comma 3 7 2 4 3" xfId="3617" xr:uid="{BC6B9FA2-7DEB-4EA9-A2E7-C331CC3BF98A}"/>
    <cellStyle name="Comma 3 7 2 4 3 2" xfId="3618" xr:uid="{DD5F0E7B-A3F3-49EE-94FE-552F3C14AB04}"/>
    <cellStyle name="Comma 3 7 2 4 4" xfId="3619" xr:uid="{7CE392A7-283E-434B-AD74-FEB4F67A120E}"/>
    <cellStyle name="Comma 3 7 2 5" xfId="3620" xr:uid="{FA6D6C55-C5A8-4B4C-BC29-DC35F93AFF97}"/>
    <cellStyle name="Comma 3 7 2 5 2" xfId="3621" xr:uid="{EE6AF268-671C-4981-9747-50B35CEBB64F}"/>
    <cellStyle name="Comma 3 7 2 5 2 2" xfId="3622" xr:uid="{8D3C0B20-7C03-46FC-B067-C239DCD877E9}"/>
    <cellStyle name="Comma 3 7 2 5 3" xfId="3623" xr:uid="{61DDE95A-F7DA-43AD-9D44-E8C04E985333}"/>
    <cellStyle name="Comma 3 7 2 6" xfId="3624" xr:uid="{BEB63B07-1334-4BCB-8E75-E81AD7720ECA}"/>
    <cellStyle name="Comma 3 7 2 6 2" xfId="3625" xr:uid="{2AC33E02-446B-48B4-8D9C-5B1194656E08}"/>
    <cellStyle name="Comma 3 7 2 7" xfId="3626" xr:uid="{0F2B7F04-47A8-41B0-9C40-B3E74E9B697F}"/>
    <cellStyle name="Comma 3 7 3" xfId="3627" xr:uid="{8DAADF15-4D19-486E-91DE-A48E86547FF5}"/>
    <cellStyle name="Comma 3 7 3 2" xfId="3628" xr:uid="{1AE7C091-CFB1-40C5-8F8D-41E6592D67FF}"/>
    <cellStyle name="Comma 3 7 3 2 2" xfId="3629" xr:uid="{F7D8406F-0A6F-4254-A942-1E6513FCC11C}"/>
    <cellStyle name="Comma 3 7 3 2 2 2" xfId="3630" xr:uid="{2A8DA044-E147-46D7-B44D-7C2E8336CB25}"/>
    <cellStyle name="Comma 3 7 3 2 2 2 2" xfId="3631" xr:uid="{6B4A187A-6635-4ACF-88EE-F33E3CEE621F}"/>
    <cellStyle name="Comma 3 7 3 2 2 2 2 2" xfId="3632" xr:uid="{C4B94D98-41E2-427D-B85B-DC83F629B2CF}"/>
    <cellStyle name="Comma 3 7 3 2 2 2 3" xfId="3633" xr:uid="{FDA96ACD-6D97-4D2B-A371-2FEBF5E8D033}"/>
    <cellStyle name="Comma 3 7 3 2 2 3" xfId="3634" xr:uid="{16D760C7-067B-4AF8-B5F3-F16471E18FF2}"/>
    <cellStyle name="Comma 3 7 3 2 2 3 2" xfId="3635" xr:uid="{17D53105-93D1-4EE4-8558-A4F028C1FC71}"/>
    <cellStyle name="Comma 3 7 3 2 2 4" xfId="3636" xr:uid="{BF912F94-7D32-4F54-8243-44BF3B8BCA69}"/>
    <cellStyle name="Comma 3 7 3 2 3" xfId="3637" xr:uid="{22EC97E3-6CDA-4CF9-A2CB-7949A74EE6B3}"/>
    <cellStyle name="Comma 3 7 3 2 3 2" xfId="3638" xr:uid="{D77C4534-62AF-45B2-BFB9-F7273876C306}"/>
    <cellStyle name="Comma 3 7 3 2 3 2 2" xfId="3639" xr:uid="{1C6876DC-523D-4FFE-94EF-01D6D3437BA5}"/>
    <cellStyle name="Comma 3 7 3 2 3 3" xfId="3640" xr:uid="{82032C5E-A97F-4D48-AAD8-51818E9248D2}"/>
    <cellStyle name="Comma 3 7 3 2 4" xfId="3641" xr:uid="{FE24BE2D-AB1A-44E5-8050-A4A739097ECF}"/>
    <cellStyle name="Comma 3 7 3 2 4 2" xfId="3642" xr:uid="{8E79DFA9-C3D0-42DD-AA8D-947D9302897E}"/>
    <cellStyle name="Comma 3 7 3 2 5" xfId="3643" xr:uid="{6833F729-3F0D-453B-AC6F-6369BDDAC558}"/>
    <cellStyle name="Comma 3 7 3 3" xfId="3644" xr:uid="{61441A4E-60EF-4EE3-9A66-623DC815EF0A}"/>
    <cellStyle name="Comma 3 7 3 3 2" xfId="3645" xr:uid="{83483B8E-D11A-4A51-B7CD-1F2D95921B4E}"/>
    <cellStyle name="Comma 3 7 3 3 2 2" xfId="3646" xr:uid="{A06B2F89-3307-42CD-9E23-0282993C8129}"/>
    <cellStyle name="Comma 3 7 3 3 2 2 2" xfId="3647" xr:uid="{69DB463D-0EBE-452C-8665-91AF62BFA38B}"/>
    <cellStyle name="Comma 3 7 3 3 2 3" xfId="3648" xr:uid="{72B96797-58EF-4016-A67B-D776DEB39B45}"/>
    <cellStyle name="Comma 3 7 3 3 3" xfId="3649" xr:uid="{E8D53EE2-1E7D-4B10-8BAD-52B6FB7763E8}"/>
    <cellStyle name="Comma 3 7 3 3 3 2" xfId="3650" xr:uid="{B1AADF4D-ED32-4E49-B6E2-E0BF0DF29D62}"/>
    <cellStyle name="Comma 3 7 3 3 4" xfId="3651" xr:uid="{1347E0F9-18CD-4585-9C89-086538E77C84}"/>
    <cellStyle name="Comma 3 7 3 4" xfId="3652" xr:uid="{AD9F654E-33E5-4D36-8308-EDA97F38B484}"/>
    <cellStyle name="Comma 3 7 3 4 2" xfId="3653" xr:uid="{FFEB6418-260D-40F0-A836-895406DAD520}"/>
    <cellStyle name="Comma 3 7 3 4 2 2" xfId="3654" xr:uid="{27ED9926-19D4-4E84-BE84-973542AE6A12}"/>
    <cellStyle name="Comma 3 7 3 4 3" xfId="3655" xr:uid="{E23DE318-3364-4AFC-B649-BC2ED0AB0BC8}"/>
    <cellStyle name="Comma 3 7 3 5" xfId="3656" xr:uid="{663C4D5E-2DF4-403F-836F-308CA2CFC73B}"/>
    <cellStyle name="Comma 3 7 3 5 2" xfId="3657" xr:uid="{70EE2AB9-D906-4684-AC07-07701A0DA7C1}"/>
    <cellStyle name="Comma 3 7 3 6" xfId="3658" xr:uid="{482EC870-EE42-46CF-9054-8F1EFEB5A5B7}"/>
    <cellStyle name="Comma 3 7 4" xfId="3659" xr:uid="{CA308A17-EB40-45AE-A27C-249D095D1B36}"/>
    <cellStyle name="Comma 3 7 4 2" xfId="3660" xr:uid="{620A2AE6-3F02-407F-9C03-A17C0E2CE092}"/>
    <cellStyle name="Comma 3 7 4 2 2" xfId="3661" xr:uid="{A7F57093-0FC8-4FA9-AF2B-30D428F83DBD}"/>
    <cellStyle name="Comma 3 7 4 2 2 2" xfId="3662" xr:uid="{413D90AC-CC2C-4A7E-8043-B9238B381E38}"/>
    <cellStyle name="Comma 3 7 4 2 2 2 2" xfId="3663" xr:uid="{F5292919-2283-4D57-9A8B-343E356EC40D}"/>
    <cellStyle name="Comma 3 7 4 2 2 3" xfId="3664" xr:uid="{ABA3E4DB-9B8D-4BF6-9622-BB88D95CCF99}"/>
    <cellStyle name="Comma 3 7 4 2 3" xfId="3665" xr:uid="{821D1425-1C29-4B90-8B16-04E67F0F7EBE}"/>
    <cellStyle name="Comma 3 7 4 2 3 2" xfId="3666" xr:uid="{C724DB12-2571-4F7B-BEB0-87C0CA2D2FB7}"/>
    <cellStyle name="Comma 3 7 4 2 4" xfId="3667" xr:uid="{2DD45118-58C2-4C02-8C55-03497117EDCA}"/>
    <cellStyle name="Comma 3 7 4 3" xfId="3668" xr:uid="{0006FDC3-F5C1-45E2-94BB-A1A8D966457B}"/>
    <cellStyle name="Comma 3 7 4 3 2" xfId="3669" xr:uid="{655FC0B7-3DEB-4FAD-8469-40EAE7FDADD5}"/>
    <cellStyle name="Comma 3 7 4 3 2 2" xfId="3670" xr:uid="{5C1EB99C-EE7B-45A5-B6C6-0D9D1EF4AA67}"/>
    <cellStyle name="Comma 3 7 4 3 3" xfId="3671" xr:uid="{2FB2B055-7ADD-4E62-84B2-4A4EE03D64B1}"/>
    <cellStyle name="Comma 3 7 4 4" xfId="3672" xr:uid="{E23C25A2-446D-4F2C-91E3-AC0F82068C16}"/>
    <cellStyle name="Comma 3 7 4 4 2" xfId="3673" xr:uid="{BFCE06CB-1193-470A-B42F-CB6209A73650}"/>
    <cellStyle name="Comma 3 7 4 5" xfId="3674" xr:uid="{CD3B6E4A-A634-4348-9A4E-8AEDD152B230}"/>
    <cellStyle name="Comma 3 7 5" xfId="3675" xr:uid="{F48C6E48-96C7-4F3F-A0F1-87377D267CF0}"/>
    <cellStyle name="Comma 3 7 5 2" xfId="3676" xr:uid="{ED827E2A-0166-4AC4-B99E-0E382D601B34}"/>
    <cellStyle name="Comma 3 7 5 2 2" xfId="3677" xr:uid="{4479EE8A-8E38-446B-A69D-CD907C6542E2}"/>
    <cellStyle name="Comma 3 7 5 2 2 2" xfId="3678" xr:uid="{C80DDB4E-5488-4BA6-8373-72E856366F9E}"/>
    <cellStyle name="Comma 3 7 5 2 3" xfId="3679" xr:uid="{AA9FF397-A45C-45D0-AEDB-272F9300A669}"/>
    <cellStyle name="Comma 3 7 5 3" xfId="3680" xr:uid="{823B3005-8AA8-46D0-A6E2-53059793D6F9}"/>
    <cellStyle name="Comma 3 7 5 3 2" xfId="3681" xr:uid="{3037BE9C-5226-4F45-888E-04E24AAF4487}"/>
    <cellStyle name="Comma 3 7 5 4" xfId="3682" xr:uid="{BE9852E2-18AC-4E6E-9F7B-A97F68AFC316}"/>
    <cellStyle name="Comma 3 7 6" xfId="3683" xr:uid="{0EC1EC0C-2205-4CB8-A637-A41B4451ED46}"/>
    <cellStyle name="Comma 3 7 6 2" xfId="3684" xr:uid="{9ACF2B1F-3DAB-439A-AF2A-C3C63821ED5D}"/>
    <cellStyle name="Comma 3 7 6 2 2" xfId="3685" xr:uid="{6FBF3E86-0803-49C1-B72D-35B79F293033}"/>
    <cellStyle name="Comma 3 7 6 3" xfId="3686" xr:uid="{3311B0B7-E05F-4094-8A39-FCB888D79265}"/>
    <cellStyle name="Comma 3 7 7" xfId="3687" xr:uid="{861C7C66-7020-4F1A-9398-2AD9A45B0B60}"/>
    <cellStyle name="Comma 3 7 7 2" xfId="3688" xr:uid="{CA6E19A5-DC06-4111-B5F0-85910DA03139}"/>
    <cellStyle name="Comma 3 7 8" xfId="3689" xr:uid="{B150E0BD-F2B2-4B36-A2E3-4CBEB2AFBE37}"/>
    <cellStyle name="Comma 3 8" xfId="3690" xr:uid="{A1B59483-EAD4-4CC8-8105-0A52237B502E}"/>
    <cellStyle name="Comma 3 8 2" xfId="3691" xr:uid="{1357A685-DBB7-4716-A079-ECD0329BCB26}"/>
    <cellStyle name="Comma 3 8 2 2" xfId="3692" xr:uid="{99164235-FC99-42D5-969E-89F061A9871E}"/>
    <cellStyle name="Comma 3 8 2 2 2" xfId="3693" xr:uid="{0EE3DB92-1FB5-4B06-89A2-3ABDDBB12E6E}"/>
    <cellStyle name="Comma 3 8 2 2 2 2" xfId="3694" xr:uid="{E5E8562E-D4FF-47CD-9878-D910EBDAD06A}"/>
    <cellStyle name="Comma 3 8 2 2 2 2 2" xfId="3695" xr:uid="{171492D8-1408-40DB-9789-C14257E2A1C1}"/>
    <cellStyle name="Comma 3 8 2 2 2 2 2 2" xfId="3696" xr:uid="{224C0AA7-2E31-4929-9B74-D324274BBE95}"/>
    <cellStyle name="Comma 3 8 2 2 2 2 3" xfId="3697" xr:uid="{0B8E7BE8-C191-4BAD-85E6-E35CCA672DAA}"/>
    <cellStyle name="Comma 3 8 2 2 2 3" xfId="3698" xr:uid="{D879BA67-594F-4295-8AB7-F25C6E00B879}"/>
    <cellStyle name="Comma 3 8 2 2 2 3 2" xfId="3699" xr:uid="{2EC7D6FC-B544-432B-BA69-DAE2C00AEBFE}"/>
    <cellStyle name="Comma 3 8 2 2 2 4" xfId="3700" xr:uid="{2C67B758-45BC-46F3-8F18-BBA702250145}"/>
    <cellStyle name="Comma 3 8 2 2 3" xfId="3701" xr:uid="{0C1912E5-454D-442F-8544-BDBE879C87F2}"/>
    <cellStyle name="Comma 3 8 2 2 3 2" xfId="3702" xr:uid="{3F05D5D0-6AF8-471D-B30E-127EB86066BE}"/>
    <cellStyle name="Comma 3 8 2 2 3 2 2" xfId="3703" xr:uid="{76C36C9B-1B0F-4902-AE39-0ACA1150FBCF}"/>
    <cellStyle name="Comma 3 8 2 2 3 3" xfId="3704" xr:uid="{09263883-D2DE-4B60-BC24-8E8871B38EF7}"/>
    <cellStyle name="Comma 3 8 2 2 4" xfId="3705" xr:uid="{028031BC-0ECC-4D7A-B9B6-5B28481C543D}"/>
    <cellStyle name="Comma 3 8 2 2 4 2" xfId="3706" xr:uid="{038FE31F-7295-402D-9CB7-D18E86B8D39A}"/>
    <cellStyle name="Comma 3 8 2 2 5" xfId="3707" xr:uid="{2D3315E2-CACF-4B50-B83D-0D78EB639AEC}"/>
    <cellStyle name="Comma 3 8 2 3" xfId="3708" xr:uid="{78EB8BD6-C3E6-432E-9883-F3F0B79903F8}"/>
    <cellStyle name="Comma 3 8 2 3 2" xfId="3709" xr:uid="{C4310B91-BC33-4786-8807-3E3FB6D35866}"/>
    <cellStyle name="Comma 3 8 2 3 2 2" xfId="3710" xr:uid="{5BE95F80-8AA3-462B-9F79-201754CF826A}"/>
    <cellStyle name="Comma 3 8 2 3 2 2 2" xfId="3711" xr:uid="{78C68019-8EF0-479A-8521-124C679924BC}"/>
    <cellStyle name="Comma 3 8 2 3 2 3" xfId="3712" xr:uid="{4DDC0803-C8DC-4508-BDF1-202C3EAB2203}"/>
    <cellStyle name="Comma 3 8 2 3 3" xfId="3713" xr:uid="{DBE504A3-B88D-443A-A8A7-552DCD0625A5}"/>
    <cellStyle name="Comma 3 8 2 3 3 2" xfId="3714" xr:uid="{BA6627C5-8226-414E-938C-FED24513C507}"/>
    <cellStyle name="Comma 3 8 2 3 4" xfId="3715" xr:uid="{7FB488ED-20F0-4B1E-8C09-DB4183FB256F}"/>
    <cellStyle name="Comma 3 8 2 4" xfId="3716" xr:uid="{66D2291A-4E62-4949-A398-578690B7BD1A}"/>
    <cellStyle name="Comma 3 8 2 4 2" xfId="3717" xr:uid="{BF9A468B-F225-4CA8-8B8F-B63968AFC054}"/>
    <cellStyle name="Comma 3 8 2 4 2 2" xfId="3718" xr:uid="{C9B9E0F6-E93E-4F19-BAC6-8A27A29019DD}"/>
    <cellStyle name="Comma 3 8 2 4 3" xfId="3719" xr:uid="{83E87E07-4F6B-42A6-B57C-A18FB1B9BA89}"/>
    <cellStyle name="Comma 3 8 2 5" xfId="3720" xr:uid="{5DDFF931-BFEF-4349-812C-FC393BDF5616}"/>
    <cellStyle name="Comma 3 8 2 5 2" xfId="3721" xr:uid="{607EBD5C-9A0F-44B5-B877-DBE4BDF2DEB8}"/>
    <cellStyle name="Comma 3 8 2 6" xfId="3722" xr:uid="{A6FA2FC0-9C30-408C-9438-6679AA550956}"/>
    <cellStyle name="Comma 3 8 3" xfId="3723" xr:uid="{277A096D-66C2-4387-A1FF-52457A937BD3}"/>
    <cellStyle name="Comma 3 8 3 2" xfId="3724" xr:uid="{E5E52711-2F52-4B76-AB5C-544E4D327746}"/>
    <cellStyle name="Comma 3 8 3 2 2" xfId="3725" xr:uid="{D7B03627-A3BD-400B-9573-585C7E30D04B}"/>
    <cellStyle name="Comma 3 8 3 2 2 2" xfId="3726" xr:uid="{88728B1A-C68D-446C-A232-7BD4B505FE5D}"/>
    <cellStyle name="Comma 3 8 3 2 2 2 2" xfId="3727" xr:uid="{819CA315-909E-408D-B147-1DE6213AA2B8}"/>
    <cellStyle name="Comma 3 8 3 2 2 3" xfId="3728" xr:uid="{7C1B8F3A-AA7B-4492-A7F6-7C1333F3A6A3}"/>
    <cellStyle name="Comma 3 8 3 2 3" xfId="3729" xr:uid="{33617DE7-7532-4F27-A619-71821DC8AC3D}"/>
    <cellStyle name="Comma 3 8 3 2 3 2" xfId="3730" xr:uid="{0845EBEA-8012-4172-813C-9B18053EFA44}"/>
    <cellStyle name="Comma 3 8 3 2 4" xfId="3731" xr:uid="{6ED56B8F-6126-4B1D-8DED-9AE4ED020EEF}"/>
    <cellStyle name="Comma 3 8 3 3" xfId="3732" xr:uid="{DFDA4BA4-3D21-412F-A79C-105DA01AD457}"/>
    <cellStyle name="Comma 3 8 3 3 2" xfId="3733" xr:uid="{B5E9A165-5A00-47B5-AAD4-4B81B6B17879}"/>
    <cellStyle name="Comma 3 8 3 3 2 2" xfId="3734" xr:uid="{A393F929-D1DA-4C2F-B024-8F14FED29D44}"/>
    <cellStyle name="Comma 3 8 3 3 3" xfId="3735" xr:uid="{B3F7BFF6-76D5-4AB6-88D9-2D26E1A7CFF3}"/>
    <cellStyle name="Comma 3 8 3 4" xfId="3736" xr:uid="{B1A776AD-8719-4375-8F20-5D74439C9F19}"/>
    <cellStyle name="Comma 3 8 3 4 2" xfId="3737" xr:uid="{DFC1D259-BC26-42FC-88EF-EC6F963E43E2}"/>
    <cellStyle name="Comma 3 8 3 5" xfId="3738" xr:uid="{2CEBCDEE-95D4-4769-8A82-A7B6D78E0A38}"/>
    <cellStyle name="Comma 3 8 4" xfId="3739" xr:uid="{E1AB60B3-AB9A-47F5-B1AC-661D6D7A88EE}"/>
    <cellStyle name="Comma 3 8 4 2" xfId="3740" xr:uid="{31F6D8D5-CCF4-4366-94C8-89B7BD4AEC4A}"/>
    <cellStyle name="Comma 3 8 4 2 2" xfId="3741" xr:uid="{C28F9969-D94D-4FEA-B122-0A9BA3966D1B}"/>
    <cellStyle name="Comma 3 8 4 2 2 2" xfId="3742" xr:uid="{53B4E26E-C3D7-4CA1-A20F-2CEB133C9E25}"/>
    <cellStyle name="Comma 3 8 4 2 3" xfId="3743" xr:uid="{AE3AD545-D696-4C3A-A1EA-8E6EA6275D0D}"/>
    <cellStyle name="Comma 3 8 4 3" xfId="3744" xr:uid="{481F674E-D098-472A-A80C-7751B35996F7}"/>
    <cellStyle name="Comma 3 8 4 3 2" xfId="3745" xr:uid="{A98CE25E-C2A0-46D4-82CC-7B6E18B864CD}"/>
    <cellStyle name="Comma 3 8 4 4" xfId="3746" xr:uid="{8DAC4CE2-FCC7-4267-AADA-755FB19C0CF9}"/>
    <cellStyle name="Comma 3 8 5" xfId="3747" xr:uid="{3C330E8E-ED56-4BC9-AA1C-45584A6B3BD4}"/>
    <cellStyle name="Comma 3 8 5 2" xfId="3748" xr:uid="{94DCBEDF-5640-4C1A-BC10-064B9A35BF00}"/>
    <cellStyle name="Comma 3 8 5 2 2" xfId="3749" xr:uid="{BDF9F753-D9AF-42E3-9179-E0DA5CD23220}"/>
    <cellStyle name="Comma 3 8 5 3" xfId="3750" xr:uid="{19A284AA-A25E-44DC-90D1-03004BD4F340}"/>
    <cellStyle name="Comma 3 8 6" xfId="3751" xr:uid="{E77D8B11-05D1-452E-813F-07E358371429}"/>
    <cellStyle name="Comma 3 8 6 2" xfId="3752" xr:uid="{E336135E-72B6-4AEC-B3C4-460E63792D59}"/>
    <cellStyle name="Comma 3 8 7" xfId="3753" xr:uid="{BB134534-713D-48CE-961E-51FDDF8B8F49}"/>
    <cellStyle name="Comma 3 9" xfId="3754" xr:uid="{E6955A43-A78A-4298-B279-49C37794CE55}"/>
    <cellStyle name="Comma 3 9 2" xfId="3755" xr:uid="{10992C05-662A-44A6-97EE-28ADD00BC604}"/>
    <cellStyle name="Comma 3 9 2 2" xfId="3756" xr:uid="{49C0692F-0F2F-4196-9BDB-94DAADAEF335}"/>
    <cellStyle name="Comma 3 9 2 2 2" xfId="3757" xr:uid="{78326059-88EA-4FD8-B700-DB92A8E60216}"/>
    <cellStyle name="Comma 3 9 2 2 2 2" xfId="3758" xr:uid="{61AAD3FA-A70E-4850-B147-6C326CACB2D3}"/>
    <cellStyle name="Comma 3 9 2 2 2 2 2" xfId="3759" xr:uid="{A16AC9EE-105B-4273-A6B4-646FCFDCE687}"/>
    <cellStyle name="Comma 3 9 2 2 2 3" xfId="3760" xr:uid="{BD7B4041-72D9-437D-BCC5-F85BB433F752}"/>
    <cellStyle name="Comma 3 9 2 2 3" xfId="3761" xr:uid="{B0CD0801-674B-497D-896A-5F47956D3425}"/>
    <cellStyle name="Comma 3 9 2 2 3 2" xfId="3762" xr:uid="{87FE88C3-17B3-4678-87A4-9CAEB621EA22}"/>
    <cellStyle name="Comma 3 9 2 2 4" xfId="3763" xr:uid="{6D9551DF-B84D-4B46-BEEC-986E89A083B7}"/>
    <cellStyle name="Comma 3 9 2 3" xfId="3764" xr:uid="{6F1F25FE-9B89-4082-9B3F-D9F33D6B5F0D}"/>
    <cellStyle name="Comma 3 9 2 3 2" xfId="3765" xr:uid="{C11E0B20-54FC-4982-B537-B102CE650BC7}"/>
    <cellStyle name="Comma 3 9 2 3 2 2" xfId="3766" xr:uid="{63322710-E40F-4CC6-95D9-FB30DDBCCC15}"/>
    <cellStyle name="Comma 3 9 2 3 3" xfId="3767" xr:uid="{E379B1C3-C686-4DA1-BAC2-0B6F83282C68}"/>
    <cellStyle name="Comma 3 9 2 4" xfId="3768" xr:uid="{B7D2DCD6-97F2-4B28-9351-AE2D9E90E79D}"/>
    <cellStyle name="Comma 3 9 2 4 2" xfId="3769" xr:uid="{F729A7A0-C600-4B1A-92AC-7ACA8B865131}"/>
    <cellStyle name="Comma 3 9 2 5" xfId="3770" xr:uid="{2F18B4EB-9093-4CC4-A472-B74A9A9FFB82}"/>
    <cellStyle name="Comma 3 9 3" xfId="3771" xr:uid="{4D3A76BC-33B9-4E0A-A4DF-FC84AC69BC1C}"/>
    <cellStyle name="Comma 3 9 3 2" xfId="3772" xr:uid="{1F9F05BE-AA15-4F6B-B70F-5093EFBEC011}"/>
    <cellStyle name="Comma 3 9 3 2 2" xfId="3773" xr:uid="{9EC099AA-12BC-459D-9B30-59D920DB53B5}"/>
    <cellStyle name="Comma 3 9 3 2 2 2" xfId="3774" xr:uid="{4D28E729-6895-42FE-9176-2D2118E7A265}"/>
    <cellStyle name="Comma 3 9 3 2 3" xfId="3775" xr:uid="{C2E587DC-C4A7-4CD0-B18C-A25EA0D7F119}"/>
    <cellStyle name="Comma 3 9 3 3" xfId="3776" xr:uid="{6530F93C-ACE6-40A5-BFF3-2ADE4EFCA72E}"/>
    <cellStyle name="Comma 3 9 3 3 2" xfId="3777" xr:uid="{F1682DE5-ACF8-4DB9-B72A-8A54E9E9E303}"/>
    <cellStyle name="Comma 3 9 3 4" xfId="3778" xr:uid="{6F970E5C-2178-44E2-A324-0B53EB79A280}"/>
    <cellStyle name="Comma 3 9 4" xfId="3779" xr:uid="{431F9749-C00B-482E-8303-D986DCBF7D8A}"/>
    <cellStyle name="Comma 3 9 4 2" xfId="3780" xr:uid="{A8D19429-7EBD-4616-825F-F501D9FE8748}"/>
    <cellStyle name="Comma 3 9 4 2 2" xfId="3781" xr:uid="{385E69C9-DF95-41AF-9626-5E84FC1725B4}"/>
    <cellStyle name="Comma 3 9 4 3" xfId="3782" xr:uid="{88EC800C-62E9-4E3E-9A93-1A8DAE9A73F0}"/>
    <cellStyle name="Comma 3 9 5" xfId="3783" xr:uid="{C1BD349E-DF44-4899-AC54-DF9AD61B129A}"/>
    <cellStyle name="Comma 3 9 5 2" xfId="3784" xr:uid="{6022ADD0-65C0-4825-B795-2AB688984645}"/>
    <cellStyle name="Comma 3 9 6" xfId="3785" xr:uid="{15EA1427-39F2-49CE-A8D3-F3E4AFB9A809}"/>
    <cellStyle name="Comma 4" xfId="519" xr:uid="{3E69611E-AFF8-4785-9F6D-9D67D06F2B81}"/>
    <cellStyle name="Comma 4 2" xfId="3787" xr:uid="{57B88FE8-C5AC-4645-B29F-755BADBD0247}"/>
    <cellStyle name="Comma 4 2 2" xfId="3788" xr:uid="{514A4C62-17AD-487C-B1C7-6469D6568FDD}"/>
    <cellStyle name="Comma 4 2 3" xfId="3789" xr:uid="{ED9D5E7F-6E57-4BAB-A571-B24DE15D0145}"/>
    <cellStyle name="Comma 4 3" xfId="3786" xr:uid="{D012EEC8-4650-4BA9-AE01-33775FD34880}"/>
    <cellStyle name="Comma 5" xfId="3790" xr:uid="{4E64DAFD-0647-4202-8879-5C6EAA426C09}"/>
    <cellStyle name="Comma 5 2" xfId="3791" xr:uid="{E1BCBCA4-AFC9-4DA3-AA95-57E3BEC5772E}"/>
    <cellStyle name="Comma 5 3" xfId="3792" xr:uid="{FF0C86C1-6EBE-458F-889A-491DAF89D8D2}"/>
    <cellStyle name="Comma 5 3 2" xfId="3793" xr:uid="{A1FCA7A4-52D4-4CF5-A1F9-B0552371BE36}"/>
    <cellStyle name="Comma 6" xfId="3794" xr:uid="{6A61BE7E-CD4B-45E7-A2DB-7C478685BD5C}"/>
    <cellStyle name="Comma 6 2" xfId="3795" xr:uid="{5FFABCD6-1A28-4E30-97CB-FCE2F17B382C}"/>
    <cellStyle name="Comma 6 3" xfId="3796" xr:uid="{B414E697-E15B-4183-AE5A-A32EBAAAE816}"/>
    <cellStyle name="Comma 6 3 2" xfId="3797" xr:uid="{7A7A5278-7DCF-4E5F-A107-4AC194AF0021}"/>
    <cellStyle name="Comma 7" xfId="3798" xr:uid="{E1B2FBB4-DE68-4B11-8326-8487BBBC6DFD}"/>
    <cellStyle name="Comma 7 2" xfId="3799" xr:uid="{4FF383EA-8426-434B-8BE1-31BAD822DDD8}"/>
    <cellStyle name="Comma 8" xfId="3800" xr:uid="{89B90E93-C26C-4831-ABA9-67E488F416BB}"/>
    <cellStyle name="Comma 9" xfId="3801" xr:uid="{4A3B013A-B9BB-448B-9264-27A45C21D727}"/>
    <cellStyle name="Currency 10" xfId="3802" xr:uid="{DD739636-7BC3-4A1B-96EF-26BD6F1DF698}"/>
    <cellStyle name="Currency 2" xfId="8" xr:uid="{00000000-0005-0000-0000-000002000000}"/>
    <cellStyle name="Currency 2 2" xfId="176" xr:uid="{957B10BD-9C46-4915-8AAC-14C3DE4AB26D}"/>
    <cellStyle name="Currency 2 3" xfId="133" xr:uid="{BF4DBBF1-9CE6-4126-9C1A-0931A4E93394}"/>
    <cellStyle name="Currency 3" xfId="3803" xr:uid="{04248F5F-FB5A-4F86-9258-54F7E1854569}"/>
    <cellStyle name="Currency 3 2" xfId="54808" xr:uid="{6A971633-BF7F-44F0-A202-09EF6F891E9F}"/>
    <cellStyle name="Currency 4" xfId="3804" xr:uid="{D2F17F19-544C-4209-9E2E-8E31F919E757}"/>
    <cellStyle name="Currency 5" xfId="3805" xr:uid="{380E37D4-C2C5-452F-A45B-A6BC9E934120}"/>
    <cellStyle name="Currency 6" xfId="3806" xr:uid="{DA41C55F-2A92-4F8F-A790-8525AA9D6CEE}"/>
    <cellStyle name="Currency 6 2" xfId="3807" xr:uid="{B46EB167-65B3-45E7-B715-8C6B1D41218F}"/>
    <cellStyle name="Currency 6 3" xfId="3808" xr:uid="{E2EC6774-D8BC-4816-BF8D-8A99F57BAC50}"/>
    <cellStyle name="Currency 7" xfId="3809" xr:uid="{073E6030-90AA-41FF-AFC5-1354AD50F2E0}"/>
    <cellStyle name="Currency 8" xfId="3810" xr:uid="{0C04A2B0-C714-435C-B0F7-5EADECD190B2}"/>
    <cellStyle name="Currency 9" xfId="3811" xr:uid="{4BDC69DA-69BE-4C67-8CE5-AC98D5ADD80B}"/>
    <cellStyle name="Decimal" xfId="3812" xr:uid="{CD319665-6DD9-41E1-AE5D-498D97128BC1}"/>
    <cellStyle name="Explanatory Text 10" xfId="3813" xr:uid="{0AF779A4-251C-4145-95DC-4B5C38E39914}"/>
    <cellStyle name="Explanatory Text 11" xfId="3814" xr:uid="{C32772C9-594B-4A9D-BD13-0D8045CE5FCD}"/>
    <cellStyle name="Explanatory Text 2" xfId="3815" xr:uid="{4DDD2A50-CD95-4D2A-9DDD-BA2A86D73FF5}"/>
    <cellStyle name="Explanatory Text 2 2" xfId="3816" xr:uid="{AAA1C96E-B75D-4570-AA94-A2E6DB7BD1C4}"/>
    <cellStyle name="Explanatory Text 2 3" xfId="3817" xr:uid="{A14C10B2-009E-482C-B033-24A45008C6F5}"/>
    <cellStyle name="Explanatory Text 2 4" xfId="3818" xr:uid="{6364E524-30AB-4043-8832-327EC20E7EF9}"/>
    <cellStyle name="Explanatory Text 2 5" xfId="3819" xr:uid="{949D2160-7105-4C12-AFCD-52238FD7A265}"/>
    <cellStyle name="Explanatory Text 2 6" xfId="3820" xr:uid="{B113B201-C9BB-494B-9D9C-34C0E38EB076}"/>
    <cellStyle name="Explanatory Text 2 7" xfId="3821" xr:uid="{FA5ABC9A-3471-4546-9D7E-600589F621CC}"/>
    <cellStyle name="Explanatory Text 3" xfId="3822" xr:uid="{CD814855-CCCC-4463-88C9-1371619CB50F}"/>
    <cellStyle name="Explanatory Text 3 2" xfId="3823" xr:uid="{DEE68549-3ECE-4A15-93EF-B10BABC26DD1}"/>
    <cellStyle name="Explanatory Text 3 3" xfId="3824" xr:uid="{9D660ED8-9E80-4C65-B96C-F29A5FDE49AF}"/>
    <cellStyle name="Explanatory Text 3 4" xfId="3825" xr:uid="{D0652BA7-B6BB-4973-A8C6-55FAA818CDF8}"/>
    <cellStyle name="Explanatory Text 3 5" xfId="3826" xr:uid="{82E31E1A-2ACA-450E-9092-93A192EF0495}"/>
    <cellStyle name="Explanatory Text 3 6" xfId="3827" xr:uid="{51A7AE17-D3F0-4EF5-8384-637C3A5AC156}"/>
    <cellStyle name="Explanatory Text 3 7" xfId="3828" xr:uid="{34496335-5884-447C-AC7E-E70E7EF1415A}"/>
    <cellStyle name="Explanatory Text 4" xfId="3829" xr:uid="{C81581F8-2CB6-47D5-9ECA-F5097206B2F3}"/>
    <cellStyle name="Explanatory Text 4 2" xfId="3830" xr:uid="{8DBB890C-BDE9-4A87-ABA6-ED9C568C827A}"/>
    <cellStyle name="Explanatory Text 4 3" xfId="3831" xr:uid="{F3D5C568-6793-4BAE-932E-4386C9A92BCC}"/>
    <cellStyle name="Explanatory Text 4 4" xfId="3832" xr:uid="{B1652EF9-104C-4763-8AD6-AD87DD9030F4}"/>
    <cellStyle name="Explanatory Text 4 5" xfId="3833" xr:uid="{93163F7C-27D5-4B66-B4AB-7E499019D5F7}"/>
    <cellStyle name="Explanatory Text 4 6" xfId="3834" xr:uid="{DF1AA7DF-6BC0-4212-A3DC-A8928474CF30}"/>
    <cellStyle name="Explanatory Text 4 7" xfId="3835" xr:uid="{1D8700B2-4117-4066-B33B-85C138E6FD40}"/>
    <cellStyle name="Explanatory Text 5" xfId="3836" xr:uid="{0BEF1AFD-CF1A-437B-AF86-4A0EE8D9F405}"/>
    <cellStyle name="Explanatory Text 5 2" xfId="3837" xr:uid="{638A78C5-255C-4AF3-8E56-5B00B2453428}"/>
    <cellStyle name="Explanatory Text 5 3" xfId="3838" xr:uid="{CAB72028-251E-45BE-8CA1-4A761AEF009B}"/>
    <cellStyle name="Explanatory Text 5 4" xfId="3839" xr:uid="{A52218A3-1C5E-4A13-81E6-F8D66413DDA5}"/>
    <cellStyle name="Explanatory Text 5 5" xfId="3840" xr:uid="{F4886DAA-40A3-499D-B61D-167753C52E1F}"/>
    <cellStyle name="Explanatory Text 5 6" xfId="3841" xr:uid="{FA7D4953-F6F3-4E42-BBAB-6F5578F0B090}"/>
    <cellStyle name="Explanatory Text 5 7" xfId="3842" xr:uid="{94C23E8C-06C6-41C2-8871-4BC8BA656030}"/>
    <cellStyle name="Explanatory Text 6" xfId="3843" xr:uid="{F8D060F0-3F79-40BD-9EBC-F41F417382F0}"/>
    <cellStyle name="Explanatory Text 6 2" xfId="3844" xr:uid="{3669D9F7-BE8C-4926-B0F9-DD7686B3B425}"/>
    <cellStyle name="Explanatory Text 6 3" xfId="3845" xr:uid="{699E2D68-F800-42E0-B47D-8DFFD0E184DA}"/>
    <cellStyle name="Explanatory Text 6 4" xfId="3846" xr:uid="{800E271B-E9A4-498D-9E63-155B445F1889}"/>
    <cellStyle name="Explanatory Text 6 5" xfId="3847" xr:uid="{47ED9339-5976-418F-952B-E86BCB072029}"/>
    <cellStyle name="Explanatory Text 7" xfId="3848" xr:uid="{D64F663D-BBEF-44C5-923E-17148E8FF27C}"/>
    <cellStyle name="Explanatory Text 7 2" xfId="3849" xr:uid="{41225B29-9F2A-48D4-8D34-145002E4AE5E}"/>
    <cellStyle name="Explanatory Text 7 3" xfId="3850" xr:uid="{9FD8A2EC-7040-474B-BD1A-F3E95733C65C}"/>
    <cellStyle name="Explanatory Text 7 4" xfId="3851" xr:uid="{146D834E-E36B-4B70-ABF3-B21540746955}"/>
    <cellStyle name="Explanatory Text 7 5" xfId="3852" xr:uid="{93B1A24A-FAB1-4160-876B-2842688B760E}"/>
    <cellStyle name="Explanatory Text 8" xfId="3853" xr:uid="{BE14DC34-963F-4840-B8A5-1D2159DE14B4}"/>
    <cellStyle name="Explanatory Text 9" xfId="3854" xr:uid="{6BF6A3AA-5E3E-4595-B8D6-132E3CD2A96C}"/>
    <cellStyle name="Good 10" xfId="3855" xr:uid="{8F8788F0-FC22-47EA-8BE5-6D47D46329D7}"/>
    <cellStyle name="Good 11" xfId="3856" xr:uid="{F83218CC-9DF5-4432-99B9-ADFFA1BCB04D}"/>
    <cellStyle name="Good 2" xfId="3857" xr:uid="{4DFC0E1E-5E2E-4B5B-A8B3-83AEB62FCB78}"/>
    <cellStyle name="Good 2 2" xfId="3858" xr:uid="{B8E5EBB3-83CB-45C8-A81B-C0F9C04E0C89}"/>
    <cellStyle name="Good 2 3" xfId="3859" xr:uid="{165FF9A6-5B2C-4056-B407-640DD022B642}"/>
    <cellStyle name="Good 2 4" xfId="3860" xr:uid="{DB39DD91-8E7F-40AB-A4C2-35B9F36F56CC}"/>
    <cellStyle name="Good 2 5" xfId="3861" xr:uid="{13F0F7B3-4BA0-4066-B1EC-31F09259107E}"/>
    <cellStyle name="Good 2 6" xfId="3862" xr:uid="{0CB0DEF0-270D-4C6E-81BE-328100E0A54D}"/>
    <cellStyle name="Good 2 7" xfId="3863" xr:uid="{646C65ED-DF90-462A-A26B-DBA32F3C9214}"/>
    <cellStyle name="Good 3" xfId="3864" xr:uid="{DD03C7EF-F81D-48F9-A58C-56476E059601}"/>
    <cellStyle name="Good 3 2" xfId="3865" xr:uid="{E51EA71D-F8AB-4D7A-9F1C-783031F57262}"/>
    <cellStyle name="Good 3 3" xfId="3866" xr:uid="{FB1A45F6-155C-47B5-9B52-F1E8C8682B08}"/>
    <cellStyle name="Good 3 4" xfId="3867" xr:uid="{66D65423-276E-401B-BFDA-AB185327CB2B}"/>
    <cellStyle name="Good 3 5" xfId="3868" xr:uid="{03628EB4-6A21-4F2F-948A-013A3E27E6CE}"/>
    <cellStyle name="Good 3 6" xfId="3869" xr:uid="{503A014B-636C-4D86-99F4-5CDA8B3783FC}"/>
    <cellStyle name="Good 3 7" xfId="3870" xr:uid="{CD31C6B8-AC93-41FC-A10D-1C11CC313D9D}"/>
    <cellStyle name="Good 4" xfId="3871" xr:uid="{6E19FDB6-85F3-4C48-AFD3-2501CAEE1929}"/>
    <cellStyle name="Good 4 2" xfId="3872" xr:uid="{29565D2B-B4CE-445E-9230-E0AB93836645}"/>
    <cellStyle name="Good 4 3" xfId="3873" xr:uid="{CD9F985C-2D55-4E9E-9B8C-35376C543DC9}"/>
    <cellStyle name="Good 4 4" xfId="3874" xr:uid="{A8CE2027-3932-46AC-850E-64C71C05A07A}"/>
    <cellStyle name="Good 4 5" xfId="3875" xr:uid="{41890E52-6602-4471-A3AA-6A74B8497349}"/>
    <cellStyle name="Good 4 6" xfId="3876" xr:uid="{E0C1200B-E29A-45BC-9FEF-E68FF4D8C2A9}"/>
    <cellStyle name="Good 4 7" xfId="3877" xr:uid="{8572D3BF-79A3-469D-A40B-B2672014DBC8}"/>
    <cellStyle name="Good 5" xfId="3878" xr:uid="{8C23DE71-2395-4128-A61B-A9AF22E1345D}"/>
    <cellStyle name="Good 5 2" xfId="3879" xr:uid="{AB0EAA12-F9E7-404E-AA3B-D594913A4914}"/>
    <cellStyle name="Good 5 3" xfId="3880" xr:uid="{84799162-0232-4F0A-8509-1C098FB2F649}"/>
    <cellStyle name="Good 5 4" xfId="3881" xr:uid="{35354715-6ABB-4BA8-89BA-9BB14F8635A5}"/>
    <cellStyle name="Good 5 5" xfId="3882" xr:uid="{618A31AA-210F-464D-8711-C048273A09BF}"/>
    <cellStyle name="Good 5 6" xfId="3883" xr:uid="{916D53BC-CC6D-4CD8-B016-E1A72C2C0B9A}"/>
    <cellStyle name="Good 5 7" xfId="3884" xr:uid="{2D055199-BEFA-401B-8D27-32678F4263EB}"/>
    <cellStyle name="Good 6" xfId="3885" xr:uid="{30D52CD8-519D-414D-9A0F-EFC5BC98ED92}"/>
    <cellStyle name="Good 6 2" xfId="3886" xr:uid="{9E146E02-2778-46A2-8366-6FDD01D6D561}"/>
    <cellStyle name="Good 6 3" xfId="3887" xr:uid="{D75D20AD-BA7A-4B8D-A6B1-625ECCF51D4E}"/>
    <cellStyle name="Good 6 4" xfId="3888" xr:uid="{A9B91341-E771-4932-AF3F-7BFAD2E60469}"/>
    <cellStyle name="Good 6 5" xfId="3889" xr:uid="{1618144B-DD88-4366-9012-391B27F7AA75}"/>
    <cellStyle name="Good 7" xfId="3890" xr:uid="{F66DA82D-F1FB-4841-B651-26702C2308E1}"/>
    <cellStyle name="Good 7 2" xfId="3891" xr:uid="{C96D8840-9438-409E-A808-CE1873D0FFE2}"/>
    <cellStyle name="Good 7 3" xfId="3892" xr:uid="{39080353-8CE1-4F8B-8CAE-AF96731E0EF3}"/>
    <cellStyle name="Good 7 4" xfId="3893" xr:uid="{E5A06C3A-63F5-48C6-B345-7069320C10DC}"/>
    <cellStyle name="Good 7 5" xfId="3894" xr:uid="{67AC4B69-3D6E-4ABA-B9D2-445073694F85}"/>
    <cellStyle name="Good 8" xfId="3895" xr:uid="{ACFD8402-757B-4462-BB1A-D02F6792A1AD}"/>
    <cellStyle name="Good 9" xfId="3896" xr:uid="{7306A2CC-CFB5-4147-9E4D-3882B0A1D869}"/>
    <cellStyle name="Heading 1 10" xfId="3897" xr:uid="{F415EA96-DE4F-4EDD-8D2D-2DAD6606EB78}"/>
    <cellStyle name="Heading 1 11" xfId="3898" xr:uid="{82BD192F-CE0D-4A93-BA89-28803FB69C77}"/>
    <cellStyle name="Heading 1 2" xfId="3899" xr:uid="{57648219-D086-4D3D-BFB3-2E7A2D396490}"/>
    <cellStyle name="Heading 1 2 2" xfId="3900" xr:uid="{E3C453D7-8447-4D36-9736-2AF2C57D371A}"/>
    <cellStyle name="Heading 1 2 3" xfId="3901" xr:uid="{C2C8594A-58AB-416F-A12A-BF3D47E9F811}"/>
    <cellStyle name="Heading 1 2 4" xfId="3902" xr:uid="{994FD6B9-B22A-4DE9-ADD5-EED9871A085D}"/>
    <cellStyle name="Heading 1 2 5" xfId="3903" xr:uid="{91A0CACC-E063-404C-8973-4AED0F55DC71}"/>
    <cellStyle name="Heading 1 2 6" xfId="3904" xr:uid="{4CC0766F-C43C-453C-B526-242660DA12CA}"/>
    <cellStyle name="Heading 1 2 7" xfId="3905" xr:uid="{99095528-EEEF-471A-BC6E-65878F32BB29}"/>
    <cellStyle name="Heading 1 3" xfId="3906" xr:uid="{FC826088-32FB-46E1-96FB-97F5D61D638C}"/>
    <cellStyle name="Heading 1 3 2" xfId="3907" xr:uid="{276720AB-2686-44DD-9A73-8515B7E2B80B}"/>
    <cellStyle name="Heading 1 3 3" xfId="3908" xr:uid="{448ED19C-9BBB-4742-B75C-EB9D4C45DC82}"/>
    <cellStyle name="Heading 1 3 4" xfId="3909" xr:uid="{8E84F5B8-66A6-4BD6-A922-B419D69A4653}"/>
    <cellStyle name="Heading 1 3 5" xfId="3910" xr:uid="{930387FE-AF86-4CEC-8DCE-CC5D8C0E0E8E}"/>
    <cellStyle name="Heading 1 3 6" xfId="3911" xr:uid="{50F17191-DD39-4122-9FFC-CBFE3C62CDE2}"/>
    <cellStyle name="Heading 1 3 7" xfId="3912" xr:uid="{FE51E680-0B31-4AF6-A1F4-96D610FB32F6}"/>
    <cellStyle name="Heading 1 4" xfId="3913" xr:uid="{BF06A7C4-5803-4ADD-BAD1-211D5E247A4B}"/>
    <cellStyle name="Heading 1 4 2" xfId="3914" xr:uid="{33A2E0FE-6F7E-484F-927E-5EA2CB2ECCD3}"/>
    <cellStyle name="Heading 1 4 3" xfId="3915" xr:uid="{C720FE94-55DC-4840-A35C-25F2BDE34115}"/>
    <cellStyle name="Heading 1 4 4" xfId="3916" xr:uid="{F5986CAD-DD3F-48AE-9A22-3B0AEB2AA73A}"/>
    <cellStyle name="Heading 1 4 5" xfId="3917" xr:uid="{2000202E-58FF-44C9-B893-AAC239E347D3}"/>
    <cellStyle name="Heading 1 4 6" xfId="3918" xr:uid="{F960BA83-43D5-4176-9F7F-E1360519CF57}"/>
    <cellStyle name="Heading 1 4 7" xfId="3919" xr:uid="{7CE50B91-7928-4C09-8C78-B34E1E21D18E}"/>
    <cellStyle name="Heading 1 5" xfId="3920" xr:uid="{132C4E79-67E2-4D72-97E1-BE1F32C8A590}"/>
    <cellStyle name="Heading 1 5 2" xfId="3921" xr:uid="{EE40F11F-EFFB-4425-964B-3D7249851E0F}"/>
    <cellStyle name="Heading 1 5 3" xfId="3922" xr:uid="{2F31266E-5381-4032-97D2-4C0985DABC95}"/>
    <cellStyle name="Heading 1 5 4" xfId="3923" xr:uid="{644ADED9-9670-44E2-9789-90AC8E7FA5C0}"/>
    <cellStyle name="Heading 1 5 5" xfId="3924" xr:uid="{833FEFE4-408D-427A-8DDD-0F60F2082438}"/>
    <cellStyle name="Heading 1 5 6" xfId="3925" xr:uid="{08EE88A6-FB7C-4225-93A0-E800A2A29EBD}"/>
    <cellStyle name="Heading 1 5 7" xfId="3926" xr:uid="{CA510B43-5D4A-4C75-91D3-A9DCF3C3316C}"/>
    <cellStyle name="Heading 1 6" xfId="3927" xr:uid="{1D22484F-6316-4018-86B9-84E733595C8B}"/>
    <cellStyle name="Heading 1 6 2" xfId="3928" xr:uid="{AAC7A985-0304-4E4E-90EA-E7B6330788A6}"/>
    <cellStyle name="Heading 1 6 3" xfId="3929" xr:uid="{111584A7-A799-4D4D-BE40-E584D9C3CA76}"/>
    <cellStyle name="Heading 1 6 4" xfId="3930" xr:uid="{74F3999D-C2B9-44CB-B459-5B98EF26A2DE}"/>
    <cellStyle name="Heading 1 6 5" xfId="3931" xr:uid="{981E0B65-47BA-4B0B-BDDA-01F36FD3F37B}"/>
    <cellStyle name="Heading 1 7" xfId="3932" xr:uid="{ECD36E6C-12B3-47CE-8E69-CDB737997853}"/>
    <cellStyle name="Heading 1 7 2" xfId="3933" xr:uid="{1FD06C2D-A388-427F-8C69-2C4ECE9A0C9E}"/>
    <cellStyle name="Heading 1 7 3" xfId="3934" xr:uid="{23C9F389-6282-49E3-892C-C96622180552}"/>
    <cellStyle name="Heading 1 7 4" xfId="3935" xr:uid="{7B0C57DA-F88F-4EB0-9DC8-ED81B6E7CE5D}"/>
    <cellStyle name="Heading 1 7 5" xfId="3936" xr:uid="{94DA2950-7C7D-4228-9047-A0C6C3E931A0}"/>
    <cellStyle name="Heading 1 8" xfId="3937" xr:uid="{9742B0DD-032E-45F0-8F9A-2910D3492813}"/>
    <cellStyle name="Heading 1 9" xfId="3938" xr:uid="{332A55A0-2BFB-4B39-B3C3-B2292CA3D52B}"/>
    <cellStyle name="Heading 2 10" xfId="3939" xr:uid="{CA56FF60-4843-4921-B5B6-A19CD6C9AAE3}"/>
    <cellStyle name="Heading 2 11" xfId="3940" xr:uid="{2B8C9498-6D50-4821-BF87-3F9C9196F14F}"/>
    <cellStyle name="Heading 2 2" xfId="3941" xr:uid="{5A67D78A-9F0F-4B70-80F2-03D691A6C5A1}"/>
    <cellStyle name="Heading 2 2 2" xfId="3942" xr:uid="{4282C30D-7748-4FCE-88FD-40F93D7B176E}"/>
    <cellStyle name="Heading 2 2 3" xfId="3943" xr:uid="{6AD877C6-3FC7-4F51-9AE9-4742915AE9E5}"/>
    <cellStyle name="Heading 2 2 4" xfId="3944" xr:uid="{EBD4F9C8-B293-4C28-9412-E5B2754F4AA6}"/>
    <cellStyle name="Heading 2 2 5" xfId="3945" xr:uid="{86BE9FC0-F87C-4258-A425-4F96A93C8A2C}"/>
    <cellStyle name="Heading 2 2 6" xfId="3946" xr:uid="{C1AB7D86-A5D6-458D-A67C-3E8C0D1AB7D4}"/>
    <cellStyle name="Heading 2 2 7" xfId="3947" xr:uid="{B1A8A713-C7D8-4141-8BBD-D53FC61F2ABE}"/>
    <cellStyle name="Heading 2 3" xfId="3948" xr:uid="{75D225A7-C6E9-4F51-9360-8FDC4C2979E5}"/>
    <cellStyle name="Heading 2 3 2" xfId="3949" xr:uid="{D9FE910A-6970-4E41-9B66-D1EF4FC1740E}"/>
    <cellStyle name="Heading 2 3 3" xfId="3950" xr:uid="{6E41918D-70E5-4DC0-B83A-16AE6FC2A03B}"/>
    <cellStyle name="Heading 2 3 4" xfId="3951" xr:uid="{F3EB3365-19F1-4A3C-9836-35838A56D44A}"/>
    <cellStyle name="Heading 2 3 5" xfId="3952" xr:uid="{5E1FAE91-7E88-4C41-8831-634BBDADEF45}"/>
    <cellStyle name="Heading 2 3 6" xfId="3953" xr:uid="{5A419E95-875B-4853-9210-89DF0D74B133}"/>
    <cellStyle name="Heading 2 3 7" xfId="3954" xr:uid="{53453A08-7717-413D-9785-856E77587C74}"/>
    <cellStyle name="Heading 2 4" xfId="3955" xr:uid="{237641D5-1D1F-447C-AFEA-DE01FF01D496}"/>
    <cellStyle name="Heading 2 4 2" xfId="3956" xr:uid="{9BF6943A-05F0-4224-BE5B-A462B18CF7A8}"/>
    <cellStyle name="Heading 2 4 3" xfId="3957" xr:uid="{A5C52D05-E119-4484-B4A1-45033256BBA3}"/>
    <cellStyle name="Heading 2 4 4" xfId="3958" xr:uid="{918F53FC-DF99-4307-9994-2B95F7918F23}"/>
    <cellStyle name="Heading 2 4 5" xfId="3959" xr:uid="{852E4768-243A-4B64-91FF-B5B897115B17}"/>
    <cellStyle name="Heading 2 4 6" xfId="3960" xr:uid="{1F0EB13C-F0B3-4035-B239-62865C7B364F}"/>
    <cellStyle name="Heading 2 4 7" xfId="3961" xr:uid="{3C9926FA-BDA0-4FBC-94DD-AB82504F8EC9}"/>
    <cellStyle name="Heading 2 5" xfId="3962" xr:uid="{37E140A0-E4F7-4421-A80D-92EB4650DB82}"/>
    <cellStyle name="Heading 2 5 2" xfId="3963" xr:uid="{6CF115F7-1033-4EB3-A6AF-CDE5C102D1FA}"/>
    <cellStyle name="Heading 2 5 3" xfId="3964" xr:uid="{D82908C3-5201-4EE2-8C7F-E715AA665E61}"/>
    <cellStyle name="Heading 2 5 4" xfId="3965" xr:uid="{A25FBF16-2222-46FE-B8D0-E06031BDCF49}"/>
    <cellStyle name="Heading 2 5 5" xfId="3966" xr:uid="{CABD4BBE-2D59-4C8D-B619-91F73FA66D2E}"/>
    <cellStyle name="Heading 2 5 6" xfId="3967" xr:uid="{59576120-799F-41E6-99A7-18DB3CACB29A}"/>
    <cellStyle name="Heading 2 5 7" xfId="3968" xr:uid="{E841D4D5-E7FB-4E18-B98C-B485BE570335}"/>
    <cellStyle name="Heading 2 6" xfId="3969" xr:uid="{99B5FAB7-13CE-4A50-8B8C-AD831D509D6A}"/>
    <cellStyle name="Heading 2 6 2" xfId="3970" xr:uid="{46FC54E5-EB61-4EA4-8BD9-D1DDA8E4511D}"/>
    <cellStyle name="Heading 2 6 3" xfId="3971" xr:uid="{D8611D9B-741E-4539-B629-3D9D858DA952}"/>
    <cellStyle name="Heading 2 6 4" xfId="3972" xr:uid="{B405BFEF-D186-4EAF-BE23-A1480D71468F}"/>
    <cellStyle name="Heading 2 6 5" xfId="3973" xr:uid="{FA67331D-DE6B-41B7-912E-C7AA4F069EFE}"/>
    <cellStyle name="Heading 2 7" xfId="3974" xr:uid="{D17EEC53-0F2C-4D4A-A7D6-5030F66CE2CE}"/>
    <cellStyle name="Heading 2 7 2" xfId="3975" xr:uid="{0F009D7D-F0B7-465E-8585-1C14EC918E11}"/>
    <cellStyle name="Heading 2 7 3" xfId="3976" xr:uid="{DA44A5FC-2B76-43AF-9959-C8E40BF34C17}"/>
    <cellStyle name="Heading 2 7 4" xfId="3977" xr:uid="{EE0A6198-C08C-40BD-A9E5-675977DB0F13}"/>
    <cellStyle name="Heading 2 7 5" xfId="3978" xr:uid="{D9B462F7-4009-43B6-BD3E-31EAF0D98A80}"/>
    <cellStyle name="Heading 2 8" xfId="3979" xr:uid="{C5C4C921-AD55-416D-9C7C-C3537223080A}"/>
    <cellStyle name="Heading 2 9" xfId="3980" xr:uid="{A2C37E5E-443F-40E9-A4BA-361E6AFF24A7}"/>
    <cellStyle name="Heading 3 10" xfId="3981" xr:uid="{8E1C08B2-B65A-4C77-A726-FBFF1845112E}"/>
    <cellStyle name="Heading 3 11" xfId="3982" xr:uid="{D18B9F76-68A8-4737-A74B-4E874CAF2B0B}"/>
    <cellStyle name="Heading 3 2" xfId="3983" xr:uid="{47ADABDA-2A90-490B-874A-7144EDD61401}"/>
    <cellStyle name="Heading 3 2 2" xfId="3984" xr:uid="{8AD97785-C96C-4123-B08D-CB718EFDF177}"/>
    <cellStyle name="Heading 3 2 3" xfId="3985" xr:uid="{E2E0AF1C-41EC-44AC-AA89-BACE0F31FF0E}"/>
    <cellStyle name="Heading 3 2 4" xfId="3986" xr:uid="{242BEC43-D42C-491B-9294-13BB57125585}"/>
    <cellStyle name="Heading 3 2 5" xfId="3987" xr:uid="{9BA381C0-098C-4309-B53B-0853A1BF38C1}"/>
    <cellStyle name="Heading 3 2 6" xfId="3988" xr:uid="{BBED3D3B-009C-433B-87A4-04A8CC8959F5}"/>
    <cellStyle name="Heading 3 2 7" xfId="3989" xr:uid="{063A0DA4-FE91-4B64-8D9F-451A5D811382}"/>
    <cellStyle name="Heading 3 3" xfId="3990" xr:uid="{1383035B-963A-4C12-BE65-6B0F8A527122}"/>
    <cellStyle name="Heading 3 3 2" xfId="3991" xr:uid="{4BBA0BC1-173A-422F-9E42-51807377C396}"/>
    <cellStyle name="Heading 3 3 3" xfId="3992" xr:uid="{92E714CD-559A-4733-AAC8-10BC2BB4E297}"/>
    <cellStyle name="Heading 3 3 4" xfId="3993" xr:uid="{2B4155AB-869D-436D-B522-4C84D6DEDFE4}"/>
    <cellStyle name="Heading 3 3 5" xfId="3994" xr:uid="{2C50D064-62B9-4F62-8358-5C608BB3966E}"/>
    <cellStyle name="Heading 3 3 6" xfId="3995" xr:uid="{52FAFDE0-C63D-46FD-B781-779EFBDE3D8A}"/>
    <cellStyle name="Heading 3 3 7" xfId="3996" xr:uid="{A02839F1-5B06-48B5-9236-198105508148}"/>
    <cellStyle name="Heading 3 4" xfId="3997" xr:uid="{7D1B73EE-B5BE-430F-ACF2-06B5C4993006}"/>
    <cellStyle name="Heading 3 4 2" xfId="3998" xr:uid="{0CA43774-3A0A-4BA3-8949-B9125D21ED61}"/>
    <cellStyle name="Heading 3 4 3" xfId="3999" xr:uid="{CA805479-BA28-4202-BA17-45EEEADA797D}"/>
    <cellStyle name="Heading 3 4 4" xfId="4000" xr:uid="{9045F1C8-A26D-422C-8BE6-ACBB5AF97BE2}"/>
    <cellStyle name="Heading 3 4 5" xfId="4001" xr:uid="{4CADE2D0-3F45-47D8-A52C-A437C8FA90D7}"/>
    <cellStyle name="Heading 3 4 6" xfId="4002" xr:uid="{E68C0ED3-CEAA-42BE-B09D-ADF58EFB3988}"/>
    <cellStyle name="Heading 3 4 7" xfId="4003" xr:uid="{21C2F4E9-D8BD-4F32-8669-921D33C06B41}"/>
    <cellStyle name="Heading 3 5" xfId="4004" xr:uid="{F2CBFA5F-75D9-42FE-8C8A-21CDD6B97519}"/>
    <cellStyle name="Heading 3 5 2" xfId="4005" xr:uid="{44FA03D3-52A3-4845-8A19-3A555CACE75D}"/>
    <cellStyle name="Heading 3 5 3" xfId="4006" xr:uid="{1C6DC04A-96D5-4D41-995C-4A54355E8D0A}"/>
    <cellStyle name="Heading 3 5 4" xfId="4007" xr:uid="{9096B13C-CD20-41AD-87D3-04AC6CC72C02}"/>
    <cellStyle name="Heading 3 5 5" xfId="4008" xr:uid="{0A5BF0F7-4DB6-47D1-8992-C44A2EB9871E}"/>
    <cellStyle name="Heading 3 5 6" xfId="4009" xr:uid="{C63656D2-CC8A-4FEE-BB12-6C063804B62B}"/>
    <cellStyle name="Heading 3 5 7" xfId="4010" xr:uid="{F4E78F86-F5D8-4CF3-9758-EE3782B46FBD}"/>
    <cellStyle name="Heading 3 6" xfId="4011" xr:uid="{3810EB20-0E30-4B1F-A7F7-62D84E221E45}"/>
    <cellStyle name="Heading 3 6 2" xfId="4012" xr:uid="{B295F1CF-E295-4751-B1B2-18790C4426AB}"/>
    <cellStyle name="Heading 3 6 3" xfId="4013" xr:uid="{E3BD4BAF-BE4F-4EA6-9E64-1CA4B30F7A2A}"/>
    <cellStyle name="Heading 3 6 4" xfId="4014" xr:uid="{C121A5CC-7EF4-4414-9435-5210FF068AB6}"/>
    <cellStyle name="Heading 3 6 5" xfId="4015" xr:uid="{BC492F4E-62C5-4B97-9B54-0490DB56009C}"/>
    <cellStyle name="Heading 3 7" xfId="4016" xr:uid="{4414302D-9A7E-4DC0-BC08-71616758F98D}"/>
    <cellStyle name="Heading 3 7 2" xfId="4017" xr:uid="{06940A21-E662-4C76-941C-C7331088A8FA}"/>
    <cellStyle name="Heading 3 7 3" xfId="4018" xr:uid="{41C29AD5-204F-46C5-AE2D-5C66A6EFAE53}"/>
    <cellStyle name="Heading 3 7 4" xfId="4019" xr:uid="{A6B7FE30-CFAA-4624-9F71-5FD5C5D7243F}"/>
    <cellStyle name="Heading 3 7 5" xfId="4020" xr:uid="{51633A27-CF27-468C-ACA1-CF0D9A002327}"/>
    <cellStyle name="Heading 3 8" xfId="4021" xr:uid="{B2752E9F-BFC3-452C-A40B-B819F3FB4DFD}"/>
    <cellStyle name="Heading 3 9" xfId="4022" xr:uid="{6A2578D0-A2D1-4041-BBF2-47D5922EFF7C}"/>
    <cellStyle name="Heading 4 10" xfId="4023" xr:uid="{02F7D982-85EB-492C-A92C-30388D2B0500}"/>
    <cellStyle name="Heading 4 11" xfId="4024" xr:uid="{0A9F6D42-928E-4E10-BA14-6365E4D1D9A0}"/>
    <cellStyle name="Heading 4 2" xfId="4025" xr:uid="{EC45345E-79F7-4F92-BD5F-3A9373D05795}"/>
    <cellStyle name="Heading 4 2 2" xfId="4026" xr:uid="{6AF953F8-75C7-4719-B051-CDDE55015D01}"/>
    <cellStyle name="Heading 4 2 3" xfId="4027" xr:uid="{AFA64D9F-DA69-4005-B925-A5B972C40C29}"/>
    <cellStyle name="Heading 4 2 4" xfId="4028" xr:uid="{9ED7E520-F9D7-489D-AE63-2381DD8ED816}"/>
    <cellStyle name="Heading 4 2 5" xfId="4029" xr:uid="{0607660D-58B7-4F19-A6F1-A7EF135FC220}"/>
    <cellStyle name="Heading 4 2 6" xfId="4030" xr:uid="{EAB6FE78-9574-404E-ACF9-F514F730F45C}"/>
    <cellStyle name="Heading 4 2 7" xfId="4031" xr:uid="{37517B44-D329-4FA4-84E1-EE689FB720F4}"/>
    <cellStyle name="Heading 4 3" xfId="4032" xr:uid="{C76AF3F4-995B-4DEA-B00E-D51F1130739C}"/>
    <cellStyle name="Heading 4 3 2" xfId="4033" xr:uid="{8AD76EB7-D22C-461A-A39D-7788AFAADDA5}"/>
    <cellStyle name="Heading 4 3 3" xfId="4034" xr:uid="{E3DC6F17-2269-48D3-B405-3A4879EF08C9}"/>
    <cellStyle name="Heading 4 3 4" xfId="4035" xr:uid="{767CF0DB-7605-40CC-AF18-1F0F734FFABF}"/>
    <cellStyle name="Heading 4 3 5" xfId="4036" xr:uid="{F6FDE604-7A68-4040-9012-470EE6749DC2}"/>
    <cellStyle name="Heading 4 3 6" xfId="4037" xr:uid="{CE254EA8-AE6B-4E12-A7EA-B37E9B0DF844}"/>
    <cellStyle name="Heading 4 3 7" xfId="4038" xr:uid="{949754BF-B822-43CD-998C-3166E95E727A}"/>
    <cellStyle name="Heading 4 4" xfId="4039" xr:uid="{4210F07E-D1B5-459A-8B0A-FBBF182BD320}"/>
    <cellStyle name="Heading 4 4 2" xfId="4040" xr:uid="{F71046EF-6807-4F8A-AADF-1EB015867E74}"/>
    <cellStyle name="Heading 4 4 3" xfId="4041" xr:uid="{B200C718-A511-4C08-8895-C0BF8D3775BC}"/>
    <cellStyle name="Heading 4 4 4" xfId="4042" xr:uid="{E4DC3B3F-AC06-4AF5-ACDC-0B8365D58E67}"/>
    <cellStyle name="Heading 4 4 5" xfId="4043" xr:uid="{8853A16F-FAB6-4D40-A20F-1809AB12A8D9}"/>
    <cellStyle name="Heading 4 4 6" xfId="4044" xr:uid="{9108AC28-7CD1-4896-968C-99470B759CAD}"/>
    <cellStyle name="Heading 4 4 7" xfId="4045" xr:uid="{414D470F-74ED-48FB-9837-05FC23C6476D}"/>
    <cellStyle name="Heading 4 5" xfId="4046" xr:uid="{FA876F34-7593-4F53-B079-291481D002FF}"/>
    <cellStyle name="Heading 4 5 2" xfId="4047" xr:uid="{EA6C744D-1A59-4B88-8B06-CFBF334B4D5D}"/>
    <cellStyle name="Heading 4 5 3" xfId="4048" xr:uid="{05D60367-E9A8-4788-A7CC-064F82CC1D8E}"/>
    <cellStyle name="Heading 4 5 4" xfId="4049" xr:uid="{C00B6CD4-BFB7-4312-92D5-B5AFD931EB2A}"/>
    <cellStyle name="Heading 4 5 5" xfId="4050" xr:uid="{1EF3B46A-5692-4FC2-91E1-60525648C901}"/>
    <cellStyle name="Heading 4 5 6" xfId="4051" xr:uid="{ECC8FA05-D789-4DB3-8C13-C0AE732B7133}"/>
    <cellStyle name="Heading 4 5 7" xfId="4052" xr:uid="{9B864374-DBF2-4F69-952B-BC63A82DD759}"/>
    <cellStyle name="Heading 4 6" xfId="4053" xr:uid="{3D8B299A-DEB1-43F5-ADD1-E678132415C9}"/>
    <cellStyle name="Heading 4 6 2" xfId="4054" xr:uid="{FB879E7B-4587-4EC4-82EF-45D8A4D0FB62}"/>
    <cellStyle name="Heading 4 6 3" xfId="4055" xr:uid="{47DAE8A2-64B1-426E-B65A-6F60FC1BC2D1}"/>
    <cellStyle name="Heading 4 6 4" xfId="4056" xr:uid="{0506B7FA-895B-4950-AFE0-277B2448F808}"/>
    <cellStyle name="Heading 4 6 5" xfId="4057" xr:uid="{8B87DBF1-66FD-4DD3-AAB3-11F3AD83E312}"/>
    <cellStyle name="Heading 4 7" xfId="4058" xr:uid="{8DD3974F-6FDF-45D7-8E11-B6F8ACDDF17D}"/>
    <cellStyle name="Heading 4 7 2" xfId="4059" xr:uid="{C049C724-71BF-4DB7-803B-4162EBBA138D}"/>
    <cellStyle name="Heading 4 7 3" xfId="4060" xr:uid="{DA079AAD-6EF0-4D55-8208-5BE689AD3A2D}"/>
    <cellStyle name="Heading 4 7 4" xfId="4061" xr:uid="{7E6C71AC-5C51-4FD1-93B4-B57302326EB0}"/>
    <cellStyle name="Heading 4 7 5" xfId="4062" xr:uid="{300A79E6-11D9-4D90-BB93-6D6FABE581F3}"/>
    <cellStyle name="Heading 4 8" xfId="4063" xr:uid="{BEA0D6BA-E9CA-47BD-BC1E-69C5864899C9}"/>
    <cellStyle name="Heading 4 9" xfId="4064" xr:uid="{567C7DC6-2E02-4C03-92A3-8D94D228BD0D}"/>
    <cellStyle name="hi" xfId="3" xr:uid="{00000000-0005-0000-0000-000003000000}"/>
    <cellStyle name="hi 10" xfId="40" xr:uid="{02D1A147-316C-4519-957E-DDF6DBC38EA5}"/>
    <cellStyle name="hi 10 2" xfId="285" xr:uid="{F59673CD-B71D-49F7-896A-1CDCE1621404}"/>
    <cellStyle name="hi 11" xfId="41" xr:uid="{1F19D5A8-B4FC-417F-8EEC-30F4731615D3}"/>
    <cellStyle name="hi 11 2" xfId="286" xr:uid="{67611F44-ED78-4393-84FB-B12EF5853CEC}"/>
    <cellStyle name="hi 12" xfId="42" xr:uid="{7BEF8FCA-95A4-4588-9067-49B7A25372AE}"/>
    <cellStyle name="hi 12 2" xfId="287" xr:uid="{022FB1A5-9AEF-46F6-865D-D00D8894608D}"/>
    <cellStyle name="hi 13" xfId="43" xr:uid="{FC68B802-E5A9-451B-9629-9B98C7D45C74}"/>
    <cellStyle name="hi 13 2" xfId="288" xr:uid="{EA489EF3-F0E4-4D0D-A759-C47E5934BC52}"/>
    <cellStyle name="hi 14" xfId="44" xr:uid="{A2692F3F-B91E-47F3-8B52-2B3987C3A5FE}"/>
    <cellStyle name="hi 14 2" xfId="289" xr:uid="{5D15349D-6100-4701-8B53-1E99F76359BD}"/>
    <cellStyle name="hi 15" xfId="54806" xr:uid="{92D8C643-D5C7-4842-AC9B-14B0D329203B}"/>
    <cellStyle name="hi 2" xfId="7" xr:uid="{00000000-0005-0000-0000-000004000000}"/>
    <cellStyle name="hi 2 10" xfId="45" xr:uid="{10B56009-71B3-4737-A4F4-6E3260096AC5}"/>
    <cellStyle name="hi 2 10 2" xfId="290" xr:uid="{AC3A6D8F-D7C8-484B-AAB6-36310D2136DF}"/>
    <cellStyle name="hi 2 11" xfId="46" xr:uid="{BF152FB3-5DC5-4F2D-8364-E86402B02130}"/>
    <cellStyle name="hi 2 11 2" xfId="291" xr:uid="{1993E16C-15FD-4552-B5FD-13F1D8183A96}"/>
    <cellStyle name="hi 2 12" xfId="47" xr:uid="{8B5D15B1-10BD-4077-BA9F-ABA4F64EA487}"/>
    <cellStyle name="hi 2 12 2" xfId="292" xr:uid="{82FA9539-6C93-42A1-B609-A3060830E299}"/>
    <cellStyle name="hi 2 13" xfId="134" xr:uid="{3D422415-D7DD-4951-B8FA-C81DB0CBA84A}"/>
    <cellStyle name="hi 2 2" xfId="48" xr:uid="{34341812-46B3-4A39-814E-AF31000CEFEA}"/>
    <cellStyle name="hi 2 2 2" xfId="177" xr:uid="{4CB4BA47-1D97-405F-863D-38956FFEAB63}"/>
    <cellStyle name="hi 2 3" xfId="49" xr:uid="{40686DD5-419B-42A5-8E5F-A0C5CA56EAA2}"/>
    <cellStyle name="hi 2 3 2" xfId="293" xr:uid="{C12534B4-D3A7-414C-89B0-868B2D28029A}"/>
    <cellStyle name="hi 2 4" xfId="50" xr:uid="{7E96D83B-08DE-4695-85BA-65A9F833CEDA}"/>
    <cellStyle name="hi 2 4 2" xfId="294" xr:uid="{39BF1C6D-8B4D-4DDC-BDAF-F0745EB432D9}"/>
    <cellStyle name="hi 2 5" xfId="51" xr:uid="{8B7982FE-7223-4723-B15D-A52DE0795C30}"/>
    <cellStyle name="hi 2 5 2" xfId="295" xr:uid="{00067827-F106-4D31-B034-954127B9A031}"/>
    <cellStyle name="hi 2 6" xfId="52" xr:uid="{C40AAAA4-2721-4D30-8DEA-5AC4C2754BEB}"/>
    <cellStyle name="hi 2 6 2" xfId="296" xr:uid="{95AB611B-0DD4-4253-A15F-44E5962D7B36}"/>
    <cellStyle name="hi 2 7" xfId="53" xr:uid="{30E6F6EA-EA99-42CC-B4C7-E0724EF651D0}"/>
    <cellStyle name="hi 2 7 2" xfId="297" xr:uid="{8B1D6323-E002-40F8-A141-124E66E1EA88}"/>
    <cellStyle name="hi 2 8" xfId="54" xr:uid="{32564CA5-AAD9-409B-BE97-E75AB0BF53B7}"/>
    <cellStyle name="hi 2 8 2" xfId="298" xr:uid="{BA23E7BB-7D24-4650-B6B8-F5D74304DA76}"/>
    <cellStyle name="hi 2 9" xfId="55" xr:uid="{03FBE325-6716-4F55-B2BA-083E2C7AA108}"/>
    <cellStyle name="hi 2 9 2" xfId="299" xr:uid="{A7300788-88D0-48A9-82EA-88EC01199086}"/>
    <cellStyle name="hi 3" xfId="13" xr:uid="{00000000-0005-0000-0000-000005000000}"/>
    <cellStyle name="hi 3 2" xfId="19" xr:uid="{00000000-0005-0000-0000-000006000000}"/>
    <cellStyle name="hi 3 3" xfId="20" xr:uid="{00000000-0005-0000-0000-000007000000}"/>
    <cellStyle name="hi 3 4" xfId="32" xr:uid="{BB4C4F6F-8854-4335-A76A-48F067467833}"/>
    <cellStyle name="hi 4" xfId="56" xr:uid="{65B0BE3B-6DCB-4B80-AC00-289BB2B9E534}"/>
    <cellStyle name="hi 4 2" xfId="178" xr:uid="{5C665546-B1B1-4958-B581-AD5BED3A208E}"/>
    <cellStyle name="hi 4 3" xfId="135" xr:uid="{8E15533B-C1DE-475A-84C9-4B73F77AD917}"/>
    <cellStyle name="hi 5" xfId="57" xr:uid="{87252E2D-F8F9-42DE-A247-C5EFB8115C9B}"/>
    <cellStyle name="hi 5 2" xfId="300" xr:uid="{710E31FA-9CD3-4A68-B0AC-C8AF1F200E22}"/>
    <cellStyle name="hi 6" xfId="58" xr:uid="{37894EDF-C230-43B7-8B32-123ACABC7F24}"/>
    <cellStyle name="hi 6 2" xfId="301" xr:uid="{D5CB5BE8-E3CD-4A73-B57F-8A9A52266572}"/>
    <cellStyle name="hi 7" xfId="59" xr:uid="{165E5799-7A0D-4D21-98E4-82552412C467}"/>
    <cellStyle name="hi 7 2" xfId="302" xr:uid="{719B488A-716C-4F63-BE6C-0424CC09BADE}"/>
    <cellStyle name="hi 8" xfId="60" xr:uid="{2D45AF95-FB5C-44B3-937C-9FB0A3B01818}"/>
    <cellStyle name="hi 8 2" xfId="303" xr:uid="{57E259D3-8A07-425E-B343-106CF0A04837}"/>
    <cellStyle name="hi 9" xfId="61" xr:uid="{D9232DA7-E439-4A5D-9140-DE534FEBCA5A}"/>
    <cellStyle name="hi 9 2" xfId="304" xr:uid="{B7FF27E3-91A3-4FD5-9768-C2A65A587C7F}"/>
    <cellStyle name="Input 10" xfId="4065" xr:uid="{1887FC36-6B00-456C-B18F-4C959F5753A4}"/>
    <cellStyle name="Input 11" xfId="4066" xr:uid="{08860A94-C6AC-4E16-ABAC-4F9C7020A514}"/>
    <cellStyle name="Input 2" xfId="4067" xr:uid="{E0E00220-7C40-41CB-9AC5-86FEE16BFC77}"/>
    <cellStyle name="Input 2 2" xfId="4068" xr:uid="{B005695C-D062-4C29-A796-94F940843A63}"/>
    <cellStyle name="Input 2 3" xfId="4069" xr:uid="{8A6EAFBC-A95A-4012-9E22-4762B64666F7}"/>
    <cellStyle name="Input 2 4" xfId="4070" xr:uid="{7C3DAA67-FFE3-4BF1-9E76-3D300A50AA08}"/>
    <cellStyle name="Input 2 5" xfId="4071" xr:uid="{71D1566F-FD37-4EAD-BFB8-4A2B6AACD69F}"/>
    <cellStyle name="Input 2 6" xfId="4072" xr:uid="{C9D520A2-3727-4DDF-AB4F-468585A2A947}"/>
    <cellStyle name="Input 2 7" xfId="4073" xr:uid="{0D6766B6-A451-4898-AA0F-D7E79EB55D28}"/>
    <cellStyle name="Input 3" xfId="4074" xr:uid="{0F714478-754F-4278-A34E-A93601A60624}"/>
    <cellStyle name="Input 3 2" xfId="4075" xr:uid="{C7140779-3C53-4074-A760-59D1FBCE98D4}"/>
    <cellStyle name="Input 3 3" xfId="4076" xr:uid="{801BA36D-F044-423F-B74C-5A1D44F2AAAF}"/>
    <cellStyle name="Input 3 4" xfId="4077" xr:uid="{3ACEF672-D17F-43B1-A3A1-80C7458C2BDB}"/>
    <cellStyle name="Input 3 5" xfId="4078" xr:uid="{7A9E6D4B-CED3-4B69-9827-E0C8562BCBAE}"/>
    <cellStyle name="Input 3 6" xfId="4079" xr:uid="{19662BDA-18E8-40EF-8F08-0A42B7C601DF}"/>
    <cellStyle name="Input 3 7" xfId="4080" xr:uid="{2F8C6DF8-1F8D-4876-ADDE-3207A12391B1}"/>
    <cellStyle name="Input 4" xfId="4081" xr:uid="{0D1DE68D-CE8F-49F5-8E52-6789C7DBFEA6}"/>
    <cellStyle name="Input 4 2" xfId="4082" xr:uid="{DF1548DF-A6C9-4CB4-9962-023540C190C8}"/>
    <cellStyle name="Input 4 3" xfId="4083" xr:uid="{75D15288-3BBC-4EEB-A321-5B65D5A8488B}"/>
    <cellStyle name="Input 4 4" xfId="4084" xr:uid="{B4FB505E-0359-48C8-BE5D-A4F6E6897812}"/>
    <cellStyle name="Input 4 5" xfId="4085" xr:uid="{3BC082A5-C08D-4F91-807D-1D86902E0454}"/>
    <cellStyle name="Input 4 6" xfId="4086" xr:uid="{33AB3BE7-0142-4F31-813D-E42B655BE861}"/>
    <cellStyle name="Input 4 7" xfId="4087" xr:uid="{7C510623-B1BE-41CE-BC26-AD6B1EF673DE}"/>
    <cellStyle name="Input 5" xfId="4088" xr:uid="{F2342CA8-CFF5-4C16-95A7-DAFFED904CCA}"/>
    <cellStyle name="Input 5 2" xfId="4089" xr:uid="{14345E96-C177-4E3A-A8D9-B85A5F33F5C1}"/>
    <cellStyle name="Input 5 3" xfId="4090" xr:uid="{B9CA24EE-50B1-4ADA-954D-A772DEFEA477}"/>
    <cellStyle name="Input 5 4" xfId="4091" xr:uid="{E467F578-F878-4D18-AB5D-B47AA73322E9}"/>
    <cellStyle name="Input 5 5" xfId="4092" xr:uid="{4338CA7E-578C-411F-9460-5B570D7FA1AD}"/>
    <cellStyle name="Input 5 6" xfId="4093" xr:uid="{0FCF8A37-FA6F-46C0-B5E2-5F4838852BAE}"/>
    <cellStyle name="Input 5 7" xfId="4094" xr:uid="{48BDFDC3-136E-4DD4-AF05-B7516ACA4A82}"/>
    <cellStyle name="Input 6" xfId="4095" xr:uid="{07EE7015-807F-40A1-B784-540D0CF53C82}"/>
    <cellStyle name="Input 6 2" xfId="4096" xr:uid="{BDBC0DDD-CD2B-4D97-9846-61A281A889EE}"/>
    <cellStyle name="Input 6 3" xfId="4097" xr:uid="{4193A22A-83AD-4CAE-9F73-1D73E4A9A322}"/>
    <cellStyle name="Input 6 4" xfId="4098" xr:uid="{6FF9A0C3-861C-45B3-ACCF-A6ADD267A2BC}"/>
    <cellStyle name="Input 6 5" xfId="4099" xr:uid="{E566F90A-3425-4134-A0C9-876753753296}"/>
    <cellStyle name="Input 7" xfId="4100" xr:uid="{67808B38-1106-4D76-885B-347868E9D54E}"/>
    <cellStyle name="Input 7 2" xfId="4101" xr:uid="{E0F41908-4F9A-4CD9-B499-BC62B6931008}"/>
    <cellStyle name="Input 7 3" xfId="4102" xr:uid="{A59124E8-4162-4341-B0A8-71FD000162E1}"/>
    <cellStyle name="Input 7 4" xfId="4103" xr:uid="{795D0EFE-6A1E-47D6-93E6-B5C2D1D1830D}"/>
    <cellStyle name="Input 7 5" xfId="4104" xr:uid="{DFE9DB3D-DAE9-4D50-BA87-D0C41FEC4859}"/>
    <cellStyle name="Input 8" xfId="4105" xr:uid="{EAC37891-0488-47CF-A8E0-7EB0C7DFAD37}"/>
    <cellStyle name="Input 9" xfId="4106" xr:uid="{A483CFE4-608B-4246-B8C3-3398122E2123}"/>
    <cellStyle name="Linked Cell 10" xfId="4107" xr:uid="{A723FD10-0B60-42E3-A745-A099610D5573}"/>
    <cellStyle name="Linked Cell 11" xfId="4108" xr:uid="{663A35AE-1A22-4BC2-A2B2-B74FC330AFD9}"/>
    <cellStyle name="Linked Cell 2" xfId="4109" xr:uid="{33141D0A-E8B9-4695-806A-9529E2601DE2}"/>
    <cellStyle name="Linked Cell 2 2" xfId="4110" xr:uid="{3E31C8E6-17D8-48C9-B8E2-7B1F82EDB989}"/>
    <cellStyle name="Linked Cell 2 3" xfId="4111" xr:uid="{4D7F2F4C-2D75-4FA6-9777-B5F795F1E89A}"/>
    <cellStyle name="Linked Cell 2 4" xfId="4112" xr:uid="{ACAC1906-ECBA-4A71-87AB-A01A88CA7F48}"/>
    <cellStyle name="Linked Cell 2 5" xfId="4113" xr:uid="{FF614B74-92DB-4F80-B5EC-E0EC4E57756D}"/>
    <cellStyle name="Linked Cell 2 6" xfId="4114" xr:uid="{7A8612BB-115B-484B-BB31-89456AC35DBB}"/>
    <cellStyle name="Linked Cell 2 7" xfId="4115" xr:uid="{D1C81228-6866-43FF-B612-ED010FB24350}"/>
    <cellStyle name="Linked Cell 3" xfId="4116" xr:uid="{0618774E-4277-493A-A029-3FEB786CBD18}"/>
    <cellStyle name="Linked Cell 3 2" xfId="4117" xr:uid="{705007CE-FEA4-4D4D-977A-9EA9EA1E09CB}"/>
    <cellStyle name="Linked Cell 3 3" xfId="4118" xr:uid="{FD2B062E-B3AE-4FA1-9045-7BB7351D2825}"/>
    <cellStyle name="Linked Cell 3 4" xfId="4119" xr:uid="{635028D8-5BAD-4C58-8FB8-49D8B4AAD494}"/>
    <cellStyle name="Linked Cell 3 5" xfId="4120" xr:uid="{C747441F-F586-41EF-842A-46E878BF169F}"/>
    <cellStyle name="Linked Cell 3 6" xfId="4121" xr:uid="{F2E51156-2DAD-4287-9F5A-845238C99D44}"/>
    <cellStyle name="Linked Cell 3 7" xfId="4122" xr:uid="{B6460990-0495-4205-B1B6-614808672BA6}"/>
    <cellStyle name="Linked Cell 4" xfId="4123" xr:uid="{206CDB05-C2A6-4BED-A8DE-F1DF6540BE4D}"/>
    <cellStyle name="Linked Cell 4 2" xfId="4124" xr:uid="{2191AC52-060C-4D2E-9C5B-C79C26AC95F6}"/>
    <cellStyle name="Linked Cell 4 3" xfId="4125" xr:uid="{170C1A2C-4ACE-4B03-BD47-E31DFE221DEE}"/>
    <cellStyle name="Linked Cell 4 4" xfId="4126" xr:uid="{2C8891D6-36FF-4E89-8CAA-A7E15CBE8A39}"/>
    <cellStyle name="Linked Cell 4 5" xfId="4127" xr:uid="{39FF6D3E-C394-4403-9481-0FBD54674A1E}"/>
    <cellStyle name="Linked Cell 4 6" xfId="4128" xr:uid="{F8B507E7-FA81-4175-93CE-7B1AB869BE8A}"/>
    <cellStyle name="Linked Cell 4 7" xfId="4129" xr:uid="{36E49681-CECC-4510-9955-40B56F618FEA}"/>
    <cellStyle name="Linked Cell 5" xfId="4130" xr:uid="{8239687D-5970-4E6A-B012-48BA8943A11D}"/>
    <cellStyle name="Linked Cell 5 2" xfId="4131" xr:uid="{52F44B22-E24D-428C-A5EF-3D468C26566E}"/>
    <cellStyle name="Linked Cell 5 3" xfId="4132" xr:uid="{87EB9308-AC0D-44DC-85E6-9AE5F52F59AC}"/>
    <cellStyle name="Linked Cell 5 4" xfId="4133" xr:uid="{AC9A88CA-41D7-40F2-BA1F-B91F23AD278C}"/>
    <cellStyle name="Linked Cell 5 5" xfId="4134" xr:uid="{D618DC36-9D45-4058-9A2D-AD03B3B4A83C}"/>
    <cellStyle name="Linked Cell 5 6" xfId="4135" xr:uid="{EBF66794-BADC-486B-8793-EFA53CC24AC8}"/>
    <cellStyle name="Linked Cell 5 7" xfId="4136" xr:uid="{452C2612-6A97-4156-BD51-C21EA65155BE}"/>
    <cellStyle name="Linked Cell 6" xfId="4137" xr:uid="{4C96666C-27D6-43A9-954D-A0F57DE5B8F6}"/>
    <cellStyle name="Linked Cell 6 2" xfId="4138" xr:uid="{860FF5E3-75DF-4B2A-B107-061CA67CC617}"/>
    <cellStyle name="Linked Cell 6 3" xfId="4139" xr:uid="{EDB76F9A-F366-4CAA-BB03-8364042D0D17}"/>
    <cellStyle name="Linked Cell 6 4" xfId="4140" xr:uid="{6FA0B8CA-27AF-44A7-80FF-22E292F48A3D}"/>
    <cellStyle name="Linked Cell 6 5" xfId="4141" xr:uid="{A99C367C-17E9-4E30-A005-0B72FAF2FD16}"/>
    <cellStyle name="Linked Cell 7" xfId="4142" xr:uid="{72E1235F-2F54-4782-90BF-C973BBA627F3}"/>
    <cellStyle name="Linked Cell 7 2" xfId="4143" xr:uid="{B81373D3-7A83-4628-9867-DDF09D4575E0}"/>
    <cellStyle name="Linked Cell 7 3" xfId="4144" xr:uid="{0FA3A23A-580B-4889-BB2F-58D2607C2DEF}"/>
    <cellStyle name="Linked Cell 7 4" xfId="4145" xr:uid="{2D75C13A-4976-4846-B094-A6E8E789D21A}"/>
    <cellStyle name="Linked Cell 7 5" xfId="4146" xr:uid="{28887BE7-751E-4DBE-8DCB-BCDD74E75F02}"/>
    <cellStyle name="Linked Cell 8" xfId="4147" xr:uid="{78B92CE1-8801-46EB-A979-78049F7C7B64}"/>
    <cellStyle name="Linked Cell 9" xfId="4148" xr:uid="{C29C528F-3267-4472-A781-39CDD963D61C}"/>
    <cellStyle name="MDY" xfId="4149" xr:uid="{CED12EFB-6CB8-4F44-ABD6-96DB694ADD04}"/>
    <cellStyle name="MDY 2" xfId="4150" xr:uid="{54816C53-AC7D-4681-A66E-A7CF666B0165}"/>
    <cellStyle name="Neutral 10" xfId="4151" xr:uid="{688906A9-C7E6-4971-892C-437A0C9DDDA5}"/>
    <cellStyle name="Neutral 11" xfId="4152" xr:uid="{CD6F829A-C67C-4099-A7B5-29B9897265FE}"/>
    <cellStyle name="Neutral 2" xfId="4153" xr:uid="{34A1594A-24BB-4B19-96F0-7D11C6562F1C}"/>
    <cellStyle name="Neutral 2 2" xfId="4154" xr:uid="{E5376E13-DF85-4E61-92D1-AE80FBB2C21C}"/>
    <cellStyle name="Neutral 2 3" xfId="4155" xr:uid="{941F85E4-770D-496F-A49D-A0BB7064778D}"/>
    <cellStyle name="Neutral 2 4" xfId="4156" xr:uid="{6AD47B8E-CCDF-435F-A0A6-86F3874AF381}"/>
    <cellStyle name="Neutral 2 5" xfId="4157" xr:uid="{FB279663-5656-4E74-BE77-00840EF6DFA3}"/>
    <cellStyle name="Neutral 2 6" xfId="4158" xr:uid="{89DD84AB-EA29-4E85-A057-EEB46EEEBE9D}"/>
    <cellStyle name="Neutral 2 7" xfId="4159" xr:uid="{D6902685-B3EA-49AF-9426-F7B01D99340B}"/>
    <cellStyle name="Neutral 3" xfId="4160" xr:uid="{38C170FE-D205-4505-89B7-48E3C9485205}"/>
    <cellStyle name="Neutral 3 2" xfId="4161" xr:uid="{5B618C8D-83D7-42BB-AD4A-566189A11AA3}"/>
    <cellStyle name="Neutral 3 3" xfId="4162" xr:uid="{0A3ADCFE-34C1-4AE3-BE70-DC22AC594FB5}"/>
    <cellStyle name="Neutral 3 4" xfId="4163" xr:uid="{8044CE5D-F64D-431F-9833-B106B3AF54F0}"/>
    <cellStyle name="Neutral 3 5" xfId="4164" xr:uid="{DC672708-36F3-44F5-80EF-1C21ED942116}"/>
    <cellStyle name="Neutral 3 6" xfId="4165" xr:uid="{6ED33D0A-79F5-4FCC-BA2F-EEC4F650C1E7}"/>
    <cellStyle name="Neutral 3 7" xfId="4166" xr:uid="{245DA507-05EE-4CE3-BF97-F6E281F30560}"/>
    <cellStyle name="Neutral 4" xfId="4167" xr:uid="{6528287F-D2CA-4C7E-8701-02EC973FC809}"/>
    <cellStyle name="Neutral 4 2" xfId="4168" xr:uid="{B62DD9E0-6B45-4EDC-B1AA-D8B044126FDC}"/>
    <cellStyle name="Neutral 4 3" xfId="4169" xr:uid="{AE0BFC4B-AD7F-48A6-976F-C0770BA60C54}"/>
    <cellStyle name="Neutral 4 4" xfId="4170" xr:uid="{0704CFE5-CFCF-48B4-A0DA-B16AA1313216}"/>
    <cellStyle name="Neutral 4 5" xfId="4171" xr:uid="{AF10FF9B-0FF7-4E5E-9E87-4F630764D05B}"/>
    <cellStyle name="Neutral 4 6" xfId="4172" xr:uid="{C4945208-BD56-45B8-9ED0-47A3E3472FC3}"/>
    <cellStyle name="Neutral 4 7" xfId="4173" xr:uid="{466DB6DB-16A5-4B6B-96D6-3A0D702434C2}"/>
    <cellStyle name="Neutral 5" xfId="4174" xr:uid="{55AB3612-D42F-4D7A-9436-36D42753C637}"/>
    <cellStyle name="Neutral 5 2" xfId="4175" xr:uid="{1AAFDB61-4ED3-4449-AE13-9594A49165C7}"/>
    <cellStyle name="Neutral 5 3" xfId="4176" xr:uid="{E031D687-9461-436B-8A11-511E44D5C13D}"/>
    <cellStyle name="Neutral 5 4" xfId="4177" xr:uid="{9DFC2A01-674A-4E98-B9FB-EF72255D537B}"/>
    <cellStyle name="Neutral 5 5" xfId="4178" xr:uid="{BBD4822F-E4EA-4323-90E5-108BB23DF139}"/>
    <cellStyle name="Neutral 5 6" xfId="4179" xr:uid="{31CA1AA9-FF7A-48FA-ACA8-5733707874BC}"/>
    <cellStyle name="Neutral 5 7" xfId="4180" xr:uid="{3B41B442-AE17-4B9B-B36F-4C8145779C69}"/>
    <cellStyle name="Neutral 6" xfId="4181" xr:uid="{6830A0FD-129A-4047-9F0A-D2C494A3917A}"/>
    <cellStyle name="Neutral 6 2" xfId="4182" xr:uid="{C20F03F9-4954-4D42-AE3B-F605827DDDC1}"/>
    <cellStyle name="Neutral 6 3" xfId="4183" xr:uid="{D44D2AB5-6522-44FC-84A1-770B73FC0029}"/>
    <cellStyle name="Neutral 6 4" xfId="4184" xr:uid="{9FCD4AC8-0E8B-4A73-A240-DB6B34ED9CF9}"/>
    <cellStyle name="Neutral 6 5" xfId="4185" xr:uid="{02C73437-9E2D-4393-85B6-349EF0CAD388}"/>
    <cellStyle name="Neutral 7" xfId="4186" xr:uid="{53A203FA-158C-4850-8675-E026BF997073}"/>
    <cellStyle name="Neutral 7 2" xfId="4187" xr:uid="{72F5F0EE-24B6-40D5-9AF4-062913626544}"/>
    <cellStyle name="Neutral 7 3" xfId="4188" xr:uid="{CB5B8054-F856-4BC4-9C4F-1327C3DCBB2F}"/>
    <cellStyle name="Neutral 7 4" xfId="4189" xr:uid="{055F2324-343B-40A1-91D2-E1A8199272FA}"/>
    <cellStyle name="Neutral 7 5" xfId="4190" xr:uid="{6BA063C8-5280-404B-BEAC-390C2094FFF0}"/>
    <cellStyle name="Neutral 8" xfId="4191" xr:uid="{421E58C4-FE11-4073-84B1-484BF1316056}"/>
    <cellStyle name="Neutral 9" xfId="4192" xr:uid="{42C68359-B016-4790-BE94-A7B5D1323C3A}"/>
    <cellStyle name="Normal" xfId="0" builtinId="0"/>
    <cellStyle name="Normal 10" xfId="62" xr:uid="{8FB72959-7623-4E0D-8993-1E5A1CB57146}"/>
    <cellStyle name="Normal 10 2" xfId="63" xr:uid="{9C82C89A-CFD9-4DAF-97EE-5235E5B20D04}"/>
    <cellStyle name="Normal 10 2 10" xfId="432" xr:uid="{3EEF00F7-017A-49F9-B2DA-09A05E63DADB}"/>
    <cellStyle name="Normal 10 2 11" xfId="521" xr:uid="{0D60B145-333D-4ECC-B8DE-16CA468FD7AC}"/>
    <cellStyle name="Normal 10 2 12" xfId="54793" xr:uid="{5E062818-823B-4FC4-A850-19489A0DEDAE}"/>
    <cellStyle name="Normal 10 2 2" xfId="179" xr:uid="{CD46A7DF-A2AD-439A-809D-EC599ABADB42}"/>
    <cellStyle name="Normal 10 2 2 10" xfId="4193" xr:uid="{5D67D3EE-591B-4E27-AC03-D98F059CA03B}"/>
    <cellStyle name="Normal 10 2 2 10 2" xfId="4194" xr:uid="{BD1503F4-BD3E-4B70-8DD4-F180D10C1B8B}"/>
    <cellStyle name="Normal 10 2 2 10 2 2" xfId="4195" xr:uid="{3C3C3B28-F33E-4A7E-9588-22CAF771EE18}"/>
    <cellStyle name="Normal 10 2 2 10 2 2 2" xfId="4196" xr:uid="{09A11BAC-6B2A-4C87-824F-C69337F92A8B}"/>
    <cellStyle name="Normal 10 2 2 10 2 2 2 2" xfId="4197" xr:uid="{63D67513-5BA4-4E05-81E4-FAA8A683E124}"/>
    <cellStyle name="Normal 10 2 2 10 2 2 2 2 2" xfId="4198" xr:uid="{EDD8FBB4-91DA-40AE-8220-EBBCCCE6460E}"/>
    <cellStyle name="Normal 10 2 2 10 2 2 2 3" xfId="4199" xr:uid="{B6D26F20-AF56-46E9-A0D2-D2360C2B95A0}"/>
    <cellStyle name="Normal 10 2 2 10 2 2 3" xfId="4200" xr:uid="{FFDC3277-9F86-4F0F-8D06-D2E479921184}"/>
    <cellStyle name="Normal 10 2 2 10 2 2 3 2" xfId="4201" xr:uid="{7302B31E-B83B-49B9-BB3A-EA17C170E617}"/>
    <cellStyle name="Normal 10 2 2 10 2 2 4" xfId="4202" xr:uid="{24F69107-D703-4B98-A587-5F0A0EE25B84}"/>
    <cellStyle name="Normal 10 2 2 10 2 3" xfId="4203" xr:uid="{6F296B97-4DF0-4E4E-9CE2-265AE7322A71}"/>
    <cellStyle name="Normal 10 2 2 10 2 3 2" xfId="4204" xr:uid="{2EF68D5F-348B-447B-B18E-82E81A7B3F4A}"/>
    <cellStyle name="Normal 10 2 2 10 2 3 2 2" xfId="4205" xr:uid="{F6ED4250-25D4-46FD-B3C2-126A34E66E48}"/>
    <cellStyle name="Normal 10 2 2 10 2 3 3" xfId="4206" xr:uid="{3F6B881C-E88A-4B49-9CBA-2AD4A8E132F2}"/>
    <cellStyle name="Normal 10 2 2 10 2 4" xfId="4207" xr:uid="{AE9646BC-C982-4B18-A967-29DA23D0AFDB}"/>
    <cellStyle name="Normal 10 2 2 10 2 4 2" xfId="4208" xr:uid="{2CE7746E-ECCF-4F3A-A454-B40690F469C4}"/>
    <cellStyle name="Normal 10 2 2 10 2 5" xfId="4209" xr:uid="{23F6E323-3700-47EF-BFAC-115F2603D63E}"/>
    <cellStyle name="Normal 10 2 2 10 3" xfId="4210" xr:uid="{7612953A-5307-4D52-90B1-226EA32A1900}"/>
    <cellStyle name="Normal 10 2 2 10 3 2" xfId="4211" xr:uid="{A9CEA408-B29B-4177-8DCF-FCF08287E494}"/>
    <cellStyle name="Normal 10 2 2 10 3 2 2" xfId="4212" xr:uid="{C2F9E875-A873-40FB-8FE5-B59F9510316E}"/>
    <cellStyle name="Normal 10 2 2 10 3 2 2 2" xfId="4213" xr:uid="{3939C7A9-9547-4D2C-9324-9540C3473E0E}"/>
    <cellStyle name="Normal 10 2 2 10 3 2 3" xfId="4214" xr:uid="{A41981E4-1CAF-4CEB-8352-6D12008ABAAF}"/>
    <cellStyle name="Normal 10 2 2 10 3 3" xfId="4215" xr:uid="{2BC5D6AD-7B35-48D9-B0C8-F33E769FECCA}"/>
    <cellStyle name="Normal 10 2 2 10 3 3 2" xfId="4216" xr:uid="{4177755B-BC68-46DC-981E-F468329D591E}"/>
    <cellStyle name="Normal 10 2 2 10 3 4" xfId="4217" xr:uid="{1DC78750-79A2-402B-AA7B-6CA73ED3C513}"/>
    <cellStyle name="Normal 10 2 2 10 4" xfId="4218" xr:uid="{C99F0471-4BB6-47D2-BA81-DD47EC60C848}"/>
    <cellStyle name="Normal 10 2 2 10 4 2" xfId="4219" xr:uid="{0FE17E62-F04E-48E5-8049-B1AA82FFD037}"/>
    <cellStyle name="Normal 10 2 2 10 4 2 2" xfId="4220" xr:uid="{63793115-1E0D-4AA1-BF4F-2ACD0A0D4A3E}"/>
    <cellStyle name="Normal 10 2 2 10 4 3" xfId="4221" xr:uid="{BEFF6FDF-0A4B-4CBE-923E-C621D042F006}"/>
    <cellStyle name="Normal 10 2 2 10 5" xfId="4222" xr:uid="{42E1CE6E-AEC0-47C5-B70B-744FE7F6D59A}"/>
    <cellStyle name="Normal 10 2 2 10 5 2" xfId="4223" xr:uid="{41A3991C-79C1-4036-B224-7C85818F9F9D}"/>
    <cellStyle name="Normal 10 2 2 10 6" xfId="4224" xr:uid="{1056A979-738C-4463-A8CA-736A7E7D51AA}"/>
    <cellStyle name="Normal 10 2 2 11" xfId="4225" xr:uid="{F7A88FE9-9133-491E-8126-2840EDDA8DD0}"/>
    <cellStyle name="Normal 10 2 2 11 2" xfId="4226" xr:uid="{1C0F6E41-17DE-48E7-A1C2-F6D48F58DE18}"/>
    <cellStyle name="Normal 10 2 2 11 2 2" xfId="4227" xr:uid="{976EC4AB-F526-4D7B-8E37-85F8125C8AEF}"/>
    <cellStyle name="Normal 10 2 2 11 2 2 2" xfId="4228" xr:uid="{5BE7D9B2-E04F-40D4-A9C2-FB6CA8EC2B0F}"/>
    <cellStyle name="Normal 10 2 2 11 2 2 2 2" xfId="4229" xr:uid="{11B9CF6B-3DC5-4F81-9483-F6A5C508EF39}"/>
    <cellStyle name="Normal 10 2 2 11 2 2 3" xfId="4230" xr:uid="{6995ADF2-FA53-4EB2-8D44-99187E73CCEB}"/>
    <cellStyle name="Normal 10 2 2 11 2 3" xfId="4231" xr:uid="{EFFDFBD4-4466-47A4-8554-31B41244F2FD}"/>
    <cellStyle name="Normal 10 2 2 11 2 3 2" xfId="4232" xr:uid="{71C6C784-EB51-4292-9040-0B284D9CE015}"/>
    <cellStyle name="Normal 10 2 2 11 2 4" xfId="4233" xr:uid="{4C63244C-7436-4B1D-A705-16ED449883F6}"/>
    <cellStyle name="Normal 10 2 2 11 3" xfId="4234" xr:uid="{DC1D2D9F-C114-4810-9E9D-C4381A28E432}"/>
    <cellStyle name="Normal 10 2 2 11 3 2" xfId="4235" xr:uid="{EC4435B6-CDBB-4255-85C0-3A1EA27A279D}"/>
    <cellStyle name="Normal 10 2 2 11 3 2 2" xfId="4236" xr:uid="{264E5E74-9ED1-42DE-92BA-8A3FD4F8155C}"/>
    <cellStyle name="Normal 10 2 2 11 3 3" xfId="4237" xr:uid="{45BE4D4C-F32B-4EB6-A3B5-43F508017905}"/>
    <cellStyle name="Normal 10 2 2 11 4" xfId="4238" xr:uid="{653C4A4D-2E9F-4B9D-A165-7F4028107A80}"/>
    <cellStyle name="Normal 10 2 2 11 4 2" xfId="4239" xr:uid="{8B9DD839-897B-4E99-9EE3-A42020BD9B3F}"/>
    <cellStyle name="Normal 10 2 2 11 5" xfId="4240" xr:uid="{9905AA60-C4E6-45FF-93E7-EBE792EC922D}"/>
    <cellStyle name="Normal 10 2 2 12" xfId="4241" xr:uid="{C79EA7FB-0DD4-42EC-ABC1-8E725E0E79A2}"/>
    <cellStyle name="Normal 10 2 2 12 2" xfId="4242" xr:uid="{F5B2948D-7373-4916-9A16-7F0F6D880A7B}"/>
    <cellStyle name="Normal 10 2 2 12 2 2" xfId="4243" xr:uid="{9C8D1310-0A93-46FE-94DC-33F7C01224AC}"/>
    <cellStyle name="Normal 10 2 2 12 2 2 2" xfId="4244" xr:uid="{7AF7593E-D0A4-4BC6-B6C7-189B4C1A9C5F}"/>
    <cellStyle name="Normal 10 2 2 12 2 3" xfId="4245" xr:uid="{49D79F5C-5BB9-41CA-8663-0E0E3353CCCF}"/>
    <cellStyle name="Normal 10 2 2 12 3" xfId="4246" xr:uid="{89483E98-E5C1-42C9-9C8A-250EA1744E2A}"/>
    <cellStyle name="Normal 10 2 2 12 3 2" xfId="4247" xr:uid="{54DC183D-D888-4358-A6FD-A1EBC04F2343}"/>
    <cellStyle name="Normal 10 2 2 12 4" xfId="4248" xr:uid="{C22990A7-76E7-4721-8983-2D6A4286FB8E}"/>
    <cellStyle name="Normal 10 2 2 13" xfId="4249" xr:uid="{E7C1E152-A96A-49D1-A7A3-A73A9D91D472}"/>
    <cellStyle name="Normal 10 2 2 13 2" xfId="4250" xr:uid="{FD27AADD-BB41-4128-9DF6-EE1EABA4C067}"/>
    <cellStyle name="Normal 10 2 2 13 2 2" xfId="4251" xr:uid="{16A31E08-9F77-4FED-BE69-20E5F13E795B}"/>
    <cellStyle name="Normal 10 2 2 13 3" xfId="4252" xr:uid="{3BDDFDAC-1337-4368-AF48-BB8AC25F6861}"/>
    <cellStyle name="Normal 10 2 2 14" xfId="4253" xr:uid="{524E6D0A-3CDD-49D2-972B-46C2D8C20B0A}"/>
    <cellStyle name="Normal 10 2 2 14 2" xfId="4254" xr:uid="{8FC18598-2607-477C-AD69-7ED3B61E7495}"/>
    <cellStyle name="Normal 10 2 2 15" xfId="4255" xr:uid="{3A444A09-7C74-4609-8916-3C203DD7C84A}"/>
    <cellStyle name="Normal 10 2 2 16" xfId="529" xr:uid="{3D5F88F6-0F49-4193-A677-C766E13AE2B0}"/>
    <cellStyle name="Normal 10 2 2 17" xfId="54811" xr:uid="{06F5CB6D-2A32-4261-B1B4-8619D57C9315}"/>
    <cellStyle name="Normal 10 2 2 2" xfId="214" xr:uid="{144E66D2-6A5A-4A20-9065-5345C0C7EB3C}"/>
    <cellStyle name="Normal 10 2 2 2 10" xfId="4256" xr:uid="{2F4B5C42-94A5-4248-B48D-BA37DCC89F01}"/>
    <cellStyle name="Normal 10 2 2 2 10 2" xfId="4257" xr:uid="{17E6A121-7E4F-42E9-8A91-1B4FDA05D79B}"/>
    <cellStyle name="Normal 10 2 2 2 10 2 2" xfId="4258" xr:uid="{7F25EDC3-D977-4C30-9FEA-81187BC886F3}"/>
    <cellStyle name="Normal 10 2 2 2 10 2 2 2" xfId="4259" xr:uid="{48EB7667-D243-46E1-810D-A4FCAB119B04}"/>
    <cellStyle name="Normal 10 2 2 2 10 2 2 2 2" xfId="4260" xr:uid="{DAA09A83-E485-4E5B-829A-7961BD4C760D}"/>
    <cellStyle name="Normal 10 2 2 2 10 2 2 3" xfId="4261" xr:uid="{913BA4E9-B07C-43AF-B7B7-CE86D69814B2}"/>
    <cellStyle name="Normal 10 2 2 2 10 2 3" xfId="4262" xr:uid="{BA149DA3-77A3-48B8-93B8-064A7566C875}"/>
    <cellStyle name="Normal 10 2 2 2 10 2 3 2" xfId="4263" xr:uid="{1F2E0508-66C5-459B-A15F-EDAC0E27431B}"/>
    <cellStyle name="Normal 10 2 2 2 10 2 4" xfId="4264" xr:uid="{814EA435-A614-46F3-A4C9-7C765F1624B5}"/>
    <cellStyle name="Normal 10 2 2 2 10 3" xfId="4265" xr:uid="{0855E828-D1C2-4A71-8F89-FC0331554200}"/>
    <cellStyle name="Normal 10 2 2 2 10 3 2" xfId="4266" xr:uid="{A86BD90A-8355-46FB-9558-341406511EE6}"/>
    <cellStyle name="Normal 10 2 2 2 10 3 2 2" xfId="4267" xr:uid="{39B1D954-8567-4D5C-A987-F5A8C2910E34}"/>
    <cellStyle name="Normal 10 2 2 2 10 3 3" xfId="4268" xr:uid="{E95641D9-D860-4A50-9B7B-737C07E5D2F0}"/>
    <cellStyle name="Normal 10 2 2 2 10 4" xfId="4269" xr:uid="{2B8312D7-B4C0-4DCB-9476-74C96C10AF19}"/>
    <cellStyle name="Normal 10 2 2 2 10 4 2" xfId="4270" xr:uid="{EC8E4211-B8BC-48B7-98D1-8BB310310AE5}"/>
    <cellStyle name="Normal 10 2 2 2 10 5" xfId="4271" xr:uid="{C03E4ED0-A781-4553-96F1-9E30DF57C055}"/>
    <cellStyle name="Normal 10 2 2 2 11" xfId="4272" xr:uid="{734E91DB-A6BD-4E04-8D53-88A6B32517BC}"/>
    <cellStyle name="Normal 10 2 2 2 11 2" xfId="4273" xr:uid="{1CBB6332-B413-4803-A5A6-4A6A64A4911F}"/>
    <cellStyle name="Normal 10 2 2 2 11 2 2" xfId="4274" xr:uid="{463D2D5C-9EEB-4B38-810F-A5677DAD60BC}"/>
    <cellStyle name="Normal 10 2 2 2 11 2 2 2" xfId="4275" xr:uid="{FEAFC581-40C2-4EA5-B796-A03C07751099}"/>
    <cellStyle name="Normal 10 2 2 2 11 2 3" xfId="4276" xr:uid="{FD775621-D2F2-439F-B009-AA748F165C1C}"/>
    <cellStyle name="Normal 10 2 2 2 11 3" xfId="4277" xr:uid="{5538F80A-4691-4AE4-BBE1-7CBF32C5103B}"/>
    <cellStyle name="Normal 10 2 2 2 11 3 2" xfId="4278" xr:uid="{2DFC1687-0A9F-497E-80B6-5144CFF0BBFE}"/>
    <cellStyle name="Normal 10 2 2 2 11 4" xfId="4279" xr:uid="{2BB3B4F2-AD79-475E-8AFA-9ECBE75729B6}"/>
    <cellStyle name="Normal 10 2 2 2 12" xfId="4280" xr:uid="{AE1295D3-EB6E-46A6-B871-B9BDF63E1559}"/>
    <cellStyle name="Normal 10 2 2 2 12 2" xfId="4281" xr:uid="{B7C4D95B-CBAC-4BE0-8065-4B400F622699}"/>
    <cellStyle name="Normal 10 2 2 2 12 2 2" xfId="4282" xr:uid="{8EA22C25-A561-4227-BEAA-64D7F6E5EBAA}"/>
    <cellStyle name="Normal 10 2 2 2 12 3" xfId="4283" xr:uid="{10F9076E-6536-40A3-8379-4A41442DD40E}"/>
    <cellStyle name="Normal 10 2 2 2 13" xfId="4284" xr:uid="{3D4BFB6D-2ECD-4F82-A756-8C3AF029FA8E}"/>
    <cellStyle name="Normal 10 2 2 2 13 2" xfId="4285" xr:uid="{4FE0A944-00A4-4C47-BD9D-B5AC1A603521}"/>
    <cellStyle name="Normal 10 2 2 2 14" xfId="4286" xr:uid="{E6795A72-691C-4C98-A48F-17860D6DDCDD}"/>
    <cellStyle name="Normal 10 2 2 2 15" xfId="537" xr:uid="{FAEEAD7A-5E4D-4BD9-8473-A194AAD06493}"/>
    <cellStyle name="Normal 10 2 2 2 2" xfId="230" xr:uid="{72D63BD2-C289-451C-8823-959863882811}"/>
    <cellStyle name="Normal 10 2 2 2 2 10" xfId="4287" xr:uid="{F84C7A3D-682A-4BA3-984B-EFBE99CB21C2}"/>
    <cellStyle name="Normal 10 2 2 2 2 11" xfId="542" xr:uid="{54CE2827-7F9E-4315-AFD4-979BFD6ECF7A}"/>
    <cellStyle name="Normal 10 2 2 2 2 2" xfId="309" xr:uid="{5A8815E8-1A6D-406B-B7A5-A3E9D71AB97E}"/>
    <cellStyle name="Normal 10 2 2 2 2 2 10" xfId="4288" xr:uid="{2560E8D4-C5B9-4F11-8164-76E58087FAEB}"/>
    <cellStyle name="Normal 10 2 2 2 2 2 2" xfId="4289" xr:uid="{E7316BE2-7AD8-441F-B7B2-D03F3D54320A}"/>
    <cellStyle name="Normal 10 2 2 2 2 2 2 2" xfId="4290" xr:uid="{B7AFF473-DA35-406B-935B-76F866E5AD5D}"/>
    <cellStyle name="Normal 10 2 2 2 2 2 2 2 2" xfId="4291" xr:uid="{C2BF4BA0-C92C-4C84-96C9-DD93B51236EA}"/>
    <cellStyle name="Normal 10 2 2 2 2 2 2 2 2 2" xfId="4292" xr:uid="{6AFEAE5B-86BD-4F7E-AE0F-AD4964C3DA18}"/>
    <cellStyle name="Normal 10 2 2 2 2 2 2 2 2 2 2" xfId="4293" xr:uid="{0D54D99A-71B6-42EE-906F-A33ECA7D5759}"/>
    <cellStyle name="Normal 10 2 2 2 2 2 2 2 2 2 2 2" xfId="4294" xr:uid="{99FF7F34-69BD-477A-92BA-6926A87DBA01}"/>
    <cellStyle name="Normal 10 2 2 2 2 2 2 2 2 2 2 2 2" xfId="4295" xr:uid="{8D9A714A-9E1C-4C8B-A33D-1EFDDB0828BA}"/>
    <cellStyle name="Normal 10 2 2 2 2 2 2 2 2 2 2 2 2 2" xfId="4296" xr:uid="{9FCB5C35-C797-4AA0-B771-64D0E4E52024}"/>
    <cellStyle name="Normal 10 2 2 2 2 2 2 2 2 2 2 2 3" xfId="4297" xr:uid="{9DD3B5CF-A5D7-4BD5-8DAF-C10782B01D7A}"/>
    <cellStyle name="Normal 10 2 2 2 2 2 2 2 2 2 2 3" xfId="4298" xr:uid="{9FC3CDDA-EF64-40C6-AE0E-7A490AE5AB2C}"/>
    <cellStyle name="Normal 10 2 2 2 2 2 2 2 2 2 2 3 2" xfId="4299" xr:uid="{33144A0C-7E91-41EE-8F78-4A41BCA4885B}"/>
    <cellStyle name="Normal 10 2 2 2 2 2 2 2 2 2 2 4" xfId="4300" xr:uid="{A054C5E5-6C42-4BE6-A2CD-577122D15D50}"/>
    <cellStyle name="Normal 10 2 2 2 2 2 2 2 2 2 3" xfId="4301" xr:uid="{6082E3D5-72D9-44BB-BCF9-936070F48D88}"/>
    <cellStyle name="Normal 10 2 2 2 2 2 2 2 2 2 3 2" xfId="4302" xr:uid="{F68E116C-B8EE-4D29-8D31-2ED8F63ED200}"/>
    <cellStyle name="Normal 10 2 2 2 2 2 2 2 2 2 3 2 2" xfId="4303" xr:uid="{6DB49FFD-47F5-41D7-A00C-F25BAC87D97C}"/>
    <cellStyle name="Normal 10 2 2 2 2 2 2 2 2 2 3 3" xfId="4304" xr:uid="{4306A2A5-E7C2-4C8F-A4CD-0D029A486C42}"/>
    <cellStyle name="Normal 10 2 2 2 2 2 2 2 2 2 4" xfId="4305" xr:uid="{9266FCFA-B8D1-4BFC-85DC-5A19A6F4BF73}"/>
    <cellStyle name="Normal 10 2 2 2 2 2 2 2 2 2 4 2" xfId="4306" xr:uid="{09E7B756-06D0-4003-AE34-A2892E524992}"/>
    <cellStyle name="Normal 10 2 2 2 2 2 2 2 2 2 5" xfId="4307" xr:uid="{1979D135-F04C-4E68-93F1-C95B34BA087B}"/>
    <cellStyle name="Normal 10 2 2 2 2 2 2 2 2 3" xfId="4308" xr:uid="{4E520655-2529-471D-9746-A5278F9B2780}"/>
    <cellStyle name="Normal 10 2 2 2 2 2 2 2 2 3 2" xfId="4309" xr:uid="{3BF44272-40F7-44AB-9904-7800D2A335AF}"/>
    <cellStyle name="Normal 10 2 2 2 2 2 2 2 2 3 2 2" xfId="4310" xr:uid="{2A74CF2B-3F67-4B30-BA6D-8A4395A1609B}"/>
    <cellStyle name="Normal 10 2 2 2 2 2 2 2 2 3 2 2 2" xfId="4311" xr:uid="{E1ACC01F-E535-4AF0-88A6-CD0EE0077CCB}"/>
    <cellStyle name="Normal 10 2 2 2 2 2 2 2 2 3 2 3" xfId="4312" xr:uid="{0E95C881-AC71-45ED-AB2A-2D2727145E65}"/>
    <cellStyle name="Normal 10 2 2 2 2 2 2 2 2 3 3" xfId="4313" xr:uid="{C0159101-4395-4833-9C11-F7663852FEEF}"/>
    <cellStyle name="Normal 10 2 2 2 2 2 2 2 2 3 3 2" xfId="4314" xr:uid="{38054171-1232-4A4D-B975-AD2FAA42E0A7}"/>
    <cellStyle name="Normal 10 2 2 2 2 2 2 2 2 3 4" xfId="4315" xr:uid="{AD6857FE-007C-47D6-B638-B58C7F91731C}"/>
    <cellStyle name="Normal 10 2 2 2 2 2 2 2 2 4" xfId="4316" xr:uid="{B4B45DFA-1E67-4D0A-BC98-2C47A231D082}"/>
    <cellStyle name="Normal 10 2 2 2 2 2 2 2 2 4 2" xfId="4317" xr:uid="{657620CE-C33B-4F09-BB80-481FBC92FDF4}"/>
    <cellStyle name="Normal 10 2 2 2 2 2 2 2 2 4 2 2" xfId="4318" xr:uid="{89478EB6-2A37-49A2-A97C-2BE6C8A3A840}"/>
    <cellStyle name="Normal 10 2 2 2 2 2 2 2 2 4 3" xfId="4319" xr:uid="{FCAD2648-8745-45DD-BC55-2599EBBB1FDD}"/>
    <cellStyle name="Normal 10 2 2 2 2 2 2 2 2 5" xfId="4320" xr:uid="{22114AC4-0785-4446-A1B4-9794A3E98438}"/>
    <cellStyle name="Normal 10 2 2 2 2 2 2 2 2 5 2" xfId="4321" xr:uid="{384F872B-D645-453D-86F7-BF402182B1F8}"/>
    <cellStyle name="Normal 10 2 2 2 2 2 2 2 2 6" xfId="4322" xr:uid="{B20CF761-9C64-401D-840D-0658B747D8D1}"/>
    <cellStyle name="Normal 10 2 2 2 2 2 2 2 3" xfId="4323" xr:uid="{79321EEC-BB59-4A39-B3BB-2C2575B2640E}"/>
    <cellStyle name="Normal 10 2 2 2 2 2 2 2 3 2" xfId="4324" xr:uid="{B956EB90-2489-4D06-B521-A7977223453B}"/>
    <cellStyle name="Normal 10 2 2 2 2 2 2 2 3 2 2" xfId="4325" xr:uid="{3B37F433-24B5-4F82-AA67-89A851BAD9FC}"/>
    <cellStyle name="Normal 10 2 2 2 2 2 2 2 3 2 2 2" xfId="4326" xr:uid="{6104E2B5-73D9-4CF7-99D9-2680E0B0EE26}"/>
    <cellStyle name="Normal 10 2 2 2 2 2 2 2 3 2 2 2 2" xfId="4327" xr:uid="{A4875641-B1A8-4FD1-AB11-6DE4A779DF9B}"/>
    <cellStyle name="Normal 10 2 2 2 2 2 2 2 3 2 2 3" xfId="4328" xr:uid="{0E5DABD5-3C7F-4771-A2F9-8F2980F833B5}"/>
    <cellStyle name="Normal 10 2 2 2 2 2 2 2 3 2 3" xfId="4329" xr:uid="{7A13EF37-9603-437A-96A1-74E424FCA2EE}"/>
    <cellStyle name="Normal 10 2 2 2 2 2 2 2 3 2 3 2" xfId="4330" xr:uid="{78AE13CA-7716-42CF-9414-72E3F458DB9A}"/>
    <cellStyle name="Normal 10 2 2 2 2 2 2 2 3 2 4" xfId="4331" xr:uid="{FEC85CBA-EC8F-4510-B22C-982857486115}"/>
    <cellStyle name="Normal 10 2 2 2 2 2 2 2 3 3" xfId="4332" xr:uid="{7C9774D2-9F20-4766-B1A3-988CA0B64DA1}"/>
    <cellStyle name="Normal 10 2 2 2 2 2 2 2 3 3 2" xfId="4333" xr:uid="{73636FAD-05D0-4116-BD43-A568E424F83B}"/>
    <cellStyle name="Normal 10 2 2 2 2 2 2 2 3 3 2 2" xfId="4334" xr:uid="{F8A9D9F4-2FF0-40BD-A02C-68D55FB02E8F}"/>
    <cellStyle name="Normal 10 2 2 2 2 2 2 2 3 3 3" xfId="4335" xr:uid="{9C835208-CC9F-4FC9-BCDD-399722A0C113}"/>
    <cellStyle name="Normal 10 2 2 2 2 2 2 2 3 4" xfId="4336" xr:uid="{A7AEF36D-C797-415D-B4A8-8A87075126FD}"/>
    <cellStyle name="Normal 10 2 2 2 2 2 2 2 3 4 2" xfId="4337" xr:uid="{FDF17107-D5D8-45BA-9E3E-0B4B358238A7}"/>
    <cellStyle name="Normal 10 2 2 2 2 2 2 2 3 5" xfId="4338" xr:uid="{851F4D74-FEE5-42B3-9E59-43D675862B01}"/>
    <cellStyle name="Normal 10 2 2 2 2 2 2 2 4" xfId="4339" xr:uid="{13BAB847-6FD2-40D2-8FBF-EB84A2898071}"/>
    <cellStyle name="Normal 10 2 2 2 2 2 2 2 4 2" xfId="4340" xr:uid="{4680EF16-5215-4C62-9655-944303B6A1EF}"/>
    <cellStyle name="Normal 10 2 2 2 2 2 2 2 4 2 2" xfId="4341" xr:uid="{E1D637A9-18FD-4371-BE35-6B2CBCE5FEF6}"/>
    <cellStyle name="Normal 10 2 2 2 2 2 2 2 4 2 2 2" xfId="4342" xr:uid="{A658050A-B82A-448E-AF12-34487936AF18}"/>
    <cellStyle name="Normal 10 2 2 2 2 2 2 2 4 2 3" xfId="4343" xr:uid="{D1E0230D-3A1A-47F4-B8A9-542C1336A200}"/>
    <cellStyle name="Normal 10 2 2 2 2 2 2 2 4 3" xfId="4344" xr:uid="{26357344-B283-4E9E-87B3-00F82328F5EE}"/>
    <cellStyle name="Normal 10 2 2 2 2 2 2 2 4 3 2" xfId="4345" xr:uid="{B65A2161-FDAD-4FCE-98AA-E80CFFC8762B}"/>
    <cellStyle name="Normal 10 2 2 2 2 2 2 2 4 4" xfId="4346" xr:uid="{A7400822-5BD3-4D78-9551-D0CB81CB4254}"/>
    <cellStyle name="Normal 10 2 2 2 2 2 2 2 5" xfId="4347" xr:uid="{C1609C82-E73C-4261-9163-A683A4D37DAC}"/>
    <cellStyle name="Normal 10 2 2 2 2 2 2 2 5 2" xfId="4348" xr:uid="{1E60B78A-4665-4443-9EED-B7CB1EA80324}"/>
    <cellStyle name="Normal 10 2 2 2 2 2 2 2 5 2 2" xfId="4349" xr:uid="{B6BC594D-DE65-41E0-BD8B-379C21DBFD48}"/>
    <cellStyle name="Normal 10 2 2 2 2 2 2 2 5 3" xfId="4350" xr:uid="{4AF96C62-04E5-4B91-98C4-44396D50A3E8}"/>
    <cellStyle name="Normal 10 2 2 2 2 2 2 2 6" xfId="4351" xr:uid="{C9B2FF88-2707-447A-AF55-C701ED62C70F}"/>
    <cellStyle name="Normal 10 2 2 2 2 2 2 2 6 2" xfId="4352" xr:uid="{D8FA581C-C677-4973-B5BA-0B17B370B098}"/>
    <cellStyle name="Normal 10 2 2 2 2 2 2 2 7" xfId="4353" xr:uid="{35E95116-CEA8-4438-9855-B6F8936304D3}"/>
    <cellStyle name="Normal 10 2 2 2 2 2 2 3" xfId="4354" xr:uid="{1E56F87E-5327-481E-948C-CD5AAF148111}"/>
    <cellStyle name="Normal 10 2 2 2 2 2 2 3 2" xfId="4355" xr:uid="{D60A9A8E-ECCD-458B-9374-0C3C6AB967F0}"/>
    <cellStyle name="Normal 10 2 2 2 2 2 2 3 2 2" xfId="4356" xr:uid="{67FE3AD4-5751-43AB-AB6B-632C55D76496}"/>
    <cellStyle name="Normal 10 2 2 2 2 2 2 3 2 2 2" xfId="4357" xr:uid="{FF0420AA-E204-4E09-BAB2-746615C11A69}"/>
    <cellStyle name="Normal 10 2 2 2 2 2 2 3 2 2 2 2" xfId="4358" xr:uid="{56F08658-199B-44E2-81E6-AFE60D567536}"/>
    <cellStyle name="Normal 10 2 2 2 2 2 2 3 2 2 2 2 2" xfId="4359" xr:uid="{96AE8011-AB09-47D8-9AF3-6DF3426D926F}"/>
    <cellStyle name="Normal 10 2 2 2 2 2 2 3 2 2 2 3" xfId="4360" xr:uid="{78CF0F73-EB47-49EF-97C4-C3C51CEB4CF2}"/>
    <cellStyle name="Normal 10 2 2 2 2 2 2 3 2 2 3" xfId="4361" xr:uid="{C03CACA8-34D3-4191-9FC1-982B8EE6BC21}"/>
    <cellStyle name="Normal 10 2 2 2 2 2 2 3 2 2 3 2" xfId="4362" xr:uid="{B82E6F7A-2BC8-4174-8A24-24415B8305B3}"/>
    <cellStyle name="Normal 10 2 2 2 2 2 2 3 2 2 4" xfId="4363" xr:uid="{812BBD5E-A395-4792-990B-F84F55EAE491}"/>
    <cellStyle name="Normal 10 2 2 2 2 2 2 3 2 3" xfId="4364" xr:uid="{8A3B4A0D-6276-4449-BD9D-733DCC65AEC3}"/>
    <cellStyle name="Normal 10 2 2 2 2 2 2 3 2 3 2" xfId="4365" xr:uid="{69FAE96C-E841-44DF-BB1F-0DB7BF4A8F71}"/>
    <cellStyle name="Normal 10 2 2 2 2 2 2 3 2 3 2 2" xfId="4366" xr:uid="{3F053C5F-1CD8-48A9-9947-3EE11D363E9A}"/>
    <cellStyle name="Normal 10 2 2 2 2 2 2 3 2 3 3" xfId="4367" xr:uid="{B0792138-113E-4D94-9FB0-B4B3F4CEE20F}"/>
    <cellStyle name="Normal 10 2 2 2 2 2 2 3 2 4" xfId="4368" xr:uid="{95859A8B-B635-40A5-9B96-4206E100D715}"/>
    <cellStyle name="Normal 10 2 2 2 2 2 2 3 2 4 2" xfId="4369" xr:uid="{2F42AEC3-15D7-4A3C-9736-5C9533778E86}"/>
    <cellStyle name="Normal 10 2 2 2 2 2 2 3 2 5" xfId="4370" xr:uid="{F4AFFCCF-6B1B-411C-9427-076481BB14D2}"/>
    <cellStyle name="Normal 10 2 2 2 2 2 2 3 3" xfId="4371" xr:uid="{C6049D73-FB20-47CF-AC79-46429A478068}"/>
    <cellStyle name="Normal 10 2 2 2 2 2 2 3 3 2" xfId="4372" xr:uid="{49A2AE63-2AB7-4A4F-987E-F3142FE5D94B}"/>
    <cellStyle name="Normal 10 2 2 2 2 2 2 3 3 2 2" xfId="4373" xr:uid="{EA6FC004-B426-4296-8726-3F21A5DB484A}"/>
    <cellStyle name="Normal 10 2 2 2 2 2 2 3 3 2 2 2" xfId="4374" xr:uid="{71C222CC-2B0E-4006-9B3B-3BC7C81417C9}"/>
    <cellStyle name="Normal 10 2 2 2 2 2 2 3 3 2 3" xfId="4375" xr:uid="{240B8E71-FD08-41DF-84EB-83452108F247}"/>
    <cellStyle name="Normal 10 2 2 2 2 2 2 3 3 3" xfId="4376" xr:uid="{756E60F9-E2E5-417B-A3BF-9833E640505E}"/>
    <cellStyle name="Normal 10 2 2 2 2 2 2 3 3 3 2" xfId="4377" xr:uid="{A656B57C-7C5D-42C8-A327-B06B176A6C2D}"/>
    <cellStyle name="Normal 10 2 2 2 2 2 2 3 3 4" xfId="4378" xr:uid="{3A32E701-4D83-43D3-A92C-D716F555022C}"/>
    <cellStyle name="Normal 10 2 2 2 2 2 2 3 4" xfId="4379" xr:uid="{EF6F1845-52AA-4D52-A73D-D906ECFAB6A8}"/>
    <cellStyle name="Normal 10 2 2 2 2 2 2 3 4 2" xfId="4380" xr:uid="{812E43FE-0727-479D-B28E-BE0C8CF79FDF}"/>
    <cellStyle name="Normal 10 2 2 2 2 2 2 3 4 2 2" xfId="4381" xr:uid="{B32ACDFF-E00C-4BE8-8FAF-082D47C97A2C}"/>
    <cellStyle name="Normal 10 2 2 2 2 2 2 3 4 3" xfId="4382" xr:uid="{42D09B10-D1C8-497F-ABBF-519CA9A704FE}"/>
    <cellStyle name="Normal 10 2 2 2 2 2 2 3 5" xfId="4383" xr:uid="{DDCA7B30-24DD-4AE0-B6C3-BCC8E30D4A95}"/>
    <cellStyle name="Normal 10 2 2 2 2 2 2 3 5 2" xfId="4384" xr:uid="{47B123BB-9B54-4617-8BC4-AFCE8E189B09}"/>
    <cellStyle name="Normal 10 2 2 2 2 2 2 3 6" xfId="4385" xr:uid="{515D6330-07E8-4A8F-A383-EEB47CE6418B}"/>
    <cellStyle name="Normal 10 2 2 2 2 2 2 4" xfId="4386" xr:uid="{C627284A-FFFE-4896-99EC-353431A6DC80}"/>
    <cellStyle name="Normal 10 2 2 2 2 2 2 4 2" xfId="4387" xr:uid="{F198BD29-A9C3-424B-9073-2E660BAE1970}"/>
    <cellStyle name="Normal 10 2 2 2 2 2 2 4 2 2" xfId="4388" xr:uid="{334CC0E6-8461-4E7F-9E2E-866FDC6B8D43}"/>
    <cellStyle name="Normal 10 2 2 2 2 2 2 4 2 2 2" xfId="4389" xr:uid="{98D7AD1F-C9CE-492B-BDAF-196BAF80B97B}"/>
    <cellStyle name="Normal 10 2 2 2 2 2 2 4 2 2 2 2" xfId="4390" xr:uid="{1AC2E021-B03E-41C6-9BFE-2621B039E78B}"/>
    <cellStyle name="Normal 10 2 2 2 2 2 2 4 2 2 3" xfId="4391" xr:uid="{D0D837CB-BF4B-4C30-A05A-5F307CA89ECC}"/>
    <cellStyle name="Normal 10 2 2 2 2 2 2 4 2 3" xfId="4392" xr:uid="{7B386EEB-CEC0-4DDB-9775-010C4BFDDBBF}"/>
    <cellStyle name="Normal 10 2 2 2 2 2 2 4 2 3 2" xfId="4393" xr:uid="{3B2EE32F-C8AE-4858-B3B5-0465AC747C3E}"/>
    <cellStyle name="Normal 10 2 2 2 2 2 2 4 2 4" xfId="4394" xr:uid="{EACC5498-C5ED-4402-8330-943DDB21B3D3}"/>
    <cellStyle name="Normal 10 2 2 2 2 2 2 4 3" xfId="4395" xr:uid="{298822CC-1103-4B4F-A492-13F1C1DF840B}"/>
    <cellStyle name="Normal 10 2 2 2 2 2 2 4 3 2" xfId="4396" xr:uid="{20207314-EBF9-44D1-8691-1387E410BDAB}"/>
    <cellStyle name="Normal 10 2 2 2 2 2 2 4 3 2 2" xfId="4397" xr:uid="{6091D28F-0F9F-40E4-962E-9FCE4C987643}"/>
    <cellStyle name="Normal 10 2 2 2 2 2 2 4 3 3" xfId="4398" xr:uid="{EC6CEEF5-AAB0-4993-ADFA-EB8124D59619}"/>
    <cellStyle name="Normal 10 2 2 2 2 2 2 4 4" xfId="4399" xr:uid="{64E584BA-C612-4393-BEA4-DE5C16C5AC70}"/>
    <cellStyle name="Normal 10 2 2 2 2 2 2 4 4 2" xfId="4400" xr:uid="{0D0617AE-B335-45BD-A39A-F2B723F88204}"/>
    <cellStyle name="Normal 10 2 2 2 2 2 2 4 5" xfId="4401" xr:uid="{2206A2CB-4D0E-403A-9645-01004D5266C1}"/>
    <cellStyle name="Normal 10 2 2 2 2 2 2 5" xfId="4402" xr:uid="{BF0865EE-F781-4488-9455-072327C719BF}"/>
    <cellStyle name="Normal 10 2 2 2 2 2 2 5 2" xfId="4403" xr:uid="{B5C1A634-1D96-45CE-A555-F65A6D95D872}"/>
    <cellStyle name="Normal 10 2 2 2 2 2 2 5 2 2" xfId="4404" xr:uid="{63A609E7-D40E-4336-AC94-A46C95E4CFC3}"/>
    <cellStyle name="Normal 10 2 2 2 2 2 2 5 2 2 2" xfId="4405" xr:uid="{DE2FFBA7-F7FF-4165-B101-9AE441E03F25}"/>
    <cellStyle name="Normal 10 2 2 2 2 2 2 5 2 3" xfId="4406" xr:uid="{D7FFD3AE-766B-4C04-9AA2-F6B2A95C5030}"/>
    <cellStyle name="Normal 10 2 2 2 2 2 2 5 3" xfId="4407" xr:uid="{555B420E-078A-4463-88BE-A1B0CA87C7F4}"/>
    <cellStyle name="Normal 10 2 2 2 2 2 2 5 3 2" xfId="4408" xr:uid="{F7B6C377-D1AB-4D6A-A792-89BD72898227}"/>
    <cellStyle name="Normal 10 2 2 2 2 2 2 5 4" xfId="4409" xr:uid="{E5ADB7E5-438A-4C78-AEFC-41D2BF45B889}"/>
    <cellStyle name="Normal 10 2 2 2 2 2 2 6" xfId="4410" xr:uid="{83EFF900-A481-4665-965E-D00E49EDB355}"/>
    <cellStyle name="Normal 10 2 2 2 2 2 2 6 2" xfId="4411" xr:uid="{59B872FD-770F-49B1-AF5E-D31B1598FCDB}"/>
    <cellStyle name="Normal 10 2 2 2 2 2 2 6 2 2" xfId="4412" xr:uid="{6AF1AFC2-0068-43D4-91E8-79183B50B97E}"/>
    <cellStyle name="Normal 10 2 2 2 2 2 2 6 3" xfId="4413" xr:uid="{85198DDC-882D-4597-8769-F62C10F27BA3}"/>
    <cellStyle name="Normal 10 2 2 2 2 2 2 7" xfId="4414" xr:uid="{7D767A5A-5D49-4F12-B618-EF4DCA6B146A}"/>
    <cellStyle name="Normal 10 2 2 2 2 2 2 7 2" xfId="4415" xr:uid="{A6674849-0073-40F9-8DB4-DCF8F38A68D0}"/>
    <cellStyle name="Normal 10 2 2 2 2 2 2 8" xfId="4416" xr:uid="{2BD98A17-D894-42C3-92A5-BCA6432C83AC}"/>
    <cellStyle name="Normal 10 2 2 2 2 2 3" xfId="4417" xr:uid="{F4C3C1CA-A667-422C-B1C9-F497E1BD2C14}"/>
    <cellStyle name="Normal 10 2 2 2 2 2 3 2" xfId="4418" xr:uid="{D9C1CAEB-ABB2-4588-94FD-0F300E421A6D}"/>
    <cellStyle name="Normal 10 2 2 2 2 2 3 2 2" xfId="4419" xr:uid="{78B49044-ECBA-4066-B472-2AEB1FB925C0}"/>
    <cellStyle name="Normal 10 2 2 2 2 2 3 2 2 2" xfId="4420" xr:uid="{BEFBB34C-C7CB-4594-9324-35EED1A856A8}"/>
    <cellStyle name="Normal 10 2 2 2 2 2 3 2 2 2 2" xfId="4421" xr:uid="{261E82CD-E0A0-4307-AC8F-C43EE2E2AB11}"/>
    <cellStyle name="Normal 10 2 2 2 2 2 3 2 2 2 2 2" xfId="4422" xr:uid="{45CA0455-57FC-4318-85E5-38D38F787F0C}"/>
    <cellStyle name="Normal 10 2 2 2 2 2 3 2 2 2 2 2 2" xfId="4423" xr:uid="{5CB60D68-608A-4D83-9A21-D4D42A65C9D9}"/>
    <cellStyle name="Normal 10 2 2 2 2 2 3 2 2 2 2 3" xfId="4424" xr:uid="{D3A4D9C8-6D36-4C02-ADAD-F12DE0AE54C1}"/>
    <cellStyle name="Normal 10 2 2 2 2 2 3 2 2 2 3" xfId="4425" xr:uid="{70E4A692-86AB-4E06-A94F-B606DD27153E}"/>
    <cellStyle name="Normal 10 2 2 2 2 2 3 2 2 2 3 2" xfId="4426" xr:uid="{BDC184E4-E75F-4A6E-8F96-81E875B898FF}"/>
    <cellStyle name="Normal 10 2 2 2 2 2 3 2 2 2 4" xfId="4427" xr:uid="{16B2C179-CF3B-4FFD-88B6-DFF305BA75A2}"/>
    <cellStyle name="Normal 10 2 2 2 2 2 3 2 2 3" xfId="4428" xr:uid="{C565B51E-3DE6-4897-99CE-E587B67AE238}"/>
    <cellStyle name="Normal 10 2 2 2 2 2 3 2 2 3 2" xfId="4429" xr:uid="{F91FD5CA-81F4-4AC4-A669-C77927C0CA5A}"/>
    <cellStyle name="Normal 10 2 2 2 2 2 3 2 2 3 2 2" xfId="4430" xr:uid="{2A0E95A7-76E1-4157-A9F7-92D6A83EE3EE}"/>
    <cellStyle name="Normal 10 2 2 2 2 2 3 2 2 3 3" xfId="4431" xr:uid="{A1F81EE3-A503-4F0F-A869-30E97E2996F2}"/>
    <cellStyle name="Normal 10 2 2 2 2 2 3 2 2 4" xfId="4432" xr:uid="{8998E68F-C011-4A7E-BD31-EF5CA29A28A4}"/>
    <cellStyle name="Normal 10 2 2 2 2 2 3 2 2 4 2" xfId="4433" xr:uid="{9B3EE1A6-70EC-493F-ABB8-B0BE33A04564}"/>
    <cellStyle name="Normal 10 2 2 2 2 2 3 2 2 5" xfId="4434" xr:uid="{25187910-9324-4E64-891E-5CD573E0A0CA}"/>
    <cellStyle name="Normal 10 2 2 2 2 2 3 2 3" xfId="4435" xr:uid="{92773FA5-208B-45AA-AB74-5D6468859571}"/>
    <cellStyle name="Normal 10 2 2 2 2 2 3 2 3 2" xfId="4436" xr:uid="{B132E8E9-414A-40DD-8CB2-5B2DF57DA00E}"/>
    <cellStyle name="Normal 10 2 2 2 2 2 3 2 3 2 2" xfId="4437" xr:uid="{F9475B8B-4E55-4133-A343-59404707FB5B}"/>
    <cellStyle name="Normal 10 2 2 2 2 2 3 2 3 2 2 2" xfId="4438" xr:uid="{29BEB6FA-C514-4E30-8E7E-E30687BBDED0}"/>
    <cellStyle name="Normal 10 2 2 2 2 2 3 2 3 2 3" xfId="4439" xr:uid="{3412FE02-228B-4AF0-A45B-FB19587E0218}"/>
    <cellStyle name="Normal 10 2 2 2 2 2 3 2 3 3" xfId="4440" xr:uid="{A91F2016-F037-47F1-8DD9-0B74C5E87834}"/>
    <cellStyle name="Normal 10 2 2 2 2 2 3 2 3 3 2" xfId="4441" xr:uid="{ECE61AC7-72C9-441F-A10A-0DE45E511EB6}"/>
    <cellStyle name="Normal 10 2 2 2 2 2 3 2 3 4" xfId="4442" xr:uid="{4B87AE0A-C758-41B0-B8D6-DFFB2F5203AA}"/>
    <cellStyle name="Normal 10 2 2 2 2 2 3 2 4" xfId="4443" xr:uid="{22595E4D-A15F-43F2-BD7A-65EEC9CAF805}"/>
    <cellStyle name="Normal 10 2 2 2 2 2 3 2 4 2" xfId="4444" xr:uid="{3C9F9AC1-143E-4DB8-BCC3-0DB04F5B11C9}"/>
    <cellStyle name="Normal 10 2 2 2 2 2 3 2 4 2 2" xfId="4445" xr:uid="{274B6048-3572-47AB-AB03-AE1341B36340}"/>
    <cellStyle name="Normal 10 2 2 2 2 2 3 2 4 3" xfId="4446" xr:uid="{6FD31DE8-986D-43B6-BDCB-7B7D5F0668EC}"/>
    <cellStyle name="Normal 10 2 2 2 2 2 3 2 5" xfId="4447" xr:uid="{5B951A08-BD60-4740-BCF3-32712E21AA90}"/>
    <cellStyle name="Normal 10 2 2 2 2 2 3 2 5 2" xfId="4448" xr:uid="{684C2F96-E2E1-427F-B83A-02A32AD29B91}"/>
    <cellStyle name="Normal 10 2 2 2 2 2 3 2 6" xfId="4449" xr:uid="{058FEBDF-D4B9-4D95-869E-230B3BB30AD8}"/>
    <cellStyle name="Normal 10 2 2 2 2 2 3 3" xfId="4450" xr:uid="{7B2F7E2F-06FB-4F20-B596-7C408F4828E8}"/>
    <cellStyle name="Normal 10 2 2 2 2 2 3 3 2" xfId="4451" xr:uid="{65CD7AC5-7882-4A33-A00E-A23E1A4CCA18}"/>
    <cellStyle name="Normal 10 2 2 2 2 2 3 3 2 2" xfId="4452" xr:uid="{2663DC19-8259-4728-BED7-686F4EE1D02E}"/>
    <cellStyle name="Normal 10 2 2 2 2 2 3 3 2 2 2" xfId="4453" xr:uid="{AB6154D6-C92F-409C-A945-78F4D0224313}"/>
    <cellStyle name="Normal 10 2 2 2 2 2 3 3 2 2 2 2" xfId="4454" xr:uid="{27C79CF4-D1AF-4C61-893F-E978224142F2}"/>
    <cellStyle name="Normal 10 2 2 2 2 2 3 3 2 2 3" xfId="4455" xr:uid="{7CF9BA13-30BB-4943-A2F4-EBF41A4690D4}"/>
    <cellStyle name="Normal 10 2 2 2 2 2 3 3 2 3" xfId="4456" xr:uid="{845D68DE-69DE-444D-9C43-EF0C03F8ED34}"/>
    <cellStyle name="Normal 10 2 2 2 2 2 3 3 2 3 2" xfId="4457" xr:uid="{6A0267D7-1A3B-42DA-8C58-2D08B1591E9E}"/>
    <cellStyle name="Normal 10 2 2 2 2 2 3 3 2 4" xfId="4458" xr:uid="{EA06827F-7807-4934-8313-6E9BDE51990F}"/>
    <cellStyle name="Normal 10 2 2 2 2 2 3 3 3" xfId="4459" xr:uid="{C314DB00-EBA8-490C-8A39-2439E53E28E1}"/>
    <cellStyle name="Normal 10 2 2 2 2 2 3 3 3 2" xfId="4460" xr:uid="{B9A20580-FBC4-4AEE-A749-B8C5A62F8301}"/>
    <cellStyle name="Normal 10 2 2 2 2 2 3 3 3 2 2" xfId="4461" xr:uid="{091716F1-C3CD-4876-A3E5-95FF30DB90C7}"/>
    <cellStyle name="Normal 10 2 2 2 2 2 3 3 3 3" xfId="4462" xr:uid="{F698890F-AAF8-41BF-AD92-2354E520702F}"/>
    <cellStyle name="Normal 10 2 2 2 2 2 3 3 4" xfId="4463" xr:uid="{42C7E74D-0000-44B2-82E9-B5D6BDE22445}"/>
    <cellStyle name="Normal 10 2 2 2 2 2 3 3 4 2" xfId="4464" xr:uid="{52D0722D-300B-4EAB-A0F5-31E0E6143139}"/>
    <cellStyle name="Normal 10 2 2 2 2 2 3 3 5" xfId="4465" xr:uid="{311E1077-996F-4D06-B732-34EE9AEAD41D}"/>
    <cellStyle name="Normal 10 2 2 2 2 2 3 4" xfId="4466" xr:uid="{8EC83097-E164-436C-932E-4AA34EE608D6}"/>
    <cellStyle name="Normal 10 2 2 2 2 2 3 4 2" xfId="4467" xr:uid="{C9A0D6A5-8F84-4F3A-A39A-C3E0DA4D27D6}"/>
    <cellStyle name="Normal 10 2 2 2 2 2 3 4 2 2" xfId="4468" xr:uid="{652EA65E-4E72-4F5E-8439-E1FEBF7B0408}"/>
    <cellStyle name="Normal 10 2 2 2 2 2 3 4 2 2 2" xfId="4469" xr:uid="{F733FCE2-830A-4181-95C4-C9A034D1E564}"/>
    <cellStyle name="Normal 10 2 2 2 2 2 3 4 2 3" xfId="4470" xr:uid="{A2BD796F-BA38-4322-BF5A-C2A69CEE0B70}"/>
    <cellStyle name="Normal 10 2 2 2 2 2 3 4 3" xfId="4471" xr:uid="{98AD2851-C690-46BD-8833-91F67797795A}"/>
    <cellStyle name="Normal 10 2 2 2 2 2 3 4 3 2" xfId="4472" xr:uid="{E211AC11-2926-4BB3-9F00-2F261ACB3EF2}"/>
    <cellStyle name="Normal 10 2 2 2 2 2 3 4 4" xfId="4473" xr:uid="{EF259E5D-2538-46B8-8AFE-FFF2D8388B57}"/>
    <cellStyle name="Normal 10 2 2 2 2 2 3 5" xfId="4474" xr:uid="{4620CFAB-E3FD-4AD0-A334-A9D720C87E57}"/>
    <cellStyle name="Normal 10 2 2 2 2 2 3 5 2" xfId="4475" xr:uid="{AC5CD5BA-6852-4F3D-9B1F-7018AEDD710F}"/>
    <cellStyle name="Normal 10 2 2 2 2 2 3 5 2 2" xfId="4476" xr:uid="{DE0B6808-3F52-4231-960C-773FBF83EAA8}"/>
    <cellStyle name="Normal 10 2 2 2 2 2 3 5 3" xfId="4477" xr:uid="{9DEAFBDC-644F-4A30-91A8-BA3A4F50A25D}"/>
    <cellStyle name="Normal 10 2 2 2 2 2 3 6" xfId="4478" xr:uid="{FA148E58-D668-46C8-8480-A8E92413B401}"/>
    <cellStyle name="Normal 10 2 2 2 2 2 3 6 2" xfId="4479" xr:uid="{4912011A-FE6C-47D9-833B-058135CBDC09}"/>
    <cellStyle name="Normal 10 2 2 2 2 2 3 7" xfId="4480" xr:uid="{56EF5BD2-98BD-488B-98FC-6B5B85D41AC8}"/>
    <cellStyle name="Normal 10 2 2 2 2 2 4" xfId="4481" xr:uid="{EB377046-668F-4D9D-AEEF-AFF64AB7C198}"/>
    <cellStyle name="Normal 10 2 2 2 2 2 4 2" xfId="4482" xr:uid="{989CFBED-1499-4910-BB2D-3F3E6C67A670}"/>
    <cellStyle name="Normal 10 2 2 2 2 2 4 2 2" xfId="4483" xr:uid="{AFCADEDA-0C70-4AD9-8019-9475233C16F2}"/>
    <cellStyle name="Normal 10 2 2 2 2 2 4 2 2 2" xfId="4484" xr:uid="{EC9BB174-93D3-4631-8C35-6A4C8F73D9B9}"/>
    <cellStyle name="Normal 10 2 2 2 2 2 4 2 2 2 2" xfId="4485" xr:uid="{7055C122-2EA8-4FB3-83B3-14A51D7B9730}"/>
    <cellStyle name="Normal 10 2 2 2 2 2 4 2 2 2 2 2" xfId="4486" xr:uid="{02F1D981-AA5C-4035-90D8-681096555DEC}"/>
    <cellStyle name="Normal 10 2 2 2 2 2 4 2 2 2 3" xfId="4487" xr:uid="{FF348DF8-E34B-4C69-87F0-915011D2300E}"/>
    <cellStyle name="Normal 10 2 2 2 2 2 4 2 2 3" xfId="4488" xr:uid="{3E6B6A88-5162-4608-B507-C5F40ED2ACFA}"/>
    <cellStyle name="Normal 10 2 2 2 2 2 4 2 2 3 2" xfId="4489" xr:uid="{8D5FC47F-A7A3-4F9B-A8DE-0AEDF9F26FEA}"/>
    <cellStyle name="Normal 10 2 2 2 2 2 4 2 2 4" xfId="4490" xr:uid="{7B94ED55-9938-4C31-80CD-67CD5D21FFB0}"/>
    <cellStyle name="Normal 10 2 2 2 2 2 4 2 3" xfId="4491" xr:uid="{03ED1022-3CBE-407A-9277-8838CC5BF10E}"/>
    <cellStyle name="Normal 10 2 2 2 2 2 4 2 3 2" xfId="4492" xr:uid="{32004514-C27C-4004-8537-F8C12AEC695A}"/>
    <cellStyle name="Normal 10 2 2 2 2 2 4 2 3 2 2" xfId="4493" xr:uid="{D0ABF76A-4CB3-4CFA-8360-4AA719BE19EE}"/>
    <cellStyle name="Normal 10 2 2 2 2 2 4 2 3 3" xfId="4494" xr:uid="{BC4A03A3-B4B1-49BB-874C-3D9407B8F165}"/>
    <cellStyle name="Normal 10 2 2 2 2 2 4 2 4" xfId="4495" xr:uid="{A16E04D8-8981-413B-BA1E-81C5037F66D3}"/>
    <cellStyle name="Normal 10 2 2 2 2 2 4 2 4 2" xfId="4496" xr:uid="{5CB0199F-F28D-466B-9D5B-45C4DA281136}"/>
    <cellStyle name="Normal 10 2 2 2 2 2 4 2 5" xfId="4497" xr:uid="{F1E329E5-75D8-4DE4-A089-A6E69CCC1CC8}"/>
    <cellStyle name="Normal 10 2 2 2 2 2 4 3" xfId="4498" xr:uid="{40870CC7-FDC7-43AC-8AD4-B9B763EF54E3}"/>
    <cellStyle name="Normal 10 2 2 2 2 2 4 3 2" xfId="4499" xr:uid="{75ECBA52-7732-4C94-8B8F-9E8CBF21A7DB}"/>
    <cellStyle name="Normal 10 2 2 2 2 2 4 3 2 2" xfId="4500" xr:uid="{61B615BC-13EF-4FE4-891C-34EEF1EE9E82}"/>
    <cellStyle name="Normal 10 2 2 2 2 2 4 3 2 2 2" xfId="4501" xr:uid="{B39F2810-CBD8-4B40-9F7B-405291F41641}"/>
    <cellStyle name="Normal 10 2 2 2 2 2 4 3 2 3" xfId="4502" xr:uid="{87297A47-72E2-4B7E-A85B-56FB02058BEF}"/>
    <cellStyle name="Normal 10 2 2 2 2 2 4 3 3" xfId="4503" xr:uid="{992EDD64-1E5F-4699-9E01-887C5D3B67FB}"/>
    <cellStyle name="Normal 10 2 2 2 2 2 4 3 3 2" xfId="4504" xr:uid="{D073735D-8165-4ECB-9D85-B134E9119F11}"/>
    <cellStyle name="Normal 10 2 2 2 2 2 4 3 4" xfId="4505" xr:uid="{83B7E14F-D231-4D14-B28C-FCFFCE33DA1D}"/>
    <cellStyle name="Normal 10 2 2 2 2 2 4 4" xfId="4506" xr:uid="{6A3A9DD4-4317-4BCE-A103-FEE920FAD214}"/>
    <cellStyle name="Normal 10 2 2 2 2 2 4 4 2" xfId="4507" xr:uid="{6CC95E6A-6A2D-47AC-95CF-CCC9A7A796A4}"/>
    <cellStyle name="Normal 10 2 2 2 2 2 4 4 2 2" xfId="4508" xr:uid="{B4EEA316-AF4F-4F5C-BF1A-0400E494CDF3}"/>
    <cellStyle name="Normal 10 2 2 2 2 2 4 4 3" xfId="4509" xr:uid="{0B9FE8A0-90CB-494F-AA86-C795D7BF02BF}"/>
    <cellStyle name="Normal 10 2 2 2 2 2 4 5" xfId="4510" xr:uid="{E475FB37-8D83-4B30-8FCE-EBB8C30A6A3D}"/>
    <cellStyle name="Normal 10 2 2 2 2 2 4 5 2" xfId="4511" xr:uid="{0402328D-2612-4C00-A48E-FF8C4A108764}"/>
    <cellStyle name="Normal 10 2 2 2 2 2 4 6" xfId="4512" xr:uid="{76999C48-179C-4848-AD4F-B34E9250C190}"/>
    <cellStyle name="Normal 10 2 2 2 2 2 5" xfId="4513" xr:uid="{022FFFE4-1A9C-4143-A890-07E6533B391A}"/>
    <cellStyle name="Normal 10 2 2 2 2 2 5 2" xfId="4514" xr:uid="{2E38570E-E4A3-4593-988C-2ADBE7164F65}"/>
    <cellStyle name="Normal 10 2 2 2 2 2 5 2 2" xfId="4515" xr:uid="{9484F546-9EEB-4DF5-9207-DF683B928EAF}"/>
    <cellStyle name="Normal 10 2 2 2 2 2 5 2 2 2" xfId="4516" xr:uid="{ED81C492-4E4E-4F4F-9212-1F86333E1947}"/>
    <cellStyle name="Normal 10 2 2 2 2 2 5 2 2 2 2" xfId="4517" xr:uid="{BAB01FA2-C505-4F17-95BF-1DB0C8C676C4}"/>
    <cellStyle name="Normal 10 2 2 2 2 2 5 2 2 3" xfId="4518" xr:uid="{C32FA1F5-D668-4ED2-AB63-02DE0FA60C81}"/>
    <cellStyle name="Normal 10 2 2 2 2 2 5 2 3" xfId="4519" xr:uid="{ADAF137F-B6F2-4375-9AE9-73C4A03AEDC8}"/>
    <cellStyle name="Normal 10 2 2 2 2 2 5 2 3 2" xfId="4520" xr:uid="{A4654FB2-DE8C-4E23-9201-559AE8443BDF}"/>
    <cellStyle name="Normal 10 2 2 2 2 2 5 2 4" xfId="4521" xr:uid="{15EB00F2-EAE2-4AB0-A00D-947C74F1FCC1}"/>
    <cellStyle name="Normal 10 2 2 2 2 2 5 3" xfId="4522" xr:uid="{66EAF47B-4CB8-4E59-85A7-DAF30D16A631}"/>
    <cellStyle name="Normal 10 2 2 2 2 2 5 3 2" xfId="4523" xr:uid="{65564A7F-6812-475F-9079-3B85DBA6B3A9}"/>
    <cellStyle name="Normal 10 2 2 2 2 2 5 3 2 2" xfId="4524" xr:uid="{20667D17-7126-4453-A697-5B60BD2FAD01}"/>
    <cellStyle name="Normal 10 2 2 2 2 2 5 3 3" xfId="4525" xr:uid="{A5E522D6-82D4-4E44-A6CB-A28981B62A27}"/>
    <cellStyle name="Normal 10 2 2 2 2 2 5 4" xfId="4526" xr:uid="{C2F3006C-1A04-4963-BD8B-451CD3CE71C5}"/>
    <cellStyle name="Normal 10 2 2 2 2 2 5 4 2" xfId="4527" xr:uid="{39FC80C9-D76D-469A-A08C-A70F2A22138C}"/>
    <cellStyle name="Normal 10 2 2 2 2 2 5 5" xfId="4528" xr:uid="{B7FF42FD-E024-43DF-B055-91F3B2D62B4B}"/>
    <cellStyle name="Normal 10 2 2 2 2 2 6" xfId="4529" xr:uid="{AF34BE17-E01E-481A-826A-EE4B3B77B94E}"/>
    <cellStyle name="Normal 10 2 2 2 2 2 6 2" xfId="4530" xr:uid="{26B8BD94-6FDB-46D4-95C0-2F250DCA85A3}"/>
    <cellStyle name="Normal 10 2 2 2 2 2 6 2 2" xfId="4531" xr:uid="{3A331AB6-826E-4AB7-B369-5DE662288434}"/>
    <cellStyle name="Normal 10 2 2 2 2 2 6 2 2 2" xfId="4532" xr:uid="{1AC97E06-380C-4C17-9D37-65ED14D8C570}"/>
    <cellStyle name="Normal 10 2 2 2 2 2 6 2 3" xfId="4533" xr:uid="{397E0598-CB8C-4B57-8C7E-D7B2E3D3DC9A}"/>
    <cellStyle name="Normal 10 2 2 2 2 2 6 3" xfId="4534" xr:uid="{13927577-3D71-49E0-AE28-B6BF37F2D8F1}"/>
    <cellStyle name="Normal 10 2 2 2 2 2 6 3 2" xfId="4535" xr:uid="{F262D7F0-D3C5-4200-AB1C-C8ED57A37CDA}"/>
    <cellStyle name="Normal 10 2 2 2 2 2 6 4" xfId="4536" xr:uid="{74824FBB-570A-4AEE-80A9-F3C3FC82724D}"/>
    <cellStyle name="Normal 10 2 2 2 2 2 7" xfId="4537" xr:uid="{DDAF40E2-5BC0-44EF-8D61-294EE8B46EE8}"/>
    <cellStyle name="Normal 10 2 2 2 2 2 7 2" xfId="4538" xr:uid="{C23AA6CF-7DD6-49DB-8F53-7ACBF3405BED}"/>
    <cellStyle name="Normal 10 2 2 2 2 2 7 2 2" xfId="4539" xr:uid="{5A4C566F-6314-47A4-ADB8-E4946F811BB6}"/>
    <cellStyle name="Normal 10 2 2 2 2 2 7 3" xfId="4540" xr:uid="{660B3A6C-DCB3-4515-A575-2AEE579FAD5B}"/>
    <cellStyle name="Normal 10 2 2 2 2 2 8" xfId="4541" xr:uid="{3384EFA6-33A9-42F2-B870-035DB8924CFB}"/>
    <cellStyle name="Normal 10 2 2 2 2 2 8 2" xfId="4542" xr:uid="{0EDCDDF9-A225-475D-B63A-F0A7085335F9}"/>
    <cellStyle name="Normal 10 2 2 2 2 2 9" xfId="4543" xr:uid="{5D30A7E1-3C2D-4605-8286-8F428BA98116}"/>
    <cellStyle name="Normal 10 2 2 2 2 3" xfId="465" xr:uid="{4FF3D324-2E86-4D27-A585-C22914206A4B}"/>
    <cellStyle name="Normal 10 2 2 2 2 3 2" xfId="4545" xr:uid="{E24F907C-007E-49D5-8C07-8FC5EF4CE888}"/>
    <cellStyle name="Normal 10 2 2 2 2 3 2 2" xfId="4546" xr:uid="{582DF50A-505A-4C78-845D-C2D6B4F075AA}"/>
    <cellStyle name="Normal 10 2 2 2 2 3 2 2 2" xfId="4547" xr:uid="{7D56CFF6-8883-4606-BC2C-FD2E7807CD23}"/>
    <cellStyle name="Normal 10 2 2 2 2 3 2 2 2 2" xfId="4548" xr:uid="{E3D1FDAF-7C44-4A61-9F46-6FDBE4547F70}"/>
    <cellStyle name="Normal 10 2 2 2 2 3 2 2 2 2 2" xfId="4549" xr:uid="{DD3D5735-5DDA-486A-B6E8-EE53EA9F4F66}"/>
    <cellStyle name="Normal 10 2 2 2 2 3 2 2 2 2 2 2" xfId="4550" xr:uid="{A1F4D701-DE59-41EC-BE48-C33313721651}"/>
    <cellStyle name="Normal 10 2 2 2 2 3 2 2 2 2 2 2 2" xfId="4551" xr:uid="{972046A4-E524-466E-B58C-9C4CA7B07E12}"/>
    <cellStyle name="Normal 10 2 2 2 2 3 2 2 2 2 2 3" xfId="4552" xr:uid="{2A58ED3E-5F07-4D5D-8555-12229D691414}"/>
    <cellStyle name="Normal 10 2 2 2 2 3 2 2 2 2 3" xfId="4553" xr:uid="{4D183F6B-00C6-466B-B53E-6DE75DD35B29}"/>
    <cellStyle name="Normal 10 2 2 2 2 3 2 2 2 2 3 2" xfId="4554" xr:uid="{41B89D64-9935-49E0-ADA7-06C3294D9A1B}"/>
    <cellStyle name="Normal 10 2 2 2 2 3 2 2 2 2 4" xfId="4555" xr:uid="{E2AAE4BD-7205-42CC-B963-4E5C12B97A45}"/>
    <cellStyle name="Normal 10 2 2 2 2 3 2 2 2 3" xfId="4556" xr:uid="{FA9408E2-3F15-4A42-BFC7-A655936C68EE}"/>
    <cellStyle name="Normal 10 2 2 2 2 3 2 2 2 3 2" xfId="4557" xr:uid="{EEE83DFC-4BFE-4211-AD0E-FE68BE216FF2}"/>
    <cellStyle name="Normal 10 2 2 2 2 3 2 2 2 3 2 2" xfId="4558" xr:uid="{28836B67-49C5-4334-A6C3-0437EB267079}"/>
    <cellStyle name="Normal 10 2 2 2 2 3 2 2 2 3 3" xfId="4559" xr:uid="{115CE044-69CB-4811-A568-D98426E99B69}"/>
    <cellStyle name="Normal 10 2 2 2 2 3 2 2 2 4" xfId="4560" xr:uid="{082ED999-DADE-4A1F-8485-5ED8B6948F83}"/>
    <cellStyle name="Normal 10 2 2 2 2 3 2 2 2 4 2" xfId="4561" xr:uid="{96AD0A3A-7CA1-4CCA-8317-19CC2B6890A8}"/>
    <cellStyle name="Normal 10 2 2 2 2 3 2 2 2 5" xfId="4562" xr:uid="{868CF54A-BEF1-4E4C-B63D-9E9F49DAE1D0}"/>
    <cellStyle name="Normal 10 2 2 2 2 3 2 2 3" xfId="4563" xr:uid="{491CB165-007E-45D3-BD9C-45445F729B7A}"/>
    <cellStyle name="Normal 10 2 2 2 2 3 2 2 3 2" xfId="4564" xr:uid="{12F60739-13A5-4025-846D-61C19BD24FD8}"/>
    <cellStyle name="Normal 10 2 2 2 2 3 2 2 3 2 2" xfId="4565" xr:uid="{8E8F4BD1-2C75-4CAC-AA28-0ED99F8BB289}"/>
    <cellStyle name="Normal 10 2 2 2 2 3 2 2 3 2 2 2" xfId="4566" xr:uid="{882C98D7-33F9-4F9C-A69A-44E239328143}"/>
    <cellStyle name="Normal 10 2 2 2 2 3 2 2 3 2 3" xfId="4567" xr:uid="{382FC3C5-B3B9-464B-855B-D4ED03F18492}"/>
    <cellStyle name="Normal 10 2 2 2 2 3 2 2 3 3" xfId="4568" xr:uid="{858B6603-DC39-4839-A405-14D5AEB82D61}"/>
    <cellStyle name="Normal 10 2 2 2 2 3 2 2 3 3 2" xfId="4569" xr:uid="{41EBC38C-11E1-4764-B832-419E273B4CDE}"/>
    <cellStyle name="Normal 10 2 2 2 2 3 2 2 3 4" xfId="4570" xr:uid="{FD4010DB-5456-4721-BC03-A7DCFF2F3CB6}"/>
    <cellStyle name="Normal 10 2 2 2 2 3 2 2 4" xfId="4571" xr:uid="{0D5938B2-563C-4C1C-A7BB-C8967EA2983E}"/>
    <cellStyle name="Normal 10 2 2 2 2 3 2 2 4 2" xfId="4572" xr:uid="{B8431F1B-92D4-4568-AEBA-58CB54F62108}"/>
    <cellStyle name="Normal 10 2 2 2 2 3 2 2 4 2 2" xfId="4573" xr:uid="{0C0C8DFF-421D-464D-A98B-E4E96020C08B}"/>
    <cellStyle name="Normal 10 2 2 2 2 3 2 2 4 3" xfId="4574" xr:uid="{5EA9F9CE-961A-404C-9555-B24BE11BCC83}"/>
    <cellStyle name="Normal 10 2 2 2 2 3 2 2 5" xfId="4575" xr:uid="{92FB6A4F-FC27-41DE-8EEF-0BF79E499910}"/>
    <cellStyle name="Normal 10 2 2 2 2 3 2 2 5 2" xfId="4576" xr:uid="{49C7B7DE-C647-47A7-94EA-51F60E19F357}"/>
    <cellStyle name="Normal 10 2 2 2 2 3 2 2 6" xfId="4577" xr:uid="{C28D2B16-0BB6-4D56-B647-FF91EBFA7F02}"/>
    <cellStyle name="Normal 10 2 2 2 2 3 2 3" xfId="4578" xr:uid="{3CAFC436-6484-4385-90D4-14A5FAC7FFBA}"/>
    <cellStyle name="Normal 10 2 2 2 2 3 2 3 2" xfId="4579" xr:uid="{05D03151-EC75-440C-B9CF-8EF5B262D007}"/>
    <cellStyle name="Normal 10 2 2 2 2 3 2 3 2 2" xfId="4580" xr:uid="{F81D85F9-9767-440F-A7D3-93930258D71A}"/>
    <cellStyle name="Normal 10 2 2 2 2 3 2 3 2 2 2" xfId="4581" xr:uid="{37F1C86A-7C8A-403B-A175-315604E901A0}"/>
    <cellStyle name="Normal 10 2 2 2 2 3 2 3 2 2 2 2" xfId="4582" xr:uid="{0C5C38C1-1417-4127-B254-01137311F55E}"/>
    <cellStyle name="Normal 10 2 2 2 2 3 2 3 2 2 3" xfId="4583" xr:uid="{CFCEC9B6-9405-407A-8C25-093CA86753C3}"/>
    <cellStyle name="Normal 10 2 2 2 2 3 2 3 2 3" xfId="4584" xr:uid="{28AB214F-C1D1-452F-AB75-3DB0DE6B5A6A}"/>
    <cellStyle name="Normal 10 2 2 2 2 3 2 3 2 3 2" xfId="4585" xr:uid="{110AD02C-01F2-49F5-AB35-9C69FDB02650}"/>
    <cellStyle name="Normal 10 2 2 2 2 3 2 3 2 4" xfId="4586" xr:uid="{0221C206-6C9E-488B-B502-DE8E397D77B5}"/>
    <cellStyle name="Normal 10 2 2 2 2 3 2 3 3" xfId="4587" xr:uid="{B09CB0DC-CFAD-4F14-ACB8-E3A0BBD3077C}"/>
    <cellStyle name="Normal 10 2 2 2 2 3 2 3 3 2" xfId="4588" xr:uid="{B25D6E2A-27A8-4405-BBAE-CD98E24851D0}"/>
    <cellStyle name="Normal 10 2 2 2 2 3 2 3 3 2 2" xfId="4589" xr:uid="{C242FD48-AE13-4434-AA26-BF92290A9F14}"/>
    <cellStyle name="Normal 10 2 2 2 2 3 2 3 3 3" xfId="4590" xr:uid="{F2C0DFFF-D6D2-447F-BC84-88907461B97C}"/>
    <cellStyle name="Normal 10 2 2 2 2 3 2 3 4" xfId="4591" xr:uid="{C6BDBD58-E2BE-4A1E-9781-C176F2749908}"/>
    <cellStyle name="Normal 10 2 2 2 2 3 2 3 4 2" xfId="4592" xr:uid="{D980D0CA-DA2D-414F-8DF1-AE240432EE1C}"/>
    <cellStyle name="Normal 10 2 2 2 2 3 2 3 5" xfId="4593" xr:uid="{9DFA5401-F2C5-4B08-A62E-4D49C2C92B43}"/>
    <cellStyle name="Normal 10 2 2 2 2 3 2 4" xfId="4594" xr:uid="{A0B336F5-B860-40EF-87AE-880165CEA1A8}"/>
    <cellStyle name="Normal 10 2 2 2 2 3 2 4 2" xfId="4595" xr:uid="{960AA494-9F34-441D-84E9-411F6BA59150}"/>
    <cellStyle name="Normal 10 2 2 2 2 3 2 4 2 2" xfId="4596" xr:uid="{3C5974C6-7C6C-4891-949D-239D6DFBF8B0}"/>
    <cellStyle name="Normal 10 2 2 2 2 3 2 4 2 2 2" xfId="4597" xr:uid="{281BBAF2-FB3B-4C35-8A6D-BE83CC8D3BE8}"/>
    <cellStyle name="Normal 10 2 2 2 2 3 2 4 2 3" xfId="4598" xr:uid="{E1312717-14AA-4520-8ACB-02B0DD371FB4}"/>
    <cellStyle name="Normal 10 2 2 2 2 3 2 4 3" xfId="4599" xr:uid="{8B99501A-A381-4C5A-AF7D-9EF8461C5CF4}"/>
    <cellStyle name="Normal 10 2 2 2 2 3 2 4 3 2" xfId="4600" xr:uid="{4B8AA037-4A30-40BC-8581-29FDFB76F753}"/>
    <cellStyle name="Normal 10 2 2 2 2 3 2 4 4" xfId="4601" xr:uid="{EBB88A87-76A6-4632-AA98-4B90FB457B3F}"/>
    <cellStyle name="Normal 10 2 2 2 2 3 2 5" xfId="4602" xr:uid="{9B8E0033-17BE-4FED-9393-A7963D3D465B}"/>
    <cellStyle name="Normal 10 2 2 2 2 3 2 5 2" xfId="4603" xr:uid="{C39F9255-1811-4CCA-A070-D89A39084E86}"/>
    <cellStyle name="Normal 10 2 2 2 2 3 2 5 2 2" xfId="4604" xr:uid="{5F635A30-0A0A-479C-876D-820013EEAD4D}"/>
    <cellStyle name="Normal 10 2 2 2 2 3 2 5 3" xfId="4605" xr:uid="{98C0DE00-99C8-4D2E-BB73-B641666EF83E}"/>
    <cellStyle name="Normal 10 2 2 2 2 3 2 6" xfId="4606" xr:uid="{DC137C12-D65A-4C7A-8AF7-E980D3410476}"/>
    <cellStyle name="Normal 10 2 2 2 2 3 2 6 2" xfId="4607" xr:uid="{98446518-6ECD-4812-8B97-DA58A1ABB8CD}"/>
    <cellStyle name="Normal 10 2 2 2 2 3 2 7" xfId="4608" xr:uid="{CA86B075-D344-444B-90A4-448138ADDE2C}"/>
    <cellStyle name="Normal 10 2 2 2 2 3 3" xfId="4609" xr:uid="{F12FF3AE-073C-4901-BEA4-58979080DF11}"/>
    <cellStyle name="Normal 10 2 2 2 2 3 3 2" xfId="4610" xr:uid="{FC2D9A73-D0C9-40E5-A668-215FDB672238}"/>
    <cellStyle name="Normal 10 2 2 2 2 3 3 2 2" xfId="4611" xr:uid="{33413329-E4F9-4FE4-870E-A0773AAEBEBE}"/>
    <cellStyle name="Normal 10 2 2 2 2 3 3 2 2 2" xfId="4612" xr:uid="{8ACAAA85-F324-4545-B951-36AC0823D6B2}"/>
    <cellStyle name="Normal 10 2 2 2 2 3 3 2 2 2 2" xfId="4613" xr:uid="{206707BD-DBA0-44C7-BE4A-59DD075DF4DB}"/>
    <cellStyle name="Normal 10 2 2 2 2 3 3 2 2 2 2 2" xfId="4614" xr:uid="{383DF38D-D882-427E-A447-78D256466AA1}"/>
    <cellStyle name="Normal 10 2 2 2 2 3 3 2 2 2 3" xfId="4615" xr:uid="{A48A9694-49C6-4B09-AA7F-8B3B70564B9F}"/>
    <cellStyle name="Normal 10 2 2 2 2 3 3 2 2 3" xfId="4616" xr:uid="{A1B82A0F-64D9-44E9-B3DD-4377ED65FE6D}"/>
    <cellStyle name="Normal 10 2 2 2 2 3 3 2 2 3 2" xfId="4617" xr:uid="{2534865F-4C63-4BDE-B0FC-A4BF27122919}"/>
    <cellStyle name="Normal 10 2 2 2 2 3 3 2 2 4" xfId="4618" xr:uid="{C16CF6E4-5FBB-476F-A27D-99C22A9A941F}"/>
    <cellStyle name="Normal 10 2 2 2 2 3 3 2 3" xfId="4619" xr:uid="{EFD219A8-F352-426E-9FFC-D9C3DD047AD8}"/>
    <cellStyle name="Normal 10 2 2 2 2 3 3 2 3 2" xfId="4620" xr:uid="{77594F65-E9CB-4460-8B87-5C8BA42D5AAC}"/>
    <cellStyle name="Normal 10 2 2 2 2 3 3 2 3 2 2" xfId="4621" xr:uid="{2DEF8981-8B8C-4BEA-BDED-C0132DC2E9E0}"/>
    <cellStyle name="Normal 10 2 2 2 2 3 3 2 3 3" xfId="4622" xr:uid="{F9E755FD-6A9E-4DD2-A516-1C308B20BB82}"/>
    <cellStyle name="Normal 10 2 2 2 2 3 3 2 4" xfId="4623" xr:uid="{970E16B2-8C23-4E75-8CFF-6A3C2733EA77}"/>
    <cellStyle name="Normal 10 2 2 2 2 3 3 2 4 2" xfId="4624" xr:uid="{D3A5505C-871A-4E4C-A6D6-9251DBF3C5B2}"/>
    <cellStyle name="Normal 10 2 2 2 2 3 3 2 5" xfId="4625" xr:uid="{49E6581A-6674-4518-B602-E81809357C7B}"/>
    <cellStyle name="Normal 10 2 2 2 2 3 3 3" xfId="4626" xr:uid="{3D38C5B8-B046-4A33-9A9E-7B1AD2AF8E28}"/>
    <cellStyle name="Normal 10 2 2 2 2 3 3 3 2" xfId="4627" xr:uid="{E19204A9-8DD7-4ADA-B0A1-EDD91DFF02FE}"/>
    <cellStyle name="Normal 10 2 2 2 2 3 3 3 2 2" xfId="4628" xr:uid="{D43D9184-0141-430D-98BB-8FF612CBF6CC}"/>
    <cellStyle name="Normal 10 2 2 2 2 3 3 3 2 2 2" xfId="4629" xr:uid="{1C2471A3-A1F7-447C-9E7E-E42B99BA2D20}"/>
    <cellStyle name="Normal 10 2 2 2 2 3 3 3 2 3" xfId="4630" xr:uid="{BFA9A67D-2674-4AB1-B3A4-E3513E841937}"/>
    <cellStyle name="Normal 10 2 2 2 2 3 3 3 3" xfId="4631" xr:uid="{132A2166-34C1-4B77-BADC-36844629F9B4}"/>
    <cellStyle name="Normal 10 2 2 2 2 3 3 3 3 2" xfId="4632" xr:uid="{EFDF3315-75CA-421B-ABD6-E47FCFCB3A8D}"/>
    <cellStyle name="Normal 10 2 2 2 2 3 3 3 4" xfId="4633" xr:uid="{1CA29E9F-26D6-4953-B482-95852B108C1F}"/>
    <cellStyle name="Normal 10 2 2 2 2 3 3 4" xfId="4634" xr:uid="{DEAD7A25-7296-4B44-BA67-B082D7A2EEEA}"/>
    <cellStyle name="Normal 10 2 2 2 2 3 3 4 2" xfId="4635" xr:uid="{79ACD1EF-6FCC-4702-9341-C561F74F37B8}"/>
    <cellStyle name="Normal 10 2 2 2 2 3 3 4 2 2" xfId="4636" xr:uid="{537287CC-9B81-49AD-816A-0CD5D94FD8F7}"/>
    <cellStyle name="Normal 10 2 2 2 2 3 3 4 3" xfId="4637" xr:uid="{0FB33E13-49E7-4298-A834-31740EC0947D}"/>
    <cellStyle name="Normal 10 2 2 2 2 3 3 5" xfId="4638" xr:uid="{1D8F33C2-8219-4D28-B1C0-092130780927}"/>
    <cellStyle name="Normal 10 2 2 2 2 3 3 5 2" xfId="4639" xr:uid="{DC928E71-5EDF-4A1D-8E04-B55FBD1066B3}"/>
    <cellStyle name="Normal 10 2 2 2 2 3 3 6" xfId="4640" xr:uid="{4555FA81-E767-4CEA-B125-78529D1B8608}"/>
    <cellStyle name="Normal 10 2 2 2 2 3 4" xfId="4641" xr:uid="{4C997F0C-ACF7-4A30-B97D-3DF9FF9D6C92}"/>
    <cellStyle name="Normal 10 2 2 2 2 3 4 2" xfId="4642" xr:uid="{6BF0870F-ED50-494C-81F9-7A8EA5BD4DD7}"/>
    <cellStyle name="Normal 10 2 2 2 2 3 4 2 2" xfId="4643" xr:uid="{9D0CEB2B-B639-40D5-B55A-CC74B0A0647E}"/>
    <cellStyle name="Normal 10 2 2 2 2 3 4 2 2 2" xfId="4644" xr:uid="{4A5FE4F7-CDD5-47E6-9B2D-782930231EB6}"/>
    <cellStyle name="Normal 10 2 2 2 2 3 4 2 2 2 2" xfId="4645" xr:uid="{700D1342-D842-4E95-A365-A9E2DA9C4894}"/>
    <cellStyle name="Normal 10 2 2 2 2 3 4 2 2 3" xfId="4646" xr:uid="{DD98BCEA-F039-4C67-A38B-6A11A99E1B6C}"/>
    <cellStyle name="Normal 10 2 2 2 2 3 4 2 3" xfId="4647" xr:uid="{378A79E1-ADB6-4B9A-B027-68F3A2104519}"/>
    <cellStyle name="Normal 10 2 2 2 2 3 4 2 3 2" xfId="4648" xr:uid="{5FCFED3C-5803-428C-A15B-ACFBF6DE1924}"/>
    <cellStyle name="Normal 10 2 2 2 2 3 4 2 4" xfId="4649" xr:uid="{F9782558-903F-432C-BD7A-F881BB514E82}"/>
    <cellStyle name="Normal 10 2 2 2 2 3 4 3" xfId="4650" xr:uid="{9B8CF5CB-62BC-48D9-9415-4E277BEAD1EC}"/>
    <cellStyle name="Normal 10 2 2 2 2 3 4 3 2" xfId="4651" xr:uid="{AC51F86C-FA46-43E1-8885-D33D14842F59}"/>
    <cellStyle name="Normal 10 2 2 2 2 3 4 3 2 2" xfId="4652" xr:uid="{25DAA9D3-9645-4408-9A98-8EFF136F19C5}"/>
    <cellStyle name="Normal 10 2 2 2 2 3 4 3 3" xfId="4653" xr:uid="{AB2D4074-EE75-417C-8B6D-EB4F0E956FF4}"/>
    <cellStyle name="Normal 10 2 2 2 2 3 4 4" xfId="4654" xr:uid="{2FFA5D84-EF7C-4B33-8E75-CFDAEF4DF69D}"/>
    <cellStyle name="Normal 10 2 2 2 2 3 4 4 2" xfId="4655" xr:uid="{9EE5B0F9-BBA0-4A84-98AC-84553D8F19AD}"/>
    <cellStyle name="Normal 10 2 2 2 2 3 4 5" xfId="4656" xr:uid="{EDD689DB-FBE5-4205-BF9F-281C64DF7AFA}"/>
    <cellStyle name="Normal 10 2 2 2 2 3 5" xfId="4657" xr:uid="{35DEA96F-8EFF-4D69-864A-D2DD90FCD1D2}"/>
    <cellStyle name="Normal 10 2 2 2 2 3 5 2" xfId="4658" xr:uid="{34A86357-7E2E-49D6-9422-614082F52D88}"/>
    <cellStyle name="Normal 10 2 2 2 2 3 5 2 2" xfId="4659" xr:uid="{95D62B6D-2A49-440D-8335-671F665D3A8E}"/>
    <cellStyle name="Normal 10 2 2 2 2 3 5 2 2 2" xfId="4660" xr:uid="{4552B3CD-19BF-4637-88CE-20D919955668}"/>
    <cellStyle name="Normal 10 2 2 2 2 3 5 2 3" xfId="4661" xr:uid="{D28962C3-C4CA-425E-A61C-F14EC25916D3}"/>
    <cellStyle name="Normal 10 2 2 2 2 3 5 3" xfId="4662" xr:uid="{CA01C844-7B2F-4844-9BBD-800A98C45A25}"/>
    <cellStyle name="Normal 10 2 2 2 2 3 5 3 2" xfId="4663" xr:uid="{10D4BE1A-5534-4F44-8987-2E5D56EE267A}"/>
    <cellStyle name="Normal 10 2 2 2 2 3 5 4" xfId="4664" xr:uid="{BB30EB9C-D112-4B6A-89AC-EE20A908E391}"/>
    <cellStyle name="Normal 10 2 2 2 2 3 6" xfId="4665" xr:uid="{4E47481E-295A-4BC6-9BB8-7FF72D8543A1}"/>
    <cellStyle name="Normal 10 2 2 2 2 3 6 2" xfId="4666" xr:uid="{F9CE19ED-892D-43F1-B282-47958515FBAF}"/>
    <cellStyle name="Normal 10 2 2 2 2 3 6 2 2" xfId="4667" xr:uid="{194D9645-FB4D-4C0C-BE61-A68D675E7B25}"/>
    <cellStyle name="Normal 10 2 2 2 2 3 6 3" xfId="4668" xr:uid="{E837AA50-6FB0-4D77-A955-AB9D09E0DB84}"/>
    <cellStyle name="Normal 10 2 2 2 2 3 7" xfId="4669" xr:uid="{4898FBB8-2CFE-4067-9EF6-7CAA8A358988}"/>
    <cellStyle name="Normal 10 2 2 2 2 3 7 2" xfId="4670" xr:uid="{06BEF821-22B4-43DB-BE30-2EFDCB789371}"/>
    <cellStyle name="Normal 10 2 2 2 2 3 8" xfId="4671" xr:uid="{1789F6B2-FD81-4333-B918-2E6DCF716D83}"/>
    <cellStyle name="Normal 10 2 2 2 2 3 9" xfId="4544" xr:uid="{B9C9A440-F648-4F98-A7FE-2B245602B884}"/>
    <cellStyle name="Normal 10 2 2 2 2 4" xfId="4672" xr:uid="{0822A369-4C4F-4E3A-91C1-0AB3AFFF13DC}"/>
    <cellStyle name="Normal 10 2 2 2 2 4 2" xfId="4673" xr:uid="{1C1505B3-EA00-4651-B17F-32A127EE5FE5}"/>
    <cellStyle name="Normal 10 2 2 2 2 4 2 2" xfId="4674" xr:uid="{F7437476-9BE1-4A81-9122-3CF72D723731}"/>
    <cellStyle name="Normal 10 2 2 2 2 4 2 2 2" xfId="4675" xr:uid="{C5732010-CC33-49A4-BC6E-942C8812FF9D}"/>
    <cellStyle name="Normal 10 2 2 2 2 4 2 2 2 2" xfId="4676" xr:uid="{8C1854C8-13EE-424E-BE80-4249C42A7427}"/>
    <cellStyle name="Normal 10 2 2 2 2 4 2 2 2 2 2" xfId="4677" xr:uid="{FE5E77D3-3E2B-4776-983D-7D7EE6421829}"/>
    <cellStyle name="Normal 10 2 2 2 2 4 2 2 2 2 2 2" xfId="4678" xr:uid="{309A15FB-E519-475F-A409-F4B7051B5507}"/>
    <cellStyle name="Normal 10 2 2 2 2 4 2 2 2 2 3" xfId="4679" xr:uid="{59F24A21-B56A-4011-B592-03048A55810E}"/>
    <cellStyle name="Normal 10 2 2 2 2 4 2 2 2 3" xfId="4680" xr:uid="{9C92AE1D-5A26-4AC8-BFBA-48169273B999}"/>
    <cellStyle name="Normal 10 2 2 2 2 4 2 2 2 3 2" xfId="4681" xr:uid="{78D0CD5B-33F1-4554-8F7A-8F48D79D7D7A}"/>
    <cellStyle name="Normal 10 2 2 2 2 4 2 2 2 4" xfId="4682" xr:uid="{426BAC30-B9D9-4AB4-8728-5E5B55A46E8D}"/>
    <cellStyle name="Normal 10 2 2 2 2 4 2 2 3" xfId="4683" xr:uid="{B4962696-001B-448F-B00C-CA447E851FB6}"/>
    <cellStyle name="Normal 10 2 2 2 2 4 2 2 3 2" xfId="4684" xr:uid="{456F541F-CEE0-4073-9898-1DFFF8751DBB}"/>
    <cellStyle name="Normal 10 2 2 2 2 4 2 2 3 2 2" xfId="4685" xr:uid="{919E5044-BCD8-42BF-A124-E0FB14FE634D}"/>
    <cellStyle name="Normal 10 2 2 2 2 4 2 2 3 3" xfId="4686" xr:uid="{E60D4B3D-F04D-4CE4-858D-0CE19E99A4E1}"/>
    <cellStyle name="Normal 10 2 2 2 2 4 2 2 4" xfId="4687" xr:uid="{54778696-1273-45E1-B438-997EEB3D571C}"/>
    <cellStyle name="Normal 10 2 2 2 2 4 2 2 4 2" xfId="4688" xr:uid="{EE5EF0A2-F0C2-4D2B-8F0B-6CF26F05FA89}"/>
    <cellStyle name="Normal 10 2 2 2 2 4 2 2 5" xfId="4689" xr:uid="{320E94E5-6C66-4B5B-A8B8-E26B83592584}"/>
    <cellStyle name="Normal 10 2 2 2 2 4 2 3" xfId="4690" xr:uid="{78A16E67-DFF5-4B56-9AC8-E15E69040210}"/>
    <cellStyle name="Normal 10 2 2 2 2 4 2 3 2" xfId="4691" xr:uid="{4239E17A-D097-4960-AEAA-1B64B634D683}"/>
    <cellStyle name="Normal 10 2 2 2 2 4 2 3 2 2" xfId="4692" xr:uid="{BD9EF999-41A5-4845-886D-4C606DBE338F}"/>
    <cellStyle name="Normal 10 2 2 2 2 4 2 3 2 2 2" xfId="4693" xr:uid="{39FEF622-55C8-488D-84E7-105CEE216C42}"/>
    <cellStyle name="Normal 10 2 2 2 2 4 2 3 2 3" xfId="4694" xr:uid="{28C13035-EBBF-4F96-8E25-15B23FAA8C22}"/>
    <cellStyle name="Normal 10 2 2 2 2 4 2 3 3" xfId="4695" xr:uid="{0AB57449-5FE0-41E2-9022-CC41035A396E}"/>
    <cellStyle name="Normal 10 2 2 2 2 4 2 3 3 2" xfId="4696" xr:uid="{D60869BA-1369-468C-B792-B781DC6F4FC7}"/>
    <cellStyle name="Normal 10 2 2 2 2 4 2 3 4" xfId="4697" xr:uid="{022ABD54-82FF-4C4F-AB3F-B339A3A5A3D1}"/>
    <cellStyle name="Normal 10 2 2 2 2 4 2 4" xfId="4698" xr:uid="{8B219006-2613-4531-9A76-EE3E75C998A7}"/>
    <cellStyle name="Normal 10 2 2 2 2 4 2 4 2" xfId="4699" xr:uid="{1D8E2172-7C4E-4C47-9501-9C9FD3DECFA6}"/>
    <cellStyle name="Normal 10 2 2 2 2 4 2 4 2 2" xfId="4700" xr:uid="{653A2E86-0765-45A5-94B3-DE147F74F8DD}"/>
    <cellStyle name="Normal 10 2 2 2 2 4 2 4 3" xfId="4701" xr:uid="{CEB349DF-A609-4966-A883-3F3BDA65DBA0}"/>
    <cellStyle name="Normal 10 2 2 2 2 4 2 5" xfId="4702" xr:uid="{CA10F1A0-F105-45C3-A3B4-629B0886EC68}"/>
    <cellStyle name="Normal 10 2 2 2 2 4 2 5 2" xfId="4703" xr:uid="{35257D61-EE89-4F42-A94C-3DE014A81C41}"/>
    <cellStyle name="Normal 10 2 2 2 2 4 2 6" xfId="4704" xr:uid="{C838208D-19EA-40F9-A0FF-57DC24A1899D}"/>
    <cellStyle name="Normal 10 2 2 2 2 4 3" xfId="4705" xr:uid="{73474934-A70A-4A0B-8638-7E68151A5CF2}"/>
    <cellStyle name="Normal 10 2 2 2 2 4 3 2" xfId="4706" xr:uid="{E23D9594-9F0E-4B34-B7A2-AA5659A4B649}"/>
    <cellStyle name="Normal 10 2 2 2 2 4 3 2 2" xfId="4707" xr:uid="{F1D039E3-48FB-466D-9D3F-F51FA4E5F586}"/>
    <cellStyle name="Normal 10 2 2 2 2 4 3 2 2 2" xfId="4708" xr:uid="{4BA5A34C-7F6B-472E-A184-75B339C59CC6}"/>
    <cellStyle name="Normal 10 2 2 2 2 4 3 2 2 2 2" xfId="4709" xr:uid="{6273C42D-B8F3-4F44-86EE-5D35B248D2C8}"/>
    <cellStyle name="Normal 10 2 2 2 2 4 3 2 2 3" xfId="4710" xr:uid="{78BC8934-8980-455E-85A4-01B44865EF74}"/>
    <cellStyle name="Normal 10 2 2 2 2 4 3 2 3" xfId="4711" xr:uid="{32D016FD-587F-495E-AA04-B1901963E9FF}"/>
    <cellStyle name="Normal 10 2 2 2 2 4 3 2 3 2" xfId="4712" xr:uid="{31873F51-AB5C-40C1-BEA1-3F18F94CF91F}"/>
    <cellStyle name="Normal 10 2 2 2 2 4 3 2 4" xfId="4713" xr:uid="{EA343E51-C3A9-42B4-B8F5-9871B737319E}"/>
    <cellStyle name="Normal 10 2 2 2 2 4 3 3" xfId="4714" xr:uid="{A87A9224-DFB7-443C-A9D7-9AA2BB739218}"/>
    <cellStyle name="Normal 10 2 2 2 2 4 3 3 2" xfId="4715" xr:uid="{0A982D7F-CE7E-43DC-954C-B6145B0DA4FB}"/>
    <cellStyle name="Normal 10 2 2 2 2 4 3 3 2 2" xfId="4716" xr:uid="{CB177E66-8754-42F4-A73D-D3C4FA868E00}"/>
    <cellStyle name="Normal 10 2 2 2 2 4 3 3 3" xfId="4717" xr:uid="{EF40E893-AA27-42B5-AE11-337671C3D973}"/>
    <cellStyle name="Normal 10 2 2 2 2 4 3 4" xfId="4718" xr:uid="{D44A6B0C-E72D-4DC8-ADE5-844550659280}"/>
    <cellStyle name="Normal 10 2 2 2 2 4 3 4 2" xfId="4719" xr:uid="{31E0BBF7-7B57-44EC-A631-EB6365804901}"/>
    <cellStyle name="Normal 10 2 2 2 2 4 3 5" xfId="4720" xr:uid="{1DE18F5C-3B1D-4908-A79D-C4E0B16142CF}"/>
    <cellStyle name="Normal 10 2 2 2 2 4 4" xfId="4721" xr:uid="{23EFEF3E-050E-4952-8222-9111250C18A5}"/>
    <cellStyle name="Normal 10 2 2 2 2 4 4 2" xfId="4722" xr:uid="{9BB31784-1588-4F62-93B5-B33397F07382}"/>
    <cellStyle name="Normal 10 2 2 2 2 4 4 2 2" xfId="4723" xr:uid="{34BA036B-41BB-41E7-A5D1-198997A3DADE}"/>
    <cellStyle name="Normal 10 2 2 2 2 4 4 2 2 2" xfId="4724" xr:uid="{3131B701-EB6A-4F40-ADCC-2D2D5F48F45C}"/>
    <cellStyle name="Normal 10 2 2 2 2 4 4 2 3" xfId="4725" xr:uid="{F3D5C266-9492-4A8F-B270-1A66207EF2B6}"/>
    <cellStyle name="Normal 10 2 2 2 2 4 4 3" xfId="4726" xr:uid="{71886D44-C0E7-4247-862B-305B8B8C6E7B}"/>
    <cellStyle name="Normal 10 2 2 2 2 4 4 3 2" xfId="4727" xr:uid="{54E6F39A-E5B6-4145-88A9-17E4F32ECD4D}"/>
    <cellStyle name="Normal 10 2 2 2 2 4 4 4" xfId="4728" xr:uid="{6D29F5BB-0405-43BD-9B70-5E90D93B12CA}"/>
    <cellStyle name="Normal 10 2 2 2 2 4 5" xfId="4729" xr:uid="{3B9507CA-7F40-4C54-B4C4-E00AF369DDD8}"/>
    <cellStyle name="Normal 10 2 2 2 2 4 5 2" xfId="4730" xr:uid="{A81C5EF2-0C32-4229-85C5-B8D6B9B68264}"/>
    <cellStyle name="Normal 10 2 2 2 2 4 5 2 2" xfId="4731" xr:uid="{56252C62-7DCD-4A68-9CC3-D360BF473475}"/>
    <cellStyle name="Normal 10 2 2 2 2 4 5 3" xfId="4732" xr:uid="{D44D1D71-44A1-490D-8E4A-579424882AAA}"/>
    <cellStyle name="Normal 10 2 2 2 2 4 6" xfId="4733" xr:uid="{1B02479D-60F2-48B8-9435-387AE977DE58}"/>
    <cellStyle name="Normal 10 2 2 2 2 4 6 2" xfId="4734" xr:uid="{3307E4AB-3E6A-4EA2-9E5F-66A0DD939AEB}"/>
    <cellStyle name="Normal 10 2 2 2 2 4 7" xfId="4735" xr:uid="{E72C376C-D4DE-456D-8EC3-29B26FDEED51}"/>
    <cellStyle name="Normal 10 2 2 2 2 5" xfId="4736" xr:uid="{468C1BAC-29C5-4423-8627-66309964C96C}"/>
    <cellStyle name="Normal 10 2 2 2 2 5 2" xfId="4737" xr:uid="{AA90AC33-A6CF-4B0D-A30A-6CC7BFA5F6BE}"/>
    <cellStyle name="Normal 10 2 2 2 2 5 2 2" xfId="4738" xr:uid="{90D2C4C3-655A-46DF-B306-460D4F658165}"/>
    <cellStyle name="Normal 10 2 2 2 2 5 2 2 2" xfId="4739" xr:uid="{76626E53-3363-49ED-8B13-E3560ED7BA69}"/>
    <cellStyle name="Normal 10 2 2 2 2 5 2 2 2 2" xfId="4740" xr:uid="{80F99DBC-CA93-47CB-9E53-245E300F1EAD}"/>
    <cellStyle name="Normal 10 2 2 2 2 5 2 2 2 2 2" xfId="4741" xr:uid="{52E1A7FF-DD0F-48CC-8D6F-EB782529C53E}"/>
    <cellStyle name="Normal 10 2 2 2 2 5 2 2 2 3" xfId="4742" xr:uid="{C7723A85-4E58-4972-840A-5ECF831EB3A7}"/>
    <cellStyle name="Normal 10 2 2 2 2 5 2 2 3" xfId="4743" xr:uid="{1BB88056-8D77-4A80-AB3D-208C502EA8B2}"/>
    <cellStyle name="Normal 10 2 2 2 2 5 2 2 3 2" xfId="4744" xr:uid="{51BB34BB-828C-4C29-A8ED-8DE12122A641}"/>
    <cellStyle name="Normal 10 2 2 2 2 5 2 2 4" xfId="4745" xr:uid="{904C962E-8F73-4017-9D25-74345790BA0F}"/>
    <cellStyle name="Normal 10 2 2 2 2 5 2 3" xfId="4746" xr:uid="{7CF40D13-027B-4C5E-8B8B-2D8634831549}"/>
    <cellStyle name="Normal 10 2 2 2 2 5 2 3 2" xfId="4747" xr:uid="{45B17D2E-2F10-42A1-9448-AC2CACA691B7}"/>
    <cellStyle name="Normal 10 2 2 2 2 5 2 3 2 2" xfId="4748" xr:uid="{229CA419-1F0E-4670-9333-2BFC06711DC1}"/>
    <cellStyle name="Normal 10 2 2 2 2 5 2 3 3" xfId="4749" xr:uid="{B4968A06-1F1B-4F17-AA53-ADE7955E501C}"/>
    <cellStyle name="Normal 10 2 2 2 2 5 2 4" xfId="4750" xr:uid="{4D884B59-CD97-4CCC-AA38-404FD5C539E5}"/>
    <cellStyle name="Normal 10 2 2 2 2 5 2 4 2" xfId="4751" xr:uid="{9D3ACF28-21C7-4616-A6D4-22BC8796E570}"/>
    <cellStyle name="Normal 10 2 2 2 2 5 2 5" xfId="4752" xr:uid="{AD3DD387-5698-4D10-9BB6-A6CA8A8A4304}"/>
    <cellStyle name="Normal 10 2 2 2 2 5 3" xfId="4753" xr:uid="{D0789B5E-94A6-44ED-8B69-4467B560DDE6}"/>
    <cellStyle name="Normal 10 2 2 2 2 5 3 2" xfId="4754" xr:uid="{5A3B0350-0AD7-4075-B3D4-F88C35F251E5}"/>
    <cellStyle name="Normal 10 2 2 2 2 5 3 2 2" xfId="4755" xr:uid="{2B100E52-1D46-41B3-AB18-92B62BD011F3}"/>
    <cellStyle name="Normal 10 2 2 2 2 5 3 2 2 2" xfId="4756" xr:uid="{5F42F3D6-CA53-4AE2-B418-72282E3431D9}"/>
    <cellStyle name="Normal 10 2 2 2 2 5 3 2 3" xfId="4757" xr:uid="{F5F5DED2-1F54-4DED-8EB1-65BDE35490CB}"/>
    <cellStyle name="Normal 10 2 2 2 2 5 3 3" xfId="4758" xr:uid="{AD3D3FB7-0C38-4C18-AC80-903F5B1065D6}"/>
    <cellStyle name="Normal 10 2 2 2 2 5 3 3 2" xfId="4759" xr:uid="{076E4E45-8D3E-4E53-985D-1CD00077682F}"/>
    <cellStyle name="Normal 10 2 2 2 2 5 3 4" xfId="4760" xr:uid="{9E9E0CE2-B6A1-40F1-9D58-4AC1826F90D3}"/>
    <cellStyle name="Normal 10 2 2 2 2 5 4" xfId="4761" xr:uid="{33A150DC-B309-4A68-A56F-3A8C89A082B6}"/>
    <cellStyle name="Normal 10 2 2 2 2 5 4 2" xfId="4762" xr:uid="{F3BF3022-CA1F-4A89-8F46-254A4943BC1A}"/>
    <cellStyle name="Normal 10 2 2 2 2 5 4 2 2" xfId="4763" xr:uid="{85AC7ACE-D829-452A-BCAC-F776E1EBD37C}"/>
    <cellStyle name="Normal 10 2 2 2 2 5 4 3" xfId="4764" xr:uid="{58FC22E0-30A3-45B6-966E-71B634B10612}"/>
    <cellStyle name="Normal 10 2 2 2 2 5 5" xfId="4765" xr:uid="{2E9F15A8-4063-48A5-916C-F0B8A13EEDD9}"/>
    <cellStyle name="Normal 10 2 2 2 2 5 5 2" xfId="4766" xr:uid="{FA50CDEC-16F0-4E75-AF78-EAD575044CA1}"/>
    <cellStyle name="Normal 10 2 2 2 2 5 6" xfId="4767" xr:uid="{2BE06AAC-E585-47FF-8478-7FCB314D75AB}"/>
    <cellStyle name="Normal 10 2 2 2 2 6" xfId="4768" xr:uid="{6B76938A-7DC8-419E-8C25-226A6FB4EF19}"/>
    <cellStyle name="Normal 10 2 2 2 2 6 2" xfId="4769" xr:uid="{42E9AD7B-4C05-4CB9-A679-52E59761ACCE}"/>
    <cellStyle name="Normal 10 2 2 2 2 6 2 2" xfId="4770" xr:uid="{7005BE02-9C7B-4CF7-B726-FC4900A95C7E}"/>
    <cellStyle name="Normal 10 2 2 2 2 6 2 2 2" xfId="4771" xr:uid="{FB65622B-D6A4-4521-B8E7-AD883B79F6EF}"/>
    <cellStyle name="Normal 10 2 2 2 2 6 2 2 2 2" xfId="4772" xr:uid="{3814D715-713E-4ECA-BE33-C6F48D15F18D}"/>
    <cellStyle name="Normal 10 2 2 2 2 6 2 2 3" xfId="4773" xr:uid="{CED5539D-703B-475E-B960-33276AC9E225}"/>
    <cellStyle name="Normal 10 2 2 2 2 6 2 3" xfId="4774" xr:uid="{21904D80-5A03-4965-A8FF-412047D04431}"/>
    <cellStyle name="Normal 10 2 2 2 2 6 2 3 2" xfId="4775" xr:uid="{0929C1B4-5B3C-4FC7-8836-107F3401E809}"/>
    <cellStyle name="Normal 10 2 2 2 2 6 2 4" xfId="4776" xr:uid="{05705C88-9B0D-40EA-B08E-70F400912B22}"/>
    <cellStyle name="Normal 10 2 2 2 2 6 3" xfId="4777" xr:uid="{4FFACDB6-E5BC-4B83-9039-78AE87179472}"/>
    <cellStyle name="Normal 10 2 2 2 2 6 3 2" xfId="4778" xr:uid="{181F651F-248A-49A2-B0DC-941F98561663}"/>
    <cellStyle name="Normal 10 2 2 2 2 6 3 2 2" xfId="4779" xr:uid="{6ACBF602-605E-4541-AB03-A90A65AC096E}"/>
    <cellStyle name="Normal 10 2 2 2 2 6 3 3" xfId="4780" xr:uid="{C5AA4BB7-9E43-4B3D-A0BD-63DB876B059C}"/>
    <cellStyle name="Normal 10 2 2 2 2 6 4" xfId="4781" xr:uid="{2D25BCCA-EB6E-4BF7-A360-32EF09B91F52}"/>
    <cellStyle name="Normal 10 2 2 2 2 6 4 2" xfId="4782" xr:uid="{79C9178F-3CC4-4CC6-8A9B-E9C537D5AD86}"/>
    <cellStyle name="Normal 10 2 2 2 2 6 5" xfId="4783" xr:uid="{9D054CFE-0FF9-4FD7-BB18-7DF0A0506FA1}"/>
    <cellStyle name="Normal 10 2 2 2 2 7" xfId="4784" xr:uid="{078928C1-1FDE-43C1-8846-0B751FFB9EEF}"/>
    <cellStyle name="Normal 10 2 2 2 2 7 2" xfId="4785" xr:uid="{75A136E1-D35A-4C69-AD84-C0488E176A6A}"/>
    <cellStyle name="Normal 10 2 2 2 2 7 2 2" xfId="4786" xr:uid="{6CEBAF55-6AD7-4546-925E-35357547D496}"/>
    <cellStyle name="Normal 10 2 2 2 2 7 2 2 2" xfId="4787" xr:uid="{CA48246E-0159-4C6B-BF9A-8DD1EB3F70B0}"/>
    <cellStyle name="Normal 10 2 2 2 2 7 2 3" xfId="4788" xr:uid="{6AFDE9E7-F889-4A24-AB97-B51B7BBBF2DE}"/>
    <cellStyle name="Normal 10 2 2 2 2 7 3" xfId="4789" xr:uid="{4C4704CD-0FFF-4423-AFB2-A254ECEAE116}"/>
    <cellStyle name="Normal 10 2 2 2 2 7 3 2" xfId="4790" xr:uid="{D615E04F-B4E8-4BD2-9F94-4FF8C3F8D48F}"/>
    <cellStyle name="Normal 10 2 2 2 2 7 4" xfId="4791" xr:uid="{89045C83-301D-4F20-8EDF-4254ACC321C1}"/>
    <cellStyle name="Normal 10 2 2 2 2 8" xfId="4792" xr:uid="{39ED0355-309A-4963-8BA4-1FE7AF411D3B}"/>
    <cellStyle name="Normal 10 2 2 2 2 8 2" xfId="4793" xr:uid="{E172448C-04ED-41B6-9ACD-A0A3535655D1}"/>
    <cellStyle name="Normal 10 2 2 2 2 8 2 2" xfId="4794" xr:uid="{F18266CA-2158-486D-A1F4-D7E783D2B6F6}"/>
    <cellStyle name="Normal 10 2 2 2 2 8 3" xfId="4795" xr:uid="{855AD95D-ECBD-410B-9253-52724B8AF434}"/>
    <cellStyle name="Normal 10 2 2 2 2 9" xfId="4796" xr:uid="{44081D11-A10B-4F43-97CC-28A19FD41366}"/>
    <cellStyle name="Normal 10 2 2 2 2 9 2" xfId="4797" xr:uid="{2DB64FD0-C6F9-4D8D-BA0E-2B27DB29D598}"/>
    <cellStyle name="Normal 10 2 2 2 3" xfId="246" xr:uid="{15E7A04F-7DAA-484D-B866-A03DD7196626}"/>
    <cellStyle name="Normal 10 2 2 2 3 10" xfId="4798" xr:uid="{29F9C60F-641F-4EDA-8561-D0A627DDF1EE}"/>
    <cellStyle name="Normal 10 2 2 2 3 11" xfId="543" xr:uid="{093BBAC6-C784-43A7-8F48-61B542BF52E6}"/>
    <cellStyle name="Normal 10 2 2 2 3 2" xfId="310" xr:uid="{81696466-6CED-43EB-983E-EFC66014424E}"/>
    <cellStyle name="Normal 10 2 2 2 3 2 10" xfId="4799" xr:uid="{F8D6AEB1-A962-474E-A523-EB0B2C5E556B}"/>
    <cellStyle name="Normal 10 2 2 2 3 2 2" xfId="4800" xr:uid="{5679B1A9-9D55-4522-BFD8-329C6370178B}"/>
    <cellStyle name="Normal 10 2 2 2 3 2 2 2" xfId="4801" xr:uid="{A2DB3FAB-E3E8-4F4B-B762-9312A3940A9A}"/>
    <cellStyle name="Normal 10 2 2 2 3 2 2 2 2" xfId="4802" xr:uid="{3A62875A-CDF0-4F83-9CB4-95821BB3EA0F}"/>
    <cellStyle name="Normal 10 2 2 2 3 2 2 2 2 2" xfId="4803" xr:uid="{57A1B6FE-EFF0-4A6E-83E4-5B2EFF1128E6}"/>
    <cellStyle name="Normal 10 2 2 2 3 2 2 2 2 2 2" xfId="4804" xr:uid="{9A3CB996-2D32-4C02-807B-80F1E067844C}"/>
    <cellStyle name="Normal 10 2 2 2 3 2 2 2 2 2 2 2" xfId="4805" xr:uid="{10364039-B090-4DA7-BEF0-65D3DD22F6CC}"/>
    <cellStyle name="Normal 10 2 2 2 3 2 2 2 2 2 2 2 2" xfId="4806" xr:uid="{7A175BE9-C15E-47D6-9697-FFCFEE5E8E48}"/>
    <cellStyle name="Normal 10 2 2 2 3 2 2 2 2 2 2 2 2 2" xfId="4807" xr:uid="{62BADBDA-6EB1-40A6-9E5E-9DC17F851E34}"/>
    <cellStyle name="Normal 10 2 2 2 3 2 2 2 2 2 2 2 3" xfId="4808" xr:uid="{5DDD943C-F68B-4F28-BD27-8C4B35EEE5B7}"/>
    <cellStyle name="Normal 10 2 2 2 3 2 2 2 2 2 2 3" xfId="4809" xr:uid="{F41A540E-75B9-4809-90A3-CBA7E08AC2C9}"/>
    <cellStyle name="Normal 10 2 2 2 3 2 2 2 2 2 2 3 2" xfId="4810" xr:uid="{73833DA7-0477-4AD7-9D42-E8213306FB4F}"/>
    <cellStyle name="Normal 10 2 2 2 3 2 2 2 2 2 2 4" xfId="4811" xr:uid="{556AA6BB-7C1B-40F9-8116-0086683ACF87}"/>
    <cellStyle name="Normal 10 2 2 2 3 2 2 2 2 2 3" xfId="4812" xr:uid="{6CEADD80-1A27-4C25-A5C2-56C743C12C91}"/>
    <cellStyle name="Normal 10 2 2 2 3 2 2 2 2 2 3 2" xfId="4813" xr:uid="{01E4A8CB-058E-452D-8A23-9AA26788F2C8}"/>
    <cellStyle name="Normal 10 2 2 2 3 2 2 2 2 2 3 2 2" xfId="4814" xr:uid="{F0152C9A-7EFC-4A48-81C3-4C1287FA34ED}"/>
    <cellStyle name="Normal 10 2 2 2 3 2 2 2 2 2 3 3" xfId="4815" xr:uid="{C90E199D-75A4-478B-A60C-927CD69903ED}"/>
    <cellStyle name="Normal 10 2 2 2 3 2 2 2 2 2 4" xfId="4816" xr:uid="{4916B571-B5E9-4067-BA8D-4BDBF994FC74}"/>
    <cellStyle name="Normal 10 2 2 2 3 2 2 2 2 2 4 2" xfId="4817" xr:uid="{87B3A578-626B-4301-BBAE-6BEBB7BB68D3}"/>
    <cellStyle name="Normal 10 2 2 2 3 2 2 2 2 2 5" xfId="4818" xr:uid="{8A4C25C0-36B9-41FF-8742-549A3C5C01E5}"/>
    <cellStyle name="Normal 10 2 2 2 3 2 2 2 2 3" xfId="4819" xr:uid="{C1A8EE0E-8BA9-4173-9700-42ADE2A6FE17}"/>
    <cellStyle name="Normal 10 2 2 2 3 2 2 2 2 3 2" xfId="4820" xr:uid="{7C90A9C0-D516-4BC7-88DA-B4E04C9C61A0}"/>
    <cellStyle name="Normal 10 2 2 2 3 2 2 2 2 3 2 2" xfId="4821" xr:uid="{A9220BB8-F155-4D22-8AB8-9EA9C5940122}"/>
    <cellStyle name="Normal 10 2 2 2 3 2 2 2 2 3 2 2 2" xfId="4822" xr:uid="{53C6E691-912C-454C-95EA-D28C9D33D68C}"/>
    <cellStyle name="Normal 10 2 2 2 3 2 2 2 2 3 2 3" xfId="4823" xr:uid="{06A0E3B8-4C2C-470C-977F-4CD8DADC7C6C}"/>
    <cellStyle name="Normal 10 2 2 2 3 2 2 2 2 3 3" xfId="4824" xr:uid="{29A36FE1-6458-463F-A954-A813D1D655D5}"/>
    <cellStyle name="Normal 10 2 2 2 3 2 2 2 2 3 3 2" xfId="4825" xr:uid="{AF106E23-B455-4A17-9BEC-02BFC39841FA}"/>
    <cellStyle name="Normal 10 2 2 2 3 2 2 2 2 3 4" xfId="4826" xr:uid="{4E39DAAC-74B9-4AB8-9959-DB60B080780E}"/>
    <cellStyle name="Normal 10 2 2 2 3 2 2 2 2 4" xfId="4827" xr:uid="{188F3ECD-7395-4734-A56B-F87F1C273805}"/>
    <cellStyle name="Normal 10 2 2 2 3 2 2 2 2 4 2" xfId="4828" xr:uid="{87A84642-A4F8-4E4E-8E4E-F16403CEEE82}"/>
    <cellStyle name="Normal 10 2 2 2 3 2 2 2 2 4 2 2" xfId="4829" xr:uid="{FDE3D635-0F7A-4B29-85A0-03821E5F1372}"/>
    <cellStyle name="Normal 10 2 2 2 3 2 2 2 2 4 3" xfId="4830" xr:uid="{F52900F3-20BE-4BB1-8B41-9511DE8AD174}"/>
    <cellStyle name="Normal 10 2 2 2 3 2 2 2 2 5" xfId="4831" xr:uid="{38DBEFFB-D6A8-4442-AAC6-1104B90AB006}"/>
    <cellStyle name="Normal 10 2 2 2 3 2 2 2 2 5 2" xfId="4832" xr:uid="{30EEC2EF-CB8E-4F61-8586-70DB135C3F4D}"/>
    <cellStyle name="Normal 10 2 2 2 3 2 2 2 2 6" xfId="4833" xr:uid="{6D99B037-67E6-464D-93E4-E327362C839E}"/>
    <cellStyle name="Normal 10 2 2 2 3 2 2 2 3" xfId="4834" xr:uid="{E987B1FC-7E4D-4FDB-8DFC-ADA7F206F8B9}"/>
    <cellStyle name="Normal 10 2 2 2 3 2 2 2 3 2" xfId="4835" xr:uid="{90707BBB-C88B-418C-918B-74A117B17A52}"/>
    <cellStyle name="Normal 10 2 2 2 3 2 2 2 3 2 2" xfId="4836" xr:uid="{861D81D0-BA45-4EB5-8CF9-55F8335B50F5}"/>
    <cellStyle name="Normal 10 2 2 2 3 2 2 2 3 2 2 2" xfId="4837" xr:uid="{E8D512CE-8FDD-4181-8442-9B53A8571202}"/>
    <cellStyle name="Normal 10 2 2 2 3 2 2 2 3 2 2 2 2" xfId="4838" xr:uid="{BD7A621A-DE46-4405-8EAA-A431E8AAE440}"/>
    <cellStyle name="Normal 10 2 2 2 3 2 2 2 3 2 2 3" xfId="4839" xr:uid="{91E3C9C2-6014-4958-91E4-D1AE6D111A04}"/>
    <cellStyle name="Normal 10 2 2 2 3 2 2 2 3 2 3" xfId="4840" xr:uid="{639AED74-71C1-41FC-80B6-F34193C8421C}"/>
    <cellStyle name="Normal 10 2 2 2 3 2 2 2 3 2 3 2" xfId="4841" xr:uid="{A01F243D-247D-419B-9888-8F294833A4C5}"/>
    <cellStyle name="Normal 10 2 2 2 3 2 2 2 3 2 4" xfId="4842" xr:uid="{23BFA4DC-5380-45A8-8D43-98081F58C267}"/>
    <cellStyle name="Normal 10 2 2 2 3 2 2 2 3 3" xfId="4843" xr:uid="{C0C13DB3-9D7D-419D-B813-C44A2BEAFFD5}"/>
    <cellStyle name="Normal 10 2 2 2 3 2 2 2 3 3 2" xfId="4844" xr:uid="{804DEA91-5E91-4937-8D58-0BED910D4294}"/>
    <cellStyle name="Normal 10 2 2 2 3 2 2 2 3 3 2 2" xfId="4845" xr:uid="{FD546BC0-9DF7-40A7-9785-37C015F652E1}"/>
    <cellStyle name="Normal 10 2 2 2 3 2 2 2 3 3 3" xfId="4846" xr:uid="{275A6FCB-9622-43A5-A1BE-95775FA733C5}"/>
    <cellStyle name="Normal 10 2 2 2 3 2 2 2 3 4" xfId="4847" xr:uid="{1708EEBB-AD0D-4CF3-A3E0-12DF80260D41}"/>
    <cellStyle name="Normal 10 2 2 2 3 2 2 2 3 4 2" xfId="4848" xr:uid="{FAF7C0BE-21E0-4CE9-94FA-BDD28BF1C63B}"/>
    <cellStyle name="Normal 10 2 2 2 3 2 2 2 3 5" xfId="4849" xr:uid="{AFBD8A22-039F-4E88-BFFE-4C884EE28CD2}"/>
    <cellStyle name="Normal 10 2 2 2 3 2 2 2 4" xfId="4850" xr:uid="{5814991E-547D-41F7-9D93-321D78815DB7}"/>
    <cellStyle name="Normal 10 2 2 2 3 2 2 2 4 2" xfId="4851" xr:uid="{766300B9-E91C-44A2-B489-D198290DCDA7}"/>
    <cellStyle name="Normal 10 2 2 2 3 2 2 2 4 2 2" xfId="4852" xr:uid="{C13F4A29-E60D-458A-8721-BE56D495A525}"/>
    <cellStyle name="Normal 10 2 2 2 3 2 2 2 4 2 2 2" xfId="4853" xr:uid="{97298FA1-7325-4AAF-83F5-0207023272DC}"/>
    <cellStyle name="Normal 10 2 2 2 3 2 2 2 4 2 3" xfId="4854" xr:uid="{44229AA3-8892-499A-826C-BB6FB8D2F83A}"/>
    <cellStyle name="Normal 10 2 2 2 3 2 2 2 4 3" xfId="4855" xr:uid="{B582E968-DFFB-4335-B31A-1401324FEEA9}"/>
    <cellStyle name="Normal 10 2 2 2 3 2 2 2 4 3 2" xfId="4856" xr:uid="{C45D8978-D30E-43A2-8670-70116BB5B4E0}"/>
    <cellStyle name="Normal 10 2 2 2 3 2 2 2 4 4" xfId="4857" xr:uid="{83CA19B5-53B8-42EB-9F5B-B638840B6D85}"/>
    <cellStyle name="Normal 10 2 2 2 3 2 2 2 5" xfId="4858" xr:uid="{A877BDDE-F435-4285-9F14-43AB44A24D72}"/>
    <cellStyle name="Normal 10 2 2 2 3 2 2 2 5 2" xfId="4859" xr:uid="{8899D854-8369-4330-8898-1AB1497EB047}"/>
    <cellStyle name="Normal 10 2 2 2 3 2 2 2 5 2 2" xfId="4860" xr:uid="{BB81ACF0-C5C2-4B85-8D13-65D1AED1945E}"/>
    <cellStyle name="Normal 10 2 2 2 3 2 2 2 5 3" xfId="4861" xr:uid="{0B593B33-B344-4F8A-8AD5-89020E5D3987}"/>
    <cellStyle name="Normal 10 2 2 2 3 2 2 2 6" xfId="4862" xr:uid="{DE101DE6-B1C4-4319-821D-6C1E2DC90798}"/>
    <cellStyle name="Normal 10 2 2 2 3 2 2 2 6 2" xfId="4863" xr:uid="{773A6AF5-A491-411A-B51A-816CD8EB81A7}"/>
    <cellStyle name="Normal 10 2 2 2 3 2 2 2 7" xfId="4864" xr:uid="{2C67A8CE-EBEF-47B3-9D0D-6475641591CB}"/>
    <cellStyle name="Normal 10 2 2 2 3 2 2 3" xfId="4865" xr:uid="{56CC9842-0E9B-4C82-B403-54F03AF55085}"/>
    <cellStyle name="Normal 10 2 2 2 3 2 2 3 2" xfId="4866" xr:uid="{281C063A-B361-450C-BA49-23A874C2B1E8}"/>
    <cellStyle name="Normal 10 2 2 2 3 2 2 3 2 2" xfId="4867" xr:uid="{018E41B7-526C-4980-A5EF-53BB77E97588}"/>
    <cellStyle name="Normal 10 2 2 2 3 2 2 3 2 2 2" xfId="4868" xr:uid="{B08472AA-234A-47DF-A125-11E5010E5E94}"/>
    <cellStyle name="Normal 10 2 2 2 3 2 2 3 2 2 2 2" xfId="4869" xr:uid="{EE3AE4C3-5728-4159-9A8A-374CF6BC19A9}"/>
    <cellStyle name="Normal 10 2 2 2 3 2 2 3 2 2 2 2 2" xfId="4870" xr:uid="{43EDD01C-0FE8-47BE-94F0-03DB06E5D82C}"/>
    <cellStyle name="Normal 10 2 2 2 3 2 2 3 2 2 2 3" xfId="4871" xr:uid="{B75C91F9-8604-47D1-967A-98E1AEE7D269}"/>
    <cellStyle name="Normal 10 2 2 2 3 2 2 3 2 2 3" xfId="4872" xr:uid="{C8141640-FE7D-4250-A2A2-1AF7314ED232}"/>
    <cellStyle name="Normal 10 2 2 2 3 2 2 3 2 2 3 2" xfId="4873" xr:uid="{CBA57524-81A2-4212-A332-36ACD0E89D18}"/>
    <cellStyle name="Normal 10 2 2 2 3 2 2 3 2 2 4" xfId="4874" xr:uid="{BBB97077-0264-444F-AEBA-1B91BBECBE5D}"/>
    <cellStyle name="Normal 10 2 2 2 3 2 2 3 2 3" xfId="4875" xr:uid="{A7939F46-6084-4AC4-BAE9-331CC7C7A391}"/>
    <cellStyle name="Normal 10 2 2 2 3 2 2 3 2 3 2" xfId="4876" xr:uid="{7AF3A5A0-2DD3-4081-AB50-9C9093996791}"/>
    <cellStyle name="Normal 10 2 2 2 3 2 2 3 2 3 2 2" xfId="4877" xr:uid="{AD425082-C31B-4B84-807D-99FCFE9CC4AE}"/>
    <cellStyle name="Normal 10 2 2 2 3 2 2 3 2 3 3" xfId="4878" xr:uid="{2A19A939-AAA5-44A7-A8F3-DB72BD9A419A}"/>
    <cellStyle name="Normal 10 2 2 2 3 2 2 3 2 4" xfId="4879" xr:uid="{2972D7B9-710D-453C-9331-CAD97AB493C4}"/>
    <cellStyle name="Normal 10 2 2 2 3 2 2 3 2 4 2" xfId="4880" xr:uid="{5634BC96-82CD-439C-B4A0-358CC653FB89}"/>
    <cellStyle name="Normal 10 2 2 2 3 2 2 3 2 5" xfId="4881" xr:uid="{A82919B8-E037-4C7B-BB44-F3601BDD77C1}"/>
    <cellStyle name="Normal 10 2 2 2 3 2 2 3 3" xfId="4882" xr:uid="{DDFA7E6D-C9A5-4848-B967-DF0C3366B54D}"/>
    <cellStyle name="Normal 10 2 2 2 3 2 2 3 3 2" xfId="4883" xr:uid="{A3FA90C8-153E-4827-9D61-5404BE18FCD1}"/>
    <cellStyle name="Normal 10 2 2 2 3 2 2 3 3 2 2" xfId="4884" xr:uid="{F06BA2EB-FD2D-4E9C-8F81-52F89BC95C7A}"/>
    <cellStyle name="Normal 10 2 2 2 3 2 2 3 3 2 2 2" xfId="4885" xr:uid="{AAA7A5EB-92A4-45AC-8D81-89D0F6C5F869}"/>
    <cellStyle name="Normal 10 2 2 2 3 2 2 3 3 2 3" xfId="4886" xr:uid="{B98B1C52-68F2-4928-8C94-E6892DC116DA}"/>
    <cellStyle name="Normal 10 2 2 2 3 2 2 3 3 3" xfId="4887" xr:uid="{47C69CEF-A725-4293-9E11-E38A3FA42A73}"/>
    <cellStyle name="Normal 10 2 2 2 3 2 2 3 3 3 2" xfId="4888" xr:uid="{2C216F0E-2F86-42D4-AE2F-652C6B59FAD8}"/>
    <cellStyle name="Normal 10 2 2 2 3 2 2 3 3 4" xfId="4889" xr:uid="{AB6CDA82-FAAA-4D13-A849-D00A3E25BA5C}"/>
    <cellStyle name="Normal 10 2 2 2 3 2 2 3 4" xfId="4890" xr:uid="{41110933-7E3F-44F2-AD67-3DFE1CB33D2F}"/>
    <cellStyle name="Normal 10 2 2 2 3 2 2 3 4 2" xfId="4891" xr:uid="{14474E89-CE67-4F93-9DEF-9DE7145F8914}"/>
    <cellStyle name="Normal 10 2 2 2 3 2 2 3 4 2 2" xfId="4892" xr:uid="{F805928F-6464-40B7-BABF-8D8BD46B730F}"/>
    <cellStyle name="Normal 10 2 2 2 3 2 2 3 4 3" xfId="4893" xr:uid="{168C1F1C-1EE2-47CD-A729-4DF773917B95}"/>
    <cellStyle name="Normal 10 2 2 2 3 2 2 3 5" xfId="4894" xr:uid="{DB8CAC69-CED7-44C9-98FF-03CC2CC104D1}"/>
    <cellStyle name="Normal 10 2 2 2 3 2 2 3 5 2" xfId="4895" xr:uid="{4D716011-AD95-49EC-AD04-FD3EC465BE86}"/>
    <cellStyle name="Normal 10 2 2 2 3 2 2 3 6" xfId="4896" xr:uid="{518E3BE2-2411-4955-9D57-1F13921CCE64}"/>
    <cellStyle name="Normal 10 2 2 2 3 2 2 4" xfId="4897" xr:uid="{BA041985-DFF5-4555-B59D-C262226E9B76}"/>
    <cellStyle name="Normal 10 2 2 2 3 2 2 4 2" xfId="4898" xr:uid="{31A4178E-BB93-4C04-BCB2-285A94BD80E3}"/>
    <cellStyle name="Normal 10 2 2 2 3 2 2 4 2 2" xfId="4899" xr:uid="{E95D549D-E1D8-4632-9875-B1BC26F96FE8}"/>
    <cellStyle name="Normal 10 2 2 2 3 2 2 4 2 2 2" xfId="4900" xr:uid="{5164B80B-EB4B-4EDC-9C5A-6BB3C80C70B1}"/>
    <cellStyle name="Normal 10 2 2 2 3 2 2 4 2 2 2 2" xfId="4901" xr:uid="{E57128D2-7F1E-4B99-886F-94E4712C9078}"/>
    <cellStyle name="Normal 10 2 2 2 3 2 2 4 2 2 3" xfId="4902" xr:uid="{0F719338-6300-4FC2-93A1-1950D1110D97}"/>
    <cellStyle name="Normal 10 2 2 2 3 2 2 4 2 3" xfId="4903" xr:uid="{8965A300-9B36-4DE6-A00F-D6E0C9E4DFCD}"/>
    <cellStyle name="Normal 10 2 2 2 3 2 2 4 2 3 2" xfId="4904" xr:uid="{277647E6-BAC2-4A13-ACFF-C30CF2F6C6B4}"/>
    <cellStyle name="Normal 10 2 2 2 3 2 2 4 2 4" xfId="4905" xr:uid="{BF852032-09A3-4FD5-8616-1B1BEC2E9523}"/>
    <cellStyle name="Normal 10 2 2 2 3 2 2 4 3" xfId="4906" xr:uid="{15659B2D-B2C2-41EE-B555-E5BF5030087C}"/>
    <cellStyle name="Normal 10 2 2 2 3 2 2 4 3 2" xfId="4907" xr:uid="{245FFF71-27E2-4509-B0B5-63D776E75BCA}"/>
    <cellStyle name="Normal 10 2 2 2 3 2 2 4 3 2 2" xfId="4908" xr:uid="{8E2EC090-B848-4240-9E5F-E106ADBE6ACE}"/>
    <cellStyle name="Normal 10 2 2 2 3 2 2 4 3 3" xfId="4909" xr:uid="{427B0429-0C71-4D9D-9597-0495AAE2CC27}"/>
    <cellStyle name="Normal 10 2 2 2 3 2 2 4 4" xfId="4910" xr:uid="{7C96C2C3-4321-4C46-A370-0FDE69C4E0AB}"/>
    <cellStyle name="Normal 10 2 2 2 3 2 2 4 4 2" xfId="4911" xr:uid="{25E99EBC-82AC-4199-98F7-B412239C888D}"/>
    <cellStyle name="Normal 10 2 2 2 3 2 2 4 5" xfId="4912" xr:uid="{DD622AB8-9700-40D2-986B-6C6104AB4B8A}"/>
    <cellStyle name="Normal 10 2 2 2 3 2 2 5" xfId="4913" xr:uid="{82AF2134-C15D-49CC-AF85-750FE431642A}"/>
    <cellStyle name="Normal 10 2 2 2 3 2 2 5 2" xfId="4914" xr:uid="{47A86FFA-90DA-463B-A688-F2600C7B117D}"/>
    <cellStyle name="Normal 10 2 2 2 3 2 2 5 2 2" xfId="4915" xr:uid="{7C48E888-2C3D-4887-A67E-42253DCDA23C}"/>
    <cellStyle name="Normal 10 2 2 2 3 2 2 5 2 2 2" xfId="4916" xr:uid="{FC353AB4-0BDC-430A-BF11-8137AEF92493}"/>
    <cellStyle name="Normal 10 2 2 2 3 2 2 5 2 3" xfId="4917" xr:uid="{1F9CA3D6-6750-4A94-A566-4DDA4EE9B173}"/>
    <cellStyle name="Normal 10 2 2 2 3 2 2 5 3" xfId="4918" xr:uid="{6D0C63DF-EA62-4C01-9375-1AA88D178401}"/>
    <cellStyle name="Normal 10 2 2 2 3 2 2 5 3 2" xfId="4919" xr:uid="{44374F64-9040-411A-977F-5902AA98D2F3}"/>
    <cellStyle name="Normal 10 2 2 2 3 2 2 5 4" xfId="4920" xr:uid="{43ECF8CD-3FA5-463E-A80F-51FFE8791615}"/>
    <cellStyle name="Normal 10 2 2 2 3 2 2 6" xfId="4921" xr:uid="{7F120C94-A139-4E15-97B9-980D8B28C91B}"/>
    <cellStyle name="Normal 10 2 2 2 3 2 2 6 2" xfId="4922" xr:uid="{AF3F829D-BDA8-4B4E-8FA4-661E2EA9EFAD}"/>
    <cellStyle name="Normal 10 2 2 2 3 2 2 6 2 2" xfId="4923" xr:uid="{CD7F1512-07BD-461B-A1D7-4BC0CB21C86D}"/>
    <cellStyle name="Normal 10 2 2 2 3 2 2 6 3" xfId="4924" xr:uid="{E061E287-C4DB-4899-B087-8F84993545C7}"/>
    <cellStyle name="Normal 10 2 2 2 3 2 2 7" xfId="4925" xr:uid="{FE060FB4-B92C-4FA1-833F-58DEA03422ED}"/>
    <cellStyle name="Normal 10 2 2 2 3 2 2 7 2" xfId="4926" xr:uid="{2CA07A13-ECBA-49CD-8447-F0E076C14610}"/>
    <cellStyle name="Normal 10 2 2 2 3 2 2 8" xfId="4927" xr:uid="{8BF89C93-F75D-4DD5-A441-B5AAE11D7B59}"/>
    <cellStyle name="Normal 10 2 2 2 3 2 3" xfId="4928" xr:uid="{BE5D1DD9-DF15-4FDC-9B5A-C8C0E7F92A53}"/>
    <cellStyle name="Normal 10 2 2 2 3 2 3 2" xfId="4929" xr:uid="{8C13DB1E-F291-4944-B02A-E3C91144F8EB}"/>
    <cellStyle name="Normal 10 2 2 2 3 2 3 2 2" xfId="4930" xr:uid="{BD77A4FB-AD03-443D-80C6-77ADD6773C97}"/>
    <cellStyle name="Normal 10 2 2 2 3 2 3 2 2 2" xfId="4931" xr:uid="{70040281-1360-4297-B31D-7D317C2246DF}"/>
    <cellStyle name="Normal 10 2 2 2 3 2 3 2 2 2 2" xfId="4932" xr:uid="{49049277-A82A-4685-9654-852F359ABD3F}"/>
    <cellStyle name="Normal 10 2 2 2 3 2 3 2 2 2 2 2" xfId="4933" xr:uid="{DFB99268-CE99-44D6-9AEA-0A660DF2DF36}"/>
    <cellStyle name="Normal 10 2 2 2 3 2 3 2 2 2 2 2 2" xfId="4934" xr:uid="{BCDBAB78-25EC-4E68-AA67-802D2A85191F}"/>
    <cellStyle name="Normal 10 2 2 2 3 2 3 2 2 2 2 3" xfId="4935" xr:uid="{14075D71-9C8C-4C7B-94C9-02D18F1DBFDD}"/>
    <cellStyle name="Normal 10 2 2 2 3 2 3 2 2 2 3" xfId="4936" xr:uid="{83610A3B-B702-4DCE-B9A6-6E105F3CE63B}"/>
    <cellStyle name="Normal 10 2 2 2 3 2 3 2 2 2 3 2" xfId="4937" xr:uid="{2F46C8C4-4C15-40CB-80B7-70FEC2E26E89}"/>
    <cellStyle name="Normal 10 2 2 2 3 2 3 2 2 2 4" xfId="4938" xr:uid="{880A7E70-13EF-4925-AC2B-0F5F429A9037}"/>
    <cellStyle name="Normal 10 2 2 2 3 2 3 2 2 3" xfId="4939" xr:uid="{021E7F83-6500-4260-A54A-AB35CAEE164F}"/>
    <cellStyle name="Normal 10 2 2 2 3 2 3 2 2 3 2" xfId="4940" xr:uid="{5A92A1F1-CA56-4F14-8AFF-A6437366E4FA}"/>
    <cellStyle name="Normal 10 2 2 2 3 2 3 2 2 3 2 2" xfId="4941" xr:uid="{26FE23F9-75F6-450D-ADD4-D11C3D6481E3}"/>
    <cellStyle name="Normal 10 2 2 2 3 2 3 2 2 3 3" xfId="4942" xr:uid="{5C8DB6C9-1257-412D-8091-F9B2C4D9D353}"/>
    <cellStyle name="Normal 10 2 2 2 3 2 3 2 2 4" xfId="4943" xr:uid="{B948030B-612C-4420-8E98-4303DEC91A04}"/>
    <cellStyle name="Normal 10 2 2 2 3 2 3 2 2 4 2" xfId="4944" xr:uid="{2D979BFD-36A9-411B-B5A3-41D6782FA0D3}"/>
    <cellStyle name="Normal 10 2 2 2 3 2 3 2 2 5" xfId="4945" xr:uid="{E6E2B3A2-BDD5-4E93-AD77-1604380D2A87}"/>
    <cellStyle name="Normal 10 2 2 2 3 2 3 2 3" xfId="4946" xr:uid="{5D8CEA96-7F01-4328-927F-D2C6517131E7}"/>
    <cellStyle name="Normal 10 2 2 2 3 2 3 2 3 2" xfId="4947" xr:uid="{4FF73379-F702-4362-AF0C-11C9ADCA9255}"/>
    <cellStyle name="Normal 10 2 2 2 3 2 3 2 3 2 2" xfId="4948" xr:uid="{9CDC5A43-13F8-41BD-8505-471FE4D4C016}"/>
    <cellStyle name="Normal 10 2 2 2 3 2 3 2 3 2 2 2" xfId="4949" xr:uid="{D429FD6D-D22D-4164-929B-76E16DA07233}"/>
    <cellStyle name="Normal 10 2 2 2 3 2 3 2 3 2 3" xfId="4950" xr:uid="{1883559D-21AC-4BDA-9025-464497B0C657}"/>
    <cellStyle name="Normal 10 2 2 2 3 2 3 2 3 3" xfId="4951" xr:uid="{BD982D23-8734-49CC-8D70-A52348378881}"/>
    <cellStyle name="Normal 10 2 2 2 3 2 3 2 3 3 2" xfId="4952" xr:uid="{88CBF45B-1B10-46BF-8461-896A276EFC42}"/>
    <cellStyle name="Normal 10 2 2 2 3 2 3 2 3 4" xfId="4953" xr:uid="{DD33C1A6-112C-41BF-80D0-A3A09327082F}"/>
    <cellStyle name="Normal 10 2 2 2 3 2 3 2 4" xfId="4954" xr:uid="{4F1D1FB7-A673-4667-9CD5-E024B2DF2FC6}"/>
    <cellStyle name="Normal 10 2 2 2 3 2 3 2 4 2" xfId="4955" xr:uid="{69F07C5E-5F14-4B26-813D-D0144494178A}"/>
    <cellStyle name="Normal 10 2 2 2 3 2 3 2 4 2 2" xfId="4956" xr:uid="{537E87E4-AA18-43DD-BC91-7D45166FBDA8}"/>
    <cellStyle name="Normal 10 2 2 2 3 2 3 2 4 3" xfId="4957" xr:uid="{C3E0CA9D-A168-4A8E-A7A5-68932D8C46FA}"/>
    <cellStyle name="Normal 10 2 2 2 3 2 3 2 5" xfId="4958" xr:uid="{9C9B3210-D0CA-4754-A044-B715E82D2D35}"/>
    <cellStyle name="Normal 10 2 2 2 3 2 3 2 5 2" xfId="4959" xr:uid="{2E4216E5-F42A-48D4-8327-2B0D026EBFF6}"/>
    <cellStyle name="Normal 10 2 2 2 3 2 3 2 6" xfId="4960" xr:uid="{F56ADD61-C6D7-452C-AA32-175FFF633EF6}"/>
    <cellStyle name="Normal 10 2 2 2 3 2 3 3" xfId="4961" xr:uid="{DF582FFE-EC89-4A71-884E-F27946C75BBD}"/>
    <cellStyle name="Normal 10 2 2 2 3 2 3 3 2" xfId="4962" xr:uid="{A2146B34-D09E-48D4-8FD0-F65DFAA240C4}"/>
    <cellStyle name="Normal 10 2 2 2 3 2 3 3 2 2" xfId="4963" xr:uid="{43DF339C-B1DA-448A-8F5A-460CF1643CAC}"/>
    <cellStyle name="Normal 10 2 2 2 3 2 3 3 2 2 2" xfId="4964" xr:uid="{580BCB92-B018-4090-B78E-23B27DDCDA9D}"/>
    <cellStyle name="Normal 10 2 2 2 3 2 3 3 2 2 2 2" xfId="4965" xr:uid="{0271D140-0996-443B-A881-07A6E8F2ED1D}"/>
    <cellStyle name="Normal 10 2 2 2 3 2 3 3 2 2 3" xfId="4966" xr:uid="{96278C34-0503-46BB-9C19-3393692D7525}"/>
    <cellStyle name="Normal 10 2 2 2 3 2 3 3 2 3" xfId="4967" xr:uid="{C28FCD94-B046-440A-A953-43A2E7377AA8}"/>
    <cellStyle name="Normal 10 2 2 2 3 2 3 3 2 3 2" xfId="4968" xr:uid="{7FE0A680-552C-4FDC-A725-9F3651B56D45}"/>
    <cellStyle name="Normal 10 2 2 2 3 2 3 3 2 4" xfId="4969" xr:uid="{21AA9A7C-ECB6-46F9-B2CF-82BAB68E28AD}"/>
    <cellStyle name="Normal 10 2 2 2 3 2 3 3 3" xfId="4970" xr:uid="{787F23E9-0F15-4695-8EEE-269CCE622957}"/>
    <cellStyle name="Normal 10 2 2 2 3 2 3 3 3 2" xfId="4971" xr:uid="{A77CCAFE-AAD9-4359-8FD0-A22A44991772}"/>
    <cellStyle name="Normal 10 2 2 2 3 2 3 3 3 2 2" xfId="4972" xr:uid="{7AF67C62-3734-4334-8C49-D9DEB986E0A0}"/>
    <cellStyle name="Normal 10 2 2 2 3 2 3 3 3 3" xfId="4973" xr:uid="{CC984BBC-92AC-4060-9C3E-2028230BFCF4}"/>
    <cellStyle name="Normal 10 2 2 2 3 2 3 3 4" xfId="4974" xr:uid="{2C160FA2-2E66-4E85-B647-21D11A628C23}"/>
    <cellStyle name="Normal 10 2 2 2 3 2 3 3 4 2" xfId="4975" xr:uid="{7D9FD6A2-B617-4536-BBCC-38E54F56FC00}"/>
    <cellStyle name="Normal 10 2 2 2 3 2 3 3 5" xfId="4976" xr:uid="{F07E4745-8F7A-4A9E-B5CE-FC1D47908C52}"/>
    <cellStyle name="Normal 10 2 2 2 3 2 3 4" xfId="4977" xr:uid="{D42F6FF4-422D-4C35-9D1C-816680FEAA61}"/>
    <cellStyle name="Normal 10 2 2 2 3 2 3 4 2" xfId="4978" xr:uid="{E13B67D2-AE83-4F8E-993B-4460E55193C1}"/>
    <cellStyle name="Normal 10 2 2 2 3 2 3 4 2 2" xfId="4979" xr:uid="{DB2208F0-6630-445E-A210-C6C84AB43125}"/>
    <cellStyle name="Normal 10 2 2 2 3 2 3 4 2 2 2" xfId="4980" xr:uid="{DEB6B145-8ACD-4FE7-9514-90FEC4999A76}"/>
    <cellStyle name="Normal 10 2 2 2 3 2 3 4 2 3" xfId="4981" xr:uid="{CC0981A9-CADD-46C4-9429-969F8C8F589B}"/>
    <cellStyle name="Normal 10 2 2 2 3 2 3 4 3" xfId="4982" xr:uid="{2091EBC3-8DAB-4FF7-B843-5614A7113869}"/>
    <cellStyle name="Normal 10 2 2 2 3 2 3 4 3 2" xfId="4983" xr:uid="{692D5111-F60E-4981-A7AF-597CEE0EA318}"/>
    <cellStyle name="Normal 10 2 2 2 3 2 3 4 4" xfId="4984" xr:uid="{63F43976-B5EB-4511-B5EE-A684A9560555}"/>
    <cellStyle name="Normal 10 2 2 2 3 2 3 5" xfId="4985" xr:uid="{65FFDAD8-EEBE-4B79-B12D-312135E8E1FD}"/>
    <cellStyle name="Normal 10 2 2 2 3 2 3 5 2" xfId="4986" xr:uid="{BAD139CF-070A-4AC3-947F-410E6960CA79}"/>
    <cellStyle name="Normal 10 2 2 2 3 2 3 5 2 2" xfId="4987" xr:uid="{8E01EB03-1D0C-4889-9FE6-A14908B2C15E}"/>
    <cellStyle name="Normal 10 2 2 2 3 2 3 5 3" xfId="4988" xr:uid="{65B6BB55-AD9B-4D2F-A8B9-B5AD29CB5D55}"/>
    <cellStyle name="Normal 10 2 2 2 3 2 3 6" xfId="4989" xr:uid="{426BCCCD-BDE7-493C-A42F-6EDA1E08D2C8}"/>
    <cellStyle name="Normal 10 2 2 2 3 2 3 6 2" xfId="4990" xr:uid="{2C421727-CE7E-44D0-9683-ECCAEF2EEF8B}"/>
    <cellStyle name="Normal 10 2 2 2 3 2 3 7" xfId="4991" xr:uid="{0A9FA35C-AD00-426F-A5B1-A28B99C35ED6}"/>
    <cellStyle name="Normal 10 2 2 2 3 2 4" xfId="4992" xr:uid="{787EA62D-982B-4CF3-9976-941C08A9EC25}"/>
    <cellStyle name="Normal 10 2 2 2 3 2 4 2" xfId="4993" xr:uid="{5EE679DE-D58F-4630-AE8C-18D2BDE9BDA2}"/>
    <cellStyle name="Normal 10 2 2 2 3 2 4 2 2" xfId="4994" xr:uid="{BB441B62-A510-468B-9752-CDA0D4C3EFAB}"/>
    <cellStyle name="Normal 10 2 2 2 3 2 4 2 2 2" xfId="4995" xr:uid="{6B2575C8-6F95-47D9-855F-EDC6F6077D6B}"/>
    <cellStyle name="Normal 10 2 2 2 3 2 4 2 2 2 2" xfId="4996" xr:uid="{C577CB38-A00A-4FC3-B467-F7CBC9105920}"/>
    <cellStyle name="Normal 10 2 2 2 3 2 4 2 2 2 2 2" xfId="4997" xr:uid="{CD772B38-1229-4F74-8DD9-DA444FA67429}"/>
    <cellStyle name="Normal 10 2 2 2 3 2 4 2 2 2 3" xfId="4998" xr:uid="{BDE991C7-E258-408F-8A3D-CBEE1CE2079B}"/>
    <cellStyle name="Normal 10 2 2 2 3 2 4 2 2 3" xfId="4999" xr:uid="{AE8E2B70-BF05-4398-8B65-81650FD30031}"/>
    <cellStyle name="Normal 10 2 2 2 3 2 4 2 2 3 2" xfId="5000" xr:uid="{68278284-8320-46B6-941A-E03B1A7D7FAB}"/>
    <cellStyle name="Normal 10 2 2 2 3 2 4 2 2 4" xfId="5001" xr:uid="{EBE7A90B-5901-47AD-B0AC-3FDD0FC3C524}"/>
    <cellStyle name="Normal 10 2 2 2 3 2 4 2 3" xfId="5002" xr:uid="{F3018716-AADB-4EDC-964B-5486E0FB93B0}"/>
    <cellStyle name="Normal 10 2 2 2 3 2 4 2 3 2" xfId="5003" xr:uid="{620D3383-BBF3-4D29-B7D7-9F7C01B1AF31}"/>
    <cellStyle name="Normal 10 2 2 2 3 2 4 2 3 2 2" xfId="5004" xr:uid="{32E82C58-4276-4F2F-BAF3-4C2EEABDC715}"/>
    <cellStyle name="Normal 10 2 2 2 3 2 4 2 3 3" xfId="5005" xr:uid="{A8DF6C96-B7AB-4531-81B0-A39BAAE8B1F8}"/>
    <cellStyle name="Normal 10 2 2 2 3 2 4 2 4" xfId="5006" xr:uid="{007243C6-92B0-4AE2-B934-BEFF9CFB3CCA}"/>
    <cellStyle name="Normal 10 2 2 2 3 2 4 2 4 2" xfId="5007" xr:uid="{1B1C6EDF-6A60-4DF2-99F5-FFE9546E2A6D}"/>
    <cellStyle name="Normal 10 2 2 2 3 2 4 2 5" xfId="5008" xr:uid="{E3C921E2-DB1C-4ED2-B397-299418698EBD}"/>
    <cellStyle name="Normal 10 2 2 2 3 2 4 3" xfId="5009" xr:uid="{26FF6E89-DAF3-41C9-91F4-77C144AD1221}"/>
    <cellStyle name="Normal 10 2 2 2 3 2 4 3 2" xfId="5010" xr:uid="{A179513C-1E82-4C21-9AC4-0AD6FF67511C}"/>
    <cellStyle name="Normal 10 2 2 2 3 2 4 3 2 2" xfId="5011" xr:uid="{036013AF-2BD7-4E89-8053-7A6F33B22FB3}"/>
    <cellStyle name="Normal 10 2 2 2 3 2 4 3 2 2 2" xfId="5012" xr:uid="{DD538B8E-8B55-4E7D-82B9-A549676DF1BB}"/>
    <cellStyle name="Normal 10 2 2 2 3 2 4 3 2 3" xfId="5013" xr:uid="{089831C5-CC64-4868-BA68-7364F9F1471D}"/>
    <cellStyle name="Normal 10 2 2 2 3 2 4 3 3" xfId="5014" xr:uid="{29BD74E0-715E-47B1-98B1-BB5310398876}"/>
    <cellStyle name="Normal 10 2 2 2 3 2 4 3 3 2" xfId="5015" xr:uid="{DBFE85A1-533B-47FE-A11B-74931BE63BB4}"/>
    <cellStyle name="Normal 10 2 2 2 3 2 4 3 4" xfId="5016" xr:uid="{0E435F2B-4319-4508-B990-7DE99D49A164}"/>
    <cellStyle name="Normal 10 2 2 2 3 2 4 4" xfId="5017" xr:uid="{8DF9A71F-7336-4C7C-9BA1-41A173EE756D}"/>
    <cellStyle name="Normal 10 2 2 2 3 2 4 4 2" xfId="5018" xr:uid="{F5AB4B73-E2D6-4CFC-B1D7-FBD306B6463A}"/>
    <cellStyle name="Normal 10 2 2 2 3 2 4 4 2 2" xfId="5019" xr:uid="{3F91D64F-78B2-4C5B-B3BF-06E82DDED45B}"/>
    <cellStyle name="Normal 10 2 2 2 3 2 4 4 3" xfId="5020" xr:uid="{EBB5FD87-2C3F-4B03-9A78-02D19DA5F164}"/>
    <cellStyle name="Normal 10 2 2 2 3 2 4 5" xfId="5021" xr:uid="{0DCE3194-F788-47D0-8E95-0702072A73DB}"/>
    <cellStyle name="Normal 10 2 2 2 3 2 4 5 2" xfId="5022" xr:uid="{EEAFE4BB-2A10-47FB-9136-1C56EF58492C}"/>
    <cellStyle name="Normal 10 2 2 2 3 2 4 6" xfId="5023" xr:uid="{798285D7-B3C8-4D5E-ADD2-7DB80BC92FB5}"/>
    <cellStyle name="Normal 10 2 2 2 3 2 5" xfId="5024" xr:uid="{C779D482-AA49-4B75-8B0D-C56A0B96EBBB}"/>
    <cellStyle name="Normal 10 2 2 2 3 2 5 2" xfId="5025" xr:uid="{9C9FB10B-7B6E-41B9-BF6D-4352C1479B9C}"/>
    <cellStyle name="Normal 10 2 2 2 3 2 5 2 2" xfId="5026" xr:uid="{6E2C20DB-4E85-4CC5-BE2C-C96133D0346F}"/>
    <cellStyle name="Normal 10 2 2 2 3 2 5 2 2 2" xfId="5027" xr:uid="{567A0769-0B05-412B-AE97-1A3665E04F46}"/>
    <cellStyle name="Normal 10 2 2 2 3 2 5 2 2 2 2" xfId="5028" xr:uid="{905DA672-A582-4987-8E30-3B37A2F57985}"/>
    <cellStyle name="Normal 10 2 2 2 3 2 5 2 2 3" xfId="5029" xr:uid="{0DD7FA32-B5A7-41FC-BED1-AC4DB40F6B1C}"/>
    <cellStyle name="Normal 10 2 2 2 3 2 5 2 3" xfId="5030" xr:uid="{D87B6AC8-4D20-4B79-97AC-B687D667262C}"/>
    <cellStyle name="Normal 10 2 2 2 3 2 5 2 3 2" xfId="5031" xr:uid="{7AE2D196-0A5A-4F2B-849D-9BCF7C93FAB6}"/>
    <cellStyle name="Normal 10 2 2 2 3 2 5 2 4" xfId="5032" xr:uid="{FBD13736-9DC1-4748-892A-9D333A2D95D5}"/>
    <cellStyle name="Normal 10 2 2 2 3 2 5 3" xfId="5033" xr:uid="{A26DCE4F-CC21-4E18-BB76-AD8FE3F3BC5F}"/>
    <cellStyle name="Normal 10 2 2 2 3 2 5 3 2" xfId="5034" xr:uid="{65E4FC21-BD96-48FF-9194-34881BE42325}"/>
    <cellStyle name="Normal 10 2 2 2 3 2 5 3 2 2" xfId="5035" xr:uid="{8A04165D-61A2-4A9B-946C-044E720C3471}"/>
    <cellStyle name="Normal 10 2 2 2 3 2 5 3 3" xfId="5036" xr:uid="{6F9DA2BF-E057-4BDB-8935-B6CA62D2032F}"/>
    <cellStyle name="Normal 10 2 2 2 3 2 5 4" xfId="5037" xr:uid="{B394A1B4-7A7F-48D9-9BBD-1225F7F68B85}"/>
    <cellStyle name="Normal 10 2 2 2 3 2 5 4 2" xfId="5038" xr:uid="{D983DE2E-50DB-4454-81EC-140309C1E987}"/>
    <cellStyle name="Normal 10 2 2 2 3 2 5 5" xfId="5039" xr:uid="{A88175C0-8FBB-417F-AFA2-533E8CB268B0}"/>
    <cellStyle name="Normal 10 2 2 2 3 2 6" xfId="5040" xr:uid="{506D5B44-E06D-4EDE-95AA-CDA4806FE40D}"/>
    <cellStyle name="Normal 10 2 2 2 3 2 6 2" xfId="5041" xr:uid="{E1E34B6D-3089-4E3C-9AFF-3C3410FA8F8B}"/>
    <cellStyle name="Normal 10 2 2 2 3 2 6 2 2" xfId="5042" xr:uid="{E0149A0E-8C35-4E89-A470-6267E516EE81}"/>
    <cellStyle name="Normal 10 2 2 2 3 2 6 2 2 2" xfId="5043" xr:uid="{26CA29EF-1585-4C4F-BBDA-85F52ACB011D}"/>
    <cellStyle name="Normal 10 2 2 2 3 2 6 2 3" xfId="5044" xr:uid="{A272E08C-39E8-4070-9FD8-9ED4AFBA680A}"/>
    <cellStyle name="Normal 10 2 2 2 3 2 6 3" xfId="5045" xr:uid="{3F8A5056-7F73-49EE-80C0-5F7B5FE72629}"/>
    <cellStyle name="Normal 10 2 2 2 3 2 6 3 2" xfId="5046" xr:uid="{8AC3FF03-4E5C-4AE0-8CA4-BB57978D9E31}"/>
    <cellStyle name="Normal 10 2 2 2 3 2 6 4" xfId="5047" xr:uid="{7A4CC216-A4B3-4F6D-9F2D-96D21F4019CB}"/>
    <cellStyle name="Normal 10 2 2 2 3 2 7" xfId="5048" xr:uid="{99B66F56-757C-45D4-9CFA-A49234AE5894}"/>
    <cellStyle name="Normal 10 2 2 2 3 2 7 2" xfId="5049" xr:uid="{C589DBA0-2C75-410F-A67A-6F36EB4232BB}"/>
    <cellStyle name="Normal 10 2 2 2 3 2 7 2 2" xfId="5050" xr:uid="{C649C054-7D9F-4B92-8133-9D5A99A6F428}"/>
    <cellStyle name="Normal 10 2 2 2 3 2 7 3" xfId="5051" xr:uid="{495065E4-69EA-4E61-AA7F-4623EBDF940F}"/>
    <cellStyle name="Normal 10 2 2 2 3 2 8" xfId="5052" xr:uid="{A7886BCE-11EE-4A7B-BA7E-8E850332539A}"/>
    <cellStyle name="Normal 10 2 2 2 3 2 8 2" xfId="5053" xr:uid="{648D3D02-F5C3-4D48-8558-F1F8058BF5E9}"/>
    <cellStyle name="Normal 10 2 2 2 3 2 9" xfId="5054" xr:uid="{AD596A0F-0C6C-4F4A-A673-AEE795A2AA8C}"/>
    <cellStyle name="Normal 10 2 2 2 3 3" xfId="481" xr:uid="{8DED7ED6-3D6B-4446-82CD-7B5EDD10EDFF}"/>
    <cellStyle name="Normal 10 2 2 2 3 3 2" xfId="5056" xr:uid="{779414D6-65AE-40CE-A40F-517B2D4E98A1}"/>
    <cellStyle name="Normal 10 2 2 2 3 3 2 2" xfId="5057" xr:uid="{145BF756-DF94-49F8-8C38-8D9EDAF55685}"/>
    <cellStyle name="Normal 10 2 2 2 3 3 2 2 2" xfId="5058" xr:uid="{8E454783-E822-44DC-BEB1-5E341A90C337}"/>
    <cellStyle name="Normal 10 2 2 2 3 3 2 2 2 2" xfId="5059" xr:uid="{F5093011-C01D-4C72-8B8C-F70CA986B336}"/>
    <cellStyle name="Normal 10 2 2 2 3 3 2 2 2 2 2" xfId="5060" xr:uid="{F63F5CE5-0725-47D1-819C-76A44DB247BF}"/>
    <cellStyle name="Normal 10 2 2 2 3 3 2 2 2 2 2 2" xfId="5061" xr:uid="{5195CFD2-F364-4A01-ABA2-5A5C972D7ABC}"/>
    <cellStyle name="Normal 10 2 2 2 3 3 2 2 2 2 2 2 2" xfId="5062" xr:uid="{C48129F6-46E3-41FC-9366-D8C2566C56F7}"/>
    <cellStyle name="Normal 10 2 2 2 3 3 2 2 2 2 2 3" xfId="5063" xr:uid="{43901F05-F895-4530-B071-F45CB7F9AFD3}"/>
    <cellStyle name="Normal 10 2 2 2 3 3 2 2 2 2 3" xfId="5064" xr:uid="{3B1D2F61-77B5-48CA-BCD8-F58D916F9EA6}"/>
    <cellStyle name="Normal 10 2 2 2 3 3 2 2 2 2 3 2" xfId="5065" xr:uid="{96C8C3CA-972B-4C7B-9A54-DFF7FFA8BE40}"/>
    <cellStyle name="Normal 10 2 2 2 3 3 2 2 2 2 4" xfId="5066" xr:uid="{E6634238-BCF1-454A-BF34-326EE9B8E2E8}"/>
    <cellStyle name="Normal 10 2 2 2 3 3 2 2 2 3" xfId="5067" xr:uid="{43C8E6C3-C0A9-4106-95AD-7C6766FCD4CC}"/>
    <cellStyle name="Normal 10 2 2 2 3 3 2 2 2 3 2" xfId="5068" xr:uid="{0CE026CB-AABA-4EB0-97FC-0501EB2C891E}"/>
    <cellStyle name="Normal 10 2 2 2 3 3 2 2 2 3 2 2" xfId="5069" xr:uid="{A97C2FD4-B724-45AD-BAF8-ADE4775D4848}"/>
    <cellStyle name="Normal 10 2 2 2 3 3 2 2 2 3 3" xfId="5070" xr:uid="{B9350BCB-7B87-4CC7-B331-A99E049EC8C6}"/>
    <cellStyle name="Normal 10 2 2 2 3 3 2 2 2 4" xfId="5071" xr:uid="{F3E55037-C3D3-4780-BD8B-72317C3C958A}"/>
    <cellStyle name="Normal 10 2 2 2 3 3 2 2 2 4 2" xfId="5072" xr:uid="{98D150A4-EB63-4F53-BF23-B924F3DF666B}"/>
    <cellStyle name="Normal 10 2 2 2 3 3 2 2 2 5" xfId="5073" xr:uid="{0A02E373-5507-48D1-90D3-52C67A811E58}"/>
    <cellStyle name="Normal 10 2 2 2 3 3 2 2 3" xfId="5074" xr:uid="{53AEEB5B-66D9-489A-B9B1-648132D9943B}"/>
    <cellStyle name="Normal 10 2 2 2 3 3 2 2 3 2" xfId="5075" xr:uid="{0865035A-EDE6-4118-98EB-32A06FC9140D}"/>
    <cellStyle name="Normal 10 2 2 2 3 3 2 2 3 2 2" xfId="5076" xr:uid="{B82D523B-B41B-4974-836D-D48B1AB1FD9C}"/>
    <cellStyle name="Normal 10 2 2 2 3 3 2 2 3 2 2 2" xfId="5077" xr:uid="{26844C13-5071-42D0-8B49-DF081646587C}"/>
    <cellStyle name="Normal 10 2 2 2 3 3 2 2 3 2 3" xfId="5078" xr:uid="{01258D65-8372-4320-94B4-69BCA8FEB49B}"/>
    <cellStyle name="Normal 10 2 2 2 3 3 2 2 3 3" xfId="5079" xr:uid="{385BD1F0-2C20-4619-BC75-800A38C0BE5E}"/>
    <cellStyle name="Normal 10 2 2 2 3 3 2 2 3 3 2" xfId="5080" xr:uid="{C6484E1A-0A83-49F0-889A-9E608DDA37A1}"/>
    <cellStyle name="Normal 10 2 2 2 3 3 2 2 3 4" xfId="5081" xr:uid="{C97F5452-D8FE-438F-82D9-D7D4BB4F2A67}"/>
    <cellStyle name="Normal 10 2 2 2 3 3 2 2 4" xfId="5082" xr:uid="{09C64D70-3ACA-4BB6-87EB-8172F0838B55}"/>
    <cellStyle name="Normal 10 2 2 2 3 3 2 2 4 2" xfId="5083" xr:uid="{28F1886A-27C4-4CCA-8552-AAE41015EB97}"/>
    <cellStyle name="Normal 10 2 2 2 3 3 2 2 4 2 2" xfId="5084" xr:uid="{47166BF7-A1A7-4E38-BDB3-A1D6876E0690}"/>
    <cellStyle name="Normal 10 2 2 2 3 3 2 2 4 3" xfId="5085" xr:uid="{ED81774B-7357-4D94-85C7-3D2F0D918B1F}"/>
    <cellStyle name="Normal 10 2 2 2 3 3 2 2 5" xfId="5086" xr:uid="{E05F4F16-A392-4CCC-8E2A-9895941689E1}"/>
    <cellStyle name="Normal 10 2 2 2 3 3 2 2 5 2" xfId="5087" xr:uid="{94A75917-A991-4E62-AC44-CCD15649AA72}"/>
    <cellStyle name="Normal 10 2 2 2 3 3 2 2 6" xfId="5088" xr:uid="{D1706DB2-6724-45B9-B705-CA19C389AC20}"/>
    <cellStyle name="Normal 10 2 2 2 3 3 2 3" xfId="5089" xr:uid="{EC36F0C4-B468-4D0C-9945-0C230A34BD15}"/>
    <cellStyle name="Normal 10 2 2 2 3 3 2 3 2" xfId="5090" xr:uid="{EC970DC6-50A7-405D-9AC2-B71F887F8DA2}"/>
    <cellStyle name="Normal 10 2 2 2 3 3 2 3 2 2" xfId="5091" xr:uid="{43C990DF-3EC2-4FA4-B2D0-23F4CA5B89F3}"/>
    <cellStyle name="Normal 10 2 2 2 3 3 2 3 2 2 2" xfId="5092" xr:uid="{77E4CAF3-6B62-4AFA-87AB-FAB4679E64BE}"/>
    <cellStyle name="Normal 10 2 2 2 3 3 2 3 2 2 2 2" xfId="5093" xr:uid="{039BB1F5-5C19-4D87-9262-CBF1CB8286DB}"/>
    <cellStyle name="Normal 10 2 2 2 3 3 2 3 2 2 3" xfId="5094" xr:uid="{C723B2E7-26EE-45D8-BF9B-CE95CFEBA2F7}"/>
    <cellStyle name="Normal 10 2 2 2 3 3 2 3 2 3" xfId="5095" xr:uid="{4D2E19A0-C3B3-4972-850A-11CA16043666}"/>
    <cellStyle name="Normal 10 2 2 2 3 3 2 3 2 3 2" xfId="5096" xr:uid="{7465B556-B15F-43F6-B9B9-854F870E236A}"/>
    <cellStyle name="Normal 10 2 2 2 3 3 2 3 2 4" xfId="5097" xr:uid="{03A3F284-3C04-49FE-94C8-C75192F44155}"/>
    <cellStyle name="Normal 10 2 2 2 3 3 2 3 3" xfId="5098" xr:uid="{CCB35486-BE74-45B4-93FF-979D3BA44CF5}"/>
    <cellStyle name="Normal 10 2 2 2 3 3 2 3 3 2" xfId="5099" xr:uid="{F885EC0E-43F6-4964-ADE9-F2C6FAC39A03}"/>
    <cellStyle name="Normal 10 2 2 2 3 3 2 3 3 2 2" xfId="5100" xr:uid="{C4D59EF8-E478-4CC1-81EE-159F59C64D28}"/>
    <cellStyle name="Normal 10 2 2 2 3 3 2 3 3 3" xfId="5101" xr:uid="{6754DADA-3FA5-431F-9D7D-76BBF1E97D3D}"/>
    <cellStyle name="Normal 10 2 2 2 3 3 2 3 4" xfId="5102" xr:uid="{B2CA0713-4CB3-4DA0-BB5E-2C4C3580B85F}"/>
    <cellStyle name="Normal 10 2 2 2 3 3 2 3 4 2" xfId="5103" xr:uid="{A84F6FCC-9761-4D9F-BF67-9B30AF78F474}"/>
    <cellStyle name="Normal 10 2 2 2 3 3 2 3 5" xfId="5104" xr:uid="{64AA2D0D-4B53-49B0-A62F-175CB7AE11D4}"/>
    <cellStyle name="Normal 10 2 2 2 3 3 2 4" xfId="5105" xr:uid="{A15B4A6E-38F2-489F-86DC-C6092F0E89D7}"/>
    <cellStyle name="Normal 10 2 2 2 3 3 2 4 2" xfId="5106" xr:uid="{FF1DA2C8-E5E1-46BE-80BF-7CDA10C04AD9}"/>
    <cellStyle name="Normal 10 2 2 2 3 3 2 4 2 2" xfId="5107" xr:uid="{1444F1E8-41E2-476C-B007-064F6A31597B}"/>
    <cellStyle name="Normal 10 2 2 2 3 3 2 4 2 2 2" xfId="5108" xr:uid="{D6495439-7E09-4BD3-BD77-7A2B95EF3D11}"/>
    <cellStyle name="Normal 10 2 2 2 3 3 2 4 2 3" xfId="5109" xr:uid="{AFEFFC12-64C4-40C1-8B43-9922C44D2F75}"/>
    <cellStyle name="Normal 10 2 2 2 3 3 2 4 3" xfId="5110" xr:uid="{8B3DBDBE-EFC7-4408-98F9-69C69B3ED443}"/>
    <cellStyle name="Normal 10 2 2 2 3 3 2 4 3 2" xfId="5111" xr:uid="{2ED6390E-A002-40FB-9A37-31B7EBB362AE}"/>
    <cellStyle name="Normal 10 2 2 2 3 3 2 4 4" xfId="5112" xr:uid="{86CF86D7-9EA8-4581-B80D-61E867D27F6F}"/>
    <cellStyle name="Normal 10 2 2 2 3 3 2 5" xfId="5113" xr:uid="{D907CF28-A477-4B4D-9EF5-A77DE38DD82B}"/>
    <cellStyle name="Normal 10 2 2 2 3 3 2 5 2" xfId="5114" xr:uid="{62291F8F-CEC8-4BA8-9912-E15F70E559A9}"/>
    <cellStyle name="Normal 10 2 2 2 3 3 2 5 2 2" xfId="5115" xr:uid="{EA63DA96-C1C1-4488-B16E-21A63CDAC34F}"/>
    <cellStyle name="Normal 10 2 2 2 3 3 2 5 3" xfId="5116" xr:uid="{8C1E6EB4-1679-4730-9533-79D348900338}"/>
    <cellStyle name="Normal 10 2 2 2 3 3 2 6" xfId="5117" xr:uid="{22841B3E-531E-45A5-9F48-23712143524F}"/>
    <cellStyle name="Normal 10 2 2 2 3 3 2 6 2" xfId="5118" xr:uid="{F6C9D26C-9FEE-48B0-9BA9-A68BF06EE61C}"/>
    <cellStyle name="Normal 10 2 2 2 3 3 2 7" xfId="5119" xr:uid="{6D0C00BF-E494-4870-BD0C-DF891E0347FB}"/>
    <cellStyle name="Normal 10 2 2 2 3 3 3" xfId="5120" xr:uid="{C9A7D5A3-13CD-436F-A1FF-62506745E022}"/>
    <cellStyle name="Normal 10 2 2 2 3 3 3 2" xfId="5121" xr:uid="{09B6FCCA-137C-4B42-B1FA-5ABACD88636C}"/>
    <cellStyle name="Normal 10 2 2 2 3 3 3 2 2" xfId="5122" xr:uid="{878DD991-058D-4789-B27C-97E87CB40A11}"/>
    <cellStyle name="Normal 10 2 2 2 3 3 3 2 2 2" xfId="5123" xr:uid="{25491644-A6AB-477A-A57D-E2BFA56CB07A}"/>
    <cellStyle name="Normal 10 2 2 2 3 3 3 2 2 2 2" xfId="5124" xr:uid="{BF19014C-3823-41DE-9E7A-E957EA568A80}"/>
    <cellStyle name="Normal 10 2 2 2 3 3 3 2 2 2 2 2" xfId="5125" xr:uid="{1E61F819-6594-4BA9-8D4D-278B64F48E45}"/>
    <cellStyle name="Normal 10 2 2 2 3 3 3 2 2 2 3" xfId="5126" xr:uid="{A4B3E606-60D1-44FB-9CE6-DB03FC5327FA}"/>
    <cellStyle name="Normal 10 2 2 2 3 3 3 2 2 3" xfId="5127" xr:uid="{7070B6F8-4A6F-4BB4-B46F-83BCFDB25A92}"/>
    <cellStyle name="Normal 10 2 2 2 3 3 3 2 2 3 2" xfId="5128" xr:uid="{4CD8D46F-FD19-4750-A3FB-21675E08D10E}"/>
    <cellStyle name="Normal 10 2 2 2 3 3 3 2 2 4" xfId="5129" xr:uid="{E7047F7C-3D38-4E90-886B-B3295F19A65A}"/>
    <cellStyle name="Normal 10 2 2 2 3 3 3 2 3" xfId="5130" xr:uid="{CEEDC978-08E7-46D4-B88A-808D4BC18785}"/>
    <cellStyle name="Normal 10 2 2 2 3 3 3 2 3 2" xfId="5131" xr:uid="{3AE2B7E9-C150-41A0-9031-88B5EEF6CCB6}"/>
    <cellStyle name="Normal 10 2 2 2 3 3 3 2 3 2 2" xfId="5132" xr:uid="{6108289E-8370-43BC-9445-352CD90C365E}"/>
    <cellStyle name="Normal 10 2 2 2 3 3 3 2 3 3" xfId="5133" xr:uid="{D2849C5A-F0C4-4674-80CC-D7436FB10D0D}"/>
    <cellStyle name="Normal 10 2 2 2 3 3 3 2 4" xfId="5134" xr:uid="{72C1A861-C650-4FA6-A2F2-A9EA7AE3BE78}"/>
    <cellStyle name="Normal 10 2 2 2 3 3 3 2 4 2" xfId="5135" xr:uid="{FA482169-B727-4403-B2BF-BDE2EFA6883A}"/>
    <cellStyle name="Normal 10 2 2 2 3 3 3 2 5" xfId="5136" xr:uid="{471FE81A-43A7-4CC6-AC74-B5D45CF1FA75}"/>
    <cellStyle name="Normal 10 2 2 2 3 3 3 3" xfId="5137" xr:uid="{EE3667C6-DD73-43D7-8B86-41DC27BDD605}"/>
    <cellStyle name="Normal 10 2 2 2 3 3 3 3 2" xfId="5138" xr:uid="{77E5BFC4-A8FB-4FDA-9CFB-6FA9AAE3C000}"/>
    <cellStyle name="Normal 10 2 2 2 3 3 3 3 2 2" xfId="5139" xr:uid="{E7B1E314-5650-4E86-AA09-833527D4C722}"/>
    <cellStyle name="Normal 10 2 2 2 3 3 3 3 2 2 2" xfId="5140" xr:uid="{B6E07A33-9829-43B1-B4FA-6D61045CC814}"/>
    <cellStyle name="Normal 10 2 2 2 3 3 3 3 2 3" xfId="5141" xr:uid="{9E3D6DAA-E6B3-4A47-8FB7-B27632F15424}"/>
    <cellStyle name="Normal 10 2 2 2 3 3 3 3 3" xfId="5142" xr:uid="{6A1AF9B9-B687-46F7-A16B-07D8065125F3}"/>
    <cellStyle name="Normal 10 2 2 2 3 3 3 3 3 2" xfId="5143" xr:uid="{049EECDC-EB68-43DA-9656-750B4169D2D7}"/>
    <cellStyle name="Normal 10 2 2 2 3 3 3 3 4" xfId="5144" xr:uid="{BCC607D8-C03D-43BE-A3F9-315E8E347167}"/>
    <cellStyle name="Normal 10 2 2 2 3 3 3 4" xfId="5145" xr:uid="{F47DE331-3090-4B20-A62C-96E6DA1AC4ED}"/>
    <cellStyle name="Normal 10 2 2 2 3 3 3 4 2" xfId="5146" xr:uid="{F6AECDFC-8BA1-4E97-ABB6-5F26A09FA370}"/>
    <cellStyle name="Normal 10 2 2 2 3 3 3 4 2 2" xfId="5147" xr:uid="{F8098D3F-13B4-4F49-A8A5-C73F9F784874}"/>
    <cellStyle name="Normal 10 2 2 2 3 3 3 4 3" xfId="5148" xr:uid="{3B45A81D-8EAF-4700-809C-211FA931BEC8}"/>
    <cellStyle name="Normal 10 2 2 2 3 3 3 5" xfId="5149" xr:uid="{F69C50F0-35E9-459C-9F72-7EF982941833}"/>
    <cellStyle name="Normal 10 2 2 2 3 3 3 5 2" xfId="5150" xr:uid="{8B3ACC18-A311-4696-83B9-C7DD3AA55D86}"/>
    <cellStyle name="Normal 10 2 2 2 3 3 3 6" xfId="5151" xr:uid="{CA45926A-8F62-4E8A-9119-8737AF863858}"/>
    <cellStyle name="Normal 10 2 2 2 3 3 4" xfId="5152" xr:uid="{06D985CA-54E0-4EBD-91EA-2DABDC460103}"/>
    <cellStyle name="Normal 10 2 2 2 3 3 4 2" xfId="5153" xr:uid="{C84F0FBA-64F0-4346-A670-FF280B40298B}"/>
    <cellStyle name="Normal 10 2 2 2 3 3 4 2 2" xfId="5154" xr:uid="{AD6AE4C6-EB06-4AFB-8AB4-AE25C595EA1E}"/>
    <cellStyle name="Normal 10 2 2 2 3 3 4 2 2 2" xfId="5155" xr:uid="{4CEE4434-3E4D-4D6E-8DA1-3B585C28728A}"/>
    <cellStyle name="Normal 10 2 2 2 3 3 4 2 2 2 2" xfId="5156" xr:uid="{CB5BD32D-2A78-45AE-95B7-5B0A17578FA8}"/>
    <cellStyle name="Normal 10 2 2 2 3 3 4 2 2 3" xfId="5157" xr:uid="{14983AE1-FA37-4475-8F4F-24AB3C8F79C3}"/>
    <cellStyle name="Normal 10 2 2 2 3 3 4 2 3" xfId="5158" xr:uid="{9FBCBB8C-ACAF-44A6-834D-DA91C8DF7017}"/>
    <cellStyle name="Normal 10 2 2 2 3 3 4 2 3 2" xfId="5159" xr:uid="{8BD382B8-FEC0-4E99-9443-DC205A3E1B8B}"/>
    <cellStyle name="Normal 10 2 2 2 3 3 4 2 4" xfId="5160" xr:uid="{C70E3016-0BD9-4FB9-BB30-AC15A6EF350A}"/>
    <cellStyle name="Normal 10 2 2 2 3 3 4 3" xfId="5161" xr:uid="{4252C73C-4E8E-4ECD-80FC-3AF6D3423A33}"/>
    <cellStyle name="Normal 10 2 2 2 3 3 4 3 2" xfId="5162" xr:uid="{69224C30-2ACC-4BB7-BE6B-7A6B4E660822}"/>
    <cellStyle name="Normal 10 2 2 2 3 3 4 3 2 2" xfId="5163" xr:uid="{5B431DA0-ABDA-4CDF-9365-3167147A560C}"/>
    <cellStyle name="Normal 10 2 2 2 3 3 4 3 3" xfId="5164" xr:uid="{F0EDB8FD-5468-4256-9F3D-0C93BE995937}"/>
    <cellStyle name="Normal 10 2 2 2 3 3 4 4" xfId="5165" xr:uid="{6E992C13-1AC6-44C3-9B4C-0C25F6039AB8}"/>
    <cellStyle name="Normal 10 2 2 2 3 3 4 4 2" xfId="5166" xr:uid="{41F0F09E-9E68-40DB-8D2D-9EDD5C8BA177}"/>
    <cellStyle name="Normal 10 2 2 2 3 3 4 5" xfId="5167" xr:uid="{E72ECE50-8891-4314-898B-4CCE4A933917}"/>
    <cellStyle name="Normal 10 2 2 2 3 3 5" xfId="5168" xr:uid="{AF6A1636-2D3D-4188-BFD4-4B801FC9CDEA}"/>
    <cellStyle name="Normal 10 2 2 2 3 3 5 2" xfId="5169" xr:uid="{6AF3A80A-93DD-4778-9F36-CDE260BE3C19}"/>
    <cellStyle name="Normal 10 2 2 2 3 3 5 2 2" xfId="5170" xr:uid="{C46CB850-058D-4106-A73B-B164FDF368F1}"/>
    <cellStyle name="Normal 10 2 2 2 3 3 5 2 2 2" xfId="5171" xr:uid="{6ED75C61-FEE1-4B68-9CC9-B639F441E3F1}"/>
    <cellStyle name="Normal 10 2 2 2 3 3 5 2 3" xfId="5172" xr:uid="{BA8FF0BE-7796-4A3A-B2A0-FBB3D56BBA4F}"/>
    <cellStyle name="Normal 10 2 2 2 3 3 5 3" xfId="5173" xr:uid="{F19CB791-A5AD-4BB4-88D6-8EDC66F7E8A4}"/>
    <cellStyle name="Normal 10 2 2 2 3 3 5 3 2" xfId="5174" xr:uid="{86378EBC-692B-4F68-A889-2404FBC75ABA}"/>
    <cellStyle name="Normal 10 2 2 2 3 3 5 4" xfId="5175" xr:uid="{B7AB8B37-E057-44EA-97A4-596328541CF2}"/>
    <cellStyle name="Normal 10 2 2 2 3 3 6" xfId="5176" xr:uid="{49D6386B-679F-4E9C-AC1E-08A42BD3D6A4}"/>
    <cellStyle name="Normal 10 2 2 2 3 3 6 2" xfId="5177" xr:uid="{3C40CB42-FF13-49DA-BA39-5E796994175E}"/>
    <cellStyle name="Normal 10 2 2 2 3 3 6 2 2" xfId="5178" xr:uid="{47D1B0B7-3023-4B55-95EF-2EE4A37C451F}"/>
    <cellStyle name="Normal 10 2 2 2 3 3 6 3" xfId="5179" xr:uid="{D248E09F-415E-45A1-87C2-AE37131EC468}"/>
    <cellStyle name="Normal 10 2 2 2 3 3 7" xfId="5180" xr:uid="{A30CCBFC-7526-4658-87FD-3149555AC5FD}"/>
    <cellStyle name="Normal 10 2 2 2 3 3 7 2" xfId="5181" xr:uid="{FB348118-E54E-426A-A200-264A43A261FF}"/>
    <cellStyle name="Normal 10 2 2 2 3 3 8" xfId="5182" xr:uid="{7F1D3E90-50EF-4218-83CC-3E4D5C40E8F2}"/>
    <cellStyle name="Normal 10 2 2 2 3 3 9" xfId="5055" xr:uid="{4C966DA4-1A10-4A97-9186-71D8EE6C2D11}"/>
    <cellStyle name="Normal 10 2 2 2 3 4" xfId="5183" xr:uid="{EE2585F4-D887-4EE2-A780-03109C3D2D7F}"/>
    <cellStyle name="Normal 10 2 2 2 3 4 2" xfId="5184" xr:uid="{76B19A72-B418-49FB-8A06-8077B4393FC4}"/>
    <cellStyle name="Normal 10 2 2 2 3 4 2 2" xfId="5185" xr:uid="{C857F4F5-2050-4F66-BADE-667DA28B9479}"/>
    <cellStyle name="Normal 10 2 2 2 3 4 2 2 2" xfId="5186" xr:uid="{40E4C9F8-6A8D-4EAD-9BFF-2409118A3183}"/>
    <cellStyle name="Normal 10 2 2 2 3 4 2 2 2 2" xfId="5187" xr:uid="{88059A43-D7AD-4F87-AF44-4F4DAEE44C76}"/>
    <cellStyle name="Normal 10 2 2 2 3 4 2 2 2 2 2" xfId="5188" xr:uid="{D6EC2D6A-E1B9-406D-B538-B5B0B5EAC2BA}"/>
    <cellStyle name="Normal 10 2 2 2 3 4 2 2 2 2 2 2" xfId="5189" xr:uid="{3DC3F09E-1FD5-4A07-8597-3DEE5FAACADB}"/>
    <cellStyle name="Normal 10 2 2 2 3 4 2 2 2 2 3" xfId="5190" xr:uid="{8E75892A-6151-4838-BBE2-726BA23E6FD2}"/>
    <cellStyle name="Normal 10 2 2 2 3 4 2 2 2 3" xfId="5191" xr:uid="{477FFC05-7682-4B31-9868-72CC9FFF33B1}"/>
    <cellStyle name="Normal 10 2 2 2 3 4 2 2 2 3 2" xfId="5192" xr:uid="{DEF6749F-84C9-4A22-95AB-C5C6C1A9428A}"/>
    <cellStyle name="Normal 10 2 2 2 3 4 2 2 2 4" xfId="5193" xr:uid="{6A7D077F-F241-40F5-8D25-95476F7987A7}"/>
    <cellStyle name="Normal 10 2 2 2 3 4 2 2 3" xfId="5194" xr:uid="{10114827-D9E6-4C65-B213-649AE8AAB055}"/>
    <cellStyle name="Normal 10 2 2 2 3 4 2 2 3 2" xfId="5195" xr:uid="{9C1CE627-92A9-4318-9578-88773406F79E}"/>
    <cellStyle name="Normal 10 2 2 2 3 4 2 2 3 2 2" xfId="5196" xr:uid="{DDAB0059-FB9B-453D-B859-E53BE8341962}"/>
    <cellStyle name="Normal 10 2 2 2 3 4 2 2 3 3" xfId="5197" xr:uid="{B8581709-059F-475D-85FF-4B31BF31AA06}"/>
    <cellStyle name="Normal 10 2 2 2 3 4 2 2 4" xfId="5198" xr:uid="{31D8EC76-4C0A-422D-BB6E-2DD97FC69CBC}"/>
    <cellStyle name="Normal 10 2 2 2 3 4 2 2 4 2" xfId="5199" xr:uid="{5A4BB291-52EE-47B5-8C2F-4A027B4CE969}"/>
    <cellStyle name="Normal 10 2 2 2 3 4 2 2 5" xfId="5200" xr:uid="{8AC12E6F-E78B-43A2-A701-C232B45F5470}"/>
    <cellStyle name="Normal 10 2 2 2 3 4 2 3" xfId="5201" xr:uid="{96A11265-3C3C-4DE0-86FF-F2B467CF8C97}"/>
    <cellStyle name="Normal 10 2 2 2 3 4 2 3 2" xfId="5202" xr:uid="{E19EC130-9186-430C-971A-0E649A2B2896}"/>
    <cellStyle name="Normal 10 2 2 2 3 4 2 3 2 2" xfId="5203" xr:uid="{BFE56DFA-33F3-48B5-8417-A721313E219D}"/>
    <cellStyle name="Normal 10 2 2 2 3 4 2 3 2 2 2" xfId="5204" xr:uid="{A058BFD8-24C1-48B4-88A1-F5CC33C07827}"/>
    <cellStyle name="Normal 10 2 2 2 3 4 2 3 2 3" xfId="5205" xr:uid="{FB1B41CA-A846-4517-9DCF-2104835A7EB0}"/>
    <cellStyle name="Normal 10 2 2 2 3 4 2 3 3" xfId="5206" xr:uid="{28763EA5-A2C3-4BCF-87DB-C62331EEAC63}"/>
    <cellStyle name="Normal 10 2 2 2 3 4 2 3 3 2" xfId="5207" xr:uid="{B88D68C5-0F57-41D2-84C9-801D64FA030E}"/>
    <cellStyle name="Normal 10 2 2 2 3 4 2 3 4" xfId="5208" xr:uid="{B6079D21-6A57-4574-B409-8A53FF1BC753}"/>
    <cellStyle name="Normal 10 2 2 2 3 4 2 4" xfId="5209" xr:uid="{E1586447-D998-4C04-8580-DB0D02612905}"/>
    <cellStyle name="Normal 10 2 2 2 3 4 2 4 2" xfId="5210" xr:uid="{3A9901A0-09E9-420A-8E5B-970BB95B427F}"/>
    <cellStyle name="Normal 10 2 2 2 3 4 2 4 2 2" xfId="5211" xr:uid="{9A438616-74A8-46A1-ABB6-68F4A01C1291}"/>
    <cellStyle name="Normal 10 2 2 2 3 4 2 4 3" xfId="5212" xr:uid="{64651C49-49F1-4BC8-98F4-80ADD7223A99}"/>
    <cellStyle name="Normal 10 2 2 2 3 4 2 5" xfId="5213" xr:uid="{59C3B33C-964E-4961-9C58-86CFB28D8799}"/>
    <cellStyle name="Normal 10 2 2 2 3 4 2 5 2" xfId="5214" xr:uid="{A14BB2F5-DA81-4EC0-B1BD-A020ABE23BB2}"/>
    <cellStyle name="Normal 10 2 2 2 3 4 2 6" xfId="5215" xr:uid="{A021451F-11CD-4165-A7B6-F744F59BEC40}"/>
    <cellStyle name="Normal 10 2 2 2 3 4 3" xfId="5216" xr:uid="{317767F5-D069-493E-A889-76E8B9B49BF9}"/>
    <cellStyle name="Normal 10 2 2 2 3 4 3 2" xfId="5217" xr:uid="{8BB79C94-0685-4B42-9420-3EB86AAE8BE7}"/>
    <cellStyle name="Normal 10 2 2 2 3 4 3 2 2" xfId="5218" xr:uid="{77D7D34A-032C-4046-BEF1-7B35513D5F9C}"/>
    <cellStyle name="Normal 10 2 2 2 3 4 3 2 2 2" xfId="5219" xr:uid="{69A27CE9-3E8A-42D2-8B16-2975A8FAB40C}"/>
    <cellStyle name="Normal 10 2 2 2 3 4 3 2 2 2 2" xfId="5220" xr:uid="{33F0EC9C-33BB-4696-A70A-504C36870970}"/>
    <cellStyle name="Normal 10 2 2 2 3 4 3 2 2 3" xfId="5221" xr:uid="{5E4685A6-6B2C-404D-A244-920E05A64929}"/>
    <cellStyle name="Normal 10 2 2 2 3 4 3 2 3" xfId="5222" xr:uid="{B4352EA9-10A0-4020-9053-DE7C01E88D56}"/>
    <cellStyle name="Normal 10 2 2 2 3 4 3 2 3 2" xfId="5223" xr:uid="{BE0BD469-F713-446F-9D87-2C8608AB7048}"/>
    <cellStyle name="Normal 10 2 2 2 3 4 3 2 4" xfId="5224" xr:uid="{727CAD63-53CD-4786-B350-9645C5D555A1}"/>
    <cellStyle name="Normal 10 2 2 2 3 4 3 3" xfId="5225" xr:uid="{60D9B6D9-600B-4093-AFE8-6F4C7F83252A}"/>
    <cellStyle name="Normal 10 2 2 2 3 4 3 3 2" xfId="5226" xr:uid="{DFC16DE2-1139-4D7C-A4DC-A07698C9559D}"/>
    <cellStyle name="Normal 10 2 2 2 3 4 3 3 2 2" xfId="5227" xr:uid="{86E49C71-5019-4607-8355-DF1E85E325FC}"/>
    <cellStyle name="Normal 10 2 2 2 3 4 3 3 3" xfId="5228" xr:uid="{BFE19DC9-189B-4316-8D9F-FDEEAA563238}"/>
    <cellStyle name="Normal 10 2 2 2 3 4 3 4" xfId="5229" xr:uid="{602827C9-B737-4F1A-AED8-7027B5D91991}"/>
    <cellStyle name="Normal 10 2 2 2 3 4 3 4 2" xfId="5230" xr:uid="{7022B84E-89C1-4976-889D-70143756D2BE}"/>
    <cellStyle name="Normal 10 2 2 2 3 4 3 5" xfId="5231" xr:uid="{46D0C7D8-FDB7-4183-93EA-CEBCA890A3B4}"/>
    <cellStyle name="Normal 10 2 2 2 3 4 4" xfId="5232" xr:uid="{5E4154BB-309C-4E61-8791-7C1053FAE007}"/>
    <cellStyle name="Normal 10 2 2 2 3 4 4 2" xfId="5233" xr:uid="{B91172F0-120A-42B3-9F9E-EA433FBE5733}"/>
    <cellStyle name="Normal 10 2 2 2 3 4 4 2 2" xfId="5234" xr:uid="{FE7F7A8C-600B-4026-97E8-363C69512BA5}"/>
    <cellStyle name="Normal 10 2 2 2 3 4 4 2 2 2" xfId="5235" xr:uid="{E7991645-B414-4C83-9672-3692E9B5EB24}"/>
    <cellStyle name="Normal 10 2 2 2 3 4 4 2 3" xfId="5236" xr:uid="{E4100844-F42F-4591-BA14-43BF81E08709}"/>
    <cellStyle name="Normal 10 2 2 2 3 4 4 3" xfId="5237" xr:uid="{77D5E3CC-7AD3-4ABD-B6A8-E3E366183541}"/>
    <cellStyle name="Normal 10 2 2 2 3 4 4 3 2" xfId="5238" xr:uid="{20900E2E-3FA3-4E9E-B3A7-517101F8A7E1}"/>
    <cellStyle name="Normal 10 2 2 2 3 4 4 4" xfId="5239" xr:uid="{BBB28A64-37DA-40E0-8E8D-1BDF71093E54}"/>
    <cellStyle name="Normal 10 2 2 2 3 4 5" xfId="5240" xr:uid="{DD5FD7B7-EDFD-4AA9-A9AE-30EEC808CC76}"/>
    <cellStyle name="Normal 10 2 2 2 3 4 5 2" xfId="5241" xr:uid="{ECEBEE82-60E0-45B5-B72C-DEF5B5560F61}"/>
    <cellStyle name="Normal 10 2 2 2 3 4 5 2 2" xfId="5242" xr:uid="{4AA636BC-77EA-48A1-B4A6-BF7D2BD51710}"/>
    <cellStyle name="Normal 10 2 2 2 3 4 5 3" xfId="5243" xr:uid="{958301AF-C2A2-4B47-9E1B-5E980D4A22CE}"/>
    <cellStyle name="Normal 10 2 2 2 3 4 6" xfId="5244" xr:uid="{3E79FFAA-B0D2-41E8-BCFE-D2091BC8AEE6}"/>
    <cellStyle name="Normal 10 2 2 2 3 4 6 2" xfId="5245" xr:uid="{92605141-4588-4239-806D-97117D6FACF1}"/>
    <cellStyle name="Normal 10 2 2 2 3 4 7" xfId="5246" xr:uid="{11615C93-C2AC-4F0D-9C48-1E5C406E65E1}"/>
    <cellStyle name="Normal 10 2 2 2 3 5" xfId="5247" xr:uid="{04E3AE51-AE60-4BFE-8226-A2D826A67E0A}"/>
    <cellStyle name="Normal 10 2 2 2 3 5 2" xfId="5248" xr:uid="{15BA38EB-1CE5-4FBC-A09C-7D448CA52C05}"/>
    <cellStyle name="Normal 10 2 2 2 3 5 2 2" xfId="5249" xr:uid="{3D5951B9-7363-48A7-84EC-EB814EEB6471}"/>
    <cellStyle name="Normal 10 2 2 2 3 5 2 2 2" xfId="5250" xr:uid="{3AC91564-2D31-4847-9C8B-18220FE69AA1}"/>
    <cellStyle name="Normal 10 2 2 2 3 5 2 2 2 2" xfId="5251" xr:uid="{1440326E-95AD-41B4-8B5D-6610BB165FE9}"/>
    <cellStyle name="Normal 10 2 2 2 3 5 2 2 2 2 2" xfId="5252" xr:uid="{72C3B7AE-A1E4-4DAB-AFBC-7EE5B24A8A4D}"/>
    <cellStyle name="Normal 10 2 2 2 3 5 2 2 2 3" xfId="5253" xr:uid="{0EC910EC-3C72-43C4-AA96-5876F3486CBA}"/>
    <cellStyle name="Normal 10 2 2 2 3 5 2 2 3" xfId="5254" xr:uid="{DC367AE8-23DC-4820-A967-4852A6DE8C26}"/>
    <cellStyle name="Normal 10 2 2 2 3 5 2 2 3 2" xfId="5255" xr:uid="{E1C4C130-B1B4-4F36-8E88-311D79B2F919}"/>
    <cellStyle name="Normal 10 2 2 2 3 5 2 2 4" xfId="5256" xr:uid="{681AA0AB-2F63-469F-8A00-81AC613D89A9}"/>
    <cellStyle name="Normal 10 2 2 2 3 5 2 3" xfId="5257" xr:uid="{980E6780-92D4-4686-B665-352669024DAB}"/>
    <cellStyle name="Normal 10 2 2 2 3 5 2 3 2" xfId="5258" xr:uid="{CCE56674-B13C-4E06-A4A8-99E669263600}"/>
    <cellStyle name="Normal 10 2 2 2 3 5 2 3 2 2" xfId="5259" xr:uid="{D6A245FB-1AC8-4C89-980C-9ECBBE0BA43D}"/>
    <cellStyle name="Normal 10 2 2 2 3 5 2 3 3" xfId="5260" xr:uid="{55EBFB79-132F-4639-928F-4D44CDDCD109}"/>
    <cellStyle name="Normal 10 2 2 2 3 5 2 4" xfId="5261" xr:uid="{C22932B0-5458-413A-A906-A9EB53D36687}"/>
    <cellStyle name="Normal 10 2 2 2 3 5 2 4 2" xfId="5262" xr:uid="{826A5466-81F2-43F4-B209-C10FB76D71A4}"/>
    <cellStyle name="Normal 10 2 2 2 3 5 2 5" xfId="5263" xr:uid="{C0BCE1ED-6FD2-4E6C-BCC8-ACB26091AF20}"/>
    <cellStyle name="Normal 10 2 2 2 3 5 3" xfId="5264" xr:uid="{2F3CD466-3F91-458F-BC39-0EC57CFFF1F8}"/>
    <cellStyle name="Normal 10 2 2 2 3 5 3 2" xfId="5265" xr:uid="{FAFB266A-A4F5-4A90-ABEA-7E1CD28A31C1}"/>
    <cellStyle name="Normal 10 2 2 2 3 5 3 2 2" xfId="5266" xr:uid="{141273BB-2EFA-45AE-9D0D-C92B1FAA90E5}"/>
    <cellStyle name="Normal 10 2 2 2 3 5 3 2 2 2" xfId="5267" xr:uid="{3081E471-92A3-4B45-8953-3DCFC8814E14}"/>
    <cellStyle name="Normal 10 2 2 2 3 5 3 2 3" xfId="5268" xr:uid="{14BB8E0D-4AC1-49E0-87CE-DF36D25AF933}"/>
    <cellStyle name="Normal 10 2 2 2 3 5 3 3" xfId="5269" xr:uid="{0E94FDEA-7A36-41E2-B117-1337EA0FA1E8}"/>
    <cellStyle name="Normal 10 2 2 2 3 5 3 3 2" xfId="5270" xr:uid="{E18BD2D9-A36D-4AC5-BD36-7B2FA77AD6F6}"/>
    <cellStyle name="Normal 10 2 2 2 3 5 3 4" xfId="5271" xr:uid="{4D28B773-1C11-4051-9DAA-BAC95F3BF926}"/>
    <cellStyle name="Normal 10 2 2 2 3 5 4" xfId="5272" xr:uid="{4C9C1B33-3A3F-4D3E-BB1E-6A9F40678F55}"/>
    <cellStyle name="Normal 10 2 2 2 3 5 4 2" xfId="5273" xr:uid="{EDE8EA24-2BA6-4A11-84AD-6A0E09942EFA}"/>
    <cellStyle name="Normal 10 2 2 2 3 5 4 2 2" xfId="5274" xr:uid="{69220465-C622-4BB2-B278-4D64BC5E15BA}"/>
    <cellStyle name="Normal 10 2 2 2 3 5 4 3" xfId="5275" xr:uid="{E024A579-DDFF-4631-A691-377E5F8BF976}"/>
    <cellStyle name="Normal 10 2 2 2 3 5 5" xfId="5276" xr:uid="{A22379FB-265E-42E5-AA0C-5E792E860245}"/>
    <cellStyle name="Normal 10 2 2 2 3 5 5 2" xfId="5277" xr:uid="{DE54FA9B-FD7E-4586-BA8D-9AFDF8411D41}"/>
    <cellStyle name="Normal 10 2 2 2 3 5 6" xfId="5278" xr:uid="{C485A0A5-7425-4955-8157-0F1C74334411}"/>
    <cellStyle name="Normal 10 2 2 2 3 6" xfId="5279" xr:uid="{97E1FBBE-935E-4823-9FFE-5DA189A0675E}"/>
    <cellStyle name="Normal 10 2 2 2 3 6 2" xfId="5280" xr:uid="{6FEEC7B9-F75E-4045-94D7-A6B3F4820E27}"/>
    <cellStyle name="Normal 10 2 2 2 3 6 2 2" xfId="5281" xr:uid="{5689C6BB-92F1-4E6B-813B-491AAFFA4590}"/>
    <cellStyle name="Normal 10 2 2 2 3 6 2 2 2" xfId="5282" xr:uid="{9866D7AD-9B33-416D-9FC1-9D83F0B6C834}"/>
    <cellStyle name="Normal 10 2 2 2 3 6 2 2 2 2" xfId="5283" xr:uid="{8FFDACF0-D863-4B5E-8EF5-3A710EC135D0}"/>
    <cellStyle name="Normal 10 2 2 2 3 6 2 2 3" xfId="5284" xr:uid="{2ADB44BF-AB81-4B67-86C7-B05B3B2A66A8}"/>
    <cellStyle name="Normal 10 2 2 2 3 6 2 3" xfId="5285" xr:uid="{652A6A7B-EDC6-4175-A42A-AC97A1AF1E49}"/>
    <cellStyle name="Normal 10 2 2 2 3 6 2 3 2" xfId="5286" xr:uid="{0BA01F12-B2F0-4B11-94BF-C4547B1D4707}"/>
    <cellStyle name="Normal 10 2 2 2 3 6 2 4" xfId="5287" xr:uid="{F95AEF1E-ED47-4C8C-A462-D9334EE94D02}"/>
    <cellStyle name="Normal 10 2 2 2 3 6 3" xfId="5288" xr:uid="{FEAC13FB-F7E3-427F-A5D6-9556A329678F}"/>
    <cellStyle name="Normal 10 2 2 2 3 6 3 2" xfId="5289" xr:uid="{B0D76DFE-C1B9-42D9-A60F-6C4B3AB5153E}"/>
    <cellStyle name="Normal 10 2 2 2 3 6 3 2 2" xfId="5290" xr:uid="{6432AD9B-12A7-42B2-A040-BF29EB5B1384}"/>
    <cellStyle name="Normal 10 2 2 2 3 6 3 3" xfId="5291" xr:uid="{273FF14F-068E-4F1C-B21E-6A3D99EF1C6F}"/>
    <cellStyle name="Normal 10 2 2 2 3 6 4" xfId="5292" xr:uid="{94D0567F-00FD-4A0B-8C57-9CB2C7BFF113}"/>
    <cellStyle name="Normal 10 2 2 2 3 6 4 2" xfId="5293" xr:uid="{9E005922-4ABF-402E-9FBD-38F197922D41}"/>
    <cellStyle name="Normal 10 2 2 2 3 6 5" xfId="5294" xr:uid="{F0661BDD-F60D-4386-BA80-F239A24375BA}"/>
    <cellStyle name="Normal 10 2 2 2 3 7" xfId="5295" xr:uid="{AB3F9479-DABD-4BCF-9DE3-24CCE14A258F}"/>
    <cellStyle name="Normal 10 2 2 2 3 7 2" xfId="5296" xr:uid="{E5A64C18-59C1-4BB6-9CA5-08F49DACB776}"/>
    <cellStyle name="Normal 10 2 2 2 3 7 2 2" xfId="5297" xr:uid="{04C1A645-E9D2-4A0D-A7E6-E9F99E78872F}"/>
    <cellStyle name="Normal 10 2 2 2 3 7 2 2 2" xfId="5298" xr:uid="{7A500173-103E-4504-86D3-4E1E0D0EE7DE}"/>
    <cellStyle name="Normal 10 2 2 2 3 7 2 3" xfId="5299" xr:uid="{06602FC9-7B05-44E0-A9D1-5D5A1D16EE33}"/>
    <cellStyle name="Normal 10 2 2 2 3 7 3" xfId="5300" xr:uid="{9AD2D3F8-4981-411E-AF22-E246B0ECF7E3}"/>
    <cellStyle name="Normal 10 2 2 2 3 7 3 2" xfId="5301" xr:uid="{B1D307FA-827A-48D4-A90D-E0DE8DB792A6}"/>
    <cellStyle name="Normal 10 2 2 2 3 7 4" xfId="5302" xr:uid="{1CA5B4AB-3745-4F7A-AF36-5416C8D1F67A}"/>
    <cellStyle name="Normal 10 2 2 2 3 8" xfId="5303" xr:uid="{CF3212A5-12CE-42D8-A856-1E4CC4C29130}"/>
    <cellStyle name="Normal 10 2 2 2 3 8 2" xfId="5304" xr:uid="{AEB409FC-4426-4124-9AF2-07011EE33893}"/>
    <cellStyle name="Normal 10 2 2 2 3 8 2 2" xfId="5305" xr:uid="{E8B48282-D8DD-4EB9-B5CD-064912872BF8}"/>
    <cellStyle name="Normal 10 2 2 2 3 8 3" xfId="5306" xr:uid="{F86A9D24-8687-4143-84F0-3FDFFDD4180B}"/>
    <cellStyle name="Normal 10 2 2 2 3 9" xfId="5307" xr:uid="{C1D3FE55-3154-4BAE-8C57-C281A668078D}"/>
    <cellStyle name="Normal 10 2 2 2 3 9 2" xfId="5308" xr:uid="{52946698-7C57-4779-BF19-797E924B012A}"/>
    <cellStyle name="Normal 10 2 2 2 4" xfId="262" xr:uid="{6A0767C1-E03B-4898-B7EE-2C3B395B9FD0}"/>
    <cellStyle name="Normal 10 2 2 2 4 10" xfId="5309" xr:uid="{B63ED425-4B76-4E31-9B22-224AD19836C7}"/>
    <cellStyle name="Normal 10 2 2 2 4 11" xfId="544" xr:uid="{30A40D57-B98C-448A-A55B-1B7856DEDEAE}"/>
    <cellStyle name="Normal 10 2 2 2 4 2" xfId="311" xr:uid="{D613CA2A-6423-4634-86DC-F37D27EFD0E8}"/>
    <cellStyle name="Normal 10 2 2 2 4 2 10" xfId="5310" xr:uid="{BB7EBC2B-2A95-4B76-931A-E69561DA1A32}"/>
    <cellStyle name="Normal 10 2 2 2 4 2 2" xfId="5311" xr:uid="{4DAEF10A-6D17-46E0-921D-5B503E317BA7}"/>
    <cellStyle name="Normal 10 2 2 2 4 2 2 2" xfId="5312" xr:uid="{10A318C3-AE52-4110-B60E-93E40CD86BE5}"/>
    <cellStyle name="Normal 10 2 2 2 4 2 2 2 2" xfId="5313" xr:uid="{B2B84911-0EC5-4CDC-AA34-E537C2220B48}"/>
    <cellStyle name="Normal 10 2 2 2 4 2 2 2 2 2" xfId="5314" xr:uid="{99D4866C-CEEC-477B-B63A-CC4D42D6F147}"/>
    <cellStyle name="Normal 10 2 2 2 4 2 2 2 2 2 2" xfId="5315" xr:uid="{369F0C28-7E47-47DB-BFD5-810C58D2AECE}"/>
    <cellStyle name="Normal 10 2 2 2 4 2 2 2 2 2 2 2" xfId="5316" xr:uid="{82BB3273-AA32-45CB-B206-4F170703F741}"/>
    <cellStyle name="Normal 10 2 2 2 4 2 2 2 2 2 2 2 2" xfId="5317" xr:uid="{E05E5E29-9C6E-4247-B8D4-9FEA0C41B55A}"/>
    <cellStyle name="Normal 10 2 2 2 4 2 2 2 2 2 2 2 2 2" xfId="5318" xr:uid="{B6177461-752A-4EC0-9A06-00AD6818CC8A}"/>
    <cellStyle name="Normal 10 2 2 2 4 2 2 2 2 2 2 2 3" xfId="5319" xr:uid="{5E964749-6553-48CD-9B90-15D8B5ADEABF}"/>
    <cellStyle name="Normal 10 2 2 2 4 2 2 2 2 2 2 3" xfId="5320" xr:uid="{182BD0DD-11CA-4E1B-A95A-9DC7DE4E537E}"/>
    <cellStyle name="Normal 10 2 2 2 4 2 2 2 2 2 2 3 2" xfId="5321" xr:uid="{C4DACFA6-0DBF-4B07-A4BE-9FF4FEB6D451}"/>
    <cellStyle name="Normal 10 2 2 2 4 2 2 2 2 2 2 4" xfId="5322" xr:uid="{F0F67BEB-3524-48F9-98A7-46D25A428161}"/>
    <cellStyle name="Normal 10 2 2 2 4 2 2 2 2 2 3" xfId="5323" xr:uid="{95D62727-6E68-4D09-877D-E215BFD3745D}"/>
    <cellStyle name="Normal 10 2 2 2 4 2 2 2 2 2 3 2" xfId="5324" xr:uid="{DF52E333-DC09-4ED2-A2CD-3BF87D995C0F}"/>
    <cellStyle name="Normal 10 2 2 2 4 2 2 2 2 2 3 2 2" xfId="5325" xr:uid="{718F31B5-C618-4E1F-9FB3-EDD6FFA0E6B5}"/>
    <cellStyle name="Normal 10 2 2 2 4 2 2 2 2 2 3 3" xfId="5326" xr:uid="{C713E6D0-8B0A-4C73-9561-09E13567F0AE}"/>
    <cellStyle name="Normal 10 2 2 2 4 2 2 2 2 2 4" xfId="5327" xr:uid="{D6601270-4D3C-4A66-880A-ED94D256E37A}"/>
    <cellStyle name="Normal 10 2 2 2 4 2 2 2 2 2 4 2" xfId="5328" xr:uid="{3210395A-36CD-4464-9545-3011118F84F7}"/>
    <cellStyle name="Normal 10 2 2 2 4 2 2 2 2 2 5" xfId="5329" xr:uid="{0E25E0BD-14CC-4FA1-BEAE-D383D44B465B}"/>
    <cellStyle name="Normal 10 2 2 2 4 2 2 2 2 3" xfId="5330" xr:uid="{42AC71AD-441A-4AB3-B5E5-D1D0A6750AA4}"/>
    <cellStyle name="Normal 10 2 2 2 4 2 2 2 2 3 2" xfId="5331" xr:uid="{A2EE3035-5815-4BA8-9703-928A2384BD7C}"/>
    <cellStyle name="Normal 10 2 2 2 4 2 2 2 2 3 2 2" xfId="5332" xr:uid="{8B383EEE-C39E-4738-BFE1-CD43ED8EFACA}"/>
    <cellStyle name="Normal 10 2 2 2 4 2 2 2 2 3 2 2 2" xfId="5333" xr:uid="{992FFCA5-6A61-46DC-A01F-EA41E2C924BC}"/>
    <cellStyle name="Normal 10 2 2 2 4 2 2 2 2 3 2 3" xfId="5334" xr:uid="{6F10A1DA-98A6-4E0E-85D5-E1A502D56A00}"/>
    <cellStyle name="Normal 10 2 2 2 4 2 2 2 2 3 3" xfId="5335" xr:uid="{5859C673-7E8D-4664-919D-2F2871DDB69E}"/>
    <cellStyle name="Normal 10 2 2 2 4 2 2 2 2 3 3 2" xfId="5336" xr:uid="{48E5C159-253B-4A9C-B669-522E20934B7F}"/>
    <cellStyle name="Normal 10 2 2 2 4 2 2 2 2 3 4" xfId="5337" xr:uid="{10498338-31A8-4277-A0D5-537F3E9E9533}"/>
    <cellStyle name="Normal 10 2 2 2 4 2 2 2 2 4" xfId="5338" xr:uid="{2E241363-C450-4304-A62F-8E300792EAF9}"/>
    <cellStyle name="Normal 10 2 2 2 4 2 2 2 2 4 2" xfId="5339" xr:uid="{DDAF1F5F-74A4-4365-9E06-8DFEB7ADB633}"/>
    <cellStyle name="Normal 10 2 2 2 4 2 2 2 2 4 2 2" xfId="5340" xr:uid="{4F0B52DE-8A56-491A-A058-EA908358A8D5}"/>
    <cellStyle name="Normal 10 2 2 2 4 2 2 2 2 4 3" xfId="5341" xr:uid="{0BB2261F-FEA1-4808-B04C-AE9C26B10381}"/>
    <cellStyle name="Normal 10 2 2 2 4 2 2 2 2 5" xfId="5342" xr:uid="{5CC5A4CA-74B4-4C8C-B192-EEFDACC9A9B5}"/>
    <cellStyle name="Normal 10 2 2 2 4 2 2 2 2 5 2" xfId="5343" xr:uid="{6019782D-D64F-4E61-B891-33D7D7D41879}"/>
    <cellStyle name="Normal 10 2 2 2 4 2 2 2 2 6" xfId="5344" xr:uid="{5B6CD87B-5C12-42BD-BD0D-2CEB61ED1FBB}"/>
    <cellStyle name="Normal 10 2 2 2 4 2 2 2 3" xfId="5345" xr:uid="{8956AA5F-095F-4A43-85C5-71B5B2351F6E}"/>
    <cellStyle name="Normal 10 2 2 2 4 2 2 2 3 2" xfId="5346" xr:uid="{016FBC14-1D79-4644-AFCE-49C8FEAE34FB}"/>
    <cellStyle name="Normal 10 2 2 2 4 2 2 2 3 2 2" xfId="5347" xr:uid="{4B42246C-77E6-4972-AD86-5EE749F318E3}"/>
    <cellStyle name="Normal 10 2 2 2 4 2 2 2 3 2 2 2" xfId="5348" xr:uid="{BE1C42BF-E1D7-4C7B-910C-4BDF1C2AF791}"/>
    <cellStyle name="Normal 10 2 2 2 4 2 2 2 3 2 2 2 2" xfId="5349" xr:uid="{2F13718D-0636-460D-97EA-F450EE8FC4B8}"/>
    <cellStyle name="Normal 10 2 2 2 4 2 2 2 3 2 2 3" xfId="5350" xr:uid="{465BA70C-A269-48F7-A495-0AA5724212A7}"/>
    <cellStyle name="Normal 10 2 2 2 4 2 2 2 3 2 3" xfId="5351" xr:uid="{8996785D-7246-46D2-9D25-33049B3AE89B}"/>
    <cellStyle name="Normal 10 2 2 2 4 2 2 2 3 2 3 2" xfId="5352" xr:uid="{776B7A84-E4EE-4B78-9500-963C5B0E6804}"/>
    <cellStyle name="Normal 10 2 2 2 4 2 2 2 3 2 4" xfId="5353" xr:uid="{54D74856-CA78-4B9E-8F9E-4A7C982774AB}"/>
    <cellStyle name="Normal 10 2 2 2 4 2 2 2 3 3" xfId="5354" xr:uid="{C9E899F3-57F7-461E-8450-A19684327120}"/>
    <cellStyle name="Normal 10 2 2 2 4 2 2 2 3 3 2" xfId="5355" xr:uid="{3A948C9D-8D38-46C1-AF25-5C240167151A}"/>
    <cellStyle name="Normal 10 2 2 2 4 2 2 2 3 3 2 2" xfId="5356" xr:uid="{B55D8FB5-798E-4208-A98C-F9FB8C749574}"/>
    <cellStyle name="Normal 10 2 2 2 4 2 2 2 3 3 3" xfId="5357" xr:uid="{C9008536-9A02-43A5-A13E-7BEC5DA6F21F}"/>
    <cellStyle name="Normal 10 2 2 2 4 2 2 2 3 4" xfId="5358" xr:uid="{46F535E0-D622-4F28-A3C5-2F75DC6545D9}"/>
    <cellStyle name="Normal 10 2 2 2 4 2 2 2 3 4 2" xfId="5359" xr:uid="{CD846CF8-7CFA-4245-AE92-D1F3BC4EB35A}"/>
    <cellStyle name="Normal 10 2 2 2 4 2 2 2 3 5" xfId="5360" xr:uid="{20D18321-DF96-4543-BBE5-656FA7B43F67}"/>
    <cellStyle name="Normal 10 2 2 2 4 2 2 2 4" xfId="5361" xr:uid="{47584702-17FB-46BE-88B8-81CF5CE04A4C}"/>
    <cellStyle name="Normal 10 2 2 2 4 2 2 2 4 2" xfId="5362" xr:uid="{47FB55DC-617D-4287-8244-4661D0BC636D}"/>
    <cellStyle name="Normal 10 2 2 2 4 2 2 2 4 2 2" xfId="5363" xr:uid="{D889E883-78E7-4748-8BA1-E630F2043A17}"/>
    <cellStyle name="Normal 10 2 2 2 4 2 2 2 4 2 2 2" xfId="5364" xr:uid="{4F68DB3A-CD6C-4FFC-A364-685D3A46CE8C}"/>
    <cellStyle name="Normal 10 2 2 2 4 2 2 2 4 2 3" xfId="5365" xr:uid="{CE91C3DE-EE14-4F8E-8940-12F95813DCBF}"/>
    <cellStyle name="Normal 10 2 2 2 4 2 2 2 4 3" xfId="5366" xr:uid="{01C27DD7-AE60-47D2-AE9D-9348819A1081}"/>
    <cellStyle name="Normal 10 2 2 2 4 2 2 2 4 3 2" xfId="5367" xr:uid="{EE4331B2-7A48-4A91-814B-349451EE63D6}"/>
    <cellStyle name="Normal 10 2 2 2 4 2 2 2 4 4" xfId="5368" xr:uid="{D8A7D848-3268-49A9-9656-5B8B2933FF94}"/>
    <cellStyle name="Normal 10 2 2 2 4 2 2 2 5" xfId="5369" xr:uid="{4AB51EEC-0A00-4003-9A8A-9CEE68487005}"/>
    <cellStyle name="Normal 10 2 2 2 4 2 2 2 5 2" xfId="5370" xr:uid="{03ED4D27-9FC7-4EE9-953F-7EFFD3531C07}"/>
    <cellStyle name="Normal 10 2 2 2 4 2 2 2 5 2 2" xfId="5371" xr:uid="{9AEAE5D6-B9E4-4A18-A266-D73B9DBFE8CB}"/>
    <cellStyle name="Normal 10 2 2 2 4 2 2 2 5 3" xfId="5372" xr:uid="{A193D183-B89F-44D0-A2C1-5C458CBE257F}"/>
    <cellStyle name="Normal 10 2 2 2 4 2 2 2 6" xfId="5373" xr:uid="{E553F79E-6BDC-4D21-A072-D10FFB8EF2E2}"/>
    <cellStyle name="Normal 10 2 2 2 4 2 2 2 6 2" xfId="5374" xr:uid="{9525D5D2-2648-4FD8-AFD5-B3C69D012ECF}"/>
    <cellStyle name="Normal 10 2 2 2 4 2 2 2 7" xfId="5375" xr:uid="{F1900855-8203-4970-89ED-AF2615897AB5}"/>
    <cellStyle name="Normal 10 2 2 2 4 2 2 3" xfId="5376" xr:uid="{2F5648EF-030E-4AE8-B36B-B42C7509593B}"/>
    <cellStyle name="Normal 10 2 2 2 4 2 2 3 2" xfId="5377" xr:uid="{F2DBA3D8-6152-41DA-8AE2-6A20982144BB}"/>
    <cellStyle name="Normal 10 2 2 2 4 2 2 3 2 2" xfId="5378" xr:uid="{4ADBFC86-64FC-4C63-9257-7ECB32908262}"/>
    <cellStyle name="Normal 10 2 2 2 4 2 2 3 2 2 2" xfId="5379" xr:uid="{99405353-593F-4870-B832-01312A1281DC}"/>
    <cellStyle name="Normal 10 2 2 2 4 2 2 3 2 2 2 2" xfId="5380" xr:uid="{269CEE6B-5E06-40F2-84E2-0DA89BA53EE7}"/>
    <cellStyle name="Normal 10 2 2 2 4 2 2 3 2 2 2 2 2" xfId="5381" xr:uid="{68D980D6-D9E2-48ED-97A8-C2159C60B0ED}"/>
    <cellStyle name="Normal 10 2 2 2 4 2 2 3 2 2 2 3" xfId="5382" xr:uid="{FD78D15F-E5C2-4F06-A6E6-8524F3A67B5E}"/>
    <cellStyle name="Normal 10 2 2 2 4 2 2 3 2 2 3" xfId="5383" xr:uid="{A3BC6578-C901-4E4E-B679-391BC539A991}"/>
    <cellStyle name="Normal 10 2 2 2 4 2 2 3 2 2 3 2" xfId="5384" xr:uid="{DE5429C0-E874-4EC7-80EC-8EAD40D716B8}"/>
    <cellStyle name="Normal 10 2 2 2 4 2 2 3 2 2 4" xfId="5385" xr:uid="{A58FF5B7-AC96-45E1-9324-1EDDBDAC09F1}"/>
    <cellStyle name="Normal 10 2 2 2 4 2 2 3 2 3" xfId="5386" xr:uid="{55708058-7E60-44E0-988F-49FB8CACCDDC}"/>
    <cellStyle name="Normal 10 2 2 2 4 2 2 3 2 3 2" xfId="5387" xr:uid="{1459BFAE-280F-4579-9B23-D263BEB8B2BA}"/>
    <cellStyle name="Normal 10 2 2 2 4 2 2 3 2 3 2 2" xfId="5388" xr:uid="{40DA6E83-FC84-468B-88D2-DCD24B40C8AB}"/>
    <cellStyle name="Normal 10 2 2 2 4 2 2 3 2 3 3" xfId="5389" xr:uid="{6DB22DFB-5EB5-4B1B-AF04-995E16015842}"/>
    <cellStyle name="Normal 10 2 2 2 4 2 2 3 2 4" xfId="5390" xr:uid="{92796ADE-9068-4DC1-9C55-C182F5063910}"/>
    <cellStyle name="Normal 10 2 2 2 4 2 2 3 2 4 2" xfId="5391" xr:uid="{7F4F06A4-E195-4EA2-863F-9CC3DCF5DE5E}"/>
    <cellStyle name="Normal 10 2 2 2 4 2 2 3 2 5" xfId="5392" xr:uid="{8C9185F5-D206-4197-B464-C5CF758527D5}"/>
    <cellStyle name="Normal 10 2 2 2 4 2 2 3 3" xfId="5393" xr:uid="{90CB566F-1D65-4176-9682-C3C1B5896EE7}"/>
    <cellStyle name="Normal 10 2 2 2 4 2 2 3 3 2" xfId="5394" xr:uid="{D25B80C8-B4CF-4D77-A558-D7CA79ABAD42}"/>
    <cellStyle name="Normal 10 2 2 2 4 2 2 3 3 2 2" xfId="5395" xr:uid="{C1830615-15B5-47EA-9CDD-38AFDDDDA85D}"/>
    <cellStyle name="Normal 10 2 2 2 4 2 2 3 3 2 2 2" xfId="5396" xr:uid="{9E4A89F0-5733-4DDA-B4A7-333DF021DB37}"/>
    <cellStyle name="Normal 10 2 2 2 4 2 2 3 3 2 3" xfId="5397" xr:uid="{D42EC909-3C4B-4B78-8A3A-CCD2CE39CC61}"/>
    <cellStyle name="Normal 10 2 2 2 4 2 2 3 3 3" xfId="5398" xr:uid="{2E978F69-1527-4104-8FF5-A4B51954C7BB}"/>
    <cellStyle name="Normal 10 2 2 2 4 2 2 3 3 3 2" xfId="5399" xr:uid="{9069ABD8-4885-4D96-89CC-7F484B32929A}"/>
    <cellStyle name="Normal 10 2 2 2 4 2 2 3 3 4" xfId="5400" xr:uid="{CD81CC4D-C5DE-4ABE-8018-87CD2CFE2DE4}"/>
    <cellStyle name="Normal 10 2 2 2 4 2 2 3 4" xfId="5401" xr:uid="{DD23E8DF-8DA2-4B4B-9BB4-8EE3AD7E92FF}"/>
    <cellStyle name="Normal 10 2 2 2 4 2 2 3 4 2" xfId="5402" xr:uid="{7B610902-2FDF-4125-BA23-F0E555DA1ECD}"/>
    <cellStyle name="Normal 10 2 2 2 4 2 2 3 4 2 2" xfId="5403" xr:uid="{CBDE5F9B-9179-41A6-9B36-495A3D7E10FD}"/>
    <cellStyle name="Normal 10 2 2 2 4 2 2 3 4 3" xfId="5404" xr:uid="{B08D183D-0D71-49B0-8C44-6A73981FFF37}"/>
    <cellStyle name="Normal 10 2 2 2 4 2 2 3 5" xfId="5405" xr:uid="{60889142-82D9-4753-B15D-CEDE6635169E}"/>
    <cellStyle name="Normal 10 2 2 2 4 2 2 3 5 2" xfId="5406" xr:uid="{8784A932-1FE9-4989-A4EE-FB8DAB64FAAC}"/>
    <cellStyle name="Normal 10 2 2 2 4 2 2 3 6" xfId="5407" xr:uid="{68BC945F-8AB0-4EB3-90A6-0BB138EE058F}"/>
    <cellStyle name="Normal 10 2 2 2 4 2 2 4" xfId="5408" xr:uid="{7D65B7EF-6AA1-476C-AABD-5A0503B52E36}"/>
    <cellStyle name="Normal 10 2 2 2 4 2 2 4 2" xfId="5409" xr:uid="{9E92D85D-650F-4F88-88E9-9C6FB5BB7834}"/>
    <cellStyle name="Normal 10 2 2 2 4 2 2 4 2 2" xfId="5410" xr:uid="{F63EA934-5748-41D6-AEC7-F7273C38B2AF}"/>
    <cellStyle name="Normal 10 2 2 2 4 2 2 4 2 2 2" xfId="5411" xr:uid="{28337705-33FB-44B2-99B3-7F31D66581B9}"/>
    <cellStyle name="Normal 10 2 2 2 4 2 2 4 2 2 2 2" xfId="5412" xr:uid="{F4CB3253-DA12-4DAE-BB07-3D7F04799332}"/>
    <cellStyle name="Normal 10 2 2 2 4 2 2 4 2 2 3" xfId="5413" xr:uid="{05CDBD3B-A2C5-419F-8A47-A5A80DAEA7A3}"/>
    <cellStyle name="Normal 10 2 2 2 4 2 2 4 2 3" xfId="5414" xr:uid="{8018736F-024E-4CA9-AF93-33DE09CF242F}"/>
    <cellStyle name="Normal 10 2 2 2 4 2 2 4 2 3 2" xfId="5415" xr:uid="{1A63F23C-DC96-4A72-AF0E-72AB2ACB02B2}"/>
    <cellStyle name="Normal 10 2 2 2 4 2 2 4 2 4" xfId="5416" xr:uid="{C325CA07-5D50-4FF6-9297-A57657DCCF74}"/>
    <cellStyle name="Normal 10 2 2 2 4 2 2 4 3" xfId="5417" xr:uid="{3EC67FF1-B6F4-48AC-ACC1-E069F3A3E111}"/>
    <cellStyle name="Normal 10 2 2 2 4 2 2 4 3 2" xfId="5418" xr:uid="{1A0B5F2B-16FD-4600-939F-BDD6934853AD}"/>
    <cellStyle name="Normal 10 2 2 2 4 2 2 4 3 2 2" xfId="5419" xr:uid="{916957A8-41D9-4835-90F1-02E32CFADA25}"/>
    <cellStyle name="Normal 10 2 2 2 4 2 2 4 3 3" xfId="5420" xr:uid="{915B25D0-59FF-49A5-9D84-721C6E1ED0FA}"/>
    <cellStyle name="Normal 10 2 2 2 4 2 2 4 4" xfId="5421" xr:uid="{0C839FAD-4870-48E0-8552-CB08BD215260}"/>
    <cellStyle name="Normal 10 2 2 2 4 2 2 4 4 2" xfId="5422" xr:uid="{AA3A33E2-AC4B-4961-93FF-9B06DDCD8C0B}"/>
    <cellStyle name="Normal 10 2 2 2 4 2 2 4 5" xfId="5423" xr:uid="{ACE97A4D-E446-46B7-BE24-54A7CC274EE8}"/>
    <cellStyle name="Normal 10 2 2 2 4 2 2 5" xfId="5424" xr:uid="{8DB79231-CF76-4556-B910-309494B0DA40}"/>
    <cellStyle name="Normal 10 2 2 2 4 2 2 5 2" xfId="5425" xr:uid="{DDFEEFDD-3A45-499E-A985-568564C19DCD}"/>
    <cellStyle name="Normal 10 2 2 2 4 2 2 5 2 2" xfId="5426" xr:uid="{35F5DC26-4BF6-4D1A-8CFE-550F55C18D32}"/>
    <cellStyle name="Normal 10 2 2 2 4 2 2 5 2 2 2" xfId="5427" xr:uid="{5F1CDF02-BD5D-4F9B-ADEE-AE57985C8465}"/>
    <cellStyle name="Normal 10 2 2 2 4 2 2 5 2 3" xfId="5428" xr:uid="{C4FEC69E-FF84-4CAE-9266-7568FA811C72}"/>
    <cellStyle name="Normal 10 2 2 2 4 2 2 5 3" xfId="5429" xr:uid="{536FE4EE-E844-4A18-A083-443EF79D1D8A}"/>
    <cellStyle name="Normal 10 2 2 2 4 2 2 5 3 2" xfId="5430" xr:uid="{B4199C1D-6106-4350-9F40-059FA7407D35}"/>
    <cellStyle name="Normal 10 2 2 2 4 2 2 5 4" xfId="5431" xr:uid="{E1DD6BEF-2251-47A8-A3F5-60DE9108A2B4}"/>
    <cellStyle name="Normal 10 2 2 2 4 2 2 6" xfId="5432" xr:uid="{2CA60180-F915-47B8-AB2F-5FED8AA5E069}"/>
    <cellStyle name="Normal 10 2 2 2 4 2 2 6 2" xfId="5433" xr:uid="{507E1C5A-1DFE-4A69-9E87-922947ED2522}"/>
    <cellStyle name="Normal 10 2 2 2 4 2 2 6 2 2" xfId="5434" xr:uid="{31A7D4AC-EC69-43E7-A3A9-6F66C5542E54}"/>
    <cellStyle name="Normal 10 2 2 2 4 2 2 6 3" xfId="5435" xr:uid="{C2E4BA9F-12C9-432B-9C45-1F88E257F2F7}"/>
    <cellStyle name="Normal 10 2 2 2 4 2 2 7" xfId="5436" xr:uid="{0D6E2318-30EF-4512-AD3E-7B060CD64102}"/>
    <cellStyle name="Normal 10 2 2 2 4 2 2 7 2" xfId="5437" xr:uid="{475EDA4F-1430-40D6-81AC-D1A0E5324B69}"/>
    <cellStyle name="Normal 10 2 2 2 4 2 2 8" xfId="5438" xr:uid="{289D924C-D914-4B11-AF41-1503DB8D1C4A}"/>
    <cellStyle name="Normal 10 2 2 2 4 2 3" xfId="5439" xr:uid="{CA9CE68B-6EAF-4FE7-9565-12D71239396A}"/>
    <cellStyle name="Normal 10 2 2 2 4 2 3 2" xfId="5440" xr:uid="{74B8F1C8-AE97-4A06-814B-AF8AF80C99BD}"/>
    <cellStyle name="Normal 10 2 2 2 4 2 3 2 2" xfId="5441" xr:uid="{089CD4CC-EE79-499F-8C3B-EC28F843515D}"/>
    <cellStyle name="Normal 10 2 2 2 4 2 3 2 2 2" xfId="5442" xr:uid="{AFB72E4C-4748-43D4-829D-493A0F2ED06D}"/>
    <cellStyle name="Normal 10 2 2 2 4 2 3 2 2 2 2" xfId="5443" xr:uid="{8EC3CC26-8E45-4FE9-BB7B-70E91EE4AAAF}"/>
    <cellStyle name="Normal 10 2 2 2 4 2 3 2 2 2 2 2" xfId="5444" xr:uid="{F7862963-2A1B-4872-A8AC-6A9BE9048FDB}"/>
    <cellStyle name="Normal 10 2 2 2 4 2 3 2 2 2 2 2 2" xfId="5445" xr:uid="{0C2789C3-1982-493C-83F8-CE3F348D9C0C}"/>
    <cellStyle name="Normal 10 2 2 2 4 2 3 2 2 2 2 3" xfId="5446" xr:uid="{5603D916-C1EB-415C-BFDE-F7402ABAFC7F}"/>
    <cellStyle name="Normal 10 2 2 2 4 2 3 2 2 2 3" xfId="5447" xr:uid="{93AEC323-76D5-4296-B0E5-682A6F3ABB6F}"/>
    <cellStyle name="Normal 10 2 2 2 4 2 3 2 2 2 3 2" xfId="5448" xr:uid="{54DCB8F6-400E-4E88-9762-44D9EEA048DE}"/>
    <cellStyle name="Normal 10 2 2 2 4 2 3 2 2 2 4" xfId="5449" xr:uid="{412B15E4-A333-4192-AD34-F4EA5F4DAB3C}"/>
    <cellStyle name="Normal 10 2 2 2 4 2 3 2 2 3" xfId="5450" xr:uid="{398B9195-4644-46DD-8E6A-E6366C565D48}"/>
    <cellStyle name="Normal 10 2 2 2 4 2 3 2 2 3 2" xfId="5451" xr:uid="{9CFB299E-3ABD-4495-873C-0FBDAC9B052C}"/>
    <cellStyle name="Normal 10 2 2 2 4 2 3 2 2 3 2 2" xfId="5452" xr:uid="{A14C849F-1C12-404C-80E6-58A2E31F1229}"/>
    <cellStyle name="Normal 10 2 2 2 4 2 3 2 2 3 3" xfId="5453" xr:uid="{A7D41A41-4374-4334-95D4-45F1A5BD7BE8}"/>
    <cellStyle name="Normal 10 2 2 2 4 2 3 2 2 4" xfId="5454" xr:uid="{D5F5C9E9-D044-4041-B410-7A907CC2D66C}"/>
    <cellStyle name="Normal 10 2 2 2 4 2 3 2 2 4 2" xfId="5455" xr:uid="{8D0D5127-C67D-416D-AFD1-BC27775F08D9}"/>
    <cellStyle name="Normal 10 2 2 2 4 2 3 2 2 5" xfId="5456" xr:uid="{8C5E3074-0BD6-44A8-B353-5318D16DCDF9}"/>
    <cellStyle name="Normal 10 2 2 2 4 2 3 2 3" xfId="5457" xr:uid="{C6516E7F-2525-4F73-A659-8ACB96013DEB}"/>
    <cellStyle name="Normal 10 2 2 2 4 2 3 2 3 2" xfId="5458" xr:uid="{79DF679C-35AD-4F2C-AEFA-7B5D7A16E7A5}"/>
    <cellStyle name="Normal 10 2 2 2 4 2 3 2 3 2 2" xfId="5459" xr:uid="{82F871E6-9A7E-4A16-8841-4AE72BC57CC5}"/>
    <cellStyle name="Normal 10 2 2 2 4 2 3 2 3 2 2 2" xfId="5460" xr:uid="{E6EA1F37-9214-48CF-A937-FA796BC2FAE2}"/>
    <cellStyle name="Normal 10 2 2 2 4 2 3 2 3 2 3" xfId="5461" xr:uid="{1B6469BF-C492-41B2-A8CE-592ACCFC7A7C}"/>
    <cellStyle name="Normal 10 2 2 2 4 2 3 2 3 3" xfId="5462" xr:uid="{76F83668-0CBC-4C12-B674-15B7C83C2E45}"/>
    <cellStyle name="Normal 10 2 2 2 4 2 3 2 3 3 2" xfId="5463" xr:uid="{FCA045E9-3C1F-46C1-AC8F-D5DAA768180E}"/>
    <cellStyle name="Normal 10 2 2 2 4 2 3 2 3 4" xfId="5464" xr:uid="{E87027EE-B08D-4172-A643-3FD002B275DA}"/>
    <cellStyle name="Normal 10 2 2 2 4 2 3 2 4" xfId="5465" xr:uid="{867148A3-5F9D-457D-B0C8-CE6E686B1E0E}"/>
    <cellStyle name="Normal 10 2 2 2 4 2 3 2 4 2" xfId="5466" xr:uid="{FE424347-F7F5-419E-8446-E57591B87914}"/>
    <cellStyle name="Normal 10 2 2 2 4 2 3 2 4 2 2" xfId="5467" xr:uid="{6F3D7ECD-6313-4DF9-B091-C7B985054776}"/>
    <cellStyle name="Normal 10 2 2 2 4 2 3 2 4 3" xfId="5468" xr:uid="{CE3AA5BE-CC23-49B9-851C-8E394B984B51}"/>
    <cellStyle name="Normal 10 2 2 2 4 2 3 2 5" xfId="5469" xr:uid="{4D3C9889-983C-4F7F-B26C-A0B4A545C532}"/>
    <cellStyle name="Normal 10 2 2 2 4 2 3 2 5 2" xfId="5470" xr:uid="{52B420B6-AFA7-4D41-A3C4-BC0EC741AC7F}"/>
    <cellStyle name="Normal 10 2 2 2 4 2 3 2 6" xfId="5471" xr:uid="{3DE24305-9A75-4BD8-B21D-4AF3D5EB6F38}"/>
    <cellStyle name="Normal 10 2 2 2 4 2 3 3" xfId="5472" xr:uid="{151CC9B2-D08E-4597-9CFF-6232C078B413}"/>
    <cellStyle name="Normal 10 2 2 2 4 2 3 3 2" xfId="5473" xr:uid="{0F2B4E65-9DDB-4F60-B66B-6B701BCE3558}"/>
    <cellStyle name="Normal 10 2 2 2 4 2 3 3 2 2" xfId="5474" xr:uid="{1752871E-BAE8-48DC-9D4A-81AD1D5B7E23}"/>
    <cellStyle name="Normal 10 2 2 2 4 2 3 3 2 2 2" xfId="5475" xr:uid="{6863CF91-03BB-4811-980D-A5B49FE00A9E}"/>
    <cellStyle name="Normal 10 2 2 2 4 2 3 3 2 2 2 2" xfId="5476" xr:uid="{43BFABD3-7D08-4F4D-80E8-4B49038751FA}"/>
    <cellStyle name="Normal 10 2 2 2 4 2 3 3 2 2 3" xfId="5477" xr:uid="{F8846B10-F3E7-4692-B306-7E8B4AB3C9A8}"/>
    <cellStyle name="Normal 10 2 2 2 4 2 3 3 2 3" xfId="5478" xr:uid="{178CF913-6EA7-4D1A-B914-F7218ACC3BC2}"/>
    <cellStyle name="Normal 10 2 2 2 4 2 3 3 2 3 2" xfId="5479" xr:uid="{12E942FA-66D7-406F-80C3-7EBFB9318098}"/>
    <cellStyle name="Normal 10 2 2 2 4 2 3 3 2 4" xfId="5480" xr:uid="{94954ECE-3005-48D4-AD9B-D761E4CBC886}"/>
    <cellStyle name="Normal 10 2 2 2 4 2 3 3 3" xfId="5481" xr:uid="{0429EA3E-C3C0-4F52-8632-55D567D9875C}"/>
    <cellStyle name="Normal 10 2 2 2 4 2 3 3 3 2" xfId="5482" xr:uid="{1CEB14BD-273E-4EB6-92F3-977642B01044}"/>
    <cellStyle name="Normal 10 2 2 2 4 2 3 3 3 2 2" xfId="5483" xr:uid="{96A15160-8707-49F0-8DDC-E63A626A0B9C}"/>
    <cellStyle name="Normal 10 2 2 2 4 2 3 3 3 3" xfId="5484" xr:uid="{CDE994A4-79FF-40D7-800B-CC8599291108}"/>
    <cellStyle name="Normal 10 2 2 2 4 2 3 3 4" xfId="5485" xr:uid="{46A85F66-B654-4E41-A9F3-6FBA7FD10EAF}"/>
    <cellStyle name="Normal 10 2 2 2 4 2 3 3 4 2" xfId="5486" xr:uid="{CFE60BDF-008B-48BF-B7A8-C998D8DB8F64}"/>
    <cellStyle name="Normal 10 2 2 2 4 2 3 3 5" xfId="5487" xr:uid="{FA882869-AAE2-48C2-A16E-48F18CEAB1DD}"/>
    <cellStyle name="Normal 10 2 2 2 4 2 3 4" xfId="5488" xr:uid="{A53F43A2-6EEF-485D-AB6A-2802B1E65C48}"/>
    <cellStyle name="Normal 10 2 2 2 4 2 3 4 2" xfId="5489" xr:uid="{BDC99264-7DD9-4B72-8413-A1AC26974D89}"/>
    <cellStyle name="Normal 10 2 2 2 4 2 3 4 2 2" xfId="5490" xr:uid="{D9D8C388-0D50-43B6-8FE1-E0D13BC9004A}"/>
    <cellStyle name="Normal 10 2 2 2 4 2 3 4 2 2 2" xfId="5491" xr:uid="{CE84F4A9-9ECF-4B24-9BE3-463EBC3F968B}"/>
    <cellStyle name="Normal 10 2 2 2 4 2 3 4 2 3" xfId="5492" xr:uid="{38828AE0-D351-4AC8-BC84-127B8487F023}"/>
    <cellStyle name="Normal 10 2 2 2 4 2 3 4 3" xfId="5493" xr:uid="{FB45AD0A-C9A0-4FAB-BE75-A016F7366030}"/>
    <cellStyle name="Normal 10 2 2 2 4 2 3 4 3 2" xfId="5494" xr:uid="{3D58DF96-21EF-4D6E-A052-DC6C9FA9B683}"/>
    <cellStyle name="Normal 10 2 2 2 4 2 3 4 4" xfId="5495" xr:uid="{AF1BED44-2BE1-4E24-A5C5-D87D1B2CE665}"/>
    <cellStyle name="Normal 10 2 2 2 4 2 3 5" xfId="5496" xr:uid="{42E1FEC9-658C-41B0-8E83-7D2955F42BD0}"/>
    <cellStyle name="Normal 10 2 2 2 4 2 3 5 2" xfId="5497" xr:uid="{893C9D71-A607-4ABD-8959-0ED883801FF1}"/>
    <cellStyle name="Normal 10 2 2 2 4 2 3 5 2 2" xfId="5498" xr:uid="{CF1BE045-1E6F-41FA-BD35-14236CC15D6B}"/>
    <cellStyle name="Normal 10 2 2 2 4 2 3 5 3" xfId="5499" xr:uid="{05E81F9A-09B7-4426-B56F-BCE3DB3D16EF}"/>
    <cellStyle name="Normal 10 2 2 2 4 2 3 6" xfId="5500" xr:uid="{5889995B-41C0-4CA9-8F79-76BF3BBFDE38}"/>
    <cellStyle name="Normal 10 2 2 2 4 2 3 6 2" xfId="5501" xr:uid="{F6CAA931-3FD7-4465-B73A-1251C222EDDE}"/>
    <cellStyle name="Normal 10 2 2 2 4 2 3 7" xfId="5502" xr:uid="{C0D57B5C-7F82-425D-89A0-555CB4EC773F}"/>
    <cellStyle name="Normal 10 2 2 2 4 2 4" xfId="5503" xr:uid="{3986AE5F-B128-4416-847C-87319148A359}"/>
    <cellStyle name="Normal 10 2 2 2 4 2 4 2" xfId="5504" xr:uid="{B1B881C8-A3FD-497B-B2D6-CF73170CEAA1}"/>
    <cellStyle name="Normal 10 2 2 2 4 2 4 2 2" xfId="5505" xr:uid="{42F053B8-0DFC-42DB-AB56-4D03AFC60FC4}"/>
    <cellStyle name="Normal 10 2 2 2 4 2 4 2 2 2" xfId="5506" xr:uid="{14D443C5-4566-4D60-B669-C64574598A66}"/>
    <cellStyle name="Normal 10 2 2 2 4 2 4 2 2 2 2" xfId="5507" xr:uid="{3C1DA8DD-F4C3-4C73-9D8C-AAB783D5909F}"/>
    <cellStyle name="Normal 10 2 2 2 4 2 4 2 2 2 2 2" xfId="5508" xr:uid="{E71A254B-706A-4635-902E-0827B6AFDD8F}"/>
    <cellStyle name="Normal 10 2 2 2 4 2 4 2 2 2 3" xfId="5509" xr:uid="{888F867F-4F48-464F-BEAC-C9AA6A052F8D}"/>
    <cellStyle name="Normal 10 2 2 2 4 2 4 2 2 3" xfId="5510" xr:uid="{6C4BD366-AD19-472F-B5F9-62E38E86D903}"/>
    <cellStyle name="Normal 10 2 2 2 4 2 4 2 2 3 2" xfId="5511" xr:uid="{8DB60718-A726-4619-AA5B-003164504A56}"/>
    <cellStyle name="Normal 10 2 2 2 4 2 4 2 2 4" xfId="5512" xr:uid="{208A24E5-C657-4C08-A861-89D73569FC39}"/>
    <cellStyle name="Normal 10 2 2 2 4 2 4 2 3" xfId="5513" xr:uid="{75DB67E2-CC96-4654-A59F-AFF304C60EC4}"/>
    <cellStyle name="Normal 10 2 2 2 4 2 4 2 3 2" xfId="5514" xr:uid="{985B5891-5EE0-4937-9AD4-215C45EB0846}"/>
    <cellStyle name="Normal 10 2 2 2 4 2 4 2 3 2 2" xfId="5515" xr:uid="{6009B34F-036B-4E0E-9D01-72D79484249B}"/>
    <cellStyle name="Normal 10 2 2 2 4 2 4 2 3 3" xfId="5516" xr:uid="{71C482E3-5AF9-439B-A93C-009F32B38857}"/>
    <cellStyle name="Normal 10 2 2 2 4 2 4 2 4" xfId="5517" xr:uid="{5537C50C-7DFF-41FE-AFE4-3933A48C1AAE}"/>
    <cellStyle name="Normal 10 2 2 2 4 2 4 2 4 2" xfId="5518" xr:uid="{ECA71C99-C21B-47D8-8EAB-41E7892E7F67}"/>
    <cellStyle name="Normal 10 2 2 2 4 2 4 2 5" xfId="5519" xr:uid="{93E843A7-D9BD-44B1-911A-40CA7C76EE6E}"/>
    <cellStyle name="Normal 10 2 2 2 4 2 4 3" xfId="5520" xr:uid="{60C65B80-710F-4D6B-9F8A-D2A5439F0B72}"/>
    <cellStyle name="Normal 10 2 2 2 4 2 4 3 2" xfId="5521" xr:uid="{F3B68398-4BA0-4B92-9CF1-98B90B72C8A0}"/>
    <cellStyle name="Normal 10 2 2 2 4 2 4 3 2 2" xfId="5522" xr:uid="{1B782E1D-1B02-42CF-AE6C-3C2E6C9CC74E}"/>
    <cellStyle name="Normal 10 2 2 2 4 2 4 3 2 2 2" xfId="5523" xr:uid="{6E2EAE5E-73BD-46BE-BFFD-092FC3E12932}"/>
    <cellStyle name="Normal 10 2 2 2 4 2 4 3 2 3" xfId="5524" xr:uid="{9073539B-CC8E-435E-B056-C2A7790F67BF}"/>
    <cellStyle name="Normal 10 2 2 2 4 2 4 3 3" xfId="5525" xr:uid="{38C9E9A5-EEA0-4D11-A4FC-D3EB8EB5B0FD}"/>
    <cellStyle name="Normal 10 2 2 2 4 2 4 3 3 2" xfId="5526" xr:uid="{6D736BDB-31F1-46A8-83C7-D8BC2C506856}"/>
    <cellStyle name="Normal 10 2 2 2 4 2 4 3 4" xfId="5527" xr:uid="{559ECEE0-6510-4021-8FEB-840C312485D6}"/>
    <cellStyle name="Normal 10 2 2 2 4 2 4 4" xfId="5528" xr:uid="{14CFBC66-85F7-4640-8709-D28248194310}"/>
    <cellStyle name="Normal 10 2 2 2 4 2 4 4 2" xfId="5529" xr:uid="{B92A8797-C663-445D-98EF-610D5B98B4A6}"/>
    <cellStyle name="Normal 10 2 2 2 4 2 4 4 2 2" xfId="5530" xr:uid="{A9E5FF0F-5D1C-455F-822D-AD88E6BBC674}"/>
    <cellStyle name="Normal 10 2 2 2 4 2 4 4 3" xfId="5531" xr:uid="{5F5AE245-377F-4149-B787-E1038F14992C}"/>
    <cellStyle name="Normal 10 2 2 2 4 2 4 5" xfId="5532" xr:uid="{79F9118A-1A2C-468A-88D4-20027ADD86F8}"/>
    <cellStyle name="Normal 10 2 2 2 4 2 4 5 2" xfId="5533" xr:uid="{C6626050-59C2-4F2C-873B-B96D16720714}"/>
    <cellStyle name="Normal 10 2 2 2 4 2 4 6" xfId="5534" xr:uid="{8A4939C6-62D4-4907-9BAA-0D606E2FD46F}"/>
    <cellStyle name="Normal 10 2 2 2 4 2 5" xfId="5535" xr:uid="{A459C7F8-B39A-481F-A6EE-8DF5B3395F81}"/>
    <cellStyle name="Normal 10 2 2 2 4 2 5 2" xfId="5536" xr:uid="{3F6E636D-CA50-4A10-8B51-DB4D2861D3F6}"/>
    <cellStyle name="Normal 10 2 2 2 4 2 5 2 2" xfId="5537" xr:uid="{1AAB8DFD-6E43-43C7-A3B6-ABFB006A266A}"/>
    <cellStyle name="Normal 10 2 2 2 4 2 5 2 2 2" xfId="5538" xr:uid="{8BD9A2A0-4A23-402B-9CC0-8FCE361B60ED}"/>
    <cellStyle name="Normal 10 2 2 2 4 2 5 2 2 2 2" xfId="5539" xr:uid="{90C376AC-8E3C-4830-8CA9-6C7D2FB117F9}"/>
    <cellStyle name="Normal 10 2 2 2 4 2 5 2 2 3" xfId="5540" xr:uid="{692BCE17-8D82-40C9-83A3-53924E4F2E39}"/>
    <cellStyle name="Normal 10 2 2 2 4 2 5 2 3" xfId="5541" xr:uid="{2DAE10DF-9D08-45F1-8225-DA3B7114F3B5}"/>
    <cellStyle name="Normal 10 2 2 2 4 2 5 2 3 2" xfId="5542" xr:uid="{4769F8C0-02D5-4CFA-9B53-94AB2CA1DE1D}"/>
    <cellStyle name="Normal 10 2 2 2 4 2 5 2 4" xfId="5543" xr:uid="{AF6F525A-17F8-4C1E-9146-8F64B3423956}"/>
    <cellStyle name="Normal 10 2 2 2 4 2 5 3" xfId="5544" xr:uid="{AAFD4473-2AEF-450C-A310-1141CF4A616B}"/>
    <cellStyle name="Normal 10 2 2 2 4 2 5 3 2" xfId="5545" xr:uid="{1AF25957-8486-432E-946E-8CE0DC464F44}"/>
    <cellStyle name="Normal 10 2 2 2 4 2 5 3 2 2" xfId="5546" xr:uid="{9C4C90F6-F549-4AF7-9945-E0F692729633}"/>
    <cellStyle name="Normal 10 2 2 2 4 2 5 3 3" xfId="5547" xr:uid="{46CB4F72-4324-4278-981D-BD850D0B4930}"/>
    <cellStyle name="Normal 10 2 2 2 4 2 5 4" xfId="5548" xr:uid="{FD7802CB-FB86-4761-9701-B6C4E239C513}"/>
    <cellStyle name="Normal 10 2 2 2 4 2 5 4 2" xfId="5549" xr:uid="{CFF51320-4FF8-444C-A632-C9009AD81795}"/>
    <cellStyle name="Normal 10 2 2 2 4 2 5 5" xfId="5550" xr:uid="{E164C90D-406D-4728-A6F9-FC1247F1955F}"/>
    <cellStyle name="Normal 10 2 2 2 4 2 6" xfId="5551" xr:uid="{482C57AC-BE93-43D1-865F-BDCF5FBFBC63}"/>
    <cellStyle name="Normal 10 2 2 2 4 2 6 2" xfId="5552" xr:uid="{D6222E50-8955-489B-94ED-C7B3D3DE7D12}"/>
    <cellStyle name="Normal 10 2 2 2 4 2 6 2 2" xfId="5553" xr:uid="{03368C7F-B0AB-4D6F-9EAB-6FF9500D01AE}"/>
    <cellStyle name="Normal 10 2 2 2 4 2 6 2 2 2" xfId="5554" xr:uid="{D70DE432-8E4A-4EDB-B47B-F1B387281636}"/>
    <cellStyle name="Normal 10 2 2 2 4 2 6 2 3" xfId="5555" xr:uid="{792077E5-5E28-4E44-B03B-B3C094A8712D}"/>
    <cellStyle name="Normal 10 2 2 2 4 2 6 3" xfId="5556" xr:uid="{0893F424-FC8D-485B-B177-820BCEAC0EE0}"/>
    <cellStyle name="Normal 10 2 2 2 4 2 6 3 2" xfId="5557" xr:uid="{3DAD263B-E93F-46A6-A06F-669BACB378BA}"/>
    <cellStyle name="Normal 10 2 2 2 4 2 6 4" xfId="5558" xr:uid="{31D13A9A-065E-4749-AFBE-BF2D482E5B0C}"/>
    <cellStyle name="Normal 10 2 2 2 4 2 7" xfId="5559" xr:uid="{AC867D53-2BDF-4176-813A-20C321E845F2}"/>
    <cellStyle name="Normal 10 2 2 2 4 2 7 2" xfId="5560" xr:uid="{1878E6E7-5FE0-4386-908D-A400B6164A6D}"/>
    <cellStyle name="Normal 10 2 2 2 4 2 7 2 2" xfId="5561" xr:uid="{86D06BBB-0E03-4506-B2FF-2E53DC07423A}"/>
    <cellStyle name="Normal 10 2 2 2 4 2 7 3" xfId="5562" xr:uid="{8370B1E1-0CA2-4CFA-B78D-FFB649D5324B}"/>
    <cellStyle name="Normal 10 2 2 2 4 2 8" xfId="5563" xr:uid="{2A93A288-0E42-42F6-BBB8-227398BA2083}"/>
    <cellStyle name="Normal 10 2 2 2 4 2 8 2" xfId="5564" xr:uid="{4F3B0863-894B-43C8-9408-588BF04B1F3F}"/>
    <cellStyle name="Normal 10 2 2 2 4 2 9" xfId="5565" xr:uid="{732F2F5A-F9A7-4445-9312-DFDA156A0E66}"/>
    <cellStyle name="Normal 10 2 2 2 4 3" xfId="497" xr:uid="{E0ED9DD6-6380-4140-B5BE-AB27912BF5E6}"/>
    <cellStyle name="Normal 10 2 2 2 4 3 2" xfId="5567" xr:uid="{5AF37D1C-B952-4442-8FED-7E38BD28A03D}"/>
    <cellStyle name="Normal 10 2 2 2 4 3 2 2" xfId="5568" xr:uid="{C56BD766-659A-4D6B-AB33-13AAB9551BBF}"/>
    <cellStyle name="Normal 10 2 2 2 4 3 2 2 2" xfId="5569" xr:uid="{84734760-32CD-4E2C-84FB-613690ED6298}"/>
    <cellStyle name="Normal 10 2 2 2 4 3 2 2 2 2" xfId="5570" xr:uid="{8A71D569-D546-40AD-BA8B-D7F173A4B630}"/>
    <cellStyle name="Normal 10 2 2 2 4 3 2 2 2 2 2" xfId="5571" xr:uid="{9A984122-CBD9-41EF-83EF-34B3DFF99819}"/>
    <cellStyle name="Normal 10 2 2 2 4 3 2 2 2 2 2 2" xfId="5572" xr:uid="{462DB675-ED30-4331-ACE9-095821244FD3}"/>
    <cellStyle name="Normal 10 2 2 2 4 3 2 2 2 2 2 2 2" xfId="5573" xr:uid="{B8674744-6884-45C5-A7C3-399B9AEEFFC1}"/>
    <cellStyle name="Normal 10 2 2 2 4 3 2 2 2 2 2 3" xfId="5574" xr:uid="{74A7E583-F800-40F5-912F-2509CC00A724}"/>
    <cellStyle name="Normal 10 2 2 2 4 3 2 2 2 2 3" xfId="5575" xr:uid="{6B8CA393-FBB1-4DE6-A107-A2C84D02E209}"/>
    <cellStyle name="Normal 10 2 2 2 4 3 2 2 2 2 3 2" xfId="5576" xr:uid="{7A0CD01A-9FE1-484E-8E3A-61F18A8E34AF}"/>
    <cellStyle name="Normal 10 2 2 2 4 3 2 2 2 2 4" xfId="5577" xr:uid="{9126999A-F95A-478C-88FA-68B5635CC1AC}"/>
    <cellStyle name="Normal 10 2 2 2 4 3 2 2 2 3" xfId="5578" xr:uid="{48596DD3-61D4-441D-A392-BD60DB3B9BE4}"/>
    <cellStyle name="Normal 10 2 2 2 4 3 2 2 2 3 2" xfId="5579" xr:uid="{7055C086-4E3F-44AF-B497-75162848E672}"/>
    <cellStyle name="Normal 10 2 2 2 4 3 2 2 2 3 2 2" xfId="5580" xr:uid="{78253C61-80F4-4180-99DC-B1757127FFA3}"/>
    <cellStyle name="Normal 10 2 2 2 4 3 2 2 2 3 3" xfId="5581" xr:uid="{483AC143-8E93-4143-8D4D-6F1CF12F2408}"/>
    <cellStyle name="Normal 10 2 2 2 4 3 2 2 2 4" xfId="5582" xr:uid="{9FCCAB2C-4F64-448C-A38D-2F358A04C41A}"/>
    <cellStyle name="Normal 10 2 2 2 4 3 2 2 2 4 2" xfId="5583" xr:uid="{4752CB4C-E1E0-41E4-BBDA-0B93469F0298}"/>
    <cellStyle name="Normal 10 2 2 2 4 3 2 2 2 5" xfId="5584" xr:uid="{24420C90-5381-4C52-8577-52389E0D512C}"/>
    <cellStyle name="Normal 10 2 2 2 4 3 2 2 3" xfId="5585" xr:uid="{01EE3F1D-FF02-4249-A15C-726D02B10236}"/>
    <cellStyle name="Normal 10 2 2 2 4 3 2 2 3 2" xfId="5586" xr:uid="{A391618B-719C-4123-8420-68373925DADD}"/>
    <cellStyle name="Normal 10 2 2 2 4 3 2 2 3 2 2" xfId="5587" xr:uid="{178A443B-CC0F-4585-9114-4255D5B3F026}"/>
    <cellStyle name="Normal 10 2 2 2 4 3 2 2 3 2 2 2" xfId="5588" xr:uid="{F3E7CE83-EC17-4531-8694-30FBEF2C540E}"/>
    <cellStyle name="Normal 10 2 2 2 4 3 2 2 3 2 3" xfId="5589" xr:uid="{B869F4DF-16D5-4B72-9F70-85F7132E9D7F}"/>
    <cellStyle name="Normal 10 2 2 2 4 3 2 2 3 3" xfId="5590" xr:uid="{E62151EE-325E-4F91-859F-13241C098810}"/>
    <cellStyle name="Normal 10 2 2 2 4 3 2 2 3 3 2" xfId="5591" xr:uid="{5718F996-DCC0-4633-ACEB-63D9723F1BBD}"/>
    <cellStyle name="Normal 10 2 2 2 4 3 2 2 3 4" xfId="5592" xr:uid="{A6BE94B1-C585-4392-BF48-CC57680BC7F6}"/>
    <cellStyle name="Normal 10 2 2 2 4 3 2 2 4" xfId="5593" xr:uid="{3000952E-540E-4324-9D31-3B51BD59BFFA}"/>
    <cellStyle name="Normal 10 2 2 2 4 3 2 2 4 2" xfId="5594" xr:uid="{B5C3C8DC-0AF5-4FF8-B0D9-7F66BF94A515}"/>
    <cellStyle name="Normal 10 2 2 2 4 3 2 2 4 2 2" xfId="5595" xr:uid="{A9E7F0FF-BE94-400C-B9E9-44B8F2220C90}"/>
    <cellStyle name="Normal 10 2 2 2 4 3 2 2 4 3" xfId="5596" xr:uid="{8FA6E247-5B63-4C0C-8C6A-E6D347251907}"/>
    <cellStyle name="Normal 10 2 2 2 4 3 2 2 5" xfId="5597" xr:uid="{07881ADD-921C-4FB3-A52F-7004D7C75E52}"/>
    <cellStyle name="Normal 10 2 2 2 4 3 2 2 5 2" xfId="5598" xr:uid="{60717C00-71BE-4C78-9439-B489E1AAC1E7}"/>
    <cellStyle name="Normal 10 2 2 2 4 3 2 2 6" xfId="5599" xr:uid="{BBA40A22-8AC1-42B3-A47B-D59994633F6D}"/>
    <cellStyle name="Normal 10 2 2 2 4 3 2 3" xfId="5600" xr:uid="{2F8F8775-6481-4961-B627-72D59EF48B33}"/>
    <cellStyle name="Normal 10 2 2 2 4 3 2 3 2" xfId="5601" xr:uid="{FD0B2BEA-8B2F-4880-97C4-0644F5D11676}"/>
    <cellStyle name="Normal 10 2 2 2 4 3 2 3 2 2" xfId="5602" xr:uid="{0B83FDF0-EB52-4103-BD6A-97E0884F9D6F}"/>
    <cellStyle name="Normal 10 2 2 2 4 3 2 3 2 2 2" xfId="5603" xr:uid="{670F1F14-0A0A-4ACC-90BE-1B20B170D25E}"/>
    <cellStyle name="Normal 10 2 2 2 4 3 2 3 2 2 2 2" xfId="5604" xr:uid="{DFD1876D-9E06-4180-9E4F-39887B124086}"/>
    <cellStyle name="Normal 10 2 2 2 4 3 2 3 2 2 3" xfId="5605" xr:uid="{401B3B92-FC34-48D5-9491-5E082A71D597}"/>
    <cellStyle name="Normal 10 2 2 2 4 3 2 3 2 3" xfId="5606" xr:uid="{1451342E-B4F7-4F2C-8908-3BF133474EE5}"/>
    <cellStyle name="Normal 10 2 2 2 4 3 2 3 2 3 2" xfId="5607" xr:uid="{ED444F02-471F-49FE-87AC-8B5ACC7BE4FD}"/>
    <cellStyle name="Normal 10 2 2 2 4 3 2 3 2 4" xfId="5608" xr:uid="{C9BB3C68-F58A-47A4-9627-8766358489B0}"/>
    <cellStyle name="Normal 10 2 2 2 4 3 2 3 3" xfId="5609" xr:uid="{9DA416FF-39FC-493C-BD05-260F71CA89A5}"/>
    <cellStyle name="Normal 10 2 2 2 4 3 2 3 3 2" xfId="5610" xr:uid="{3D2F8531-8BA7-484E-8771-DBA7F7576439}"/>
    <cellStyle name="Normal 10 2 2 2 4 3 2 3 3 2 2" xfId="5611" xr:uid="{FA428BFC-0ED8-41C2-B54D-D8282BD292F4}"/>
    <cellStyle name="Normal 10 2 2 2 4 3 2 3 3 3" xfId="5612" xr:uid="{ECDF74C1-19C3-4067-9BF8-C8255FB2C926}"/>
    <cellStyle name="Normal 10 2 2 2 4 3 2 3 4" xfId="5613" xr:uid="{246C49E3-25C5-4E4C-8492-BB7DBA68758F}"/>
    <cellStyle name="Normal 10 2 2 2 4 3 2 3 4 2" xfId="5614" xr:uid="{A579D432-F917-4179-AA99-BE7FB0363980}"/>
    <cellStyle name="Normal 10 2 2 2 4 3 2 3 5" xfId="5615" xr:uid="{2ADCC548-42B6-450C-BD49-565CC62FEE48}"/>
    <cellStyle name="Normal 10 2 2 2 4 3 2 4" xfId="5616" xr:uid="{EE27835D-1BE7-474C-92AC-3E2376512FAB}"/>
    <cellStyle name="Normal 10 2 2 2 4 3 2 4 2" xfId="5617" xr:uid="{E9EBE69C-2EA5-4BAF-8DA7-219733ABE99F}"/>
    <cellStyle name="Normal 10 2 2 2 4 3 2 4 2 2" xfId="5618" xr:uid="{CFC7391A-4186-471A-A206-E9EDE05CE588}"/>
    <cellStyle name="Normal 10 2 2 2 4 3 2 4 2 2 2" xfId="5619" xr:uid="{CCC3056A-9E06-427F-8FC3-2CE58F224F55}"/>
    <cellStyle name="Normal 10 2 2 2 4 3 2 4 2 3" xfId="5620" xr:uid="{C5A0DA07-F0F0-4312-ADEE-8BC9FB668F0C}"/>
    <cellStyle name="Normal 10 2 2 2 4 3 2 4 3" xfId="5621" xr:uid="{C78B56DB-4672-4E6A-BBC4-BF0DA33AEACB}"/>
    <cellStyle name="Normal 10 2 2 2 4 3 2 4 3 2" xfId="5622" xr:uid="{F1C64557-0164-49CD-8E74-C5BCA2639AB1}"/>
    <cellStyle name="Normal 10 2 2 2 4 3 2 4 4" xfId="5623" xr:uid="{F8FB132E-ACA5-41B7-B612-195B2E737306}"/>
    <cellStyle name="Normal 10 2 2 2 4 3 2 5" xfId="5624" xr:uid="{7412BA47-4D58-4C35-9BA3-48DF5F504E0B}"/>
    <cellStyle name="Normal 10 2 2 2 4 3 2 5 2" xfId="5625" xr:uid="{655D7A9F-BDA4-4164-8385-B1F86820C7D3}"/>
    <cellStyle name="Normal 10 2 2 2 4 3 2 5 2 2" xfId="5626" xr:uid="{6258E2A1-09C0-4366-9909-22519B0BDEE6}"/>
    <cellStyle name="Normal 10 2 2 2 4 3 2 5 3" xfId="5627" xr:uid="{E75F2E3E-AE4F-4F18-ACE9-EC616FEB0AD5}"/>
    <cellStyle name="Normal 10 2 2 2 4 3 2 6" xfId="5628" xr:uid="{386A4153-BEEA-4341-AA81-0D3CDCE3740D}"/>
    <cellStyle name="Normal 10 2 2 2 4 3 2 6 2" xfId="5629" xr:uid="{6E2E8045-ED8C-4E1F-AA8A-F0590FEFA1C8}"/>
    <cellStyle name="Normal 10 2 2 2 4 3 2 7" xfId="5630" xr:uid="{C39B388B-36A9-4F8F-A13C-89CE2E511374}"/>
    <cellStyle name="Normal 10 2 2 2 4 3 3" xfId="5631" xr:uid="{29F98E80-365F-43E6-A280-937FB01EF95D}"/>
    <cellStyle name="Normal 10 2 2 2 4 3 3 2" xfId="5632" xr:uid="{CE4F4310-32BC-4FFB-BD49-E4F89EAEFAFF}"/>
    <cellStyle name="Normal 10 2 2 2 4 3 3 2 2" xfId="5633" xr:uid="{3B5548B2-758D-40D4-A326-DA6FDC7E8F9F}"/>
    <cellStyle name="Normal 10 2 2 2 4 3 3 2 2 2" xfId="5634" xr:uid="{DEDEF02F-E272-4874-8CA9-0A3E3FDE294B}"/>
    <cellStyle name="Normal 10 2 2 2 4 3 3 2 2 2 2" xfId="5635" xr:uid="{63600667-B83C-419C-959E-C0546D9B15EE}"/>
    <cellStyle name="Normal 10 2 2 2 4 3 3 2 2 2 2 2" xfId="5636" xr:uid="{32AFF619-9F4C-4924-8DA3-9EB53F848F6C}"/>
    <cellStyle name="Normal 10 2 2 2 4 3 3 2 2 2 3" xfId="5637" xr:uid="{BFF4C359-058B-42BE-97FF-1404411ABCC5}"/>
    <cellStyle name="Normal 10 2 2 2 4 3 3 2 2 3" xfId="5638" xr:uid="{F4B144F0-8B12-454D-A852-BF818143BD33}"/>
    <cellStyle name="Normal 10 2 2 2 4 3 3 2 2 3 2" xfId="5639" xr:uid="{393795E7-C9E7-4755-A57F-11B409598FB6}"/>
    <cellStyle name="Normal 10 2 2 2 4 3 3 2 2 4" xfId="5640" xr:uid="{A1AA77C6-B634-46EC-AB26-8570F93627FC}"/>
    <cellStyle name="Normal 10 2 2 2 4 3 3 2 3" xfId="5641" xr:uid="{500A7B9B-FD4C-43B9-9460-E39F2F5A314B}"/>
    <cellStyle name="Normal 10 2 2 2 4 3 3 2 3 2" xfId="5642" xr:uid="{85D978DF-6AF9-46F2-BD86-3803E95716F2}"/>
    <cellStyle name="Normal 10 2 2 2 4 3 3 2 3 2 2" xfId="5643" xr:uid="{BA74F10D-02BA-4EB0-A9CA-876C3EE502D0}"/>
    <cellStyle name="Normal 10 2 2 2 4 3 3 2 3 3" xfId="5644" xr:uid="{810EF3EC-6C3B-4EAF-8985-CDF52E88714B}"/>
    <cellStyle name="Normal 10 2 2 2 4 3 3 2 4" xfId="5645" xr:uid="{482896AB-DB39-4F31-ACB8-BDA97D84F281}"/>
    <cellStyle name="Normal 10 2 2 2 4 3 3 2 4 2" xfId="5646" xr:uid="{736612EC-91ED-412E-BE41-C58B8ADC9810}"/>
    <cellStyle name="Normal 10 2 2 2 4 3 3 2 5" xfId="5647" xr:uid="{680A93A3-9008-419C-A7A6-360B63B8F6B8}"/>
    <cellStyle name="Normal 10 2 2 2 4 3 3 3" xfId="5648" xr:uid="{295718C7-135B-4AA5-8585-FE33C4637910}"/>
    <cellStyle name="Normal 10 2 2 2 4 3 3 3 2" xfId="5649" xr:uid="{ACC24BEE-4D6F-482B-A65A-722C4ADE9649}"/>
    <cellStyle name="Normal 10 2 2 2 4 3 3 3 2 2" xfId="5650" xr:uid="{3200C74A-D813-4D78-9387-65286F254FE1}"/>
    <cellStyle name="Normal 10 2 2 2 4 3 3 3 2 2 2" xfId="5651" xr:uid="{8DB6604B-F0C0-4134-927D-FF80C4A5E9C6}"/>
    <cellStyle name="Normal 10 2 2 2 4 3 3 3 2 3" xfId="5652" xr:uid="{2740C44B-58E8-466F-A284-44558D386B07}"/>
    <cellStyle name="Normal 10 2 2 2 4 3 3 3 3" xfId="5653" xr:uid="{D76ACE93-86DD-4709-BDA1-DC6C1AE3A497}"/>
    <cellStyle name="Normal 10 2 2 2 4 3 3 3 3 2" xfId="5654" xr:uid="{2CF945C0-D769-4244-B039-7E9F463EB210}"/>
    <cellStyle name="Normal 10 2 2 2 4 3 3 3 4" xfId="5655" xr:uid="{4AE59A51-17B5-462B-A806-50FAF498B02F}"/>
    <cellStyle name="Normal 10 2 2 2 4 3 3 4" xfId="5656" xr:uid="{47A1D7B4-8828-43A6-B9B2-66AB688BD067}"/>
    <cellStyle name="Normal 10 2 2 2 4 3 3 4 2" xfId="5657" xr:uid="{DAC0C415-BCC7-4FC5-AB99-FB10A527AA1F}"/>
    <cellStyle name="Normal 10 2 2 2 4 3 3 4 2 2" xfId="5658" xr:uid="{5F770B57-50AA-4F7C-BD4F-B927A2572C66}"/>
    <cellStyle name="Normal 10 2 2 2 4 3 3 4 3" xfId="5659" xr:uid="{ABD77DE5-5FC0-4CBD-BC7C-70428772DBC1}"/>
    <cellStyle name="Normal 10 2 2 2 4 3 3 5" xfId="5660" xr:uid="{CFAEF22A-929F-4999-9C75-D42FA8F48D46}"/>
    <cellStyle name="Normal 10 2 2 2 4 3 3 5 2" xfId="5661" xr:uid="{04D2A7C8-312B-45E9-B75A-65E07ACC8026}"/>
    <cellStyle name="Normal 10 2 2 2 4 3 3 6" xfId="5662" xr:uid="{DB5A4AC1-AA57-4E9F-BCCD-85EEA1F05075}"/>
    <cellStyle name="Normal 10 2 2 2 4 3 4" xfId="5663" xr:uid="{452B6DE3-852D-4753-8734-A49078435732}"/>
    <cellStyle name="Normal 10 2 2 2 4 3 4 2" xfId="5664" xr:uid="{761BF524-0402-49A2-907D-072714CC4CE8}"/>
    <cellStyle name="Normal 10 2 2 2 4 3 4 2 2" xfId="5665" xr:uid="{40662CFF-2B01-406B-85D7-1BB970DB1F3E}"/>
    <cellStyle name="Normal 10 2 2 2 4 3 4 2 2 2" xfId="5666" xr:uid="{8C32323A-2A3E-4B3C-B050-007F7BABA43D}"/>
    <cellStyle name="Normal 10 2 2 2 4 3 4 2 2 2 2" xfId="5667" xr:uid="{A8AE12E8-CD10-4431-B398-3D8E8B62DD75}"/>
    <cellStyle name="Normal 10 2 2 2 4 3 4 2 2 3" xfId="5668" xr:uid="{97F22890-7A8F-45F6-A1A9-AE47F534E162}"/>
    <cellStyle name="Normal 10 2 2 2 4 3 4 2 3" xfId="5669" xr:uid="{37903413-6C47-443C-94B1-0BDAB8961C18}"/>
    <cellStyle name="Normal 10 2 2 2 4 3 4 2 3 2" xfId="5670" xr:uid="{A9D396B4-B264-4BF2-848D-4D948636F3A8}"/>
    <cellStyle name="Normal 10 2 2 2 4 3 4 2 4" xfId="5671" xr:uid="{0621F230-F40C-4863-B642-B4B406806D6B}"/>
    <cellStyle name="Normal 10 2 2 2 4 3 4 3" xfId="5672" xr:uid="{DD1FD4D8-FD5D-426A-A43D-3345FC69556B}"/>
    <cellStyle name="Normal 10 2 2 2 4 3 4 3 2" xfId="5673" xr:uid="{73930328-C331-4AD7-8BEC-1BAA2120C49C}"/>
    <cellStyle name="Normal 10 2 2 2 4 3 4 3 2 2" xfId="5674" xr:uid="{A84A160B-49C9-4643-A306-0BE670D3E593}"/>
    <cellStyle name="Normal 10 2 2 2 4 3 4 3 3" xfId="5675" xr:uid="{2B144BBD-CB3D-4806-BB06-51BD79AAEF0D}"/>
    <cellStyle name="Normal 10 2 2 2 4 3 4 4" xfId="5676" xr:uid="{87103910-2ED1-43FD-9CFD-8DF538905ADA}"/>
    <cellStyle name="Normal 10 2 2 2 4 3 4 4 2" xfId="5677" xr:uid="{4E280631-B19F-48FD-8104-FBAEB6AD08CE}"/>
    <cellStyle name="Normal 10 2 2 2 4 3 4 5" xfId="5678" xr:uid="{05A81650-FA39-4411-8289-AEF94DDA2B4B}"/>
    <cellStyle name="Normal 10 2 2 2 4 3 5" xfId="5679" xr:uid="{13ECA7C9-86F5-491C-A201-E02D4D8883A9}"/>
    <cellStyle name="Normal 10 2 2 2 4 3 5 2" xfId="5680" xr:uid="{2AB64EDB-5F00-4A81-A048-34B6C9188175}"/>
    <cellStyle name="Normal 10 2 2 2 4 3 5 2 2" xfId="5681" xr:uid="{2A0B8D57-54F1-409F-8794-CE2368F5767B}"/>
    <cellStyle name="Normal 10 2 2 2 4 3 5 2 2 2" xfId="5682" xr:uid="{8896B68B-2FBD-4988-8152-1BA8D149436F}"/>
    <cellStyle name="Normal 10 2 2 2 4 3 5 2 3" xfId="5683" xr:uid="{DA92254F-C2E4-4B5F-BD66-AD8905FE48F4}"/>
    <cellStyle name="Normal 10 2 2 2 4 3 5 3" xfId="5684" xr:uid="{93CEBA15-286F-4006-A23C-642DA26C7B86}"/>
    <cellStyle name="Normal 10 2 2 2 4 3 5 3 2" xfId="5685" xr:uid="{3B98089A-93E6-4DA6-AC62-849FEDF7D8A2}"/>
    <cellStyle name="Normal 10 2 2 2 4 3 5 4" xfId="5686" xr:uid="{0DDDA734-6CE6-4267-8746-C705905299A5}"/>
    <cellStyle name="Normal 10 2 2 2 4 3 6" xfId="5687" xr:uid="{BDDFBFD5-30C9-4587-8996-4B750005DB96}"/>
    <cellStyle name="Normal 10 2 2 2 4 3 6 2" xfId="5688" xr:uid="{455D0DCB-DE27-4686-B1AF-6C8C2A5DE441}"/>
    <cellStyle name="Normal 10 2 2 2 4 3 6 2 2" xfId="5689" xr:uid="{9CC63957-1E48-4DBF-A6B8-7BE2510EC46C}"/>
    <cellStyle name="Normal 10 2 2 2 4 3 6 3" xfId="5690" xr:uid="{63B29E5D-22F6-473D-B28D-236ABC81290E}"/>
    <cellStyle name="Normal 10 2 2 2 4 3 7" xfId="5691" xr:uid="{3C738B98-135A-4771-BD9A-87C6BB783189}"/>
    <cellStyle name="Normal 10 2 2 2 4 3 7 2" xfId="5692" xr:uid="{819A4147-E480-49E9-BEE4-7AC9F13CAA25}"/>
    <cellStyle name="Normal 10 2 2 2 4 3 8" xfId="5693" xr:uid="{A96B6B53-C7AD-4FB8-9F2C-C6E0D5A5CF3B}"/>
    <cellStyle name="Normal 10 2 2 2 4 3 9" xfId="5566" xr:uid="{FD536BF1-F7E5-4189-B12C-C74321BD070D}"/>
    <cellStyle name="Normal 10 2 2 2 4 4" xfId="5694" xr:uid="{AE5DFD25-385F-46A1-9AF1-144BFB541537}"/>
    <cellStyle name="Normal 10 2 2 2 4 4 2" xfId="5695" xr:uid="{8C399A16-B826-4144-8D5C-071DF0C6FA17}"/>
    <cellStyle name="Normal 10 2 2 2 4 4 2 2" xfId="5696" xr:uid="{C7035F99-1943-470D-89E9-4C7DDB294056}"/>
    <cellStyle name="Normal 10 2 2 2 4 4 2 2 2" xfId="5697" xr:uid="{4D338D86-9163-4A14-9106-B98368314075}"/>
    <cellStyle name="Normal 10 2 2 2 4 4 2 2 2 2" xfId="5698" xr:uid="{BCF18B36-E042-4727-83C3-5109873A6456}"/>
    <cellStyle name="Normal 10 2 2 2 4 4 2 2 2 2 2" xfId="5699" xr:uid="{5DFA2256-2665-4C7C-9F32-27DD226BDDCE}"/>
    <cellStyle name="Normal 10 2 2 2 4 4 2 2 2 2 2 2" xfId="5700" xr:uid="{EEBB2ADF-AA9B-4553-B21B-BA0408259347}"/>
    <cellStyle name="Normal 10 2 2 2 4 4 2 2 2 2 3" xfId="5701" xr:uid="{67A3F5C9-B4A6-434B-BB1A-BEBB91FF79BC}"/>
    <cellStyle name="Normal 10 2 2 2 4 4 2 2 2 3" xfId="5702" xr:uid="{B45E15EC-7A5C-492D-A832-6CE4EACD14BA}"/>
    <cellStyle name="Normal 10 2 2 2 4 4 2 2 2 3 2" xfId="5703" xr:uid="{74E251B8-7164-41FF-ADBF-5AB685C87FFD}"/>
    <cellStyle name="Normal 10 2 2 2 4 4 2 2 2 4" xfId="5704" xr:uid="{497BA1E1-A00C-4915-A041-9C1C52B6C50F}"/>
    <cellStyle name="Normal 10 2 2 2 4 4 2 2 3" xfId="5705" xr:uid="{499A78E7-6B11-431E-BE16-9B68C6D8689C}"/>
    <cellStyle name="Normal 10 2 2 2 4 4 2 2 3 2" xfId="5706" xr:uid="{E4C527B7-8CAA-4F82-A2E9-E9BC836C365B}"/>
    <cellStyle name="Normal 10 2 2 2 4 4 2 2 3 2 2" xfId="5707" xr:uid="{6DDE0378-E3B4-4BD9-A5F4-0C80807797ED}"/>
    <cellStyle name="Normal 10 2 2 2 4 4 2 2 3 3" xfId="5708" xr:uid="{4F95A346-ECC5-4613-B534-EF382F94671A}"/>
    <cellStyle name="Normal 10 2 2 2 4 4 2 2 4" xfId="5709" xr:uid="{BFF84EA9-6943-45A7-B065-410D5F580F02}"/>
    <cellStyle name="Normal 10 2 2 2 4 4 2 2 4 2" xfId="5710" xr:uid="{C138CBEA-5B6B-4724-99A3-FE9EFBF1E300}"/>
    <cellStyle name="Normal 10 2 2 2 4 4 2 2 5" xfId="5711" xr:uid="{E1951042-F295-4D32-BAF0-449D2E35038D}"/>
    <cellStyle name="Normal 10 2 2 2 4 4 2 3" xfId="5712" xr:uid="{DB5B9F72-7EA6-4D3B-92FB-B8AE2F5EA3F2}"/>
    <cellStyle name="Normal 10 2 2 2 4 4 2 3 2" xfId="5713" xr:uid="{1C8989B5-5433-43F9-9435-8AA58D7BD75D}"/>
    <cellStyle name="Normal 10 2 2 2 4 4 2 3 2 2" xfId="5714" xr:uid="{65B37BBD-044A-446F-84C0-2B0131D992ED}"/>
    <cellStyle name="Normal 10 2 2 2 4 4 2 3 2 2 2" xfId="5715" xr:uid="{DEF3C9DE-9FBD-4092-8500-8CC13962D7CF}"/>
    <cellStyle name="Normal 10 2 2 2 4 4 2 3 2 3" xfId="5716" xr:uid="{61CE94BE-ABA8-49F5-8A23-7E7C30749A1C}"/>
    <cellStyle name="Normal 10 2 2 2 4 4 2 3 3" xfId="5717" xr:uid="{D55EA533-FA3D-4C88-8CA9-7BF67BE390A3}"/>
    <cellStyle name="Normal 10 2 2 2 4 4 2 3 3 2" xfId="5718" xr:uid="{CEC6FE42-9363-4F71-9E2B-EDA1F8D3D571}"/>
    <cellStyle name="Normal 10 2 2 2 4 4 2 3 4" xfId="5719" xr:uid="{61BCE333-9A74-4B84-9607-4556B3D357D8}"/>
    <cellStyle name="Normal 10 2 2 2 4 4 2 4" xfId="5720" xr:uid="{F3340C4B-4C35-48AE-B4C3-0AC68C4EA839}"/>
    <cellStyle name="Normal 10 2 2 2 4 4 2 4 2" xfId="5721" xr:uid="{F0C53AC5-1EE2-406F-AB89-EDA78B4B50F2}"/>
    <cellStyle name="Normal 10 2 2 2 4 4 2 4 2 2" xfId="5722" xr:uid="{B7CBE7CE-40AE-407B-8CD7-981223569192}"/>
    <cellStyle name="Normal 10 2 2 2 4 4 2 4 3" xfId="5723" xr:uid="{5CE4A87B-DEBE-4E2D-BF7F-73A5F40D2397}"/>
    <cellStyle name="Normal 10 2 2 2 4 4 2 5" xfId="5724" xr:uid="{12302DFC-631B-4A78-BA2D-6918610DE285}"/>
    <cellStyle name="Normal 10 2 2 2 4 4 2 5 2" xfId="5725" xr:uid="{1FACD843-8400-49DE-949B-8FE7DFA83D14}"/>
    <cellStyle name="Normal 10 2 2 2 4 4 2 6" xfId="5726" xr:uid="{065513F2-4A73-4B5F-B4E4-DB5299631A3D}"/>
    <cellStyle name="Normal 10 2 2 2 4 4 3" xfId="5727" xr:uid="{AD3CF0DA-1053-4910-A084-A7DEFF9948B6}"/>
    <cellStyle name="Normal 10 2 2 2 4 4 3 2" xfId="5728" xr:uid="{C72F9865-1A76-47BD-BDC0-D8859EAD3AF6}"/>
    <cellStyle name="Normal 10 2 2 2 4 4 3 2 2" xfId="5729" xr:uid="{95DF2F9A-A03D-47E6-A81D-64A025B19614}"/>
    <cellStyle name="Normal 10 2 2 2 4 4 3 2 2 2" xfId="5730" xr:uid="{DD853D8B-9E31-4F9B-AB45-2933169A5454}"/>
    <cellStyle name="Normal 10 2 2 2 4 4 3 2 2 2 2" xfId="5731" xr:uid="{2306F0A3-8F33-43E9-AF6F-17EADB1A0B18}"/>
    <cellStyle name="Normal 10 2 2 2 4 4 3 2 2 3" xfId="5732" xr:uid="{5AD41984-51F3-4380-A24C-9FC802558F28}"/>
    <cellStyle name="Normal 10 2 2 2 4 4 3 2 3" xfId="5733" xr:uid="{38F9C3F6-17B7-49D0-8DFD-696058164372}"/>
    <cellStyle name="Normal 10 2 2 2 4 4 3 2 3 2" xfId="5734" xr:uid="{D2EDA4B7-71A6-4F05-B1C7-1A262262878B}"/>
    <cellStyle name="Normal 10 2 2 2 4 4 3 2 4" xfId="5735" xr:uid="{C1F2D0BF-CA80-4288-876B-5A2C02506E5F}"/>
    <cellStyle name="Normal 10 2 2 2 4 4 3 3" xfId="5736" xr:uid="{5A079F5F-F24C-47DF-9EBB-95986678F043}"/>
    <cellStyle name="Normal 10 2 2 2 4 4 3 3 2" xfId="5737" xr:uid="{AA772D2B-41F5-4833-A546-FB6BDFC9A1FF}"/>
    <cellStyle name="Normal 10 2 2 2 4 4 3 3 2 2" xfId="5738" xr:uid="{FA310125-6D19-4DDC-B7E7-469B02D5C398}"/>
    <cellStyle name="Normal 10 2 2 2 4 4 3 3 3" xfId="5739" xr:uid="{DC991DC4-252B-40F3-B131-DF7C9A1EE77D}"/>
    <cellStyle name="Normal 10 2 2 2 4 4 3 4" xfId="5740" xr:uid="{58CCC7F3-1AB3-4F18-B8AB-C148E8F050D3}"/>
    <cellStyle name="Normal 10 2 2 2 4 4 3 4 2" xfId="5741" xr:uid="{CE06E60D-6F07-47AF-8215-0D573009709A}"/>
    <cellStyle name="Normal 10 2 2 2 4 4 3 5" xfId="5742" xr:uid="{E081A8AC-C286-4EBC-8DAE-CD08D9B9E1F4}"/>
    <cellStyle name="Normal 10 2 2 2 4 4 4" xfId="5743" xr:uid="{45F62CD3-30A9-4A93-A3D6-6A7EB339AFFA}"/>
    <cellStyle name="Normal 10 2 2 2 4 4 4 2" xfId="5744" xr:uid="{7AB16183-0181-4F40-A472-80B6B042E261}"/>
    <cellStyle name="Normal 10 2 2 2 4 4 4 2 2" xfId="5745" xr:uid="{0F150F59-AC59-40DF-ADA1-93A802720851}"/>
    <cellStyle name="Normal 10 2 2 2 4 4 4 2 2 2" xfId="5746" xr:uid="{9537AA0F-92DA-4130-9CE1-67B05C417863}"/>
    <cellStyle name="Normal 10 2 2 2 4 4 4 2 3" xfId="5747" xr:uid="{E3BC096B-14DD-4F1C-9A2F-5FEF266956EF}"/>
    <cellStyle name="Normal 10 2 2 2 4 4 4 3" xfId="5748" xr:uid="{73FA2C58-E987-449D-9F6E-1B25F7989EDC}"/>
    <cellStyle name="Normal 10 2 2 2 4 4 4 3 2" xfId="5749" xr:uid="{9EE841EE-E9EA-4F7B-AAC6-BA10BD4A58CC}"/>
    <cellStyle name="Normal 10 2 2 2 4 4 4 4" xfId="5750" xr:uid="{0C4A7FBA-5BFB-4FDD-BFD3-40056F8D6677}"/>
    <cellStyle name="Normal 10 2 2 2 4 4 5" xfId="5751" xr:uid="{97A0DBE5-D04E-4A65-B697-D300240A234C}"/>
    <cellStyle name="Normal 10 2 2 2 4 4 5 2" xfId="5752" xr:uid="{35020080-C77F-47F2-AC0E-8414F878B6B4}"/>
    <cellStyle name="Normal 10 2 2 2 4 4 5 2 2" xfId="5753" xr:uid="{A0C70A1F-535E-4D7A-9686-4A9614BFD14B}"/>
    <cellStyle name="Normal 10 2 2 2 4 4 5 3" xfId="5754" xr:uid="{E7281017-11FE-4F5B-A554-5591F133F07A}"/>
    <cellStyle name="Normal 10 2 2 2 4 4 6" xfId="5755" xr:uid="{F710ACE1-0734-4B7B-8281-5508B545EEE7}"/>
    <cellStyle name="Normal 10 2 2 2 4 4 6 2" xfId="5756" xr:uid="{03074DF4-619D-4B2F-92F4-554074B239D6}"/>
    <cellStyle name="Normal 10 2 2 2 4 4 7" xfId="5757" xr:uid="{0F41B422-DB36-4A57-B620-C69C1A33F7FB}"/>
    <cellStyle name="Normal 10 2 2 2 4 5" xfId="5758" xr:uid="{9AB9AD2E-0D3E-4FB8-8EF5-2D54D917D6E2}"/>
    <cellStyle name="Normal 10 2 2 2 4 5 2" xfId="5759" xr:uid="{A70EDABC-94FB-416A-B42E-C9624F350863}"/>
    <cellStyle name="Normal 10 2 2 2 4 5 2 2" xfId="5760" xr:uid="{78047B7C-A15A-4025-92D7-B1D7677660D3}"/>
    <cellStyle name="Normal 10 2 2 2 4 5 2 2 2" xfId="5761" xr:uid="{0F5601EB-2359-448D-BA58-E4BFA604F556}"/>
    <cellStyle name="Normal 10 2 2 2 4 5 2 2 2 2" xfId="5762" xr:uid="{911616D0-5138-41A0-86B3-D8C5E4519144}"/>
    <cellStyle name="Normal 10 2 2 2 4 5 2 2 2 2 2" xfId="5763" xr:uid="{955B084D-BA9D-4E07-B45A-54B7E15D6C24}"/>
    <cellStyle name="Normal 10 2 2 2 4 5 2 2 2 3" xfId="5764" xr:uid="{096ADDD6-EBE0-4C39-ABAC-EA5F55BD358A}"/>
    <cellStyle name="Normal 10 2 2 2 4 5 2 2 3" xfId="5765" xr:uid="{D6147B93-AE42-43D4-B956-EE1A081B8019}"/>
    <cellStyle name="Normal 10 2 2 2 4 5 2 2 3 2" xfId="5766" xr:uid="{00A5455E-1F1C-4A14-876C-082C9D9A37F1}"/>
    <cellStyle name="Normal 10 2 2 2 4 5 2 2 4" xfId="5767" xr:uid="{634AC880-FED1-4DCA-B9D8-ABAC8E7DC720}"/>
    <cellStyle name="Normal 10 2 2 2 4 5 2 3" xfId="5768" xr:uid="{FA00D9E9-B46A-4877-B220-2FF9C5E06F5A}"/>
    <cellStyle name="Normal 10 2 2 2 4 5 2 3 2" xfId="5769" xr:uid="{3DB09F9B-F68F-4E1E-A3BE-D9C6411C9D01}"/>
    <cellStyle name="Normal 10 2 2 2 4 5 2 3 2 2" xfId="5770" xr:uid="{BDA36FDC-376F-4CA2-9125-C305CFC83467}"/>
    <cellStyle name="Normal 10 2 2 2 4 5 2 3 3" xfId="5771" xr:uid="{EE07305B-87C8-40FF-B546-E195CA844D39}"/>
    <cellStyle name="Normal 10 2 2 2 4 5 2 4" xfId="5772" xr:uid="{63130217-0331-40E7-9904-407CBC175F7D}"/>
    <cellStyle name="Normal 10 2 2 2 4 5 2 4 2" xfId="5773" xr:uid="{AF4422B5-A40E-43AE-BC0B-EE105918A3AB}"/>
    <cellStyle name="Normal 10 2 2 2 4 5 2 5" xfId="5774" xr:uid="{0F3F1925-608C-459D-931F-3D76C7008BB1}"/>
    <cellStyle name="Normal 10 2 2 2 4 5 3" xfId="5775" xr:uid="{37AD594C-AEFB-4B84-A6AC-408DB4393D9E}"/>
    <cellStyle name="Normal 10 2 2 2 4 5 3 2" xfId="5776" xr:uid="{0A3A3C50-00AE-43E8-B796-9BF5C58DC100}"/>
    <cellStyle name="Normal 10 2 2 2 4 5 3 2 2" xfId="5777" xr:uid="{8AE2FB6C-1521-404F-ACB9-179BA62D539E}"/>
    <cellStyle name="Normal 10 2 2 2 4 5 3 2 2 2" xfId="5778" xr:uid="{621EC568-AC4C-4ED5-A4F5-61D7D13CFE05}"/>
    <cellStyle name="Normal 10 2 2 2 4 5 3 2 3" xfId="5779" xr:uid="{6AC71549-D195-48EF-9D28-73F2840627D5}"/>
    <cellStyle name="Normal 10 2 2 2 4 5 3 3" xfId="5780" xr:uid="{81948230-DCBF-4307-A6ED-EB1B6F32317D}"/>
    <cellStyle name="Normal 10 2 2 2 4 5 3 3 2" xfId="5781" xr:uid="{4332E465-061B-4F7D-88DB-0F556990D0D7}"/>
    <cellStyle name="Normal 10 2 2 2 4 5 3 4" xfId="5782" xr:uid="{1974C10F-250C-4E75-B2BD-8DAD9D076596}"/>
    <cellStyle name="Normal 10 2 2 2 4 5 4" xfId="5783" xr:uid="{3CF2E0B0-85B0-4800-8615-E6777E59713F}"/>
    <cellStyle name="Normal 10 2 2 2 4 5 4 2" xfId="5784" xr:uid="{01E6FF2E-38FE-4618-878C-40A38E01EC65}"/>
    <cellStyle name="Normal 10 2 2 2 4 5 4 2 2" xfId="5785" xr:uid="{03487A96-F7F8-4F52-B09E-262E47EE5505}"/>
    <cellStyle name="Normal 10 2 2 2 4 5 4 3" xfId="5786" xr:uid="{EC9C060C-671C-48F3-9854-D2E51D4C80CD}"/>
    <cellStyle name="Normal 10 2 2 2 4 5 5" xfId="5787" xr:uid="{55CE2BF6-B6F5-43B7-B237-B1A239C145A2}"/>
    <cellStyle name="Normal 10 2 2 2 4 5 5 2" xfId="5788" xr:uid="{2EA92A0A-3A8F-452E-9BAB-A44A219ABD22}"/>
    <cellStyle name="Normal 10 2 2 2 4 5 6" xfId="5789" xr:uid="{0B3DBC91-C64D-46E9-8961-C5764C21354C}"/>
    <cellStyle name="Normal 10 2 2 2 4 6" xfId="5790" xr:uid="{8B5A2FD0-08FF-492A-944A-B741BC4BF939}"/>
    <cellStyle name="Normal 10 2 2 2 4 6 2" xfId="5791" xr:uid="{CB8D9C50-135C-4C30-B31C-5DBC50D1F584}"/>
    <cellStyle name="Normal 10 2 2 2 4 6 2 2" xfId="5792" xr:uid="{5C81C386-4F78-48A3-9A37-680DAE105AEA}"/>
    <cellStyle name="Normal 10 2 2 2 4 6 2 2 2" xfId="5793" xr:uid="{241F79B7-2B70-42FE-98E5-CE1E6AFB9502}"/>
    <cellStyle name="Normal 10 2 2 2 4 6 2 2 2 2" xfId="5794" xr:uid="{739E3CFD-48C6-4551-A9E5-5F74036F2A3F}"/>
    <cellStyle name="Normal 10 2 2 2 4 6 2 2 3" xfId="5795" xr:uid="{98F1D973-F4E4-4D3C-8F88-7D94CB8B69D8}"/>
    <cellStyle name="Normal 10 2 2 2 4 6 2 3" xfId="5796" xr:uid="{136612BA-0F00-4A96-A858-69D5D53699C2}"/>
    <cellStyle name="Normal 10 2 2 2 4 6 2 3 2" xfId="5797" xr:uid="{06942A63-B03A-4588-90CE-A1CBE4B0A4F2}"/>
    <cellStyle name="Normal 10 2 2 2 4 6 2 4" xfId="5798" xr:uid="{FFFF8671-5874-4115-9E76-18C116EA2788}"/>
    <cellStyle name="Normal 10 2 2 2 4 6 3" xfId="5799" xr:uid="{677E733F-7F17-452E-862F-B6598484116F}"/>
    <cellStyle name="Normal 10 2 2 2 4 6 3 2" xfId="5800" xr:uid="{0868B930-CB63-47D5-AB60-B47BCD7BAB6A}"/>
    <cellStyle name="Normal 10 2 2 2 4 6 3 2 2" xfId="5801" xr:uid="{E64474AF-9DB4-4BB3-84ED-6F62D1F50682}"/>
    <cellStyle name="Normal 10 2 2 2 4 6 3 3" xfId="5802" xr:uid="{D32378CA-799A-4B69-A70D-C049E9A0AEC4}"/>
    <cellStyle name="Normal 10 2 2 2 4 6 4" xfId="5803" xr:uid="{1B20EB5A-A652-4713-BAAE-919314F835CD}"/>
    <cellStyle name="Normal 10 2 2 2 4 6 4 2" xfId="5804" xr:uid="{AAE0215D-A893-44E3-8386-BAB7496934F2}"/>
    <cellStyle name="Normal 10 2 2 2 4 6 5" xfId="5805" xr:uid="{9E10D119-A6A3-4CF6-825C-21F161DC463F}"/>
    <cellStyle name="Normal 10 2 2 2 4 7" xfId="5806" xr:uid="{2FAE963D-B888-49A9-927A-7E8C70DF31F1}"/>
    <cellStyle name="Normal 10 2 2 2 4 7 2" xfId="5807" xr:uid="{3BF15898-EC75-440C-8600-E75A32B4F9C2}"/>
    <cellStyle name="Normal 10 2 2 2 4 7 2 2" xfId="5808" xr:uid="{031B4DA0-78DF-466F-B27B-D561076B9A7B}"/>
    <cellStyle name="Normal 10 2 2 2 4 7 2 2 2" xfId="5809" xr:uid="{47A81C90-222D-4BD9-808F-580C968B285E}"/>
    <cellStyle name="Normal 10 2 2 2 4 7 2 3" xfId="5810" xr:uid="{28B5D2FA-B78B-471A-8599-291C117C11AB}"/>
    <cellStyle name="Normal 10 2 2 2 4 7 3" xfId="5811" xr:uid="{F238DD96-48D2-47EF-BBAD-993B0FAD6526}"/>
    <cellStyle name="Normal 10 2 2 2 4 7 3 2" xfId="5812" xr:uid="{F6DCAEE8-5271-4D61-BE4D-C653D2D0F51A}"/>
    <cellStyle name="Normal 10 2 2 2 4 7 4" xfId="5813" xr:uid="{FF0AAD72-C10A-4001-AF4E-B03A36FC8FEA}"/>
    <cellStyle name="Normal 10 2 2 2 4 8" xfId="5814" xr:uid="{22F26D0D-98E8-41A4-9660-1CD6B5D02024}"/>
    <cellStyle name="Normal 10 2 2 2 4 8 2" xfId="5815" xr:uid="{E804F199-5F14-4508-9ABE-D078882B340E}"/>
    <cellStyle name="Normal 10 2 2 2 4 8 2 2" xfId="5816" xr:uid="{427F8496-21D1-4881-A8C9-52AA6F268033}"/>
    <cellStyle name="Normal 10 2 2 2 4 8 3" xfId="5817" xr:uid="{E564113F-2182-4CA7-8B11-85910CEB6811}"/>
    <cellStyle name="Normal 10 2 2 2 4 9" xfId="5818" xr:uid="{CDF259C5-0401-40FD-8900-C94DCFC92A71}"/>
    <cellStyle name="Normal 10 2 2 2 4 9 2" xfId="5819" xr:uid="{2101448A-B0DC-4C76-8555-7F3DA74E01A8}"/>
    <cellStyle name="Normal 10 2 2 2 5" xfId="278" xr:uid="{59637DBF-4951-4B65-BE36-0E469713B1DC}"/>
    <cellStyle name="Normal 10 2 2 2 5 10" xfId="5820" xr:uid="{D40ACCD0-F6BB-4F44-A36E-7D95DC679CE0}"/>
    <cellStyle name="Normal 10 2 2 2 5 11" xfId="545" xr:uid="{707EA286-4B13-49EA-B176-B0DCA7B1DCC1}"/>
    <cellStyle name="Normal 10 2 2 2 5 2" xfId="312" xr:uid="{570282ED-C81D-4EE5-9D43-02A38E75ADF5}"/>
    <cellStyle name="Normal 10 2 2 2 5 2 10" xfId="5821" xr:uid="{C2120CDE-765A-4366-979D-046A5233A1E0}"/>
    <cellStyle name="Normal 10 2 2 2 5 2 2" xfId="5822" xr:uid="{87B8715D-5DC7-45BC-B704-57CAC8080378}"/>
    <cellStyle name="Normal 10 2 2 2 5 2 2 2" xfId="5823" xr:uid="{1DBB9C6D-EA6B-4B17-8EC1-A52A4302E47C}"/>
    <cellStyle name="Normal 10 2 2 2 5 2 2 2 2" xfId="5824" xr:uid="{695F0898-AFDA-4D02-8B0E-7EE910848EE7}"/>
    <cellStyle name="Normal 10 2 2 2 5 2 2 2 2 2" xfId="5825" xr:uid="{935F409D-413A-4788-B6F1-308C69CFB223}"/>
    <cellStyle name="Normal 10 2 2 2 5 2 2 2 2 2 2" xfId="5826" xr:uid="{E9D92725-0382-46F9-9C3D-2B8E685E14F9}"/>
    <cellStyle name="Normal 10 2 2 2 5 2 2 2 2 2 2 2" xfId="5827" xr:uid="{6463B68B-47B9-4103-93D7-A49F752CE5AB}"/>
    <cellStyle name="Normal 10 2 2 2 5 2 2 2 2 2 2 2 2" xfId="5828" xr:uid="{8C927147-21CD-4971-AFAC-0A1A8C3A32DD}"/>
    <cellStyle name="Normal 10 2 2 2 5 2 2 2 2 2 2 2 2 2" xfId="5829" xr:uid="{DCF73C1E-7F59-4C7E-912E-9439A4057A2F}"/>
    <cellStyle name="Normal 10 2 2 2 5 2 2 2 2 2 2 2 3" xfId="5830" xr:uid="{0D6EBE08-533B-4364-91CC-F4183DF66798}"/>
    <cellStyle name="Normal 10 2 2 2 5 2 2 2 2 2 2 3" xfId="5831" xr:uid="{44E522C7-F3F3-4C7B-BBF2-5707556753BA}"/>
    <cellStyle name="Normal 10 2 2 2 5 2 2 2 2 2 2 3 2" xfId="5832" xr:uid="{098B5A88-53FB-478C-9ED3-27E715CD869D}"/>
    <cellStyle name="Normal 10 2 2 2 5 2 2 2 2 2 2 4" xfId="5833" xr:uid="{849CCFF8-2307-47B4-B8C4-C52AC361ECC5}"/>
    <cellStyle name="Normal 10 2 2 2 5 2 2 2 2 2 3" xfId="5834" xr:uid="{DCCEBFA6-57C3-477C-A4D7-3C032972EBB5}"/>
    <cellStyle name="Normal 10 2 2 2 5 2 2 2 2 2 3 2" xfId="5835" xr:uid="{598A5FF4-A810-43B5-B1BC-7D6FC0B0ED2A}"/>
    <cellStyle name="Normal 10 2 2 2 5 2 2 2 2 2 3 2 2" xfId="5836" xr:uid="{07EED854-EFA2-4FAD-A07B-7E125D797A25}"/>
    <cellStyle name="Normal 10 2 2 2 5 2 2 2 2 2 3 3" xfId="5837" xr:uid="{F0FCA65E-A83C-4427-BD5E-067546AC9B5A}"/>
    <cellStyle name="Normal 10 2 2 2 5 2 2 2 2 2 4" xfId="5838" xr:uid="{2E0D7C1F-EB9E-4921-9932-48D608DFB558}"/>
    <cellStyle name="Normal 10 2 2 2 5 2 2 2 2 2 4 2" xfId="5839" xr:uid="{2C798D91-FBC6-4BAE-97D0-949FA8C49D8C}"/>
    <cellStyle name="Normal 10 2 2 2 5 2 2 2 2 2 5" xfId="5840" xr:uid="{34821ACC-E680-41BC-B68C-025EC3E1F7CB}"/>
    <cellStyle name="Normal 10 2 2 2 5 2 2 2 2 3" xfId="5841" xr:uid="{53365896-1DEF-43F2-90BA-202F0E1AD3DA}"/>
    <cellStyle name="Normal 10 2 2 2 5 2 2 2 2 3 2" xfId="5842" xr:uid="{9BD2B628-6602-4CD1-A5FD-F29B8D8456A8}"/>
    <cellStyle name="Normal 10 2 2 2 5 2 2 2 2 3 2 2" xfId="5843" xr:uid="{B2921BB9-6D72-417C-9DC4-30533BF499A7}"/>
    <cellStyle name="Normal 10 2 2 2 5 2 2 2 2 3 2 2 2" xfId="5844" xr:uid="{D7055BEF-0995-4A43-9C69-1CAF3C183B41}"/>
    <cellStyle name="Normal 10 2 2 2 5 2 2 2 2 3 2 3" xfId="5845" xr:uid="{05331BA7-EF3B-4FEA-97D4-4C162AB51F41}"/>
    <cellStyle name="Normal 10 2 2 2 5 2 2 2 2 3 3" xfId="5846" xr:uid="{0E5B85B4-D839-4305-930A-77115652CD43}"/>
    <cellStyle name="Normal 10 2 2 2 5 2 2 2 2 3 3 2" xfId="5847" xr:uid="{D023811A-561D-4EC3-A7F2-EBB745D51E1D}"/>
    <cellStyle name="Normal 10 2 2 2 5 2 2 2 2 3 4" xfId="5848" xr:uid="{A94CAB61-223D-4FDA-92FD-5671BA6F26B5}"/>
    <cellStyle name="Normal 10 2 2 2 5 2 2 2 2 4" xfId="5849" xr:uid="{496E8410-84F2-43D8-9599-A7E1BF8A6367}"/>
    <cellStyle name="Normal 10 2 2 2 5 2 2 2 2 4 2" xfId="5850" xr:uid="{96AEF7F1-F524-4DD3-8CB4-CC5C932DCA41}"/>
    <cellStyle name="Normal 10 2 2 2 5 2 2 2 2 4 2 2" xfId="5851" xr:uid="{5D7FF65B-C0FF-43EB-A0B2-AD2FD34BE8E7}"/>
    <cellStyle name="Normal 10 2 2 2 5 2 2 2 2 4 3" xfId="5852" xr:uid="{F97755D9-F089-4DF9-9F7E-02FC53CA7834}"/>
    <cellStyle name="Normal 10 2 2 2 5 2 2 2 2 5" xfId="5853" xr:uid="{1C85B1EA-7A50-45AA-94E7-071B19FBA6AE}"/>
    <cellStyle name="Normal 10 2 2 2 5 2 2 2 2 5 2" xfId="5854" xr:uid="{73E0EE94-64D9-4853-82C7-8D48C76B5FF7}"/>
    <cellStyle name="Normal 10 2 2 2 5 2 2 2 2 6" xfId="5855" xr:uid="{EFE04496-52BF-48FC-BFD4-C50BEC626BAC}"/>
    <cellStyle name="Normal 10 2 2 2 5 2 2 2 3" xfId="5856" xr:uid="{20CB2C99-667C-4460-8F16-5F9DA18ED2D8}"/>
    <cellStyle name="Normal 10 2 2 2 5 2 2 2 3 2" xfId="5857" xr:uid="{3E79D771-90BC-4D82-B329-177EA9BFE7F9}"/>
    <cellStyle name="Normal 10 2 2 2 5 2 2 2 3 2 2" xfId="5858" xr:uid="{3A749649-7BB6-4028-8B2D-AD0E3A8DB85C}"/>
    <cellStyle name="Normal 10 2 2 2 5 2 2 2 3 2 2 2" xfId="5859" xr:uid="{42A5126B-8E70-4F00-BA6A-5D064E09B5B1}"/>
    <cellStyle name="Normal 10 2 2 2 5 2 2 2 3 2 2 2 2" xfId="5860" xr:uid="{424451A3-D1A7-41BC-85EE-26D25D3DED67}"/>
    <cellStyle name="Normal 10 2 2 2 5 2 2 2 3 2 2 3" xfId="5861" xr:uid="{B6DD34B8-914F-478F-B1C2-AD3852CAEDF3}"/>
    <cellStyle name="Normal 10 2 2 2 5 2 2 2 3 2 3" xfId="5862" xr:uid="{6E1C0FCB-4871-4398-B087-524078FBC78E}"/>
    <cellStyle name="Normal 10 2 2 2 5 2 2 2 3 2 3 2" xfId="5863" xr:uid="{5D6B9FA1-6493-4303-9861-ED09CD26EFBB}"/>
    <cellStyle name="Normal 10 2 2 2 5 2 2 2 3 2 4" xfId="5864" xr:uid="{20EF91CA-48C3-4658-A49D-1A06007CF970}"/>
    <cellStyle name="Normal 10 2 2 2 5 2 2 2 3 3" xfId="5865" xr:uid="{46FF293E-CD86-46D4-8223-E777F8C1A358}"/>
    <cellStyle name="Normal 10 2 2 2 5 2 2 2 3 3 2" xfId="5866" xr:uid="{2F9E2815-9ACE-4AB6-BBEE-48242436D9EB}"/>
    <cellStyle name="Normal 10 2 2 2 5 2 2 2 3 3 2 2" xfId="5867" xr:uid="{920772E3-7D37-426E-83FC-8B292F9AF025}"/>
    <cellStyle name="Normal 10 2 2 2 5 2 2 2 3 3 3" xfId="5868" xr:uid="{F554C4EB-4661-4528-BEAE-EA0084D7EC1D}"/>
    <cellStyle name="Normal 10 2 2 2 5 2 2 2 3 4" xfId="5869" xr:uid="{0C463775-0EAF-44A9-B124-D1807D7CE222}"/>
    <cellStyle name="Normal 10 2 2 2 5 2 2 2 3 4 2" xfId="5870" xr:uid="{DA0EE718-DEEA-4C6A-BE4B-36EA76D8DD2A}"/>
    <cellStyle name="Normal 10 2 2 2 5 2 2 2 3 5" xfId="5871" xr:uid="{7AC26CBD-AFC1-432A-ABAF-1E7C9894865D}"/>
    <cellStyle name="Normal 10 2 2 2 5 2 2 2 4" xfId="5872" xr:uid="{869B9AFD-A453-40B0-9C77-8AB17C8553E4}"/>
    <cellStyle name="Normal 10 2 2 2 5 2 2 2 4 2" xfId="5873" xr:uid="{8B82D106-1ABC-4A39-82EA-640AD2DAD6F4}"/>
    <cellStyle name="Normal 10 2 2 2 5 2 2 2 4 2 2" xfId="5874" xr:uid="{1AE46A32-12F1-4BE2-B324-DD21C31276B0}"/>
    <cellStyle name="Normal 10 2 2 2 5 2 2 2 4 2 2 2" xfId="5875" xr:uid="{D5E71666-132D-42F0-8BD9-5949EE75F148}"/>
    <cellStyle name="Normal 10 2 2 2 5 2 2 2 4 2 3" xfId="5876" xr:uid="{B2D9E0D4-7EC1-4B5E-AB52-EB02FCA07FE0}"/>
    <cellStyle name="Normal 10 2 2 2 5 2 2 2 4 3" xfId="5877" xr:uid="{7D581BFE-7196-4284-92D2-2FC17EF05685}"/>
    <cellStyle name="Normal 10 2 2 2 5 2 2 2 4 3 2" xfId="5878" xr:uid="{488BDF1B-88AE-4075-8BC0-07593C086389}"/>
    <cellStyle name="Normal 10 2 2 2 5 2 2 2 4 4" xfId="5879" xr:uid="{22E5B4DE-03EF-4D6E-8FA5-C6D827F61B73}"/>
    <cellStyle name="Normal 10 2 2 2 5 2 2 2 5" xfId="5880" xr:uid="{8E1AA68B-5276-44F2-8CBD-4EB34F6EB802}"/>
    <cellStyle name="Normal 10 2 2 2 5 2 2 2 5 2" xfId="5881" xr:uid="{E301E0EC-1912-4790-8B0A-00B377C30206}"/>
    <cellStyle name="Normal 10 2 2 2 5 2 2 2 5 2 2" xfId="5882" xr:uid="{4D574669-A3DA-4C10-AC24-BFD0C2CDBBE9}"/>
    <cellStyle name="Normal 10 2 2 2 5 2 2 2 5 3" xfId="5883" xr:uid="{1365487C-51A4-432D-BA73-CF55FCEA5C31}"/>
    <cellStyle name="Normal 10 2 2 2 5 2 2 2 6" xfId="5884" xr:uid="{98496AD5-53A2-4885-84DE-201B65CBC5F4}"/>
    <cellStyle name="Normal 10 2 2 2 5 2 2 2 6 2" xfId="5885" xr:uid="{A77144C0-2E7F-4F33-989B-E4CBCDAB03D7}"/>
    <cellStyle name="Normal 10 2 2 2 5 2 2 2 7" xfId="5886" xr:uid="{6643A1DE-A228-4773-8C62-4897A2384751}"/>
    <cellStyle name="Normal 10 2 2 2 5 2 2 3" xfId="5887" xr:uid="{DAF96176-B327-4DAB-A53A-AD503273CF91}"/>
    <cellStyle name="Normal 10 2 2 2 5 2 2 3 2" xfId="5888" xr:uid="{8003701C-A908-49E7-ACCD-7B341DD7DEF7}"/>
    <cellStyle name="Normal 10 2 2 2 5 2 2 3 2 2" xfId="5889" xr:uid="{8C51FE44-37F0-4B85-94B6-523114B183A5}"/>
    <cellStyle name="Normal 10 2 2 2 5 2 2 3 2 2 2" xfId="5890" xr:uid="{11C8EAE3-506D-4980-92A0-434EB25BDA67}"/>
    <cellStyle name="Normal 10 2 2 2 5 2 2 3 2 2 2 2" xfId="5891" xr:uid="{0286726B-50D8-4ABC-A4C3-5785598587E3}"/>
    <cellStyle name="Normal 10 2 2 2 5 2 2 3 2 2 2 2 2" xfId="5892" xr:uid="{0BECBC05-80BE-4345-832A-93B0B0CCBEB3}"/>
    <cellStyle name="Normal 10 2 2 2 5 2 2 3 2 2 2 3" xfId="5893" xr:uid="{1965FCA2-93FB-49D5-BE93-0E9202872A34}"/>
    <cellStyle name="Normal 10 2 2 2 5 2 2 3 2 2 3" xfId="5894" xr:uid="{2AE87995-8128-4B29-BFD4-E67B27B16009}"/>
    <cellStyle name="Normal 10 2 2 2 5 2 2 3 2 2 3 2" xfId="5895" xr:uid="{237F3B50-5754-4F4C-9606-37A7EC63ECAF}"/>
    <cellStyle name="Normal 10 2 2 2 5 2 2 3 2 2 4" xfId="5896" xr:uid="{044EA179-A696-4342-8055-BA72D29D224A}"/>
    <cellStyle name="Normal 10 2 2 2 5 2 2 3 2 3" xfId="5897" xr:uid="{63A2DF56-2EE4-46AC-9D1A-6A35086AE9F0}"/>
    <cellStyle name="Normal 10 2 2 2 5 2 2 3 2 3 2" xfId="5898" xr:uid="{DD6803FB-6D4D-44ED-8FD4-95853496F647}"/>
    <cellStyle name="Normal 10 2 2 2 5 2 2 3 2 3 2 2" xfId="5899" xr:uid="{D396EA07-0962-4AB5-9341-8DFDECBEE09C}"/>
    <cellStyle name="Normal 10 2 2 2 5 2 2 3 2 3 3" xfId="5900" xr:uid="{9A476D6D-047A-4119-A0DE-AE6E93D94A41}"/>
    <cellStyle name="Normal 10 2 2 2 5 2 2 3 2 4" xfId="5901" xr:uid="{447512F9-6724-43D7-8069-9E6188E22093}"/>
    <cellStyle name="Normal 10 2 2 2 5 2 2 3 2 4 2" xfId="5902" xr:uid="{1A6AFB57-9AFA-4F27-94E7-BE3D04532EA8}"/>
    <cellStyle name="Normal 10 2 2 2 5 2 2 3 2 5" xfId="5903" xr:uid="{23745984-34D7-4418-920B-343E9C48C081}"/>
    <cellStyle name="Normal 10 2 2 2 5 2 2 3 3" xfId="5904" xr:uid="{C4026AE2-EB44-43F6-AED0-A15D2B0C8E3D}"/>
    <cellStyle name="Normal 10 2 2 2 5 2 2 3 3 2" xfId="5905" xr:uid="{8B527D86-7614-46C5-8AF2-6F0BACF67CB8}"/>
    <cellStyle name="Normal 10 2 2 2 5 2 2 3 3 2 2" xfId="5906" xr:uid="{2A8F7E63-2435-4943-A47B-49CB52E9E7D8}"/>
    <cellStyle name="Normal 10 2 2 2 5 2 2 3 3 2 2 2" xfId="5907" xr:uid="{1D628B52-D080-4D61-AD91-CC10EF14DBC5}"/>
    <cellStyle name="Normal 10 2 2 2 5 2 2 3 3 2 3" xfId="5908" xr:uid="{AB063FF8-9CD8-4BCE-89F9-D0F746B2ADE0}"/>
    <cellStyle name="Normal 10 2 2 2 5 2 2 3 3 3" xfId="5909" xr:uid="{2E0BDE8F-556D-47ED-A230-433504EEE311}"/>
    <cellStyle name="Normal 10 2 2 2 5 2 2 3 3 3 2" xfId="5910" xr:uid="{CAC6EFFB-AAC1-4308-8FDA-C230C3B6E387}"/>
    <cellStyle name="Normal 10 2 2 2 5 2 2 3 3 4" xfId="5911" xr:uid="{D08F36A8-4FDE-49D4-8CF7-8BE0E0CD8AF9}"/>
    <cellStyle name="Normal 10 2 2 2 5 2 2 3 4" xfId="5912" xr:uid="{9E8AA303-7762-4B7A-A11E-77BDC957151D}"/>
    <cellStyle name="Normal 10 2 2 2 5 2 2 3 4 2" xfId="5913" xr:uid="{8E85C760-DAAC-4C5D-A158-7B0AFC912FD4}"/>
    <cellStyle name="Normal 10 2 2 2 5 2 2 3 4 2 2" xfId="5914" xr:uid="{468F4C2C-0776-4896-A114-9A7A97F94DC6}"/>
    <cellStyle name="Normal 10 2 2 2 5 2 2 3 4 3" xfId="5915" xr:uid="{6053C338-7991-4847-B296-85138EEF8AD8}"/>
    <cellStyle name="Normal 10 2 2 2 5 2 2 3 5" xfId="5916" xr:uid="{E76AF4E2-183F-4B5E-9876-47B2BA8F3533}"/>
    <cellStyle name="Normal 10 2 2 2 5 2 2 3 5 2" xfId="5917" xr:uid="{7447B9D6-BD2B-41FD-8854-61F6CD3052EC}"/>
    <cellStyle name="Normal 10 2 2 2 5 2 2 3 6" xfId="5918" xr:uid="{764B737A-DCB3-4A27-A5B2-656F7008A41C}"/>
    <cellStyle name="Normal 10 2 2 2 5 2 2 4" xfId="5919" xr:uid="{7B948497-4324-492C-A737-97727782E5D9}"/>
    <cellStyle name="Normal 10 2 2 2 5 2 2 4 2" xfId="5920" xr:uid="{CB3C0106-9255-4D1F-A2A6-3E45E8241A91}"/>
    <cellStyle name="Normal 10 2 2 2 5 2 2 4 2 2" xfId="5921" xr:uid="{E4E8D9BB-925F-4038-9A89-E9DBAE1A537E}"/>
    <cellStyle name="Normal 10 2 2 2 5 2 2 4 2 2 2" xfId="5922" xr:uid="{5764CC5D-88E3-4339-806F-4543E81E6940}"/>
    <cellStyle name="Normal 10 2 2 2 5 2 2 4 2 2 2 2" xfId="5923" xr:uid="{2CDEDA15-D02A-47FC-8BCF-AB20E13F8CF6}"/>
    <cellStyle name="Normal 10 2 2 2 5 2 2 4 2 2 3" xfId="5924" xr:uid="{CA722848-34CF-4D0B-A202-35C12B54FC32}"/>
    <cellStyle name="Normal 10 2 2 2 5 2 2 4 2 3" xfId="5925" xr:uid="{0989A72C-22BD-4338-9C03-2D7A587E532B}"/>
    <cellStyle name="Normal 10 2 2 2 5 2 2 4 2 3 2" xfId="5926" xr:uid="{4AF1C740-734B-4667-AC2E-D8AC373A9A73}"/>
    <cellStyle name="Normal 10 2 2 2 5 2 2 4 2 4" xfId="5927" xr:uid="{354EACB4-8F4E-4A2C-A820-D9A326420D7B}"/>
    <cellStyle name="Normal 10 2 2 2 5 2 2 4 3" xfId="5928" xr:uid="{9C8BC1C4-EE61-404C-A0A6-66F140B483DC}"/>
    <cellStyle name="Normal 10 2 2 2 5 2 2 4 3 2" xfId="5929" xr:uid="{966E8AB3-88FC-4B2E-8AFC-CF044F3B821A}"/>
    <cellStyle name="Normal 10 2 2 2 5 2 2 4 3 2 2" xfId="5930" xr:uid="{303671F7-260D-436C-B28F-286564B35130}"/>
    <cellStyle name="Normal 10 2 2 2 5 2 2 4 3 3" xfId="5931" xr:uid="{70F0CED3-1D4E-46F3-B5A9-6D3CA492B023}"/>
    <cellStyle name="Normal 10 2 2 2 5 2 2 4 4" xfId="5932" xr:uid="{C0C225C7-4FBF-40C2-B6EB-0BB4D69452B5}"/>
    <cellStyle name="Normal 10 2 2 2 5 2 2 4 4 2" xfId="5933" xr:uid="{4A5BEE3D-CE28-4556-AE72-B6DE193826E4}"/>
    <cellStyle name="Normal 10 2 2 2 5 2 2 4 5" xfId="5934" xr:uid="{8751AB31-048A-4725-8D49-383F8908B41B}"/>
    <cellStyle name="Normal 10 2 2 2 5 2 2 5" xfId="5935" xr:uid="{A52F1ED3-5039-4245-9E5F-25C3FC9FDFB6}"/>
    <cellStyle name="Normal 10 2 2 2 5 2 2 5 2" xfId="5936" xr:uid="{5E9376EC-39FC-419A-890E-AA7434533FD8}"/>
    <cellStyle name="Normal 10 2 2 2 5 2 2 5 2 2" xfId="5937" xr:uid="{68BAC212-8569-44FF-BE26-6A9A7D5E9B7F}"/>
    <cellStyle name="Normal 10 2 2 2 5 2 2 5 2 2 2" xfId="5938" xr:uid="{0FAAD728-7984-40C6-BA1F-A6F51D3955BE}"/>
    <cellStyle name="Normal 10 2 2 2 5 2 2 5 2 3" xfId="5939" xr:uid="{2A351521-8D16-4D53-A556-BBEB2BF637C1}"/>
    <cellStyle name="Normal 10 2 2 2 5 2 2 5 3" xfId="5940" xr:uid="{BC07C2DF-DF2E-487F-86EC-44AA836BCBFA}"/>
    <cellStyle name="Normal 10 2 2 2 5 2 2 5 3 2" xfId="5941" xr:uid="{D3AD785D-215B-49D0-BCE9-BD17878A385D}"/>
    <cellStyle name="Normal 10 2 2 2 5 2 2 5 4" xfId="5942" xr:uid="{0E8FCF39-E976-42CA-9C2F-64734C9312B4}"/>
    <cellStyle name="Normal 10 2 2 2 5 2 2 6" xfId="5943" xr:uid="{7F9D72BA-B5C8-48AD-BACE-CCB2A7330816}"/>
    <cellStyle name="Normal 10 2 2 2 5 2 2 6 2" xfId="5944" xr:uid="{1953FDF2-088C-42B0-9F6D-F12D8ED0295D}"/>
    <cellStyle name="Normal 10 2 2 2 5 2 2 6 2 2" xfId="5945" xr:uid="{5E3978B7-983B-46D5-99D8-93776CC15BB8}"/>
    <cellStyle name="Normal 10 2 2 2 5 2 2 6 3" xfId="5946" xr:uid="{38DE3DC3-C139-4A12-BDDE-C7AEB9CA6ED3}"/>
    <cellStyle name="Normal 10 2 2 2 5 2 2 7" xfId="5947" xr:uid="{2A48F421-4D1E-4961-B442-EFFF123EC535}"/>
    <cellStyle name="Normal 10 2 2 2 5 2 2 7 2" xfId="5948" xr:uid="{4A586E0C-6C6A-4115-9849-12978BABEBF3}"/>
    <cellStyle name="Normal 10 2 2 2 5 2 2 8" xfId="5949" xr:uid="{193347FF-EDE6-4E2D-8161-B602295FF4F8}"/>
    <cellStyle name="Normal 10 2 2 2 5 2 3" xfId="5950" xr:uid="{E756834A-CABF-4B6F-A7C7-EC8CE87DA23E}"/>
    <cellStyle name="Normal 10 2 2 2 5 2 3 2" xfId="5951" xr:uid="{E16905A1-4F98-4A2E-A250-866E4D090EB7}"/>
    <cellStyle name="Normal 10 2 2 2 5 2 3 2 2" xfId="5952" xr:uid="{9D7D9723-5C35-415F-BD21-E7503D1C6F94}"/>
    <cellStyle name="Normal 10 2 2 2 5 2 3 2 2 2" xfId="5953" xr:uid="{61D8876B-4889-4B01-B983-8B98C783A0A0}"/>
    <cellStyle name="Normal 10 2 2 2 5 2 3 2 2 2 2" xfId="5954" xr:uid="{8370F1FF-3E16-42D6-98C0-CBBB2F82AF67}"/>
    <cellStyle name="Normal 10 2 2 2 5 2 3 2 2 2 2 2" xfId="5955" xr:uid="{3FA8252B-516C-4848-A52D-F1FD49EF8D95}"/>
    <cellStyle name="Normal 10 2 2 2 5 2 3 2 2 2 2 2 2" xfId="5956" xr:uid="{CF5122D6-1EC3-48C4-952B-22DAABCE2F1A}"/>
    <cellStyle name="Normal 10 2 2 2 5 2 3 2 2 2 2 3" xfId="5957" xr:uid="{E17B502C-1E7D-41F8-8917-B948C1508900}"/>
    <cellStyle name="Normal 10 2 2 2 5 2 3 2 2 2 3" xfId="5958" xr:uid="{F8C67158-6D5D-4185-8C38-53D48C2924C8}"/>
    <cellStyle name="Normal 10 2 2 2 5 2 3 2 2 2 3 2" xfId="5959" xr:uid="{733EAA7E-50B8-4448-AF3A-4B78261B85A5}"/>
    <cellStyle name="Normal 10 2 2 2 5 2 3 2 2 2 4" xfId="5960" xr:uid="{CD332FCE-0E7C-421E-8D02-38DA0E6F9712}"/>
    <cellStyle name="Normal 10 2 2 2 5 2 3 2 2 3" xfId="5961" xr:uid="{AE538DC6-24B4-4F5F-8688-62F252CE107C}"/>
    <cellStyle name="Normal 10 2 2 2 5 2 3 2 2 3 2" xfId="5962" xr:uid="{969AB237-F18E-4F57-9C51-D9E01B2DECAF}"/>
    <cellStyle name="Normal 10 2 2 2 5 2 3 2 2 3 2 2" xfId="5963" xr:uid="{95BB809F-9A2A-4AAB-8018-6702C0645C70}"/>
    <cellStyle name="Normal 10 2 2 2 5 2 3 2 2 3 3" xfId="5964" xr:uid="{506CA847-82B5-45C4-80D4-ED386D730DF0}"/>
    <cellStyle name="Normal 10 2 2 2 5 2 3 2 2 4" xfId="5965" xr:uid="{39A2AAD9-8FC5-4362-BDC6-020DF8983EC1}"/>
    <cellStyle name="Normal 10 2 2 2 5 2 3 2 2 4 2" xfId="5966" xr:uid="{ECC6C24C-2F0F-4EAD-AC0B-5461091BA948}"/>
    <cellStyle name="Normal 10 2 2 2 5 2 3 2 2 5" xfId="5967" xr:uid="{7BE67260-B158-46E8-B85C-10E37D12FC9A}"/>
    <cellStyle name="Normal 10 2 2 2 5 2 3 2 3" xfId="5968" xr:uid="{6D167C4A-7E1F-4DC2-A1F3-7088587F0668}"/>
    <cellStyle name="Normal 10 2 2 2 5 2 3 2 3 2" xfId="5969" xr:uid="{5358051C-2A80-4692-A2FF-68B9C8AB6675}"/>
    <cellStyle name="Normal 10 2 2 2 5 2 3 2 3 2 2" xfId="5970" xr:uid="{D9F08DC9-0F37-434D-B1A7-BA58C441CE58}"/>
    <cellStyle name="Normal 10 2 2 2 5 2 3 2 3 2 2 2" xfId="5971" xr:uid="{A6942EFA-DD97-40F1-BCC2-5A70647744A2}"/>
    <cellStyle name="Normal 10 2 2 2 5 2 3 2 3 2 3" xfId="5972" xr:uid="{CB6265A0-C4B8-4365-83F5-604FE249AB3D}"/>
    <cellStyle name="Normal 10 2 2 2 5 2 3 2 3 3" xfId="5973" xr:uid="{83D77F2B-C2E9-459E-9952-51D757E29228}"/>
    <cellStyle name="Normal 10 2 2 2 5 2 3 2 3 3 2" xfId="5974" xr:uid="{F5670F2E-0183-4E55-A2DA-B326F03EB3F9}"/>
    <cellStyle name="Normal 10 2 2 2 5 2 3 2 3 4" xfId="5975" xr:uid="{09E1E1BE-E4F7-4CE0-8BE4-6AB8354692A1}"/>
    <cellStyle name="Normal 10 2 2 2 5 2 3 2 4" xfId="5976" xr:uid="{DA569E79-444F-46BF-96B8-A9E91EB40068}"/>
    <cellStyle name="Normal 10 2 2 2 5 2 3 2 4 2" xfId="5977" xr:uid="{CDA4E5CA-D018-46AA-B488-C108E7EF3678}"/>
    <cellStyle name="Normal 10 2 2 2 5 2 3 2 4 2 2" xfId="5978" xr:uid="{CFC4D530-CC7D-40C3-8033-95DCA7FB0903}"/>
    <cellStyle name="Normal 10 2 2 2 5 2 3 2 4 3" xfId="5979" xr:uid="{0C1AF60A-8CDD-45DB-8FC3-FD97F34B69D3}"/>
    <cellStyle name="Normal 10 2 2 2 5 2 3 2 5" xfId="5980" xr:uid="{7A8113E5-A690-422C-AD80-00B0D6322FD5}"/>
    <cellStyle name="Normal 10 2 2 2 5 2 3 2 5 2" xfId="5981" xr:uid="{451777E5-809D-402D-888B-2545A4769C9C}"/>
    <cellStyle name="Normal 10 2 2 2 5 2 3 2 6" xfId="5982" xr:uid="{7D1D56BF-A251-46DF-8C3F-D559DCA2F35B}"/>
    <cellStyle name="Normal 10 2 2 2 5 2 3 3" xfId="5983" xr:uid="{F23A6453-6637-4EDB-92D6-806673F915B4}"/>
    <cellStyle name="Normal 10 2 2 2 5 2 3 3 2" xfId="5984" xr:uid="{605E1115-B981-4CCF-A3A8-C223484719B8}"/>
    <cellStyle name="Normal 10 2 2 2 5 2 3 3 2 2" xfId="5985" xr:uid="{2E0A4381-48FB-4034-B926-D672FB6BBD5D}"/>
    <cellStyle name="Normal 10 2 2 2 5 2 3 3 2 2 2" xfId="5986" xr:uid="{0DDFF8B3-0A16-4D78-9399-A98E1A61189F}"/>
    <cellStyle name="Normal 10 2 2 2 5 2 3 3 2 2 2 2" xfId="5987" xr:uid="{9936EA4D-EED0-46B7-A224-031ACB2D45B1}"/>
    <cellStyle name="Normal 10 2 2 2 5 2 3 3 2 2 3" xfId="5988" xr:uid="{891E2175-4B28-4DBC-8C97-A43D41E77869}"/>
    <cellStyle name="Normal 10 2 2 2 5 2 3 3 2 3" xfId="5989" xr:uid="{620FE222-862A-4381-A39E-A66C4C3BA869}"/>
    <cellStyle name="Normal 10 2 2 2 5 2 3 3 2 3 2" xfId="5990" xr:uid="{8F89E99C-8669-4B35-B27F-AFFA72BA3ACA}"/>
    <cellStyle name="Normal 10 2 2 2 5 2 3 3 2 4" xfId="5991" xr:uid="{22CFBB62-3F81-4B76-802E-592D3C8A0A36}"/>
    <cellStyle name="Normal 10 2 2 2 5 2 3 3 3" xfId="5992" xr:uid="{97B6AE85-8F03-4D3D-9C71-281A88F1A116}"/>
    <cellStyle name="Normal 10 2 2 2 5 2 3 3 3 2" xfId="5993" xr:uid="{0BB3B05A-C459-427D-A11F-D50661784183}"/>
    <cellStyle name="Normal 10 2 2 2 5 2 3 3 3 2 2" xfId="5994" xr:uid="{D1E8C60D-A866-4431-B100-5C4DBDACB146}"/>
    <cellStyle name="Normal 10 2 2 2 5 2 3 3 3 3" xfId="5995" xr:uid="{C4FC5F62-3C0D-4C3B-B486-DE47ABF7379D}"/>
    <cellStyle name="Normal 10 2 2 2 5 2 3 3 4" xfId="5996" xr:uid="{54397DAD-02AA-419F-9224-AA027A72D132}"/>
    <cellStyle name="Normal 10 2 2 2 5 2 3 3 4 2" xfId="5997" xr:uid="{F66B4891-327C-4A75-A4AD-493049F679EB}"/>
    <cellStyle name="Normal 10 2 2 2 5 2 3 3 5" xfId="5998" xr:uid="{724588AE-47CC-421B-A913-1DD6B6C5B4B5}"/>
    <cellStyle name="Normal 10 2 2 2 5 2 3 4" xfId="5999" xr:uid="{55CA08A0-CEBD-48FC-A7ED-E12B453736EF}"/>
    <cellStyle name="Normal 10 2 2 2 5 2 3 4 2" xfId="6000" xr:uid="{E2F6BA5C-41FF-4A42-9A30-E344E8A96506}"/>
    <cellStyle name="Normal 10 2 2 2 5 2 3 4 2 2" xfId="6001" xr:uid="{8494A9F4-97BB-4427-BFD5-4C6385A53CE6}"/>
    <cellStyle name="Normal 10 2 2 2 5 2 3 4 2 2 2" xfId="6002" xr:uid="{7A5A82D0-23CD-4743-8D85-D14603DF7A1E}"/>
    <cellStyle name="Normal 10 2 2 2 5 2 3 4 2 3" xfId="6003" xr:uid="{A8971ED4-C4AA-4C61-9C79-4912F1726D73}"/>
    <cellStyle name="Normal 10 2 2 2 5 2 3 4 3" xfId="6004" xr:uid="{A3D3840E-1F78-4DC0-8168-417D2A590C58}"/>
    <cellStyle name="Normal 10 2 2 2 5 2 3 4 3 2" xfId="6005" xr:uid="{54146CCC-2B66-4D1C-AEA2-DEF8ACE65CCB}"/>
    <cellStyle name="Normal 10 2 2 2 5 2 3 4 4" xfId="6006" xr:uid="{62690DBD-D987-4B55-9785-56475AD39017}"/>
    <cellStyle name="Normal 10 2 2 2 5 2 3 5" xfId="6007" xr:uid="{BF69DFFD-6697-4055-AF13-DE13F327AC19}"/>
    <cellStyle name="Normal 10 2 2 2 5 2 3 5 2" xfId="6008" xr:uid="{595F617E-D9B5-449E-A74B-CFA440F176FC}"/>
    <cellStyle name="Normal 10 2 2 2 5 2 3 5 2 2" xfId="6009" xr:uid="{4E66B12D-7F3B-4B0B-93B2-16E80B545980}"/>
    <cellStyle name="Normal 10 2 2 2 5 2 3 5 3" xfId="6010" xr:uid="{F338FB35-DE8A-4B87-AD68-C126A25DD361}"/>
    <cellStyle name="Normal 10 2 2 2 5 2 3 6" xfId="6011" xr:uid="{13669641-1563-497A-92F1-50935F6F224D}"/>
    <cellStyle name="Normal 10 2 2 2 5 2 3 6 2" xfId="6012" xr:uid="{4F40DA92-8B9A-41C7-843A-FDE5F55A5227}"/>
    <cellStyle name="Normal 10 2 2 2 5 2 3 7" xfId="6013" xr:uid="{9752BF8B-9623-492F-9F61-02826011790D}"/>
    <cellStyle name="Normal 10 2 2 2 5 2 4" xfId="6014" xr:uid="{F30A8B96-51A9-45CA-A422-178B3565A040}"/>
    <cellStyle name="Normal 10 2 2 2 5 2 4 2" xfId="6015" xr:uid="{C3FD6759-69F4-47A5-B5DA-B890AB0E6A48}"/>
    <cellStyle name="Normal 10 2 2 2 5 2 4 2 2" xfId="6016" xr:uid="{F6F308ED-7AAB-4CDB-B0AA-463CCF02BEA8}"/>
    <cellStyle name="Normal 10 2 2 2 5 2 4 2 2 2" xfId="6017" xr:uid="{236B3525-9492-4895-89E4-DB1D3E296FBC}"/>
    <cellStyle name="Normal 10 2 2 2 5 2 4 2 2 2 2" xfId="6018" xr:uid="{4000176E-3EEC-4D3D-AD20-0007E0D50D83}"/>
    <cellStyle name="Normal 10 2 2 2 5 2 4 2 2 2 2 2" xfId="6019" xr:uid="{7E3F26AB-044D-4674-B22A-4B6DA368BC38}"/>
    <cellStyle name="Normal 10 2 2 2 5 2 4 2 2 2 3" xfId="6020" xr:uid="{35354F32-F6B3-453B-A6E3-B7380B36D5D3}"/>
    <cellStyle name="Normal 10 2 2 2 5 2 4 2 2 3" xfId="6021" xr:uid="{AB071F19-B46B-42CA-A1F7-7990B7965110}"/>
    <cellStyle name="Normal 10 2 2 2 5 2 4 2 2 3 2" xfId="6022" xr:uid="{5102AEE2-FE6B-4578-8C9C-0C6CF7C294E3}"/>
    <cellStyle name="Normal 10 2 2 2 5 2 4 2 2 4" xfId="6023" xr:uid="{4E9C79C3-7956-4C1E-BD78-2BD9424BCA1D}"/>
    <cellStyle name="Normal 10 2 2 2 5 2 4 2 3" xfId="6024" xr:uid="{C95B7070-0A59-483C-886D-87BD40351F1E}"/>
    <cellStyle name="Normal 10 2 2 2 5 2 4 2 3 2" xfId="6025" xr:uid="{39582589-76CF-4ADC-B682-C8BF74E25BAA}"/>
    <cellStyle name="Normal 10 2 2 2 5 2 4 2 3 2 2" xfId="6026" xr:uid="{A941C9B0-F05A-4434-B1D4-31C79FD25FB2}"/>
    <cellStyle name="Normal 10 2 2 2 5 2 4 2 3 3" xfId="6027" xr:uid="{A11E60C6-A4C2-4BFA-9229-9A716A6EAF97}"/>
    <cellStyle name="Normal 10 2 2 2 5 2 4 2 4" xfId="6028" xr:uid="{A5EC335A-D79A-491F-9331-27E6C373B3BD}"/>
    <cellStyle name="Normal 10 2 2 2 5 2 4 2 4 2" xfId="6029" xr:uid="{5739C5B4-7166-4ED4-A42D-E326790912FC}"/>
    <cellStyle name="Normal 10 2 2 2 5 2 4 2 5" xfId="6030" xr:uid="{B236C9FC-8250-4069-BD94-33C5CEBAF584}"/>
    <cellStyle name="Normal 10 2 2 2 5 2 4 3" xfId="6031" xr:uid="{A53DA619-5D92-49E8-9A19-492413F79344}"/>
    <cellStyle name="Normal 10 2 2 2 5 2 4 3 2" xfId="6032" xr:uid="{D66D90AF-DB94-4D4B-9671-BF8064D08B90}"/>
    <cellStyle name="Normal 10 2 2 2 5 2 4 3 2 2" xfId="6033" xr:uid="{656E80E4-2D57-42D1-BE1D-643E77D5CFA4}"/>
    <cellStyle name="Normal 10 2 2 2 5 2 4 3 2 2 2" xfId="6034" xr:uid="{48E77509-E840-42E2-84D7-542EF75A01E8}"/>
    <cellStyle name="Normal 10 2 2 2 5 2 4 3 2 3" xfId="6035" xr:uid="{8F70CBDC-CD1F-4CB0-ADDF-64932998247C}"/>
    <cellStyle name="Normal 10 2 2 2 5 2 4 3 3" xfId="6036" xr:uid="{B26069CB-5234-4BD1-BE5F-1ACE0A609C70}"/>
    <cellStyle name="Normal 10 2 2 2 5 2 4 3 3 2" xfId="6037" xr:uid="{D75C8ED1-92B6-4690-A274-A63E3D8E544A}"/>
    <cellStyle name="Normal 10 2 2 2 5 2 4 3 4" xfId="6038" xr:uid="{00E68D3C-E103-4772-8978-88D703F78893}"/>
    <cellStyle name="Normal 10 2 2 2 5 2 4 4" xfId="6039" xr:uid="{F51F7B66-6387-4FDE-86DA-16ECA4ADE918}"/>
    <cellStyle name="Normal 10 2 2 2 5 2 4 4 2" xfId="6040" xr:uid="{AA0FA95A-0A45-41EA-BC3D-A2B83A116B8A}"/>
    <cellStyle name="Normal 10 2 2 2 5 2 4 4 2 2" xfId="6041" xr:uid="{C934E234-C4AB-4526-B947-8BBE1ABDA922}"/>
    <cellStyle name="Normal 10 2 2 2 5 2 4 4 3" xfId="6042" xr:uid="{66C01CAC-1E65-465E-B19C-5ACDF307F425}"/>
    <cellStyle name="Normal 10 2 2 2 5 2 4 5" xfId="6043" xr:uid="{D2D567D4-F86A-43DD-A572-31006B55AACA}"/>
    <cellStyle name="Normal 10 2 2 2 5 2 4 5 2" xfId="6044" xr:uid="{CD06611A-1AF6-49E0-9AE1-7B36FB2A84D4}"/>
    <cellStyle name="Normal 10 2 2 2 5 2 4 6" xfId="6045" xr:uid="{45AA684C-FD96-4600-89D7-1F243A5B69CC}"/>
    <cellStyle name="Normal 10 2 2 2 5 2 5" xfId="6046" xr:uid="{C0799B0C-4437-447E-8BDE-EB55B4D04532}"/>
    <cellStyle name="Normal 10 2 2 2 5 2 5 2" xfId="6047" xr:uid="{6834E1EE-8053-4683-B895-AA67B829C56C}"/>
    <cellStyle name="Normal 10 2 2 2 5 2 5 2 2" xfId="6048" xr:uid="{6483E7C6-431A-41B8-9E64-A868FC7B9517}"/>
    <cellStyle name="Normal 10 2 2 2 5 2 5 2 2 2" xfId="6049" xr:uid="{28A63A5E-5B29-42F4-8B88-7E8AD5E9500B}"/>
    <cellStyle name="Normal 10 2 2 2 5 2 5 2 2 2 2" xfId="6050" xr:uid="{3388F4B9-5012-4963-A8C2-0ABFCD97CFCB}"/>
    <cellStyle name="Normal 10 2 2 2 5 2 5 2 2 3" xfId="6051" xr:uid="{D94ED82B-E865-4D6B-AD92-27C6A0897D36}"/>
    <cellStyle name="Normal 10 2 2 2 5 2 5 2 3" xfId="6052" xr:uid="{289607B6-B889-4265-AF76-B0AE5200FAFE}"/>
    <cellStyle name="Normal 10 2 2 2 5 2 5 2 3 2" xfId="6053" xr:uid="{6AF4CA97-777B-48CC-AC14-FCDBA7EBA16E}"/>
    <cellStyle name="Normal 10 2 2 2 5 2 5 2 4" xfId="6054" xr:uid="{E7DBB3B8-903B-4690-9325-5B84B380A9DC}"/>
    <cellStyle name="Normal 10 2 2 2 5 2 5 3" xfId="6055" xr:uid="{BFD87FA2-6CE6-454D-B38F-940ED55039C9}"/>
    <cellStyle name="Normal 10 2 2 2 5 2 5 3 2" xfId="6056" xr:uid="{2F14E2FB-EB23-4F93-AB46-981DCB5A910C}"/>
    <cellStyle name="Normal 10 2 2 2 5 2 5 3 2 2" xfId="6057" xr:uid="{7BEF9F15-DA65-49A8-81E0-350EAA75CDE4}"/>
    <cellStyle name="Normal 10 2 2 2 5 2 5 3 3" xfId="6058" xr:uid="{8FD701AD-D5E6-4465-B423-7D9E6DE4BC2E}"/>
    <cellStyle name="Normal 10 2 2 2 5 2 5 4" xfId="6059" xr:uid="{71F45BBA-0919-4913-9CAF-9808BDBF3BEE}"/>
    <cellStyle name="Normal 10 2 2 2 5 2 5 4 2" xfId="6060" xr:uid="{A134E5F6-F180-410C-8881-FBD638963807}"/>
    <cellStyle name="Normal 10 2 2 2 5 2 5 5" xfId="6061" xr:uid="{99E20C32-A74A-4B3F-8D69-4BA5F45CF817}"/>
    <cellStyle name="Normal 10 2 2 2 5 2 6" xfId="6062" xr:uid="{848562DB-079B-423D-9BC2-22388BB723C9}"/>
    <cellStyle name="Normal 10 2 2 2 5 2 6 2" xfId="6063" xr:uid="{045EB1EA-B70D-4195-B1EF-21080D696F1D}"/>
    <cellStyle name="Normal 10 2 2 2 5 2 6 2 2" xfId="6064" xr:uid="{A7100E12-F911-45FE-8C98-D8DB4AA083F6}"/>
    <cellStyle name="Normal 10 2 2 2 5 2 6 2 2 2" xfId="6065" xr:uid="{7B7C2067-64AB-4C20-A61E-8C79337465A6}"/>
    <cellStyle name="Normal 10 2 2 2 5 2 6 2 3" xfId="6066" xr:uid="{F8EAB70B-61EC-469B-9893-87466CEC6544}"/>
    <cellStyle name="Normal 10 2 2 2 5 2 6 3" xfId="6067" xr:uid="{D005540E-473C-41FA-A1AD-EFC32BC2105E}"/>
    <cellStyle name="Normal 10 2 2 2 5 2 6 3 2" xfId="6068" xr:uid="{35216E32-D3FE-48B2-B72B-FD2BA10F45BC}"/>
    <cellStyle name="Normal 10 2 2 2 5 2 6 4" xfId="6069" xr:uid="{AADAEA6B-7A45-41A0-9061-81E396F0D311}"/>
    <cellStyle name="Normal 10 2 2 2 5 2 7" xfId="6070" xr:uid="{FC9EB22B-3584-43D6-A034-0CC023079C14}"/>
    <cellStyle name="Normal 10 2 2 2 5 2 7 2" xfId="6071" xr:uid="{658B9D66-C537-4813-B139-D2F989BD4810}"/>
    <cellStyle name="Normal 10 2 2 2 5 2 7 2 2" xfId="6072" xr:uid="{8F0EC90A-36CB-4EB2-BA5C-1319935593DF}"/>
    <cellStyle name="Normal 10 2 2 2 5 2 7 3" xfId="6073" xr:uid="{62966DD0-1E4A-4EE7-97AB-9AFE312EFB24}"/>
    <cellStyle name="Normal 10 2 2 2 5 2 8" xfId="6074" xr:uid="{24F33748-D730-405C-8E28-6824F5EA188C}"/>
    <cellStyle name="Normal 10 2 2 2 5 2 8 2" xfId="6075" xr:uid="{9DD2C9B7-83A6-41CB-AB70-A6E95AFCCC56}"/>
    <cellStyle name="Normal 10 2 2 2 5 2 9" xfId="6076" xr:uid="{A3716A33-7502-403C-BDA6-7CAB1199588F}"/>
    <cellStyle name="Normal 10 2 2 2 5 3" xfId="513" xr:uid="{F6948CA7-CAA1-4C07-9564-865E2141924C}"/>
    <cellStyle name="Normal 10 2 2 2 5 3 2" xfId="6078" xr:uid="{0DCD9EF1-12B3-488E-A638-83BEC887DA19}"/>
    <cellStyle name="Normal 10 2 2 2 5 3 2 2" xfId="6079" xr:uid="{D171DB0E-31B1-4BD3-9C97-B66908F37384}"/>
    <cellStyle name="Normal 10 2 2 2 5 3 2 2 2" xfId="6080" xr:uid="{3821044C-5951-467A-A9CE-F3AB77751A1B}"/>
    <cellStyle name="Normal 10 2 2 2 5 3 2 2 2 2" xfId="6081" xr:uid="{1F4FBB28-03AB-4145-863F-8CEC9999012B}"/>
    <cellStyle name="Normal 10 2 2 2 5 3 2 2 2 2 2" xfId="6082" xr:uid="{1DB159EE-268A-46E8-BCFB-80F21B90B6F4}"/>
    <cellStyle name="Normal 10 2 2 2 5 3 2 2 2 2 2 2" xfId="6083" xr:uid="{47FBE9C1-A3EF-4D86-A784-886DFF28153C}"/>
    <cellStyle name="Normal 10 2 2 2 5 3 2 2 2 2 2 2 2" xfId="6084" xr:uid="{37CF6CE5-35AC-47C9-B75F-2C3ADAE27747}"/>
    <cellStyle name="Normal 10 2 2 2 5 3 2 2 2 2 2 3" xfId="6085" xr:uid="{C31CF3F2-6137-4C6F-B30F-3B4B02317907}"/>
    <cellStyle name="Normal 10 2 2 2 5 3 2 2 2 2 3" xfId="6086" xr:uid="{AAEEF52A-F585-437E-A720-CDF08E429361}"/>
    <cellStyle name="Normal 10 2 2 2 5 3 2 2 2 2 3 2" xfId="6087" xr:uid="{7AE5240D-9208-47C1-B60A-C9F0F6A1ABCF}"/>
    <cellStyle name="Normal 10 2 2 2 5 3 2 2 2 2 4" xfId="6088" xr:uid="{27D0E9E1-566D-4FBE-8453-01307733A527}"/>
    <cellStyle name="Normal 10 2 2 2 5 3 2 2 2 3" xfId="6089" xr:uid="{11B61A6C-15E8-4CA2-8231-A755ECB838C9}"/>
    <cellStyle name="Normal 10 2 2 2 5 3 2 2 2 3 2" xfId="6090" xr:uid="{EE52CE71-D075-44E0-AFFB-9C363FE5F164}"/>
    <cellStyle name="Normal 10 2 2 2 5 3 2 2 2 3 2 2" xfId="6091" xr:uid="{A1BE1650-1861-438B-8294-4B31E36653A9}"/>
    <cellStyle name="Normal 10 2 2 2 5 3 2 2 2 3 3" xfId="6092" xr:uid="{7A4B6B63-7B91-479F-B304-896B9CEC842A}"/>
    <cellStyle name="Normal 10 2 2 2 5 3 2 2 2 4" xfId="6093" xr:uid="{E1D18943-0499-4D9F-9E23-DEA8B9520F6E}"/>
    <cellStyle name="Normal 10 2 2 2 5 3 2 2 2 4 2" xfId="6094" xr:uid="{4983863A-924E-4002-9A9D-6DDDBB56BFFC}"/>
    <cellStyle name="Normal 10 2 2 2 5 3 2 2 2 5" xfId="6095" xr:uid="{0EDB21A4-9F08-4DDF-BF04-7344388ABA9A}"/>
    <cellStyle name="Normal 10 2 2 2 5 3 2 2 3" xfId="6096" xr:uid="{6382097B-D965-40FF-8AAD-8AEFD396C2AA}"/>
    <cellStyle name="Normal 10 2 2 2 5 3 2 2 3 2" xfId="6097" xr:uid="{CA3E66AC-124E-4B1E-9787-AFCE44A3C126}"/>
    <cellStyle name="Normal 10 2 2 2 5 3 2 2 3 2 2" xfId="6098" xr:uid="{402063BD-D26B-4157-8E9B-554F16AFAF6E}"/>
    <cellStyle name="Normal 10 2 2 2 5 3 2 2 3 2 2 2" xfId="6099" xr:uid="{A02C5C97-FB06-41C1-8345-5E4623B728AB}"/>
    <cellStyle name="Normal 10 2 2 2 5 3 2 2 3 2 3" xfId="6100" xr:uid="{CCFCEBFF-E1E9-433D-A422-750E5054B5BF}"/>
    <cellStyle name="Normal 10 2 2 2 5 3 2 2 3 3" xfId="6101" xr:uid="{55A22674-7353-44CE-9758-7AFE884BF88B}"/>
    <cellStyle name="Normal 10 2 2 2 5 3 2 2 3 3 2" xfId="6102" xr:uid="{F144FA97-F401-4945-9174-A12C18BCE427}"/>
    <cellStyle name="Normal 10 2 2 2 5 3 2 2 3 4" xfId="6103" xr:uid="{CC369108-A95B-436A-A6BB-EE716A371D97}"/>
    <cellStyle name="Normal 10 2 2 2 5 3 2 2 4" xfId="6104" xr:uid="{ADEA3BEA-0A93-4FA7-B764-5E99646B08B9}"/>
    <cellStyle name="Normal 10 2 2 2 5 3 2 2 4 2" xfId="6105" xr:uid="{2A54E217-00AD-4EAF-BE14-521D627FC2F9}"/>
    <cellStyle name="Normal 10 2 2 2 5 3 2 2 4 2 2" xfId="6106" xr:uid="{91279367-0395-4B34-A67F-2E592F4C2CDF}"/>
    <cellStyle name="Normal 10 2 2 2 5 3 2 2 4 3" xfId="6107" xr:uid="{E4696134-4730-4567-8FD2-94FE36ABBD33}"/>
    <cellStyle name="Normal 10 2 2 2 5 3 2 2 5" xfId="6108" xr:uid="{3BA55923-18A9-45B0-8046-5375651E11E1}"/>
    <cellStyle name="Normal 10 2 2 2 5 3 2 2 5 2" xfId="6109" xr:uid="{F779374B-ACC1-4F69-A3CB-F787F64A294B}"/>
    <cellStyle name="Normal 10 2 2 2 5 3 2 2 6" xfId="6110" xr:uid="{4FAE4D1E-8727-43BB-B3B2-B340A0483241}"/>
    <cellStyle name="Normal 10 2 2 2 5 3 2 3" xfId="6111" xr:uid="{D19C3037-1B6F-4B78-B443-03731C7F0138}"/>
    <cellStyle name="Normal 10 2 2 2 5 3 2 3 2" xfId="6112" xr:uid="{42E42D20-69EF-4B26-AB11-EF7880EB7E96}"/>
    <cellStyle name="Normal 10 2 2 2 5 3 2 3 2 2" xfId="6113" xr:uid="{6A6DD88A-38DE-4863-84DC-57351AD66655}"/>
    <cellStyle name="Normal 10 2 2 2 5 3 2 3 2 2 2" xfId="6114" xr:uid="{FF1F80FE-E3CF-4EE6-B9AE-3C49AC67C1B3}"/>
    <cellStyle name="Normal 10 2 2 2 5 3 2 3 2 2 2 2" xfId="6115" xr:uid="{9DE74E9F-A109-48F6-8B85-F0E610637811}"/>
    <cellStyle name="Normal 10 2 2 2 5 3 2 3 2 2 3" xfId="6116" xr:uid="{C98D4CB2-96F8-43E8-BAC7-88CEDE24763A}"/>
    <cellStyle name="Normal 10 2 2 2 5 3 2 3 2 3" xfId="6117" xr:uid="{8FD6D1BD-7B1B-43C3-968B-20194178F93A}"/>
    <cellStyle name="Normal 10 2 2 2 5 3 2 3 2 3 2" xfId="6118" xr:uid="{9592280A-24A0-431F-8AC2-317C1103208A}"/>
    <cellStyle name="Normal 10 2 2 2 5 3 2 3 2 4" xfId="6119" xr:uid="{4BBCF1A3-6C70-4C2C-83F6-799DD07DAABD}"/>
    <cellStyle name="Normal 10 2 2 2 5 3 2 3 3" xfId="6120" xr:uid="{1B2FFE32-2899-4704-AF50-753719B05E0B}"/>
    <cellStyle name="Normal 10 2 2 2 5 3 2 3 3 2" xfId="6121" xr:uid="{6CD66B4A-7889-4845-93D8-3AB6E33424E0}"/>
    <cellStyle name="Normal 10 2 2 2 5 3 2 3 3 2 2" xfId="6122" xr:uid="{76A23A29-9192-49AF-9269-CC7E05509C0A}"/>
    <cellStyle name="Normal 10 2 2 2 5 3 2 3 3 3" xfId="6123" xr:uid="{CEDBC77E-22A0-4ADF-B5E3-78D2A5767792}"/>
    <cellStyle name="Normal 10 2 2 2 5 3 2 3 4" xfId="6124" xr:uid="{F0DEE4A6-4735-4DAB-AE71-FAFED8C66115}"/>
    <cellStyle name="Normal 10 2 2 2 5 3 2 3 4 2" xfId="6125" xr:uid="{8DAC492B-F6A5-476A-A1C6-DD710ECE682E}"/>
    <cellStyle name="Normal 10 2 2 2 5 3 2 3 5" xfId="6126" xr:uid="{193E6AC0-1CC0-4B98-B636-3D15EBA9F396}"/>
    <cellStyle name="Normal 10 2 2 2 5 3 2 4" xfId="6127" xr:uid="{3E37B896-487D-4B39-8D7E-5346A1FB00AE}"/>
    <cellStyle name="Normal 10 2 2 2 5 3 2 4 2" xfId="6128" xr:uid="{0F74340C-9B00-462A-A58B-736253F9CE56}"/>
    <cellStyle name="Normal 10 2 2 2 5 3 2 4 2 2" xfId="6129" xr:uid="{A4C8C603-E541-47E9-87D5-AC83F56F52D0}"/>
    <cellStyle name="Normal 10 2 2 2 5 3 2 4 2 2 2" xfId="6130" xr:uid="{CA37E96A-8A32-40A5-AFEA-E47570A01F18}"/>
    <cellStyle name="Normal 10 2 2 2 5 3 2 4 2 3" xfId="6131" xr:uid="{D38A0BC3-FF34-4923-BF73-AE30C12F2F9C}"/>
    <cellStyle name="Normal 10 2 2 2 5 3 2 4 3" xfId="6132" xr:uid="{61B80C9E-4B0F-446A-977F-3B230DFE41A8}"/>
    <cellStyle name="Normal 10 2 2 2 5 3 2 4 3 2" xfId="6133" xr:uid="{067C1A29-B20B-4DB1-8196-FAD71D63D909}"/>
    <cellStyle name="Normal 10 2 2 2 5 3 2 4 4" xfId="6134" xr:uid="{EB585FDE-F04E-4881-8230-66366DF8D537}"/>
    <cellStyle name="Normal 10 2 2 2 5 3 2 5" xfId="6135" xr:uid="{630C59DF-6C76-4F45-8614-A0D9585AE054}"/>
    <cellStyle name="Normal 10 2 2 2 5 3 2 5 2" xfId="6136" xr:uid="{DE389266-E5A2-471A-8158-87AAFEEC8DA9}"/>
    <cellStyle name="Normal 10 2 2 2 5 3 2 5 2 2" xfId="6137" xr:uid="{3D50D141-0E54-4FAF-8D0C-26EF7EFFFA07}"/>
    <cellStyle name="Normal 10 2 2 2 5 3 2 5 3" xfId="6138" xr:uid="{C731963D-B3BE-46A9-9FEA-9B77B5C6A73A}"/>
    <cellStyle name="Normal 10 2 2 2 5 3 2 6" xfId="6139" xr:uid="{D861F08C-7A03-4B33-9C5C-D39EBD9ADE42}"/>
    <cellStyle name="Normal 10 2 2 2 5 3 2 6 2" xfId="6140" xr:uid="{AA4FF3A7-7638-497D-A850-75A06660EE53}"/>
    <cellStyle name="Normal 10 2 2 2 5 3 2 7" xfId="6141" xr:uid="{BB699EA5-37AD-4C86-80A0-AA485F079A13}"/>
    <cellStyle name="Normal 10 2 2 2 5 3 3" xfId="6142" xr:uid="{C6821B4C-4931-48A2-9504-BEA50ABEA0EE}"/>
    <cellStyle name="Normal 10 2 2 2 5 3 3 2" xfId="6143" xr:uid="{A2074E90-297C-417C-B288-4D575C6E8933}"/>
    <cellStyle name="Normal 10 2 2 2 5 3 3 2 2" xfId="6144" xr:uid="{BF89C849-1847-41E0-9675-CC56550E56ED}"/>
    <cellStyle name="Normal 10 2 2 2 5 3 3 2 2 2" xfId="6145" xr:uid="{F9DD7E49-FF32-4C7E-BB69-36A6AF349B81}"/>
    <cellStyle name="Normal 10 2 2 2 5 3 3 2 2 2 2" xfId="6146" xr:uid="{34144D0D-D9D8-44EF-B4EE-6AB3646AB902}"/>
    <cellStyle name="Normal 10 2 2 2 5 3 3 2 2 2 2 2" xfId="6147" xr:uid="{9FAADA7F-7115-4910-AF52-8E9840F99339}"/>
    <cellStyle name="Normal 10 2 2 2 5 3 3 2 2 2 3" xfId="6148" xr:uid="{0B2580C2-6FC0-43F7-BDE9-5876C465050D}"/>
    <cellStyle name="Normal 10 2 2 2 5 3 3 2 2 3" xfId="6149" xr:uid="{9733AD39-DAEA-4E8D-83E7-81EC4F93A556}"/>
    <cellStyle name="Normal 10 2 2 2 5 3 3 2 2 3 2" xfId="6150" xr:uid="{0B1D5195-0386-4C84-8751-ED8B91893AA0}"/>
    <cellStyle name="Normal 10 2 2 2 5 3 3 2 2 4" xfId="6151" xr:uid="{4BACFA3F-B7EB-4DB5-B217-80CB923BE329}"/>
    <cellStyle name="Normal 10 2 2 2 5 3 3 2 3" xfId="6152" xr:uid="{A4665251-0615-4999-8E1D-F074E17BD864}"/>
    <cellStyle name="Normal 10 2 2 2 5 3 3 2 3 2" xfId="6153" xr:uid="{DFA574D7-8EF8-4CC4-9DB5-7F078A9436AB}"/>
    <cellStyle name="Normal 10 2 2 2 5 3 3 2 3 2 2" xfId="6154" xr:uid="{F6EBB58C-4F75-446F-AB6B-62DFB30E0B5B}"/>
    <cellStyle name="Normal 10 2 2 2 5 3 3 2 3 3" xfId="6155" xr:uid="{6E609BDA-AE43-480C-BB3A-4944FA9F28F3}"/>
    <cellStyle name="Normal 10 2 2 2 5 3 3 2 4" xfId="6156" xr:uid="{C3ECF84F-8B97-4E0E-BCC3-6AA76739E160}"/>
    <cellStyle name="Normal 10 2 2 2 5 3 3 2 4 2" xfId="6157" xr:uid="{C3BEB08B-000A-4787-BAE7-CDDDFB0F38F7}"/>
    <cellStyle name="Normal 10 2 2 2 5 3 3 2 5" xfId="6158" xr:uid="{39B350E8-2D65-45A7-A551-09B214B4A78B}"/>
    <cellStyle name="Normal 10 2 2 2 5 3 3 3" xfId="6159" xr:uid="{25753E21-7F70-4788-A90A-2F6C91B1F7DE}"/>
    <cellStyle name="Normal 10 2 2 2 5 3 3 3 2" xfId="6160" xr:uid="{0283E4A3-F19B-4793-A5B4-EACE3DA92760}"/>
    <cellStyle name="Normal 10 2 2 2 5 3 3 3 2 2" xfId="6161" xr:uid="{939F9C04-7F08-4D4B-91AF-032BBAC7C107}"/>
    <cellStyle name="Normal 10 2 2 2 5 3 3 3 2 2 2" xfId="6162" xr:uid="{8801BCC8-473E-4E7F-A28F-9D48D0147F8E}"/>
    <cellStyle name="Normal 10 2 2 2 5 3 3 3 2 3" xfId="6163" xr:uid="{4EBFEE1D-A704-4747-970C-B58F6ABF700B}"/>
    <cellStyle name="Normal 10 2 2 2 5 3 3 3 3" xfId="6164" xr:uid="{80334B1A-8F23-4703-A878-3853C56403CE}"/>
    <cellStyle name="Normal 10 2 2 2 5 3 3 3 3 2" xfId="6165" xr:uid="{A70A5C2F-EF5C-4425-8215-9E7602C8A3B0}"/>
    <cellStyle name="Normal 10 2 2 2 5 3 3 3 4" xfId="6166" xr:uid="{819017A9-6FE2-4067-8AA3-A302EBCE4C37}"/>
    <cellStyle name="Normal 10 2 2 2 5 3 3 4" xfId="6167" xr:uid="{ECAB2370-3E1D-4F90-AC8C-66FF0D328E9B}"/>
    <cellStyle name="Normal 10 2 2 2 5 3 3 4 2" xfId="6168" xr:uid="{85F2071A-5F37-48E1-99B4-D3B29989CB06}"/>
    <cellStyle name="Normal 10 2 2 2 5 3 3 4 2 2" xfId="6169" xr:uid="{9808DA2D-71BF-4C1C-A503-EC3555234C56}"/>
    <cellStyle name="Normal 10 2 2 2 5 3 3 4 3" xfId="6170" xr:uid="{3C433371-0416-4E4D-941E-CAD912646ACF}"/>
    <cellStyle name="Normal 10 2 2 2 5 3 3 5" xfId="6171" xr:uid="{AA30200A-F4F2-4037-97DD-2E559C191CD1}"/>
    <cellStyle name="Normal 10 2 2 2 5 3 3 5 2" xfId="6172" xr:uid="{9E36FEB5-1525-45B3-BC82-6BCA5ECD8273}"/>
    <cellStyle name="Normal 10 2 2 2 5 3 3 6" xfId="6173" xr:uid="{4DC5240F-59B9-49C9-98C9-4EC7912B53CA}"/>
    <cellStyle name="Normal 10 2 2 2 5 3 4" xfId="6174" xr:uid="{F5B7FE61-8F09-451D-8544-E1C588B21A1D}"/>
    <cellStyle name="Normal 10 2 2 2 5 3 4 2" xfId="6175" xr:uid="{F0BDF929-FF4C-40A0-9DFF-82B5877FC13D}"/>
    <cellStyle name="Normal 10 2 2 2 5 3 4 2 2" xfId="6176" xr:uid="{88C2FCBE-F032-4542-98D9-EA0CE1DF2B08}"/>
    <cellStyle name="Normal 10 2 2 2 5 3 4 2 2 2" xfId="6177" xr:uid="{9B806502-8115-4D3F-ADCC-72E241DBB5FE}"/>
    <cellStyle name="Normal 10 2 2 2 5 3 4 2 2 2 2" xfId="6178" xr:uid="{200384FF-6DC8-4155-9207-3D8BF0AADD8D}"/>
    <cellStyle name="Normal 10 2 2 2 5 3 4 2 2 3" xfId="6179" xr:uid="{5659FE41-743F-4E89-896D-FF9C8F778EA0}"/>
    <cellStyle name="Normal 10 2 2 2 5 3 4 2 3" xfId="6180" xr:uid="{1A9BD334-9EEE-4468-B0DA-2AACFF27C305}"/>
    <cellStyle name="Normal 10 2 2 2 5 3 4 2 3 2" xfId="6181" xr:uid="{1403595A-C9EC-4808-9366-15EBC6FF9223}"/>
    <cellStyle name="Normal 10 2 2 2 5 3 4 2 4" xfId="6182" xr:uid="{E891C730-87FD-4686-96AC-25B51C043B74}"/>
    <cellStyle name="Normal 10 2 2 2 5 3 4 3" xfId="6183" xr:uid="{23EDFCC5-3429-4C0D-89DE-A8EC90CB0F0B}"/>
    <cellStyle name="Normal 10 2 2 2 5 3 4 3 2" xfId="6184" xr:uid="{518D1BA3-09E4-4481-A1E5-E1AF0CBB2DDB}"/>
    <cellStyle name="Normal 10 2 2 2 5 3 4 3 2 2" xfId="6185" xr:uid="{D173E77A-2873-4945-B5E1-8B0E87D2B28B}"/>
    <cellStyle name="Normal 10 2 2 2 5 3 4 3 3" xfId="6186" xr:uid="{FE863275-34FB-436E-B456-8789BE415BA3}"/>
    <cellStyle name="Normal 10 2 2 2 5 3 4 4" xfId="6187" xr:uid="{E608BC98-8092-40E7-81B0-F09EAD0904FA}"/>
    <cellStyle name="Normal 10 2 2 2 5 3 4 4 2" xfId="6188" xr:uid="{E526166E-F41C-4167-AA6D-16BF3800CD52}"/>
    <cellStyle name="Normal 10 2 2 2 5 3 4 5" xfId="6189" xr:uid="{C2BF1F18-719B-42A3-A7D9-6CF6AA4476E1}"/>
    <cellStyle name="Normal 10 2 2 2 5 3 5" xfId="6190" xr:uid="{7143E997-BA16-40E2-A456-270800684A09}"/>
    <cellStyle name="Normal 10 2 2 2 5 3 5 2" xfId="6191" xr:uid="{4443F2BA-E5C2-4E0C-9F2E-90D67001E25F}"/>
    <cellStyle name="Normal 10 2 2 2 5 3 5 2 2" xfId="6192" xr:uid="{D4932B89-7C41-4A5A-85F4-5A199EE3C1EB}"/>
    <cellStyle name="Normal 10 2 2 2 5 3 5 2 2 2" xfId="6193" xr:uid="{0A09EF65-8494-49D8-9F69-A0BC9FE19417}"/>
    <cellStyle name="Normal 10 2 2 2 5 3 5 2 3" xfId="6194" xr:uid="{2502CFC8-9468-4CDA-BDA7-74C8CF3EB719}"/>
    <cellStyle name="Normal 10 2 2 2 5 3 5 3" xfId="6195" xr:uid="{5678DC6B-8249-49D0-A35E-6712DB11BA37}"/>
    <cellStyle name="Normal 10 2 2 2 5 3 5 3 2" xfId="6196" xr:uid="{BD05B8B6-F08D-4167-96E9-5025EEBFC795}"/>
    <cellStyle name="Normal 10 2 2 2 5 3 5 4" xfId="6197" xr:uid="{1D1DFF02-6B6D-40E1-A03E-04910C7B8784}"/>
    <cellStyle name="Normal 10 2 2 2 5 3 6" xfId="6198" xr:uid="{821A5C3D-F1F9-4343-BE19-AAE852285C20}"/>
    <cellStyle name="Normal 10 2 2 2 5 3 6 2" xfId="6199" xr:uid="{7DEC7653-220E-4DC4-B018-0E48504457DA}"/>
    <cellStyle name="Normal 10 2 2 2 5 3 6 2 2" xfId="6200" xr:uid="{B27F4A26-0A0E-4772-8E27-BA92E64D21D2}"/>
    <cellStyle name="Normal 10 2 2 2 5 3 6 3" xfId="6201" xr:uid="{5D4E8802-B8E5-45C9-94F5-DB136A6048F0}"/>
    <cellStyle name="Normal 10 2 2 2 5 3 7" xfId="6202" xr:uid="{75FA78CA-2581-46FC-804D-235723FECE57}"/>
    <cellStyle name="Normal 10 2 2 2 5 3 7 2" xfId="6203" xr:uid="{DBF9F156-C5DB-4556-BFBA-9A7D435B6432}"/>
    <cellStyle name="Normal 10 2 2 2 5 3 8" xfId="6204" xr:uid="{DD0F337E-CB0B-45B4-9074-D33D87D2FB3D}"/>
    <cellStyle name="Normal 10 2 2 2 5 3 9" xfId="6077" xr:uid="{4B76BAE4-0BDB-4CC6-AD11-65F2957E543B}"/>
    <cellStyle name="Normal 10 2 2 2 5 4" xfId="6205" xr:uid="{815EF535-9417-4218-8D1F-AA462FB001C4}"/>
    <cellStyle name="Normal 10 2 2 2 5 4 2" xfId="6206" xr:uid="{C75F0738-EAF3-4BAA-8141-BDE937DB1C0A}"/>
    <cellStyle name="Normal 10 2 2 2 5 4 2 2" xfId="6207" xr:uid="{D81E0DD3-A45A-4BF5-8A9E-8C8957C266BA}"/>
    <cellStyle name="Normal 10 2 2 2 5 4 2 2 2" xfId="6208" xr:uid="{3D2AECF8-FDF2-48C7-BA38-2E76E7E0B45A}"/>
    <cellStyle name="Normal 10 2 2 2 5 4 2 2 2 2" xfId="6209" xr:uid="{702A0149-8213-429C-AC82-4D84639283CD}"/>
    <cellStyle name="Normal 10 2 2 2 5 4 2 2 2 2 2" xfId="6210" xr:uid="{955136F6-1880-4DB8-BE09-BBA9617236B5}"/>
    <cellStyle name="Normal 10 2 2 2 5 4 2 2 2 2 2 2" xfId="6211" xr:uid="{5DEA5859-159A-4467-8799-97B4DBB06AA7}"/>
    <cellStyle name="Normal 10 2 2 2 5 4 2 2 2 2 3" xfId="6212" xr:uid="{385B9586-8ED6-4099-AED0-DD6AAEB27669}"/>
    <cellStyle name="Normal 10 2 2 2 5 4 2 2 2 3" xfId="6213" xr:uid="{8DB98628-D4F0-40BF-8903-1A65EF3EF8A6}"/>
    <cellStyle name="Normal 10 2 2 2 5 4 2 2 2 3 2" xfId="6214" xr:uid="{1719DB29-2ABA-4D2D-B8C7-47250F0CF82F}"/>
    <cellStyle name="Normal 10 2 2 2 5 4 2 2 2 4" xfId="6215" xr:uid="{CC775FB8-704E-4491-B8BE-B3F85250D41A}"/>
    <cellStyle name="Normal 10 2 2 2 5 4 2 2 3" xfId="6216" xr:uid="{6FDC5039-68F5-4F35-8ED8-D3DCA005A5EF}"/>
    <cellStyle name="Normal 10 2 2 2 5 4 2 2 3 2" xfId="6217" xr:uid="{845BC215-9473-4A12-B611-D67915EA63FE}"/>
    <cellStyle name="Normal 10 2 2 2 5 4 2 2 3 2 2" xfId="6218" xr:uid="{D0105B5D-3C81-4B80-A0C5-551B1E7BC642}"/>
    <cellStyle name="Normal 10 2 2 2 5 4 2 2 3 3" xfId="6219" xr:uid="{5B6A936A-F819-4FE9-9D83-701183D4DF4F}"/>
    <cellStyle name="Normal 10 2 2 2 5 4 2 2 4" xfId="6220" xr:uid="{A19ACFF3-ABE9-44A5-B836-8D6AA665770F}"/>
    <cellStyle name="Normal 10 2 2 2 5 4 2 2 4 2" xfId="6221" xr:uid="{4044D36E-790E-4386-B5F2-F2BB9C121F94}"/>
    <cellStyle name="Normal 10 2 2 2 5 4 2 2 5" xfId="6222" xr:uid="{F30440FB-6038-4A34-B190-748F0A6587DB}"/>
    <cellStyle name="Normal 10 2 2 2 5 4 2 3" xfId="6223" xr:uid="{55204E32-E192-4ED5-9FA2-C281F011F8E8}"/>
    <cellStyle name="Normal 10 2 2 2 5 4 2 3 2" xfId="6224" xr:uid="{5A536156-DD41-42B7-A8B7-09F1115329CB}"/>
    <cellStyle name="Normal 10 2 2 2 5 4 2 3 2 2" xfId="6225" xr:uid="{ADD1272E-3602-4361-8AEB-33859A87A1B6}"/>
    <cellStyle name="Normal 10 2 2 2 5 4 2 3 2 2 2" xfId="6226" xr:uid="{1FAB2240-C66F-4246-9073-FD6532CC001B}"/>
    <cellStyle name="Normal 10 2 2 2 5 4 2 3 2 3" xfId="6227" xr:uid="{30071C63-7468-4314-B9E2-A3478B918F40}"/>
    <cellStyle name="Normal 10 2 2 2 5 4 2 3 3" xfId="6228" xr:uid="{C7649153-83E6-449F-B6F8-9D9E3825C0D3}"/>
    <cellStyle name="Normal 10 2 2 2 5 4 2 3 3 2" xfId="6229" xr:uid="{F1F4AD83-4327-4EA0-867E-0D2AA7975CC2}"/>
    <cellStyle name="Normal 10 2 2 2 5 4 2 3 4" xfId="6230" xr:uid="{DDE959F4-06FD-44B0-A488-9B9D85CBD8D0}"/>
    <cellStyle name="Normal 10 2 2 2 5 4 2 4" xfId="6231" xr:uid="{D0CFC09A-7E44-4A9C-8DAE-C14DF722EBD2}"/>
    <cellStyle name="Normal 10 2 2 2 5 4 2 4 2" xfId="6232" xr:uid="{97713B2C-6168-48A7-A43E-8A04C459F8B3}"/>
    <cellStyle name="Normal 10 2 2 2 5 4 2 4 2 2" xfId="6233" xr:uid="{3BDF50AE-24B8-4E35-8533-25EA15CA6235}"/>
    <cellStyle name="Normal 10 2 2 2 5 4 2 4 3" xfId="6234" xr:uid="{9783AB43-C396-4085-B57D-E860B2FD7A2C}"/>
    <cellStyle name="Normal 10 2 2 2 5 4 2 5" xfId="6235" xr:uid="{4122D8C7-6965-4891-AD1E-7A4877D3C005}"/>
    <cellStyle name="Normal 10 2 2 2 5 4 2 5 2" xfId="6236" xr:uid="{BA9E3DDD-535E-4155-8D44-1D1BB799D3FF}"/>
    <cellStyle name="Normal 10 2 2 2 5 4 2 6" xfId="6237" xr:uid="{DCE16C11-F7D8-4728-9A7D-FC1691EB783D}"/>
    <cellStyle name="Normal 10 2 2 2 5 4 3" xfId="6238" xr:uid="{4E02DFD5-7155-489A-AF93-E8A29F9795A4}"/>
    <cellStyle name="Normal 10 2 2 2 5 4 3 2" xfId="6239" xr:uid="{9790A0FD-59FB-4DBF-AD6F-A9413E226EDF}"/>
    <cellStyle name="Normal 10 2 2 2 5 4 3 2 2" xfId="6240" xr:uid="{52AC752B-E0F8-44AE-82A8-FEC645311FFF}"/>
    <cellStyle name="Normal 10 2 2 2 5 4 3 2 2 2" xfId="6241" xr:uid="{DD0D76B4-0038-4DCF-A646-9183FB520F47}"/>
    <cellStyle name="Normal 10 2 2 2 5 4 3 2 2 2 2" xfId="6242" xr:uid="{F2BF6795-676D-44A4-96FA-F4CA8E5E5346}"/>
    <cellStyle name="Normal 10 2 2 2 5 4 3 2 2 3" xfId="6243" xr:uid="{F4705100-C567-4768-8CB1-76E21D6E5662}"/>
    <cellStyle name="Normal 10 2 2 2 5 4 3 2 3" xfId="6244" xr:uid="{38AA92FF-6C4C-42F7-ACAE-8A632B50285A}"/>
    <cellStyle name="Normal 10 2 2 2 5 4 3 2 3 2" xfId="6245" xr:uid="{18CFC106-B470-4529-A0DE-0234BA220EDF}"/>
    <cellStyle name="Normal 10 2 2 2 5 4 3 2 4" xfId="6246" xr:uid="{B43B5DB6-5048-4BB5-AD05-EA1E6E23D533}"/>
    <cellStyle name="Normal 10 2 2 2 5 4 3 3" xfId="6247" xr:uid="{10262BBE-172D-4E02-8EF8-9464958481F1}"/>
    <cellStyle name="Normal 10 2 2 2 5 4 3 3 2" xfId="6248" xr:uid="{D3332BA3-BBEB-4556-BE2E-F44DCFD37D42}"/>
    <cellStyle name="Normal 10 2 2 2 5 4 3 3 2 2" xfId="6249" xr:uid="{C88FB0B7-C721-4D43-A517-7E6E9E87F32C}"/>
    <cellStyle name="Normal 10 2 2 2 5 4 3 3 3" xfId="6250" xr:uid="{1AD1ED3A-2B46-4FFC-8051-DAD08AABBB42}"/>
    <cellStyle name="Normal 10 2 2 2 5 4 3 4" xfId="6251" xr:uid="{D221CAC3-D201-441C-997C-00456FC0D1B6}"/>
    <cellStyle name="Normal 10 2 2 2 5 4 3 4 2" xfId="6252" xr:uid="{10EB7E05-769A-4F1D-A2DA-8BF8F106FA8D}"/>
    <cellStyle name="Normal 10 2 2 2 5 4 3 5" xfId="6253" xr:uid="{2DAB3A61-0A02-46BF-9129-B66ADDD3EFE6}"/>
    <cellStyle name="Normal 10 2 2 2 5 4 4" xfId="6254" xr:uid="{78651AE6-DA03-4DAA-89FD-67A6775DE700}"/>
    <cellStyle name="Normal 10 2 2 2 5 4 4 2" xfId="6255" xr:uid="{8EA76988-E403-4E84-A17F-AB05D0D773FF}"/>
    <cellStyle name="Normal 10 2 2 2 5 4 4 2 2" xfId="6256" xr:uid="{FC128ECF-7BBC-4CE0-9A5D-34BFB4E81488}"/>
    <cellStyle name="Normal 10 2 2 2 5 4 4 2 2 2" xfId="6257" xr:uid="{86CFCF07-B15E-416F-908E-41A4ABFC36A2}"/>
    <cellStyle name="Normal 10 2 2 2 5 4 4 2 3" xfId="6258" xr:uid="{BBACFC46-1923-48FA-97F3-36B6E4338C63}"/>
    <cellStyle name="Normal 10 2 2 2 5 4 4 3" xfId="6259" xr:uid="{6635B509-E3AE-40B3-BD34-8E27AD86B82C}"/>
    <cellStyle name="Normal 10 2 2 2 5 4 4 3 2" xfId="6260" xr:uid="{3A2DA0B6-C576-4ABA-BC7A-11015AB0EC76}"/>
    <cellStyle name="Normal 10 2 2 2 5 4 4 4" xfId="6261" xr:uid="{EA1AA064-5958-4173-9675-4135F31C680C}"/>
    <cellStyle name="Normal 10 2 2 2 5 4 5" xfId="6262" xr:uid="{D6F1382B-FFD6-4F75-B3DE-63AE3FB72ECA}"/>
    <cellStyle name="Normal 10 2 2 2 5 4 5 2" xfId="6263" xr:uid="{F90A49DB-FCC4-4E82-AB48-B6DA8FEE41FA}"/>
    <cellStyle name="Normal 10 2 2 2 5 4 5 2 2" xfId="6264" xr:uid="{8111056D-53AD-4E00-8BB0-E2628BE04BA9}"/>
    <cellStyle name="Normal 10 2 2 2 5 4 5 3" xfId="6265" xr:uid="{E4125792-48FA-4E8E-AE62-0744F7F97105}"/>
    <cellStyle name="Normal 10 2 2 2 5 4 6" xfId="6266" xr:uid="{012152A6-3A86-4D07-9C87-18688DF307E3}"/>
    <cellStyle name="Normal 10 2 2 2 5 4 6 2" xfId="6267" xr:uid="{AEE5C247-0C62-405B-8FA7-7360FDF0B112}"/>
    <cellStyle name="Normal 10 2 2 2 5 4 7" xfId="6268" xr:uid="{1D2096D1-4CF7-454A-A09E-09F22D8ACF16}"/>
    <cellStyle name="Normal 10 2 2 2 5 5" xfId="6269" xr:uid="{F2878ECB-C33E-4CEB-B0D0-077FEE5655B2}"/>
    <cellStyle name="Normal 10 2 2 2 5 5 2" xfId="6270" xr:uid="{C5BD0E7C-3ED2-41E3-AC52-CEE25771051A}"/>
    <cellStyle name="Normal 10 2 2 2 5 5 2 2" xfId="6271" xr:uid="{0244883B-7F8E-4396-B765-0B05DDC1801B}"/>
    <cellStyle name="Normal 10 2 2 2 5 5 2 2 2" xfId="6272" xr:uid="{EE9A5AD0-2576-4CCA-8AD3-94FEF53634EE}"/>
    <cellStyle name="Normal 10 2 2 2 5 5 2 2 2 2" xfId="6273" xr:uid="{1A1D36CA-3C13-4135-933C-049FF3C536A1}"/>
    <cellStyle name="Normal 10 2 2 2 5 5 2 2 2 2 2" xfId="6274" xr:uid="{26367B93-02C9-4F3B-BDB0-1FC0E41BD3A8}"/>
    <cellStyle name="Normal 10 2 2 2 5 5 2 2 2 3" xfId="6275" xr:uid="{275A7C0D-0C29-44A9-A75A-736EE0A4D336}"/>
    <cellStyle name="Normal 10 2 2 2 5 5 2 2 3" xfId="6276" xr:uid="{5C6DDEB1-40FD-4B01-B8DA-172BF9357C64}"/>
    <cellStyle name="Normal 10 2 2 2 5 5 2 2 3 2" xfId="6277" xr:uid="{21628892-6404-4DAD-A51E-F8D465448458}"/>
    <cellStyle name="Normal 10 2 2 2 5 5 2 2 4" xfId="6278" xr:uid="{984DEC6F-3752-4698-B930-C09C8EF9C585}"/>
    <cellStyle name="Normal 10 2 2 2 5 5 2 3" xfId="6279" xr:uid="{34BF8ECB-187B-4793-B6A4-E358739DC627}"/>
    <cellStyle name="Normal 10 2 2 2 5 5 2 3 2" xfId="6280" xr:uid="{287F9597-D011-473A-B3E0-D6CC5C7BA5C2}"/>
    <cellStyle name="Normal 10 2 2 2 5 5 2 3 2 2" xfId="6281" xr:uid="{4743A1A9-9F80-47D0-BEE9-2F2CC34FC900}"/>
    <cellStyle name="Normal 10 2 2 2 5 5 2 3 3" xfId="6282" xr:uid="{322ADE2A-1B1F-474D-98D0-97D9DA2381BA}"/>
    <cellStyle name="Normal 10 2 2 2 5 5 2 4" xfId="6283" xr:uid="{BDB56142-0901-4E16-B7EE-72F25124DD3A}"/>
    <cellStyle name="Normal 10 2 2 2 5 5 2 4 2" xfId="6284" xr:uid="{23DC6D32-69FB-4E43-A7FB-9D9C7B22287C}"/>
    <cellStyle name="Normal 10 2 2 2 5 5 2 5" xfId="6285" xr:uid="{B698512B-DD08-4FF2-8846-210DB89C0788}"/>
    <cellStyle name="Normal 10 2 2 2 5 5 3" xfId="6286" xr:uid="{728CB322-2DFF-447E-8E84-404B1A102FDB}"/>
    <cellStyle name="Normal 10 2 2 2 5 5 3 2" xfId="6287" xr:uid="{85057877-ED69-4F3E-AB01-EDC9F6703CC1}"/>
    <cellStyle name="Normal 10 2 2 2 5 5 3 2 2" xfId="6288" xr:uid="{75BFAAC5-8C0A-4AA1-B8F1-2A2296303C30}"/>
    <cellStyle name="Normal 10 2 2 2 5 5 3 2 2 2" xfId="6289" xr:uid="{A631974D-A7BD-4E98-B154-4C92C73B5855}"/>
    <cellStyle name="Normal 10 2 2 2 5 5 3 2 3" xfId="6290" xr:uid="{67D29E79-62ED-4913-90B7-40EEA1336B77}"/>
    <cellStyle name="Normal 10 2 2 2 5 5 3 3" xfId="6291" xr:uid="{B14740B8-3FE5-4891-A749-A39876D7532E}"/>
    <cellStyle name="Normal 10 2 2 2 5 5 3 3 2" xfId="6292" xr:uid="{6B2A8F64-744A-4277-B993-4627973EA7E9}"/>
    <cellStyle name="Normal 10 2 2 2 5 5 3 4" xfId="6293" xr:uid="{7C0410AE-8784-4B7D-8850-BCC5A1C60313}"/>
    <cellStyle name="Normal 10 2 2 2 5 5 4" xfId="6294" xr:uid="{3B340D11-DB58-401A-B8A9-5653BD6B0B45}"/>
    <cellStyle name="Normal 10 2 2 2 5 5 4 2" xfId="6295" xr:uid="{FA7E46D7-A734-4A82-BAC6-9B4CE2BE3922}"/>
    <cellStyle name="Normal 10 2 2 2 5 5 4 2 2" xfId="6296" xr:uid="{76BA5EE9-532D-450B-BB7F-BB03841B768C}"/>
    <cellStyle name="Normal 10 2 2 2 5 5 4 3" xfId="6297" xr:uid="{2F83C1AC-D4E9-4AEF-A057-CBDC45738874}"/>
    <cellStyle name="Normal 10 2 2 2 5 5 5" xfId="6298" xr:uid="{E5F14E97-A84E-4424-BCDD-8A6D330AA2E0}"/>
    <cellStyle name="Normal 10 2 2 2 5 5 5 2" xfId="6299" xr:uid="{F5EC2CF9-7AB8-408E-BC08-B22A339CEDB7}"/>
    <cellStyle name="Normal 10 2 2 2 5 5 6" xfId="6300" xr:uid="{4DEDA1C3-775B-4495-9DF1-55642F3F4958}"/>
    <cellStyle name="Normal 10 2 2 2 5 6" xfId="6301" xr:uid="{A4536C47-00F7-4B46-B65B-336D22141396}"/>
    <cellStyle name="Normal 10 2 2 2 5 6 2" xfId="6302" xr:uid="{BFCBE468-9DB6-4FCC-A458-832B90A41124}"/>
    <cellStyle name="Normal 10 2 2 2 5 6 2 2" xfId="6303" xr:uid="{FA6801FF-F272-485C-992E-843E277C2B55}"/>
    <cellStyle name="Normal 10 2 2 2 5 6 2 2 2" xfId="6304" xr:uid="{CF07CC90-1591-492E-A11C-599A7479008A}"/>
    <cellStyle name="Normal 10 2 2 2 5 6 2 2 2 2" xfId="6305" xr:uid="{91579DD4-E24D-4244-A87D-24B5118A67A3}"/>
    <cellStyle name="Normal 10 2 2 2 5 6 2 2 3" xfId="6306" xr:uid="{10AF2AC5-9A06-4E27-89F8-63159DD81A13}"/>
    <cellStyle name="Normal 10 2 2 2 5 6 2 3" xfId="6307" xr:uid="{1C293838-72B4-4C3B-A362-139E6AF99FD2}"/>
    <cellStyle name="Normal 10 2 2 2 5 6 2 3 2" xfId="6308" xr:uid="{49FD0AB4-178A-4508-927F-8FE85C83674C}"/>
    <cellStyle name="Normal 10 2 2 2 5 6 2 4" xfId="6309" xr:uid="{8C707542-7B2A-4B8F-9C0E-478123B07D47}"/>
    <cellStyle name="Normal 10 2 2 2 5 6 3" xfId="6310" xr:uid="{B40FFBFD-96CB-4A52-8778-5D43AEE5C9A2}"/>
    <cellStyle name="Normal 10 2 2 2 5 6 3 2" xfId="6311" xr:uid="{8B7F1370-3773-436D-A873-246E738B1806}"/>
    <cellStyle name="Normal 10 2 2 2 5 6 3 2 2" xfId="6312" xr:uid="{0BCBA992-F79E-4127-AA68-AF6E20737215}"/>
    <cellStyle name="Normal 10 2 2 2 5 6 3 3" xfId="6313" xr:uid="{1113A72F-E9F3-422D-8110-F408B9096BF3}"/>
    <cellStyle name="Normal 10 2 2 2 5 6 4" xfId="6314" xr:uid="{EC6B52FA-3C87-4BA9-A624-E596FB176554}"/>
    <cellStyle name="Normal 10 2 2 2 5 6 4 2" xfId="6315" xr:uid="{CD55787C-F872-4E11-9662-BCA492DB8B41}"/>
    <cellStyle name="Normal 10 2 2 2 5 6 5" xfId="6316" xr:uid="{8AC09162-0EA3-4E17-A990-9B674434032D}"/>
    <cellStyle name="Normal 10 2 2 2 5 7" xfId="6317" xr:uid="{24CD8E5D-53E9-4C40-B0DA-7328B9818F87}"/>
    <cellStyle name="Normal 10 2 2 2 5 7 2" xfId="6318" xr:uid="{828F79F5-8038-4CEC-97CF-503861E46EA0}"/>
    <cellStyle name="Normal 10 2 2 2 5 7 2 2" xfId="6319" xr:uid="{1C525698-E879-431A-8333-1F9135CB8C61}"/>
    <cellStyle name="Normal 10 2 2 2 5 7 2 2 2" xfId="6320" xr:uid="{4611BB44-2EC3-4162-9D56-B293C73650BB}"/>
    <cellStyle name="Normal 10 2 2 2 5 7 2 3" xfId="6321" xr:uid="{D8677CF8-8880-4C4E-938B-40A7FCF808D9}"/>
    <cellStyle name="Normal 10 2 2 2 5 7 3" xfId="6322" xr:uid="{41E9DF7A-9E4B-4E61-94BA-6F3741C5545D}"/>
    <cellStyle name="Normal 10 2 2 2 5 7 3 2" xfId="6323" xr:uid="{3F0FE9A3-E1EC-464F-85E1-1B503A65510E}"/>
    <cellStyle name="Normal 10 2 2 2 5 7 4" xfId="6324" xr:uid="{19215C3F-6BF0-4357-89C3-874FEE605253}"/>
    <cellStyle name="Normal 10 2 2 2 5 8" xfId="6325" xr:uid="{107D9913-5525-4CAA-B76E-4E2105443AEA}"/>
    <cellStyle name="Normal 10 2 2 2 5 8 2" xfId="6326" xr:uid="{EEA8E442-0480-47E4-BABD-35AB9CBA6299}"/>
    <cellStyle name="Normal 10 2 2 2 5 8 2 2" xfId="6327" xr:uid="{BA8C71F7-0B9C-4789-88AF-C6605F42B213}"/>
    <cellStyle name="Normal 10 2 2 2 5 8 3" xfId="6328" xr:uid="{943DD2A0-904A-4339-9909-89DBCF9C9D57}"/>
    <cellStyle name="Normal 10 2 2 2 5 9" xfId="6329" xr:uid="{3E71AF6B-01AA-4D99-B712-7C78965516E9}"/>
    <cellStyle name="Normal 10 2 2 2 5 9 2" xfId="6330" xr:uid="{B2A00D9D-B7FE-4A9A-97E0-65ECE051498E}"/>
    <cellStyle name="Normal 10 2 2 2 6" xfId="308" xr:uid="{281D61C2-2940-40F4-9E7F-94DF6D329268}"/>
    <cellStyle name="Normal 10 2 2 2 6 10" xfId="6331" xr:uid="{EC74DC61-2920-443E-979A-EA041D706BDC}"/>
    <cellStyle name="Normal 10 2 2 2 6 2" xfId="6332" xr:uid="{E6EEC54E-021C-45DE-92CD-7A421A469964}"/>
    <cellStyle name="Normal 10 2 2 2 6 2 2" xfId="6333" xr:uid="{FF1AE98E-6C8F-4CF5-9C18-2B546AFDD9AB}"/>
    <cellStyle name="Normal 10 2 2 2 6 2 2 2" xfId="6334" xr:uid="{98465E88-BB44-48BB-9ABC-47176ABF10ED}"/>
    <cellStyle name="Normal 10 2 2 2 6 2 2 2 2" xfId="6335" xr:uid="{908E0DCA-4BC0-4C43-B0FE-952F09190290}"/>
    <cellStyle name="Normal 10 2 2 2 6 2 2 2 2 2" xfId="6336" xr:uid="{E2D3AF14-CA0E-418C-ADB1-2EF2F4DB0B0A}"/>
    <cellStyle name="Normal 10 2 2 2 6 2 2 2 2 2 2" xfId="6337" xr:uid="{AE4EB116-9E8F-45FB-B596-606AE70A1A4A}"/>
    <cellStyle name="Normal 10 2 2 2 6 2 2 2 2 2 2 2" xfId="6338" xr:uid="{2B4A24F0-B293-4315-8DB9-A007C049EC8A}"/>
    <cellStyle name="Normal 10 2 2 2 6 2 2 2 2 2 2 2 2" xfId="6339" xr:uid="{22EF0602-0F04-4173-989A-E41EEB6D820D}"/>
    <cellStyle name="Normal 10 2 2 2 6 2 2 2 2 2 2 3" xfId="6340" xr:uid="{83A9965C-0355-4D1D-BF32-42AE2AA62AC5}"/>
    <cellStyle name="Normal 10 2 2 2 6 2 2 2 2 2 3" xfId="6341" xr:uid="{D5B5D8A5-802F-4C10-9C8B-7B97820092C7}"/>
    <cellStyle name="Normal 10 2 2 2 6 2 2 2 2 2 3 2" xfId="6342" xr:uid="{016B14C8-7FF7-4FFB-AFFA-E9AF8231728E}"/>
    <cellStyle name="Normal 10 2 2 2 6 2 2 2 2 2 4" xfId="6343" xr:uid="{10B4D7E9-0E81-4424-AB8C-4166784CDCA0}"/>
    <cellStyle name="Normal 10 2 2 2 6 2 2 2 2 3" xfId="6344" xr:uid="{D388AE3F-0054-4516-9486-A604C1ABF49C}"/>
    <cellStyle name="Normal 10 2 2 2 6 2 2 2 2 3 2" xfId="6345" xr:uid="{DBE8C9E7-52C0-4370-B463-FE4F6215D20D}"/>
    <cellStyle name="Normal 10 2 2 2 6 2 2 2 2 3 2 2" xfId="6346" xr:uid="{00F6EACA-4C31-4585-A640-0A148BF6C4E4}"/>
    <cellStyle name="Normal 10 2 2 2 6 2 2 2 2 3 3" xfId="6347" xr:uid="{3B122C05-3B02-4030-A25B-80EB7D73E8C0}"/>
    <cellStyle name="Normal 10 2 2 2 6 2 2 2 2 4" xfId="6348" xr:uid="{FB686280-DDA2-4459-BEEB-026830C853A9}"/>
    <cellStyle name="Normal 10 2 2 2 6 2 2 2 2 4 2" xfId="6349" xr:uid="{FFF90F5E-C4E0-475C-A0FA-3AB21DE1EC87}"/>
    <cellStyle name="Normal 10 2 2 2 6 2 2 2 2 5" xfId="6350" xr:uid="{09771E15-D3EC-4A60-86F4-2009AD72A9B4}"/>
    <cellStyle name="Normal 10 2 2 2 6 2 2 2 3" xfId="6351" xr:uid="{68E93015-EAE5-4114-9C1A-D8E75C9570AC}"/>
    <cellStyle name="Normal 10 2 2 2 6 2 2 2 3 2" xfId="6352" xr:uid="{B85775F5-BB9E-4328-9D25-43FD6F6C6140}"/>
    <cellStyle name="Normal 10 2 2 2 6 2 2 2 3 2 2" xfId="6353" xr:uid="{94286F56-A1F0-4AB4-9CDB-A09679E523C2}"/>
    <cellStyle name="Normal 10 2 2 2 6 2 2 2 3 2 2 2" xfId="6354" xr:uid="{686DD9EF-F596-466A-B288-D25589991B0B}"/>
    <cellStyle name="Normal 10 2 2 2 6 2 2 2 3 2 3" xfId="6355" xr:uid="{C29B6AE2-D256-4047-896C-5FBE838E6873}"/>
    <cellStyle name="Normal 10 2 2 2 6 2 2 2 3 3" xfId="6356" xr:uid="{BD1D61A0-B533-496C-88EA-1EE17D3373C5}"/>
    <cellStyle name="Normal 10 2 2 2 6 2 2 2 3 3 2" xfId="6357" xr:uid="{DC0ADEEE-3CD2-4B61-8500-2AABAC823C31}"/>
    <cellStyle name="Normal 10 2 2 2 6 2 2 2 3 4" xfId="6358" xr:uid="{80511E55-FBB7-4A16-994B-A0D349F54EFA}"/>
    <cellStyle name="Normal 10 2 2 2 6 2 2 2 4" xfId="6359" xr:uid="{864825A0-2FBE-420D-BB42-2CD89C6AA0FF}"/>
    <cellStyle name="Normal 10 2 2 2 6 2 2 2 4 2" xfId="6360" xr:uid="{FEEC99D7-4D09-4B5B-BDE0-6D945460D919}"/>
    <cellStyle name="Normal 10 2 2 2 6 2 2 2 4 2 2" xfId="6361" xr:uid="{B351C998-5C81-4592-8F71-0625105942B7}"/>
    <cellStyle name="Normal 10 2 2 2 6 2 2 2 4 3" xfId="6362" xr:uid="{25F37EB1-F5F1-4B03-A251-CBDFB4F7AE8D}"/>
    <cellStyle name="Normal 10 2 2 2 6 2 2 2 5" xfId="6363" xr:uid="{7D94F4C4-6C99-4B9A-A7E0-82CDFC5AB1DE}"/>
    <cellStyle name="Normal 10 2 2 2 6 2 2 2 5 2" xfId="6364" xr:uid="{E0569CC6-B30B-4A77-A2A5-77B7D949CB50}"/>
    <cellStyle name="Normal 10 2 2 2 6 2 2 2 6" xfId="6365" xr:uid="{996103F6-563A-493C-8B5E-2AF009BF981D}"/>
    <cellStyle name="Normal 10 2 2 2 6 2 2 3" xfId="6366" xr:uid="{D1907037-E41E-4D39-B2CD-53930C2A5FC4}"/>
    <cellStyle name="Normal 10 2 2 2 6 2 2 3 2" xfId="6367" xr:uid="{1061EE56-192E-4A41-8367-D77293D911CC}"/>
    <cellStyle name="Normal 10 2 2 2 6 2 2 3 2 2" xfId="6368" xr:uid="{8288E66A-2914-44FE-9088-5326C329A47B}"/>
    <cellStyle name="Normal 10 2 2 2 6 2 2 3 2 2 2" xfId="6369" xr:uid="{F5E4D620-61FD-46C0-AFC0-22E9555ACE6A}"/>
    <cellStyle name="Normal 10 2 2 2 6 2 2 3 2 2 2 2" xfId="6370" xr:uid="{126E8B4A-852D-479F-B5BF-4BB129125E55}"/>
    <cellStyle name="Normal 10 2 2 2 6 2 2 3 2 2 3" xfId="6371" xr:uid="{F253682B-2817-475D-AB82-36FAF87FE0FF}"/>
    <cellStyle name="Normal 10 2 2 2 6 2 2 3 2 3" xfId="6372" xr:uid="{2AC217BF-4367-4C3E-A1D4-4FBE8C90C11E}"/>
    <cellStyle name="Normal 10 2 2 2 6 2 2 3 2 3 2" xfId="6373" xr:uid="{70569EBB-0174-45BD-AB01-BB260407BA63}"/>
    <cellStyle name="Normal 10 2 2 2 6 2 2 3 2 4" xfId="6374" xr:uid="{AD3967A5-71A1-44DA-9E6B-6CC723CBF297}"/>
    <cellStyle name="Normal 10 2 2 2 6 2 2 3 3" xfId="6375" xr:uid="{15EEF81A-F1B6-41A9-81CF-C44A96573AEC}"/>
    <cellStyle name="Normal 10 2 2 2 6 2 2 3 3 2" xfId="6376" xr:uid="{3D9FB7B0-CF2B-460F-9669-53D0DAB17EB7}"/>
    <cellStyle name="Normal 10 2 2 2 6 2 2 3 3 2 2" xfId="6377" xr:uid="{756744C7-8E41-4B8C-B31D-9217811B7704}"/>
    <cellStyle name="Normal 10 2 2 2 6 2 2 3 3 3" xfId="6378" xr:uid="{3A1C5377-A1B8-4D56-9B4E-56A0E31BF4C8}"/>
    <cellStyle name="Normal 10 2 2 2 6 2 2 3 4" xfId="6379" xr:uid="{8A25061E-543A-4537-994F-45E51A41C7C3}"/>
    <cellStyle name="Normal 10 2 2 2 6 2 2 3 4 2" xfId="6380" xr:uid="{4BF94601-2513-4F67-B9D1-0896CE7EC4EF}"/>
    <cellStyle name="Normal 10 2 2 2 6 2 2 3 5" xfId="6381" xr:uid="{6E885E0C-A0D7-49CE-9BBA-31CFE6151BC1}"/>
    <cellStyle name="Normal 10 2 2 2 6 2 2 4" xfId="6382" xr:uid="{5470B03A-26FF-4570-AADD-AD01394043E7}"/>
    <cellStyle name="Normal 10 2 2 2 6 2 2 4 2" xfId="6383" xr:uid="{B7D3C2D2-AE3C-41E9-A6E8-AC9E897AD590}"/>
    <cellStyle name="Normal 10 2 2 2 6 2 2 4 2 2" xfId="6384" xr:uid="{1793F4D3-ED46-4A1B-8E37-AB3463DCC783}"/>
    <cellStyle name="Normal 10 2 2 2 6 2 2 4 2 2 2" xfId="6385" xr:uid="{EF00E05E-2382-48DE-8FD9-EADD531DC21D}"/>
    <cellStyle name="Normal 10 2 2 2 6 2 2 4 2 3" xfId="6386" xr:uid="{585D767B-F816-4F3C-8F2B-0F435E6174AF}"/>
    <cellStyle name="Normal 10 2 2 2 6 2 2 4 3" xfId="6387" xr:uid="{E1E7E765-CD4E-40BF-8BCB-E7CA26BF0145}"/>
    <cellStyle name="Normal 10 2 2 2 6 2 2 4 3 2" xfId="6388" xr:uid="{CC743F7B-7B3E-485E-B2E3-D480823B3973}"/>
    <cellStyle name="Normal 10 2 2 2 6 2 2 4 4" xfId="6389" xr:uid="{4391D841-428D-4295-A44D-DADE07F471B6}"/>
    <cellStyle name="Normal 10 2 2 2 6 2 2 5" xfId="6390" xr:uid="{1FE00DE6-D39D-4ABB-92A1-3D44DCB27970}"/>
    <cellStyle name="Normal 10 2 2 2 6 2 2 5 2" xfId="6391" xr:uid="{49E7934C-FDC8-4722-978C-E1798138F243}"/>
    <cellStyle name="Normal 10 2 2 2 6 2 2 5 2 2" xfId="6392" xr:uid="{7729F3AE-7304-41E9-BCDD-60FB8E292CAF}"/>
    <cellStyle name="Normal 10 2 2 2 6 2 2 5 3" xfId="6393" xr:uid="{C0C5F18B-0938-45A3-AE3C-6B8E54B83B37}"/>
    <cellStyle name="Normal 10 2 2 2 6 2 2 6" xfId="6394" xr:uid="{E2FA5855-FA1E-4384-BE30-F2A0A5849B3B}"/>
    <cellStyle name="Normal 10 2 2 2 6 2 2 6 2" xfId="6395" xr:uid="{280EEDFD-93EE-4416-8306-A41F3C554A62}"/>
    <cellStyle name="Normal 10 2 2 2 6 2 2 7" xfId="6396" xr:uid="{79BD3A89-25AE-4F32-B04F-F61E3AC85FC3}"/>
    <cellStyle name="Normal 10 2 2 2 6 2 3" xfId="6397" xr:uid="{BCF6E276-19E0-4D4A-9CB3-A43340AD1E34}"/>
    <cellStyle name="Normal 10 2 2 2 6 2 3 2" xfId="6398" xr:uid="{5EDD341D-36AA-4133-9B4D-ED1B6022370B}"/>
    <cellStyle name="Normal 10 2 2 2 6 2 3 2 2" xfId="6399" xr:uid="{93B64249-BFCA-423C-8907-A987AE40442C}"/>
    <cellStyle name="Normal 10 2 2 2 6 2 3 2 2 2" xfId="6400" xr:uid="{21B75F7C-D017-4DB9-B9EE-7B8B208B94F0}"/>
    <cellStyle name="Normal 10 2 2 2 6 2 3 2 2 2 2" xfId="6401" xr:uid="{04C2F523-DC48-4EC8-B795-6847436C43D1}"/>
    <cellStyle name="Normal 10 2 2 2 6 2 3 2 2 2 2 2" xfId="6402" xr:uid="{53B055E3-C621-45D6-B6BF-AA5BF9E356A9}"/>
    <cellStyle name="Normal 10 2 2 2 6 2 3 2 2 2 3" xfId="6403" xr:uid="{CE70ADD7-3FAB-4A16-BB0A-2ABB386F4C94}"/>
    <cellStyle name="Normal 10 2 2 2 6 2 3 2 2 3" xfId="6404" xr:uid="{97045CEB-E87C-44B8-A7FF-07D7C2650F48}"/>
    <cellStyle name="Normal 10 2 2 2 6 2 3 2 2 3 2" xfId="6405" xr:uid="{69CEE2BC-7B3E-402B-8B26-BADA3FBB9F04}"/>
    <cellStyle name="Normal 10 2 2 2 6 2 3 2 2 4" xfId="6406" xr:uid="{92F038E2-A3EA-420F-94BC-67C6FD55E349}"/>
    <cellStyle name="Normal 10 2 2 2 6 2 3 2 3" xfId="6407" xr:uid="{71B5DED3-1A5E-46ED-A698-03D9B9F32368}"/>
    <cellStyle name="Normal 10 2 2 2 6 2 3 2 3 2" xfId="6408" xr:uid="{E5097B42-9456-4E5E-96B3-5135B91F1C84}"/>
    <cellStyle name="Normal 10 2 2 2 6 2 3 2 3 2 2" xfId="6409" xr:uid="{551F2B68-CDD4-41E7-9042-C5F7B883C565}"/>
    <cellStyle name="Normal 10 2 2 2 6 2 3 2 3 3" xfId="6410" xr:uid="{51068943-95D5-46D6-93C9-FF0D402F8F98}"/>
    <cellStyle name="Normal 10 2 2 2 6 2 3 2 4" xfId="6411" xr:uid="{8DFBDE22-C5C9-4F22-801A-E3B46EDA09D8}"/>
    <cellStyle name="Normal 10 2 2 2 6 2 3 2 4 2" xfId="6412" xr:uid="{B516FD3D-5D43-497F-BF27-99594F153F71}"/>
    <cellStyle name="Normal 10 2 2 2 6 2 3 2 5" xfId="6413" xr:uid="{AF63CEE1-76DB-47B1-9CDF-C0C1274CB442}"/>
    <cellStyle name="Normal 10 2 2 2 6 2 3 3" xfId="6414" xr:uid="{7D5D552D-90B6-4A54-A09D-BCC250645803}"/>
    <cellStyle name="Normal 10 2 2 2 6 2 3 3 2" xfId="6415" xr:uid="{F7ABE54D-F7E4-4B14-8119-961A36015806}"/>
    <cellStyle name="Normal 10 2 2 2 6 2 3 3 2 2" xfId="6416" xr:uid="{5DC2039B-B2FF-4962-A738-2B900B329D61}"/>
    <cellStyle name="Normal 10 2 2 2 6 2 3 3 2 2 2" xfId="6417" xr:uid="{4F7B7F7D-89ED-4CCF-A607-C71189DCC31E}"/>
    <cellStyle name="Normal 10 2 2 2 6 2 3 3 2 3" xfId="6418" xr:uid="{FE70BA29-CA1A-4FED-8CD2-300428FB5954}"/>
    <cellStyle name="Normal 10 2 2 2 6 2 3 3 3" xfId="6419" xr:uid="{3381402E-032A-4EBC-803D-302DAEF76067}"/>
    <cellStyle name="Normal 10 2 2 2 6 2 3 3 3 2" xfId="6420" xr:uid="{E10AA787-8052-4278-BB12-50B76DFB433B}"/>
    <cellStyle name="Normal 10 2 2 2 6 2 3 3 4" xfId="6421" xr:uid="{A19A7136-2B10-447C-9451-EDF054C82DF3}"/>
    <cellStyle name="Normal 10 2 2 2 6 2 3 4" xfId="6422" xr:uid="{1FB5FA41-0EA4-4BB0-A0F3-EF82AAD5F877}"/>
    <cellStyle name="Normal 10 2 2 2 6 2 3 4 2" xfId="6423" xr:uid="{7825F719-7B7F-480E-96CA-8CB4E8756C82}"/>
    <cellStyle name="Normal 10 2 2 2 6 2 3 4 2 2" xfId="6424" xr:uid="{0C6F2916-C9CC-4D69-BF21-32E793A26257}"/>
    <cellStyle name="Normal 10 2 2 2 6 2 3 4 3" xfId="6425" xr:uid="{F0F05610-9FB1-4978-9291-71D863DBD41E}"/>
    <cellStyle name="Normal 10 2 2 2 6 2 3 5" xfId="6426" xr:uid="{8D99EC69-D6C9-4793-8D7A-0A9BADFB4B67}"/>
    <cellStyle name="Normal 10 2 2 2 6 2 3 5 2" xfId="6427" xr:uid="{73B8C472-F300-4CEF-8EDB-8C83C9F56AEC}"/>
    <cellStyle name="Normal 10 2 2 2 6 2 3 6" xfId="6428" xr:uid="{0A548E80-E970-45AF-9B43-B1A3D4A6E6C4}"/>
    <cellStyle name="Normal 10 2 2 2 6 2 4" xfId="6429" xr:uid="{D8CECB68-D647-44D7-AF97-A4E0F4029FE0}"/>
    <cellStyle name="Normal 10 2 2 2 6 2 4 2" xfId="6430" xr:uid="{19B7CA11-D006-46DF-B852-D60AFEF2C303}"/>
    <cellStyle name="Normal 10 2 2 2 6 2 4 2 2" xfId="6431" xr:uid="{3EB16242-1E36-4C2E-ADB0-B5AD93B96511}"/>
    <cellStyle name="Normal 10 2 2 2 6 2 4 2 2 2" xfId="6432" xr:uid="{8E47C7DF-B326-4C5F-BA2B-6032DDF544EB}"/>
    <cellStyle name="Normal 10 2 2 2 6 2 4 2 2 2 2" xfId="6433" xr:uid="{AEC88D3F-DB43-4F1A-A1DF-F5A24D0F60F6}"/>
    <cellStyle name="Normal 10 2 2 2 6 2 4 2 2 3" xfId="6434" xr:uid="{3F86D7D5-3836-4622-A4FE-95C5E1FCF1D1}"/>
    <cellStyle name="Normal 10 2 2 2 6 2 4 2 3" xfId="6435" xr:uid="{534A30D4-D2DC-449A-AF50-74122049B138}"/>
    <cellStyle name="Normal 10 2 2 2 6 2 4 2 3 2" xfId="6436" xr:uid="{9B2F258C-32F4-4280-B2A5-8BEB9946E452}"/>
    <cellStyle name="Normal 10 2 2 2 6 2 4 2 4" xfId="6437" xr:uid="{27427AB1-7B04-422F-81A7-80E4A0D50591}"/>
    <cellStyle name="Normal 10 2 2 2 6 2 4 3" xfId="6438" xr:uid="{E79FD906-B2FD-4112-AAC5-57C0DCE92790}"/>
    <cellStyle name="Normal 10 2 2 2 6 2 4 3 2" xfId="6439" xr:uid="{90699BB7-73E4-4F46-8137-85BE0ED62F7F}"/>
    <cellStyle name="Normal 10 2 2 2 6 2 4 3 2 2" xfId="6440" xr:uid="{3631C727-D846-4011-97D7-68EEB5C6D946}"/>
    <cellStyle name="Normal 10 2 2 2 6 2 4 3 3" xfId="6441" xr:uid="{6FFFCD4D-A7E9-4208-86BE-3698B822FDF5}"/>
    <cellStyle name="Normal 10 2 2 2 6 2 4 4" xfId="6442" xr:uid="{1646A3D1-EB7C-4FD1-B8EF-8AEB8E2C1AE3}"/>
    <cellStyle name="Normal 10 2 2 2 6 2 4 4 2" xfId="6443" xr:uid="{D3FFC0D4-86FD-416E-B98C-418662777B17}"/>
    <cellStyle name="Normal 10 2 2 2 6 2 4 5" xfId="6444" xr:uid="{F2FC293F-7B62-4B1F-AFCF-FE3E31C16408}"/>
    <cellStyle name="Normal 10 2 2 2 6 2 5" xfId="6445" xr:uid="{52DBA5DE-B52B-411C-B904-D91A4AA1E1A1}"/>
    <cellStyle name="Normal 10 2 2 2 6 2 5 2" xfId="6446" xr:uid="{FCD22A7A-7CCD-43B9-B2F8-EBC225BF1C5D}"/>
    <cellStyle name="Normal 10 2 2 2 6 2 5 2 2" xfId="6447" xr:uid="{AC655025-D8B1-4BC7-AB9A-788D5D236A80}"/>
    <cellStyle name="Normal 10 2 2 2 6 2 5 2 2 2" xfId="6448" xr:uid="{EB900E81-1B8B-4E23-986D-CCF1E4E2244E}"/>
    <cellStyle name="Normal 10 2 2 2 6 2 5 2 3" xfId="6449" xr:uid="{E8A49A90-CEE5-49C9-84A7-C808878E5ED9}"/>
    <cellStyle name="Normal 10 2 2 2 6 2 5 3" xfId="6450" xr:uid="{B04FCCCF-D57F-4B74-BEE7-D3701B268E2B}"/>
    <cellStyle name="Normal 10 2 2 2 6 2 5 3 2" xfId="6451" xr:uid="{48FB4B5D-9111-4C00-9D4B-7BE6A6EF1585}"/>
    <cellStyle name="Normal 10 2 2 2 6 2 5 4" xfId="6452" xr:uid="{97A86670-11E3-4C93-A755-02CDF041B032}"/>
    <cellStyle name="Normal 10 2 2 2 6 2 6" xfId="6453" xr:uid="{AFE2B85F-F22C-48ED-BA97-28B920674827}"/>
    <cellStyle name="Normal 10 2 2 2 6 2 6 2" xfId="6454" xr:uid="{4671C4D0-8711-4D3B-AFB9-7E8A33B786E9}"/>
    <cellStyle name="Normal 10 2 2 2 6 2 6 2 2" xfId="6455" xr:uid="{69249444-35C7-48A9-818F-7802E9E5068A}"/>
    <cellStyle name="Normal 10 2 2 2 6 2 6 3" xfId="6456" xr:uid="{753240CC-EF5E-4F7C-AEEA-176E97BC76B8}"/>
    <cellStyle name="Normal 10 2 2 2 6 2 7" xfId="6457" xr:uid="{C6539379-9746-4BB4-8983-D454405C9CA7}"/>
    <cellStyle name="Normal 10 2 2 2 6 2 7 2" xfId="6458" xr:uid="{729D4EE4-6E3B-4034-9B0C-B6FEA013A1B5}"/>
    <cellStyle name="Normal 10 2 2 2 6 2 8" xfId="6459" xr:uid="{639BD136-4630-4390-8C8B-A211846BDDC7}"/>
    <cellStyle name="Normal 10 2 2 2 6 3" xfId="6460" xr:uid="{BA9BE2CA-6637-4666-9A30-7A815F6AEE09}"/>
    <cellStyle name="Normal 10 2 2 2 6 3 2" xfId="6461" xr:uid="{59D6AD7E-F76A-4E59-BD93-78D162601BCC}"/>
    <cellStyle name="Normal 10 2 2 2 6 3 2 2" xfId="6462" xr:uid="{112696B4-973E-4C59-B381-86B67E6815FB}"/>
    <cellStyle name="Normal 10 2 2 2 6 3 2 2 2" xfId="6463" xr:uid="{C6DFD2BA-C64C-4A82-BE55-1FF70F6BA877}"/>
    <cellStyle name="Normal 10 2 2 2 6 3 2 2 2 2" xfId="6464" xr:uid="{6F91B9D9-7A02-47E6-87CC-DBF80D457C80}"/>
    <cellStyle name="Normal 10 2 2 2 6 3 2 2 2 2 2" xfId="6465" xr:uid="{50954000-259C-4DF7-BC7D-A902EEEBCA53}"/>
    <cellStyle name="Normal 10 2 2 2 6 3 2 2 2 2 2 2" xfId="6466" xr:uid="{6E832D7C-AD44-4D23-BE15-F6F12ED14561}"/>
    <cellStyle name="Normal 10 2 2 2 6 3 2 2 2 2 3" xfId="6467" xr:uid="{20503E06-78CE-465D-845F-044D933D14F2}"/>
    <cellStyle name="Normal 10 2 2 2 6 3 2 2 2 3" xfId="6468" xr:uid="{EE6B1CCA-A079-4EE6-869D-00D169D66373}"/>
    <cellStyle name="Normal 10 2 2 2 6 3 2 2 2 3 2" xfId="6469" xr:uid="{CC782428-84F0-47ED-804C-2337A1B55F96}"/>
    <cellStyle name="Normal 10 2 2 2 6 3 2 2 2 4" xfId="6470" xr:uid="{1BA8F01E-C10F-40D4-9F3E-0D4A4A6A9638}"/>
    <cellStyle name="Normal 10 2 2 2 6 3 2 2 3" xfId="6471" xr:uid="{55EB2AE6-3973-466F-B2B5-EFD111022E51}"/>
    <cellStyle name="Normal 10 2 2 2 6 3 2 2 3 2" xfId="6472" xr:uid="{0DA18A9F-20FB-4259-85AB-32AF4CF05136}"/>
    <cellStyle name="Normal 10 2 2 2 6 3 2 2 3 2 2" xfId="6473" xr:uid="{7DE60F6F-846D-4656-96A4-5B58D710EAB9}"/>
    <cellStyle name="Normal 10 2 2 2 6 3 2 2 3 3" xfId="6474" xr:uid="{FA620544-C156-469A-9003-FF275030145D}"/>
    <cellStyle name="Normal 10 2 2 2 6 3 2 2 4" xfId="6475" xr:uid="{A385DB62-20B6-4ADC-90E6-938C33F3B91C}"/>
    <cellStyle name="Normal 10 2 2 2 6 3 2 2 4 2" xfId="6476" xr:uid="{3071A75D-DF96-426E-B5F1-80DD38C7F885}"/>
    <cellStyle name="Normal 10 2 2 2 6 3 2 2 5" xfId="6477" xr:uid="{99E5DB73-D317-472B-8695-278777C42D66}"/>
    <cellStyle name="Normal 10 2 2 2 6 3 2 3" xfId="6478" xr:uid="{E1AAA0F8-A330-43BC-B73E-12DF11DFA4CC}"/>
    <cellStyle name="Normal 10 2 2 2 6 3 2 3 2" xfId="6479" xr:uid="{1457FE72-444A-4806-BDCB-F9CE61CF5F39}"/>
    <cellStyle name="Normal 10 2 2 2 6 3 2 3 2 2" xfId="6480" xr:uid="{E530C269-41DC-4BFC-AF7F-F06F65733305}"/>
    <cellStyle name="Normal 10 2 2 2 6 3 2 3 2 2 2" xfId="6481" xr:uid="{DCD18C71-2D32-4610-9BFA-F3AA9E4EB1EC}"/>
    <cellStyle name="Normal 10 2 2 2 6 3 2 3 2 3" xfId="6482" xr:uid="{9AD0B635-4FB0-480E-AD93-5AB1F944D095}"/>
    <cellStyle name="Normal 10 2 2 2 6 3 2 3 3" xfId="6483" xr:uid="{63DEAA2D-6D7B-469D-A99F-C4E3120EF5FC}"/>
    <cellStyle name="Normal 10 2 2 2 6 3 2 3 3 2" xfId="6484" xr:uid="{3FAC829C-F7E0-461D-A8CC-BB81103F52B2}"/>
    <cellStyle name="Normal 10 2 2 2 6 3 2 3 4" xfId="6485" xr:uid="{57A79BFA-1905-47DB-BE58-F746BA030E57}"/>
    <cellStyle name="Normal 10 2 2 2 6 3 2 4" xfId="6486" xr:uid="{4C8086FF-834B-48D8-B25D-A5A442E52290}"/>
    <cellStyle name="Normal 10 2 2 2 6 3 2 4 2" xfId="6487" xr:uid="{07E3C0BE-01B7-45B1-BC37-B513FC3AF56C}"/>
    <cellStyle name="Normal 10 2 2 2 6 3 2 4 2 2" xfId="6488" xr:uid="{D30CA29C-1FE0-4A65-BD1C-FBF161DA17FD}"/>
    <cellStyle name="Normal 10 2 2 2 6 3 2 4 3" xfId="6489" xr:uid="{26BCAB37-CF67-422E-BE36-0877453DA6E7}"/>
    <cellStyle name="Normal 10 2 2 2 6 3 2 5" xfId="6490" xr:uid="{D27B3EEF-1A00-44A6-AF8B-6A78723C53CA}"/>
    <cellStyle name="Normal 10 2 2 2 6 3 2 5 2" xfId="6491" xr:uid="{FF363AC0-01B1-4EE8-85BB-9D4AFBA619EF}"/>
    <cellStyle name="Normal 10 2 2 2 6 3 2 6" xfId="6492" xr:uid="{60FD968C-C045-4F64-A681-51E80F5CDED0}"/>
    <cellStyle name="Normal 10 2 2 2 6 3 3" xfId="6493" xr:uid="{CD53EE61-F8EA-4888-B43E-BDF7ACFF196C}"/>
    <cellStyle name="Normal 10 2 2 2 6 3 3 2" xfId="6494" xr:uid="{0A3B10D5-7548-4C4B-845F-1C67B3E55E44}"/>
    <cellStyle name="Normal 10 2 2 2 6 3 3 2 2" xfId="6495" xr:uid="{D27CC505-4721-4521-B8A3-9C6AA2A7A168}"/>
    <cellStyle name="Normal 10 2 2 2 6 3 3 2 2 2" xfId="6496" xr:uid="{AB90B8C7-1B3E-41E0-8122-0F803528985E}"/>
    <cellStyle name="Normal 10 2 2 2 6 3 3 2 2 2 2" xfId="6497" xr:uid="{806CB62F-415D-43A5-9E8F-690C2A9F7124}"/>
    <cellStyle name="Normal 10 2 2 2 6 3 3 2 2 3" xfId="6498" xr:uid="{00CD4226-6621-4779-A43C-F5D48DD2A3E0}"/>
    <cellStyle name="Normal 10 2 2 2 6 3 3 2 3" xfId="6499" xr:uid="{BB0DE39B-D947-44A3-8350-53574D14B43C}"/>
    <cellStyle name="Normal 10 2 2 2 6 3 3 2 3 2" xfId="6500" xr:uid="{DCD0CED4-81B2-445B-B63A-C1A94CA171F3}"/>
    <cellStyle name="Normal 10 2 2 2 6 3 3 2 4" xfId="6501" xr:uid="{77A1CB77-BAF2-404B-B3B3-2AA79A1BF831}"/>
    <cellStyle name="Normal 10 2 2 2 6 3 3 3" xfId="6502" xr:uid="{88BABE84-719F-4ED3-8947-FBFEF44DB966}"/>
    <cellStyle name="Normal 10 2 2 2 6 3 3 3 2" xfId="6503" xr:uid="{7CF4BA29-4CC3-43CA-BFF7-E80D1CE6B309}"/>
    <cellStyle name="Normal 10 2 2 2 6 3 3 3 2 2" xfId="6504" xr:uid="{7CE4E43C-60CC-45AF-8732-E1FABC612FD0}"/>
    <cellStyle name="Normal 10 2 2 2 6 3 3 3 3" xfId="6505" xr:uid="{D96A65FA-495C-4A1B-8347-F4FBE1A5F699}"/>
    <cellStyle name="Normal 10 2 2 2 6 3 3 4" xfId="6506" xr:uid="{F55D4D65-4A44-436C-9323-85494D7ED9FC}"/>
    <cellStyle name="Normal 10 2 2 2 6 3 3 4 2" xfId="6507" xr:uid="{157C700E-B1BB-4AA0-BC30-59B069C50DF5}"/>
    <cellStyle name="Normal 10 2 2 2 6 3 3 5" xfId="6508" xr:uid="{5F4A2DC3-A43F-4B94-85CC-5D872E7F31EA}"/>
    <cellStyle name="Normal 10 2 2 2 6 3 4" xfId="6509" xr:uid="{A6CEF303-71E0-4121-BB78-9582C046FD9F}"/>
    <cellStyle name="Normal 10 2 2 2 6 3 4 2" xfId="6510" xr:uid="{3D21612A-96CC-4871-A3EB-092BD0FC8D55}"/>
    <cellStyle name="Normal 10 2 2 2 6 3 4 2 2" xfId="6511" xr:uid="{906A8DE2-FA78-43DC-9D85-C50A109FF098}"/>
    <cellStyle name="Normal 10 2 2 2 6 3 4 2 2 2" xfId="6512" xr:uid="{7FA1DC12-3A00-45FA-B22A-6C553438222C}"/>
    <cellStyle name="Normal 10 2 2 2 6 3 4 2 3" xfId="6513" xr:uid="{2B12DCA7-8AEB-458B-9247-64A3DECB36A8}"/>
    <cellStyle name="Normal 10 2 2 2 6 3 4 3" xfId="6514" xr:uid="{725BC607-52A9-4D9F-826B-D98D21370F2A}"/>
    <cellStyle name="Normal 10 2 2 2 6 3 4 3 2" xfId="6515" xr:uid="{1C99117A-6DE6-45A0-859F-D9C18DE26310}"/>
    <cellStyle name="Normal 10 2 2 2 6 3 4 4" xfId="6516" xr:uid="{CC9F8ACE-4E13-4CD4-8E9A-1BA1A38BF613}"/>
    <cellStyle name="Normal 10 2 2 2 6 3 5" xfId="6517" xr:uid="{AD3E1A41-FB94-46FD-B460-BF0A256A0D93}"/>
    <cellStyle name="Normal 10 2 2 2 6 3 5 2" xfId="6518" xr:uid="{2D44F0C0-23C3-421E-AF47-1E19A7509A32}"/>
    <cellStyle name="Normal 10 2 2 2 6 3 5 2 2" xfId="6519" xr:uid="{373D9E95-DB20-4282-B42E-09E6BEF5CB52}"/>
    <cellStyle name="Normal 10 2 2 2 6 3 5 3" xfId="6520" xr:uid="{1984B4F4-E0B0-41AD-B48F-C538D3BB60CE}"/>
    <cellStyle name="Normal 10 2 2 2 6 3 6" xfId="6521" xr:uid="{A1C4C996-202B-45E3-A445-F38E034F4347}"/>
    <cellStyle name="Normal 10 2 2 2 6 3 6 2" xfId="6522" xr:uid="{76198281-A3FF-4DFF-B792-292D8E9A2983}"/>
    <cellStyle name="Normal 10 2 2 2 6 3 7" xfId="6523" xr:uid="{31B77EFC-A041-4E0A-AFD4-C96603A5BCF7}"/>
    <cellStyle name="Normal 10 2 2 2 6 4" xfId="6524" xr:uid="{AAFB3870-2E67-4105-B176-49CDE21BE893}"/>
    <cellStyle name="Normal 10 2 2 2 6 4 2" xfId="6525" xr:uid="{BA55C91E-D7CE-4BAB-8E6D-120CD0B8D077}"/>
    <cellStyle name="Normal 10 2 2 2 6 4 2 2" xfId="6526" xr:uid="{54654B46-093D-48FC-A22A-E7FC78196DA3}"/>
    <cellStyle name="Normal 10 2 2 2 6 4 2 2 2" xfId="6527" xr:uid="{511A0A65-F46C-44B2-92DA-7EC56025CED6}"/>
    <cellStyle name="Normal 10 2 2 2 6 4 2 2 2 2" xfId="6528" xr:uid="{E203180D-5BE0-482B-A358-662A37221C65}"/>
    <cellStyle name="Normal 10 2 2 2 6 4 2 2 2 2 2" xfId="6529" xr:uid="{4BDE2F75-FCD8-4394-99E3-01A8E454511F}"/>
    <cellStyle name="Normal 10 2 2 2 6 4 2 2 2 3" xfId="6530" xr:uid="{1D36DEBC-1141-4897-90E9-280EF5A0F057}"/>
    <cellStyle name="Normal 10 2 2 2 6 4 2 2 3" xfId="6531" xr:uid="{4207C2ED-B57B-4F7D-BDC3-81FD11C3A24E}"/>
    <cellStyle name="Normal 10 2 2 2 6 4 2 2 3 2" xfId="6532" xr:uid="{D6F2AE4D-2C8E-4C6B-A394-FEB25FB083BD}"/>
    <cellStyle name="Normal 10 2 2 2 6 4 2 2 4" xfId="6533" xr:uid="{B10B0611-ABFC-4006-ADF1-63888DACC083}"/>
    <cellStyle name="Normal 10 2 2 2 6 4 2 3" xfId="6534" xr:uid="{5C3E2FCA-49EA-4A54-852C-9C38795C3258}"/>
    <cellStyle name="Normal 10 2 2 2 6 4 2 3 2" xfId="6535" xr:uid="{32A45448-CE69-4159-99F7-4636360B41E9}"/>
    <cellStyle name="Normal 10 2 2 2 6 4 2 3 2 2" xfId="6536" xr:uid="{BD9A8516-CAD2-4B3C-BC44-AB717065AB68}"/>
    <cellStyle name="Normal 10 2 2 2 6 4 2 3 3" xfId="6537" xr:uid="{EAB49439-2D14-4C5F-9BC0-76CC24C90A71}"/>
    <cellStyle name="Normal 10 2 2 2 6 4 2 4" xfId="6538" xr:uid="{EAB9F450-D6BE-4596-9601-66EE7776EA66}"/>
    <cellStyle name="Normal 10 2 2 2 6 4 2 4 2" xfId="6539" xr:uid="{943E838D-D05B-4479-AC50-7214EF77C85A}"/>
    <cellStyle name="Normal 10 2 2 2 6 4 2 5" xfId="6540" xr:uid="{C25413A7-88F7-487E-BDC4-9248D7EF156E}"/>
    <cellStyle name="Normal 10 2 2 2 6 4 3" xfId="6541" xr:uid="{C7E390EE-5A5B-4026-9CC7-4179E99FBB1B}"/>
    <cellStyle name="Normal 10 2 2 2 6 4 3 2" xfId="6542" xr:uid="{EEF404FD-2DB3-481A-A469-AA968F546BA5}"/>
    <cellStyle name="Normal 10 2 2 2 6 4 3 2 2" xfId="6543" xr:uid="{5EF89AB8-374F-42A0-9389-7D6E017125AB}"/>
    <cellStyle name="Normal 10 2 2 2 6 4 3 2 2 2" xfId="6544" xr:uid="{6F6F0740-0372-4218-8968-4711469069C4}"/>
    <cellStyle name="Normal 10 2 2 2 6 4 3 2 3" xfId="6545" xr:uid="{08534FA9-9D3C-4402-8374-5379D12C6534}"/>
    <cellStyle name="Normal 10 2 2 2 6 4 3 3" xfId="6546" xr:uid="{98C516CB-D255-4B0C-8319-D60B0C93C553}"/>
    <cellStyle name="Normal 10 2 2 2 6 4 3 3 2" xfId="6547" xr:uid="{F886B1E5-7C71-464E-B386-37064A0CED64}"/>
    <cellStyle name="Normal 10 2 2 2 6 4 3 4" xfId="6548" xr:uid="{4D2A2923-A2DF-44E9-8FC4-1D2591C65855}"/>
    <cellStyle name="Normal 10 2 2 2 6 4 4" xfId="6549" xr:uid="{12BB73E6-66E4-49DC-B470-27B9BA8D66CD}"/>
    <cellStyle name="Normal 10 2 2 2 6 4 4 2" xfId="6550" xr:uid="{D898CDF1-A5A6-4D77-AD87-005F7F1A8E3B}"/>
    <cellStyle name="Normal 10 2 2 2 6 4 4 2 2" xfId="6551" xr:uid="{ADAD70A7-EE68-4660-8FF8-D2456920612F}"/>
    <cellStyle name="Normal 10 2 2 2 6 4 4 3" xfId="6552" xr:uid="{F33D7BC0-EDA6-4871-9735-EBABE480E90A}"/>
    <cellStyle name="Normal 10 2 2 2 6 4 5" xfId="6553" xr:uid="{FA199880-6A1A-4EC7-9219-32873E920681}"/>
    <cellStyle name="Normal 10 2 2 2 6 4 5 2" xfId="6554" xr:uid="{36FC2822-553E-4F6D-A9C7-0E590209F9E0}"/>
    <cellStyle name="Normal 10 2 2 2 6 4 6" xfId="6555" xr:uid="{19AAC78F-C1AC-4195-830D-43E4229BDB82}"/>
    <cellStyle name="Normal 10 2 2 2 6 5" xfId="6556" xr:uid="{FEB0C07A-4FFD-4AF1-B103-F47D1A56F001}"/>
    <cellStyle name="Normal 10 2 2 2 6 5 2" xfId="6557" xr:uid="{C018C804-5DAA-4C64-858A-FE960D9A90CC}"/>
    <cellStyle name="Normal 10 2 2 2 6 5 2 2" xfId="6558" xr:uid="{76675BE9-260A-4CE1-A58C-4F65FA2FA2D7}"/>
    <cellStyle name="Normal 10 2 2 2 6 5 2 2 2" xfId="6559" xr:uid="{17419272-6488-44F7-BF5F-9D063DDEF4DD}"/>
    <cellStyle name="Normal 10 2 2 2 6 5 2 2 2 2" xfId="6560" xr:uid="{506DC775-C23E-4753-AE3D-B00CA5227AEC}"/>
    <cellStyle name="Normal 10 2 2 2 6 5 2 2 3" xfId="6561" xr:uid="{FE2EFFEB-0FF2-4EF7-AB97-E8CF4ECA570E}"/>
    <cellStyle name="Normal 10 2 2 2 6 5 2 3" xfId="6562" xr:uid="{6F8AA758-201B-49F0-B252-3B4A3BE4A835}"/>
    <cellStyle name="Normal 10 2 2 2 6 5 2 3 2" xfId="6563" xr:uid="{6667C215-1C99-4A86-AF23-6920948B602B}"/>
    <cellStyle name="Normal 10 2 2 2 6 5 2 4" xfId="6564" xr:uid="{A6857377-3805-4CB9-80E7-30D03FCF44C7}"/>
    <cellStyle name="Normal 10 2 2 2 6 5 3" xfId="6565" xr:uid="{3B9272CE-1DA9-4592-9F96-A6699AC2BEE4}"/>
    <cellStyle name="Normal 10 2 2 2 6 5 3 2" xfId="6566" xr:uid="{2D131757-0981-4E7C-B481-2F804DD65832}"/>
    <cellStyle name="Normal 10 2 2 2 6 5 3 2 2" xfId="6567" xr:uid="{0DD3E05F-408B-41A2-A61F-DC203D210350}"/>
    <cellStyle name="Normal 10 2 2 2 6 5 3 3" xfId="6568" xr:uid="{11186FB4-8B6A-46CB-A870-2B8580567C42}"/>
    <cellStyle name="Normal 10 2 2 2 6 5 4" xfId="6569" xr:uid="{135BA8F9-625F-4CB5-9566-3E48205F3C75}"/>
    <cellStyle name="Normal 10 2 2 2 6 5 4 2" xfId="6570" xr:uid="{F1E5B9CB-13B0-451F-9B77-6AE5C063B619}"/>
    <cellStyle name="Normal 10 2 2 2 6 5 5" xfId="6571" xr:uid="{459A7620-6B9E-45D8-9D91-3C148568E255}"/>
    <cellStyle name="Normal 10 2 2 2 6 6" xfId="6572" xr:uid="{DFDC790B-4CAE-494C-87A0-6CA2A7DFF37B}"/>
    <cellStyle name="Normal 10 2 2 2 6 6 2" xfId="6573" xr:uid="{B8F8AB27-4D98-432B-922B-6A3CC600D14F}"/>
    <cellStyle name="Normal 10 2 2 2 6 6 2 2" xfId="6574" xr:uid="{2DEA158F-8A5B-4532-97A9-3C113F2906C7}"/>
    <cellStyle name="Normal 10 2 2 2 6 6 2 2 2" xfId="6575" xr:uid="{BA3C4D27-88D1-4FE2-BFA0-A46B0BAE783D}"/>
    <cellStyle name="Normal 10 2 2 2 6 6 2 3" xfId="6576" xr:uid="{9EAA5E6D-0587-46AD-8F64-BF6B341915E2}"/>
    <cellStyle name="Normal 10 2 2 2 6 6 3" xfId="6577" xr:uid="{E5DA43AF-71BE-4A8E-9A5B-5544E194FCF9}"/>
    <cellStyle name="Normal 10 2 2 2 6 6 3 2" xfId="6578" xr:uid="{26485794-CAA5-4428-8BA7-D19784D5ACC5}"/>
    <cellStyle name="Normal 10 2 2 2 6 6 4" xfId="6579" xr:uid="{71CE2848-7475-42D2-A588-44A2AFF41E93}"/>
    <cellStyle name="Normal 10 2 2 2 6 7" xfId="6580" xr:uid="{E9FAABDB-9A02-4582-B0A2-9EB0133CED28}"/>
    <cellStyle name="Normal 10 2 2 2 6 7 2" xfId="6581" xr:uid="{8C80F867-0CE2-4329-9FA7-D08B4C560038}"/>
    <cellStyle name="Normal 10 2 2 2 6 7 2 2" xfId="6582" xr:uid="{89A787B4-1C0E-499B-9173-85A1CCBDAE2C}"/>
    <cellStyle name="Normal 10 2 2 2 6 7 3" xfId="6583" xr:uid="{EBB82FCD-AD93-407B-B561-F0F8A814DC5F}"/>
    <cellStyle name="Normal 10 2 2 2 6 8" xfId="6584" xr:uid="{1F887480-3243-44E9-B1B7-3441ED5F497A}"/>
    <cellStyle name="Normal 10 2 2 2 6 8 2" xfId="6585" xr:uid="{853269C8-97BB-4880-B29B-1A670925FED7}"/>
    <cellStyle name="Normal 10 2 2 2 6 9" xfId="6586" xr:uid="{FE55392F-18C2-4D55-B8E5-36180A0FE034}"/>
    <cellStyle name="Normal 10 2 2 2 7" xfId="449" xr:uid="{D953FC76-211E-4E31-870C-4C4175707F0D}"/>
    <cellStyle name="Normal 10 2 2 2 7 2" xfId="6588" xr:uid="{47063222-410A-48D5-9F45-D42D91040F81}"/>
    <cellStyle name="Normal 10 2 2 2 7 2 2" xfId="6589" xr:uid="{0263EC8D-C0C0-44CE-8A0D-93F983BB2FD0}"/>
    <cellStyle name="Normal 10 2 2 2 7 2 2 2" xfId="6590" xr:uid="{D5698D84-79F1-4E46-AFF5-F0915A34069B}"/>
    <cellStyle name="Normal 10 2 2 2 7 2 2 2 2" xfId="6591" xr:uid="{1651B450-D8A1-4636-9833-93EF2E82CE52}"/>
    <cellStyle name="Normal 10 2 2 2 7 2 2 2 2 2" xfId="6592" xr:uid="{C0279467-AE0C-4C7A-9AA0-C2D839A275BF}"/>
    <cellStyle name="Normal 10 2 2 2 7 2 2 2 2 2 2" xfId="6593" xr:uid="{706B4451-1919-46D2-8CEA-E176D4335415}"/>
    <cellStyle name="Normal 10 2 2 2 7 2 2 2 2 2 2 2" xfId="6594" xr:uid="{9CAA0CFD-95BD-4B4E-8C0F-06B44B0C4743}"/>
    <cellStyle name="Normal 10 2 2 2 7 2 2 2 2 2 3" xfId="6595" xr:uid="{68C79BA6-FBF4-45FE-B6B7-080815EB05A2}"/>
    <cellStyle name="Normal 10 2 2 2 7 2 2 2 2 3" xfId="6596" xr:uid="{4DBEA140-47D9-4824-8402-94C4BE027D7E}"/>
    <cellStyle name="Normal 10 2 2 2 7 2 2 2 2 3 2" xfId="6597" xr:uid="{DD292E03-2BBB-4D73-8C3C-9161A3CA3D00}"/>
    <cellStyle name="Normal 10 2 2 2 7 2 2 2 2 4" xfId="6598" xr:uid="{E0F2B33C-2368-4308-A486-C33209EDB3F4}"/>
    <cellStyle name="Normal 10 2 2 2 7 2 2 2 3" xfId="6599" xr:uid="{15DDA76F-FC0A-4725-AF7A-31118C10F3A3}"/>
    <cellStyle name="Normal 10 2 2 2 7 2 2 2 3 2" xfId="6600" xr:uid="{E11B4791-8EE1-4ACF-8CCF-348B019FB75A}"/>
    <cellStyle name="Normal 10 2 2 2 7 2 2 2 3 2 2" xfId="6601" xr:uid="{06103138-0209-4A01-82F4-F8DF6AF9CB07}"/>
    <cellStyle name="Normal 10 2 2 2 7 2 2 2 3 3" xfId="6602" xr:uid="{93289A78-59BE-4CA6-A9A6-BB06B43276B4}"/>
    <cellStyle name="Normal 10 2 2 2 7 2 2 2 4" xfId="6603" xr:uid="{1FEEE5D3-9E3C-4964-9A55-25B294E2AF16}"/>
    <cellStyle name="Normal 10 2 2 2 7 2 2 2 4 2" xfId="6604" xr:uid="{D558CB4A-820E-4CCC-A501-1DB44F402AD0}"/>
    <cellStyle name="Normal 10 2 2 2 7 2 2 2 5" xfId="6605" xr:uid="{3EDE51BC-479D-484A-8F55-3237B34FDC65}"/>
    <cellStyle name="Normal 10 2 2 2 7 2 2 3" xfId="6606" xr:uid="{AB037C18-15B6-4B8D-B14E-AB9C1BCE3F52}"/>
    <cellStyle name="Normal 10 2 2 2 7 2 2 3 2" xfId="6607" xr:uid="{5D7EC2C3-3331-4569-9452-1C306771AAEE}"/>
    <cellStyle name="Normal 10 2 2 2 7 2 2 3 2 2" xfId="6608" xr:uid="{A24E5B95-DF62-44F6-89A4-0AA4E900FB33}"/>
    <cellStyle name="Normal 10 2 2 2 7 2 2 3 2 2 2" xfId="6609" xr:uid="{E5408549-20EC-4FBA-9C2A-C655EC93DF27}"/>
    <cellStyle name="Normal 10 2 2 2 7 2 2 3 2 3" xfId="6610" xr:uid="{344171B0-F4D8-4FD4-9A39-7BA0648B531B}"/>
    <cellStyle name="Normal 10 2 2 2 7 2 2 3 3" xfId="6611" xr:uid="{73B0BBE8-FCE4-4C08-BD50-106355B6C73B}"/>
    <cellStyle name="Normal 10 2 2 2 7 2 2 3 3 2" xfId="6612" xr:uid="{056588D0-B21F-4265-BCD7-326B853E6DEA}"/>
    <cellStyle name="Normal 10 2 2 2 7 2 2 3 4" xfId="6613" xr:uid="{73C0B98C-A98E-43C6-AB89-685AC15F1C00}"/>
    <cellStyle name="Normal 10 2 2 2 7 2 2 4" xfId="6614" xr:uid="{A950A303-6AD4-40F0-B0FF-757D1709119A}"/>
    <cellStyle name="Normal 10 2 2 2 7 2 2 4 2" xfId="6615" xr:uid="{8D4DA26F-C84F-4497-B0BA-4CF92A206E95}"/>
    <cellStyle name="Normal 10 2 2 2 7 2 2 4 2 2" xfId="6616" xr:uid="{B9906362-1F49-493A-847C-E9F34AF24C51}"/>
    <cellStyle name="Normal 10 2 2 2 7 2 2 4 3" xfId="6617" xr:uid="{E299050C-0E4F-4A43-8F1F-87635C6F7B1A}"/>
    <cellStyle name="Normal 10 2 2 2 7 2 2 5" xfId="6618" xr:uid="{2F979887-556B-4AC0-9B0C-A5BAA8C1A688}"/>
    <cellStyle name="Normal 10 2 2 2 7 2 2 5 2" xfId="6619" xr:uid="{CEE5F7FF-D2B4-4B93-90BE-6E8698DF9EB5}"/>
    <cellStyle name="Normal 10 2 2 2 7 2 2 6" xfId="6620" xr:uid="{C0ECB484-BC3E-414E-9AD0-9B87AFA7BA0D}"/>
    <cellStyle name="Normal 10 2 2 2 7 2 3" xfId="6621" xr:uid="{F7325076-FEA5-4D2E-A63A-952CC9CB624C}"/>
    <cellStyle name="Normal 10 2 2 2 7 2 3 2" xfId="6622" xr:uid="{776C2705-7E81-407A-BE19-6B0B651D1B91}"/>
    <cellStyle name="Normal 10 2 2 2 7 2 3 2 2" xfId="6623" xr:uid="{667C19F8-4AAC-4FDC-A313-947D3FC0C9ED}"/>
    <cellStyle name="Normal 10 2 2 2 7 2 3 2 2 2" xfId="6624" xr:uid="{8A6A5E57-5B5C-4AFF-A65A-F9DAE8E817DD}"/>
    <cellStyle name="Normal 10 2 2 2 7 2 3 2 2 2 2" xfId="6625" xr:uid="{18E4167E-4AE6-4C7C-B581-2FC93DE31FCB}"/>
    <cellStyle name="Normal 10 2 2 2 7 2 3 2 2 3" xfId="6626" xr:uid="{AD971D59-E74D-4656-A584-9351ED7574E4}"/>
    <cellStyle name="Normal 10 2 2 2 7 2 3 2 3" xfId="6627" xr:uid="{28829948-3456-4E9D-A8D7-41B37E8D3082}"/>
    <cellStyle name="Normal 10 2 2 2 7 2 3 2 3 2" xfId="6628" xr:uid="{BA318CDB-2E9E-48C8-A0A4-B4B346782D82}"/>
    <cellStyle name="Normal 10 2 2 2 7 2 3 2 4" xfId="6629" xr:uid="{2D763D73-C34B-49CE-A107-579485FD38BE}"/>
    <cellStyle name="Normal 10 2 2 2 7 2 3 3" xfId="6630" xr:uid="{86D7EE0C-569C-48B2-BEF1-1AA83E704B43}"/>
    <cellStyle name="Normal 10 2 2 2 7 2 3 3 2" xfId="6631" xr:uid="{9401A852-FE48-49E6-ABE0-36B859590724}"/>
    <cellStyle name="Normal 10 2 2 2 7 2 3 3 2 2" xfId="6632" xr:uid="{4C806D4F-F3CB-41B3-B2E0-2BF5478D34D6}"/>
    <cellStyle name="Normal 10 2 2 2 7 2 3 3 3" xfId="6633" xr:uid="{C2399273-B806-4E67-9417-7B3199375D29}"/>
    <cellStyle name="Normal 10 2 2 2 7 2 3 4" xfId="6634" xr:uid="{76E43C27-AAB8-4EEE-8E8C-16BA6E111361}"/>
    <cellStyle name="Normal 10 2 2 2 7 2 3 4 2" xfId="6635" xr:uid="{40A91A56-96EE-4D4E-8A40-50E2A3B5C6FC}"/>
    <cellStyle name="Normal 10 2 2 2 7 2 3 5" xfId="6636" xr:uid="{1673919A-46A9-43F1-B9E0-964240D280A3}"/>
    <cellStyle name="Normal 10 2 2 2 7 2 4" xfId="6637" xr:uid="{2CDCFCDF-B695-4ED2-AD71-47FBA59784E4}"/>
    <cellStyle name="Normal 10 2 2 2 7 2 4 2" xfId="6638" xr:uid="{D064620F-9707-4BB3-A674-309036F180D3}"/>
    <cellStyle name="Normal 10 2 2 2 7 2 4 2 2" xfId="6639" xr:uid="{B568D83B-830F-42AB-AA59-3FB4B472E97E}"/>
    <cellStyle name="Normal 10 2 2 2 7 2 4 2 2 2" xfId="6640" xr:uid="{26C8FB1D-FFBD-4314-A943-054710700367}"/>
    <cellStyle name="Normal 10 2 2 2 7 2 4 2 3" xfId="6641" xr:uid="{8E8A2848-1A19-4A86-8C67-02E0B2504C98}"/>
    <cellStyle name="Normal 10 2 2 2 7 2 4 3" xfId="6642" xr:uid="{45EE3B5D-42BF-425D-960A-06C4871153DB}"/>
    <cellStyle name="Normal 10 2 2 2 7 2 4 3 2" xfId="6643" xr:uid="{3BFC7F97-1F3B-435D-A88D-16FAD4F82A50}"/>
    <cellStyle name="Normal 10 2 2 2 7 2 4 4" xfId="6644" xr:uid="{F3C7B241-D228-4C35-B73C-DFAD70145E94}"/>
    <cellStyle name="Normal 10 2 2 2 7 2 5" xfId="6645" xr:uid="{BB879090-6485-4DFC-8375-2BEB6B6ADD43}"/>
    <cellStyle name="Normal 10 2 2 2 7 2 5 2" xfId="6646" xr:uid="{3CC7E4DC-87AC-4DCA-913C-C59B74E262EC}"/>
    <cellStyle name="Normal 10 2 2 2 7 2 5 2 2" xfId="6647" xr:uid="{853E07EE-6499-4AD9-9AAD-65FC6D7AAE0C}"/>
    <cellStyle name="Normal 10 2 2 2 7 2 5 3" xfId="6648" xr:uid="{887350A8-D3D9-498E-B928-FC9201B8662B}"/>
    <cellStyle name="Normal 10 2 2 2 7 2 6" xfId="6649" xr:uid="{355FA4A9-7D16-4F9D-950E-9D7837EDA696}"/>
    <cellStyle name="Normal 10 2 2 2 7 2 6 2" xfId="6650" xr:uid="{96063BE2-4B9E-4810-85D1-9E0C85766F8C}"/>
    <cellStyle name="Normal 10 2 2 2 7 2 7" xfId="6651" xr:uid="{6FE62C24-26EC-4DB5-A9BB-565777CD9C81}"/>
    <cellStyle name="Normal 10 2 2 2 7 3" xfId="6652" xr:uid="{0FE0D950-55A0-4A6A-8E56-CBF6DCDA5AAC}"/>
    <cellStyle name="Normal 10 2 2 2 7 3 2" xfId="6653" xr:uid="{5AAE28DD-A65F-480F-ADBC-D09823D0ED55}"/>
    <cellStyle name="Normal 10 2 2 2 7 3 2 2" xfId="6654" xr:uid="{954B1C99-6F89-4A37-A337-4254517C0EB7}"/>
    <cellStyle name="Normal 10 2 2 2 7 3 2 2 2" xfId="6655" xr:uid="{034F0672-A594-464D-94F1-8F6DAA48DB28}"/>
    <cellStyle name="Normal 10 2 2 2 7 3 2 2 2 2" xfId="6656" xr:uid="{236BA092-16BF-4E38-A378-36A70D8FD0D9}"/>
    <cellStyle name="Normal 10 2 2 2 7 3 2 2 2 2 2" xfId="6657" xr:uid="{FCDE9F37-45EB-40E8-AF3B-DB65013EF287}"/>
    <cellStyle name="Normal 10 2 2 2 7 3 2 2 2 3" xfId="6658" xr:uid="{4196B983-3DA2-460A-BE5E-BFB1E919634F}"/>
    <cellStyle name="Normal 10 2 2 2 7 3 2 2 3" xfId="6659" xr:uid="{4F9F92B3-EC71-48B9-8EB4-B87F3220DA8D}"/>
    <cellStyle name="Normal 10 2 2 2 7 3 2 2 3 2" xfId="6660" xr:uid="{C0BA80B5-6701-4BF0-AE43-DB923AF0DF2F}"/>
    <cellStyle name="Normal 10 2 2 2 7 3 2 2 4" xfId="6661" xr:uid="{B2F04D95-420C-4452-84C8-F2DAF870FAA0}"/>
    <cellStyle name="Normal 10 2 2 2 7 3 2 3" xfId="6662" xr:uid="{0AA22C93-F3F3-473E-A0FD-289D584C121F}"/>
    <cellStyle name="Normal 10 2 2 2 7 3 2 3 2" xfId="6663" xr:uid="{3A0BAC73-81C4-4F95-A5F0-7BF9478C1498}"/>
    <cellStyle name="Normal 10 2 2 2 7 3 2 3 2 2" xfId="6664" xr:uid="{AF4A9509-5C69-425D-975B-C44A5668F612}"/>
    <cellStyle name="Normal 10 2 2 2 7 3 2 3 3" xfId="6665" xr:uid="{05289901-F4F1-427F-85A2-7D39010EBF46}"/>
    <cellStyle name="Normal 10 2 2 2 7 3 2 4" xfId="6666" xr:uid="{70C40883-E2FE-4AA0-A53F-E64E9EF266E7}"/>
    <cellStyle name="Normal 10 2 2 2 7 3 2 4 2" xfId="6667" xr:uid="{F66D5DCC-5CB2-4B82-B79F-001F6D253F27}"/>
    <cellStyle name="Normal 10 2 2 2 7 3 2 5" xfId="6668" xr:uid="{487608FF-C21E-4B43-B0E6-084DBBB8BFE8}"/>
    <cellStyle name="Normal 10 2 2 2 7 3 3" xfId="6669" xr:uid="{8C0C0DDE-FA6E-40CA-9CB9-A6CD01F5EFC9}"/>
    <cellStyle name="Normal 10 2 2 2 7 3 3 2" xfId="6670" xr:uid="{2B95231E-AFCB-4314-86A2-D269865199B9}"/>
    <cellStyle name="Normal 10 2 2 2 7 3 3 2 2" xfId="6671" xr:uid="{C5F8BE8E-C89D-4424-AAC0-B9AEB51CCC5D}"/>
    <cellStyle name="Normal 10 2 2 2 7 3 3 2 2 2" xfId="6672" xr:uid="{117F55A3-B9DA-491E-B470-23E6F72D8578}"/>
    <cellStyle name="Normal 10 2 2 2 7 3 3 2 3" xfId="6673" xr:uid="{86787A95-76A8-4955-A3AE-F723B32BEB5B}"/>
    <cellStyle name="Normal 10 2 2 2 7 3 3 3" xfId="6674" xr:uid="{54F5F291-2701-400F-A261-15420B2EA36B}"/>
    <cellStyle name="Normal 10 2 2 2 7 3 3 3 2" xfId="6675" xr:uid="{3DB3779C-EF01-47BD-828A-45E376ABE7EA}"/>
    <cellStyle name="Normal 10 2 2 2 7 3 3 4" xfId="6676" xr:uid="{E05813FD-6156-45AE-B493-247271EECF26}"/>
    <cellStyle name="Normal 10 2 2 2 7 3 4" xfId="6677" xr:uid="{C52B5073-1E58-4689-9A2D-0A5C68882739}"/>
    <cellStyle name="Normal 10 2 2 2 7 3 4 2" xfId="6678" xr:uid="{0F188671-E4AA-438F-8EE3-CDA381E9624B}"/>
    <cellStyle name="Normal 10 2 2 2 7 3 4 2 2" xfId="6679" xr:uid="{93594975-D827-4A07-ADA8-C381F0BF749B}"/>
    <cellStyle name="Normal 10 2 2 2 7 3 4 3" xfId="6680" xr:uid="{57489310-95D7-4FB2-8A41-DF30CEE4C562}"/>
    <cellStyle name="Normal 10 2 2 2 7 3 5" xfId="6681" xr:uid="{CFDE61FF-AFD2-4222-BF30-782913555256}"/>
    <cellStyle name="Normal 10 2 2 2 7 3 5 2" xfId="6682" xr:uid="{2824EF84-06DD-4FDF-94B7-5B0368F6F4E2}"/>
    <cellStyle name="Normal 10 2 2 2 7 3 6" xfId="6683" xr:uid="{68DC903E-C457-4973-88B0-43E46AEB64DC}"/>
    <cellStyle name="Normal 10 2 2 2 7 4" xfId="6684" xr:uid="{FC6F4E90-EDB0-4DD6-9FFA-F5ED89FD3CFE}"/>
    <cellStyle name="Normal 10 2 2 2 7 4 2" xfId="6685" xr:uid="{3BBE5BC4-A3AF-47BF-99B4-FD65E9DD8D17}"/>
    <cellStyle name="Normal 10 2 2 2 7 4 2 2" xfId="6686" xr:uid="{02173B70-0EE4-4586-9485-0FE0E871531D}"/>
    <cellStyle name="Normal 10 2 2 2 7 4 2 2 2" xfId="6687" xr:uid="{2C4E9EE3-E417-40AC-979C-4294E11CA707}"/>
    <cellStyle name="Normal 10 2 2 2 7 4 2 2 2 2" xfId="6688" xr:uid="{FFBCA0B8-C34E-4E45-B856-5ED1844104C0}"/>
    <cellStyle name="Normal 10 2 2 2 7 4 2 2 3" xfId="6689" xr:uid="{5091708E-AFCF-4D58-B7AE-780F00BC6D0D}"/>
    <cellStyle name="Normal 10 2 2 2 7 4 2 3" xfId="6690" xr:uid="{1924562A-90FB-456C-8044-77B340D8AF47}"/>
    <cellStyle name="Normal 10 2 2 2 7 4 2 3 2" xfId="6691" xr:uid="{A31F8AEA-712E-4512-B48D-D3292598AB1A}"/>
    <cellStyle name="Normal 10 2 2 2 7 4 2 4" xfId="6692" xr:uid="{C5475FD7-39CF-413E-ABF0-439AE4E33392}"/>
    <cellStyle name="Normal 10 2 2 2 7 4 3" xfId="6693" xr:uid="{F7AD9C1C-1F1D-41A2-A32F-F1DC5CBD7CD6}"/>
    <cellStyle name="Normal 10 2 2 2 7 4 3 2" xfId="6694" xr:uid="{FC4FC969-F3AC-456A-99F7-44B9CAE853FC}"/>
    <cellStyle name="Normal 10 2 2 2 7 4 3 2 2" xfId="6695" xr:uid="{29A3B1B2-056C-49FC-8D1C-B8F1C10CC065}"/>
    <cellStyle name="Normal 10 2 2 2 7 4 3 3" xfId="6696" xr:uid="{F0128636-C468-4AAD-8676-5EC1332C5A1C}"/>
    <cellStyle name="Normal 10 2 2 2 7 4 4" xfId="6697" xr:uid="{D6D19972-8638-4796-A1AF-EBD0E4E702D6}"/>
    <cellStyle name="Normal 10 2 2 2 7 4 4 2" xfId="6698" xr:uid="{C8172D7F-4585-4837-A6FA-9D95E5FB60D8}"/>
    <cellStyle name="Normal 10 2 2 2 7 4 5" xfId="6699" xr:uid="{973D3CEA-3CC6-4707-A25D-F6B5A5078797}"/>
    <cellStyle name="Normal 10 2 2 2 7 5" xfId="6700" xr:uid="{2C1442AC-0768-449B-B848-1034B85AA666}"/>
    <cellStyle name="Normal 10 2 2 2 7 5 2" xfId="6701" xr:uid="{22A70309-1D86-4300-813C-7AB62C22246C}"/>
    <cellStyle name="Normal 10 2 2 2 7 5 2 2" xfId="6702" xr:uid="{87FC1AC8-7B8C-42F0-91B7-FD01FCB55D9E}"/>
    <cellStyle name="Normal 10 2 2 2 7 5 2 2 2" xfId="6703" xr:uid="{9E4310DC-E64F-4C82-B092-D948E964A7E7}"/>
    <cellStyle name="Normal 10 2 2 2 7 5 2 3" xfId="6704" xr:uid="{BB48146F-D1BA-4810-A2CA-BBA8609CB32E}"/>
    <cellStyle name="Normal 10 2 2 2 7 5 3" xfId="6705" xr:uid="{AD988EC8-24D3-4E52-ADC6-1E9DDC500709}"/>
    <cellStyle name="Normal 10 2 2 2 7 5 3 2" xfId="6706" xr:uid="{E5ED4968-174A-4FDA-8BAE-684A1E694E12}"/>
    <cellStyle name="Normal 10 2 2 2 7 5 4" xfId="6707" xr:uid="{C3A1806D-CC4E-4ABF-A4CA-2B5FA40ED694}"/>
    <cellStyle name="Normal 10 2 2 2 7 6" xfId="6708" xr:uid="{59EBE4F8-134B-4E11-A8DA-437A0D4B0A65}"/>
    <cellStyle name="Normal 10 2 2 2 7 6 2" xfId="6709" xr:uid="{29A11FB3-2009-4069-93BD-BF23E9C1242E}"/>
    <cellStyle name="Normal 10 2 2 2 7 6 2 2" xfId="6710" xr:uid="{8A38DDF9-BAC6-473F-AABA-9D98DB05EABE}"/>
    <cellStyle name="Normal 10 2 2 2 7 6 3" xfId="6711" xr:uid="{27BDAA17-6610-4A54-AD31-55EF4D8232FE}"/>
    <cellStyle name="Normal 10 2 2 2 7 7" xfId="6712" xr:uid="{E15D8B78-EEA9-4BC5-9222-F78F3AD57A4C}"/>
    <cellStyle name="Normal 10 2 2 2 7 7 2" xfId="6713" xr:uid="{C7427F89-D9F8-4C05-A545-8040A14886A7}"/>
    <cellStyle name="Normal 10 2 2 2 7 8" xfId="6714" xr:uid="{8B152E36-C250-4F47-B1DD-CF45FE661A83}"/>
    <cellStyle name="Normal 10 2 2 2 7 9" xfId="6587" xr:uid="{1FC6DDE9-7D12-4319-AC3F-515CE4914B8A}"/>
    <cellStyle name="Normal 10 2 2 2 8" xfId="6715" xr:uid="{393543D9-2198-4EF0-819E-2274FB79B5E9}"/>
    <cellStyle name="Normal 10 2 2 2 8 2" xfId="6716" xr:uid="{AD53B095-43B2-48E5-9D74-34F3BE33C73B}"/>
    <cellStyle name="Normal 10 2 2 2 8 2 2" xfId="6717" xr:uid="{56E6DCA0-AACB-4519-A974-07BB4E1D0472}"/>
    <cellStyle name="Normal 10 2 2 2 8 2 2 2" xfId="6718" xr:uid="{85AFD187-1495-4FD6-9DBA-7605A1DE5D5C}"/>
    <cellStyle name="Normal 10 2 2 2 8 2 2 2 2" xfId="6719" xr:uid="{5B92FCB2-CCD8-459F-A930-05657EFAC550}"/>
    <cellStyle name="Normal 10 2 2 2 8 2 2 2 2 2" xfId="6720" xr:uid="{A2CEFB5A-7882-4734-9742-26086F2A503C}"/>
    <cellStyle name="Normal 10 2 2 2 8 2 2 2 2 2 2" xfId="6721" xr:uid="{ACF297B5-E39B-4C70-BE3C-15585EA74ABF}"/>
    <cellStyle name="Normal 10 2 2 2 8 2 2 2 2 3" xfId="6722" xr:uid="{D6A3A59B-389F-4D63-808E-74614A23DF50}"/>
    <cellStyle name="Normal 10 2 2 2 8 2 2 2 3" xfId="6723" xr:uid="{ACF631A8-034C-40C7-952B-22A29077FD46}"/>
    <cellStyle name="Normal 10 2 2 2 8 2 2 2 3 2" xfId="6724" xr:uid="{C0155026-1380-4F3B-B5D5-9EF5D4C59D66}"/>
    <cellStyle name="Normal 10 2 2 2 8 2 2 2 4" xfId="6725" xr:uid="{97CAE57A-DBC6-4A38-990C-F3C0F2F62CDF}"/>
    <cellStyle name="Normal 10 2 2 2 8 2 2 3" xfId="6726" xr:uid="{0A9A75B7-3157-495E-A1AD-4B0B1CB3CA3A}"/>
    <cellStyle name="Normal 10 2 2 2 8 2 2 3 2" xfId="6727" xr:uid="{11C38B42-E47A-4CFC-8975-73CF271474A8}"/>
    <cellStyle name="Normal 10 2 2 2 8 2 2 3 2 2" xfId="6728" xr:uid="{8D99F3D1-CB2D-46F5-A6B6-83417117CCCB}"/>
    <cellStyle name="Normal 10 2 2 2 8 2 2 3 3" xfId="6729" xr:uid="{317D2717-E2B3-44FE-A5DE-F9D67A38AB1F}"/>
    <cellStyle name="Normal 10 2 2 2 8 2 2 4" xfId="6730" xr:uid="{6D013329-A30E-4C17-9E9E-683121AB4A06}"/>
    <cellStyle name="Normal 10 2 2 2 8 2 2 4 2" xfId="6731" xr:uid="{0961206E-4FFC-4472-AEB0-B399AF2CA846}"/>
    <cellStyle name="Normal 10 2 2 2 8 2 2 5" xfId="6732" xr:uid="{90C44943-C02B-42FA-8A79-188CDA4B04D3}"/>
    <cellStyle name="Normal 10 2 2 2 8 2 3" xfId="6733" xr:uid="{6153D3C7-5465-4102-BA4C-87B9E3851FC8}"/>
    <cellStyle name="Normal 10 2 2 2 8 2 3 2" xfId="6734" xr:uid="{C047C832-6A34-41CC-8F73-B2CDC9626A8A}"/>
    <cellStyle name="Normal 10 2 2 2 8 2 3 2 2" xfId="6735" xr:uid="{07D6C1F8-ED2A-43D5-99ED-3F4B210E8ECC}"/>
    <cellStyle name="Normal 10 2 2 2 8 2 3 2 2 2" xfId="6736" xr:uid="{6AD9D326-421E-4616-856D-E254D6F3C360}"/>
    <cellStyle name="Normal 10 2 2 2 8 2 3 2 3" xfId="6737" xr:uid="{D3C6EBB1-4BDE-47C7-90D1-F251FC3EAC74}"/>
    <cellStyle name="Normal 10 2 2 2 8 2 3 3" xfId="6738" xr:uid="{B313EAE0-4781-414A-8175-6A99B9684415}"/>
    <cellStyle name="Normal 10 2 2 2 8 2 3 3 2" xfId="6739" xr:uid="{7A959FB3-BAAF-44D8-B2B3-BC4113AD4A5E}"/>
    <cellStyle name="Normal 10 2 2 2 8 2 3 4" xfId="6740" xr:uid="{DDDE1A2C-DD1D-4580-A372-9B0E07BFD800}"/>
    <cellStyle name="Normal 10 2 2 2 8 2 4" xfId="6741" xr:uid="{024485B3-4294-4466-A4D1-49E536D98ABA}"/>
    <cellStyle name="Normal 10 2 2 2 8 2 4 2" xfId="6742" xr:uid="{9F8A053D-9907-4643-A52C-B1D95A1C11C0}"/>
    <cellStyle name="Normal 10 2 2 2 8 2 4 2 2" xfId="6743" xr:uid="{6BA44E76-4D40-493A-A367-1C2A2A0C1ED6}"/>
    <cellStyle name="Normal 10 2 2 2 8 2 4 3" xfId="6744" xr:uid="{08901725-E851-4ADB-A7AB-C7B24AD81BAE}"/>
    <cellStyle name="Normal 10 2 2 2 8 2 5" xfId="6745" xr:uid="{6A8CFCEF-07E7-43F4-BA6E-3A38B8776B93}"/>
    <cellStyle name="Normal 10 2 2 2 8 2 5 2" xfId="6746" xr:uid="{66A6A6C8-25B1-4235-9953-1A26C9064986}"/>
    <cellStyle name="Normal 10 2 2 2 8 2 6" xfId="6747" xr:uid="{9B3A1D1D-997A-4F21-BA21-890636BB2FF7}"/>
    <cellStyle name="Normal 10 2 2 2 8 3" xfId="6748" xr:uid="{5917CE91-33B6-4117-98C7-994863C8F832}"/>
    <cellStyle name="Normal 10 2 2 2 8 3 2" xfId="6749" xr:uid="{5850D2BA-D258-4BD8-9A13-12CB90804D91}"/>
    <cellStyle name="Normal 10 2 2 2 8 3 2 2" xfId="6750" xr:uid="{BA8F0B09-4D1E-485F-A7FB-E4CD39D67B5A}"/>
    <cellStyle name="Normal 10 2 2 2 8 3 2 2 2" xfId="6751" xr:uid="{99A1EADD-1D29-453B-ADB7-C03373DBBACC}"/>
    <cellStyle name="Normal 10 2 2 2 8 3 2 2 2 2" xfId="6752" xr:uid="{D137BDE3-4D11-4A95-83A1-FE18F73F01FC}"/>
    <cellStyle name="Normal 10 2 2 2 8 3 2 2 3" xfId="6753" xr:uid="{468199BD-E554-4D46-B2FC-4357FE25B071}"/>
    <cellStyle name="Normal 10 2 2 2 8 3 2 3" xfId="6754" xr:uid="{82AF60E9-E060-46C6-8C22-6E75EBB01FB0}"/>
    <cellStyle name="Normal 10 2 2 2 8 3 2 3 2" xfId="6755" xr:uid="{A419DA9F-C747-41E3-9617-4C2735659958}"/>
    <cellStyle name="Normal 10 2 2 2 8 3 2 4" xfId="6756" xr:uid="{05852151-EE70-4922-A242-4CA0B9406096}"/>
    <cellStyle name="Normal 10 2 2 2 8 3 3" xfId="6757" xr:uid="{C4B31750-C735-4DC1-9F78-955B7818B875}"/>
    <cellStyle name="Normal 10 2 2 2 8 3 3 2" xfId="6758" xr:uid="{AF45A91A-4F2E-4EA4-BD13-0DF17D99901B}"/>
    <cellStyle name="Normal 10 2 2 2 8 3 3 2 2" xfId="6759" xr:uid="{129DFAF4-FEF2-4F30-B027-099A124111EB}"/>
    <cellStyle name="Normal 10 2 2 2 8 3 3 3" xfId="6760" xr:uid="{2B532FC8-8FFA-4856-B2F3-E2C2D4B35E7D}"/>
    <cellStyle name="Normal 10 2 2 2 8 3 4" xfId="6761" xr:uid="{6BD5508D-73AF-44E7-A83E-91997178F9C7}"/>
    <cellStyle name="Normal 10 2 2 2 8 3 4 2" xfId="6762" xr:uid="{970943CF-0A70-40A3-881A-33705D498B6F}"/>
    <cellStyle name="Normal 10 2 2 2 8 3 5" xfId="6763" xr:uid="{AE7B3F70-3885-4818-B497-AE32C0F6563B}"/>
    <cellStyle name="Normal 10 2 2 2 8 4" xfId="6764" xr:uid="{F8C3F832-D4EE-4551-B637-766635037985}"/>
    <cellStyle name="Normal 10 2 2 2 8 4 2" xfId="6765" xr:uid="{C6E8ABDE-88B7-48A0-AC2A-023730E17587}"/>
    <cellStyle name="Normal 10 2 2 2 8 4 2 2" xfId="6766" xr:uid="{8A69F4D7-8DCC-4842-B3CA-015D0E4319C2}"/>
    <cellStyle name="Normal 10 2 2 2 8 4 2 2 2" xfId="6767" xr:uid="{B5DE4E74-30DF-4611-9BF2-EFCEEC687DC7}"/>
    <cellStyle name="Normal 10 2 2 2 8 4 2 3" xfId="6768" xr:uid="{530CA189-3F5A-4F96-B5C3-AB2E5B45893C}"/>
    <cellStyle name="Normal 10 2 2 2 8 4 3" xfId="6769" xr:uid="{57672744-C497-4DF5-8217-904016056CD7}"/>
    <cellStyle name="Normal 10 2 2 2 8 4 3 2" xfId="6770" xr:uid="{45A8444A-C30D-459F-BDD6-96EEF6B17473}"/>
    <cellStyle name="Normal 10 2 2 2 8 4 4" xfId="6771" xr:uid="{D14977AF-A5D5-4C57-BFAB-85C8D98BD2B7}"/>
    <cellStyle name="Normal 10 2 2 2 8 5" xfId="6772" xr:uid="{8131F0A8-87BA-4DA1-8017-E8AA638B711B}"/>
    <cellStyle name="Normal 10 2 2 2 8 5 2" xfId="6773" xr:uid="{153A1042-1640-43B3-BEB9-4A9E97BFD8CF}"/>
    <cellStyle name="Normal 10 2 2 2 8 5 2 2" xfId="6774" xr:uid="{C2F0B94F-3D50-4552-AB3A-438D29D96614}"/>
    <cellStyle name="Normal 10 2 2 2 8 5 3" xfId="6775" xr:uid="{23E37274-EED6-495A-B412-995FA7B8B5FC}"/>
    <cellStyle name="Normal 10 2 2 2 8 6" xfId="6776" xr:uid="{759803E3-AD7A-407B-91DB-5556791D6764}"/>
    <cellStyle name="Normal 10 2 2 2 8 6 2" xfId="6777" xr:uid="{2C9FBFA2-6F9D-4053-88DD-586AAFB265A9}"/>
    <cellStyle name="Normal 10 2 2 2 8 7" xfId="6778" xr:uid="{B2DDBADC-1EBF-47AD-A404-BC29253EC302}"/>
    <cellStyle name="Normal 10 2 2 2 9" xfId="6779" xr:uid="{80CCB625-4BB3-4615-BA1B-38E3ABA2EE3C}"/>
    <cellStyle name="Normal 10 2 2 2 9 2" xfId="6780" xr:uid="{6024D1AC-E6DB-42AB-B8BA-B5711D6CEA37}"/>
    <cellStyle name="Normal 10 2 2 2 9 2 2" xfId="6781" xr:uid="{D071F2E2-F59A-4A66-BB61-FA4CB608F826}"/>
    <cellStyle name="Normal 10 2 2 2 9 2 2 2" xfId="6782" xr:uid="{EB93D5EB-B937-4FFF-A56F-24C8431BE07D}"/>
    <cellStyle name="Normal 10 2 2 2 9 2 2 2 2" xfId="6783" xr:uid="{3617CB7E-08C0-44D3-AB5E-2BCE5088D593}"/>
    <cellStyle name="Normal 10 2 2 2 9 2 2 2 2 2" xfId="6784" xr:uid="{D91F4E0F-F576-48CE-BEA5-A7C23AF57E73}"/>
    <cellStyle name="Normal 10 2 2 2 9 2 2 2 3" xfId="6785" xr:uid="{0290B145-0D09-49F9-BFA4-26B13445FD62}"/>
    <cellStyle name="Normal 10 2 2 2 9 2 2 3" xfId="6786" xr:uid="{E6E7983E-04BC-4150-83BA-2CE221020BC6}"/>
    <cellStyle name="Normal 10 2 2 2 9 2 2 3 2" xfId="6787" xr:uid="{F0A61B85-3384-46AB-AE33-CD1AB312558D}"/>
    <cellStyle name="Normal 10 2 2 2 9 2 2 4" xfId="6788" xr:uid="{34605B28-DB8C-4E70-ACB8-C4215A48E892}"/>
    <cellStyle name="Normal 10 2 2 2 9 2 3" xfId="6789" xr:uid="{9DB8A164-AD11-4622-ABDF-5195250BCA4A}"/>
    <cellStyle name="Normal 10 2 2 2 9 2 3 2" xfId="6790" xr:uid="{420D9493-FBBF-45D3-BD15-36B7EF2A3FE4}"/>
    <cellStyle name="Normal 10 2 2 2 9 2 3 2 2" xfId="6791" xr:uid="{B482FED5-5A77-4304-8ADB-574D4F75CB00}"/>
    <cellStyle name="Normal 10 2 2 2 9 2 3 3" xfId="6792" xr:uid="{5C1E0DF6-8C8C-4E66-9F6E-568E4159D2F2}"/>
    <cellStyle name="Normal 10 2 2 2 9 2 4" xfId="6793" xr:uid="{6B9E65E4-972B-42CD-B5F8-EE6D735BDA81}"/>
    <cellStyle name="Normal 10 2 2 2 9 2 4 2" xfId="6794" xr:uid="{42BDD903-3B0C-47FD-9E3E-1F57404CE6E2}"/>
    <cellStyle name="Normal 10 2 2 2 9 2 5" xfId="6795" xr:uid="{B234685D-993B-4C8D-A4D7-49510FB59F5D}"/>
    <cellStyle name="Normal 10 2 2 2 9 3" xfId="6796" xr:uid="{619B92C6-6BA9-45FC-8097-F9027664715A}"/>
    <cellStyle name="Normal 10 2 2 2 9 3 2" xfId="6797" xr:uid="{0AF389A5-E682-42FE-9401-F60902D6EFA4}"/>
    <cellStyle name="Normal 10 2 2 2 9 3 2 2" xfId="6798" xr:uid="{E7B57DF9-EA3F-445D-A680-D074BE70CB01}"/>
    <cellStyle name="Normal 10 2 2 2 9 3 2 2 2" xfId="6799" xr:uid="{91584D65-146E-4217-B1EB-153937241D4D}"/>
    <cellStyle name="Normal 10 2 2 2 9 3 2 3" xfId="6800" xr:uid="{58A0546D-4A18-497B-BD48-412EED12D189}"/>
    <cellStyle name="Normal 10 2 2 2 9 3 3" xfId="6801" xr:uid="{99D1BF36-DB54-4BE4-95B8-6938A15EC75B}"/>
    <cellStyle name="Normal 10 2 2 2 9 3 3 2" xfId="6802" xr:uid="{3F97E0D8-99F6-461A-9ED9-B35663BE1C3E}"/>
    <cellStyle name="Normal 10 2 2 2 9 3 4" xfId="6803" xr:uid="{7945A8E0-CE0F-4CAB-B280-FE0B7C1316F6}"/>
    <cellStyle name="Normal 10 2 2 2 9 4" xfId="6804" xr:uid="{3D91A05E-0B28-4920-875E-906E9F7D26BF}"/>
    <cellStyle name="Normal 10 2 2 2 9 4 2" xfId="6805" xr:uid="{C9435D19-F9D5-4083-B2C6-808764EC9C0E}"/>
    <cellStyle name="Normal 10 2 2 2 9 4 2 2" xfId="6806" xr:uid="{473BDCC8-7EA6-4CA0-A670-44FFB9A10BCB}"/>
    <cellStyle name="Normal 10 2 2 2 9 4 3" xfId="6807" xr:uid="{D0D8AE2B-0ED6-4BC4-94CA-CBABFA0E3B1A}"/>
    <cellStyle name="Normal 10 2 2 2 9 5" xfId="6808" xr:uid="{EDF73934-3095-4D46-A91B-F48ED23E8184}"/>
    <cellStyle name="Normal 10 2 2 2 9 5 2" xfId="6809" xr:uid="{D7B29DF9-256C-4860-978A-D69E52D96003}"/>
    <cellStyle name="Normal 10 2 2 2 9 6" xfId="6810" xr:uid="{DA6B05A6-5250-4E54-B6F2-5BEB8676E958}"/>
    <cellStyle name="Normal 10 2 2 3" xfId="222" xr:uid="{2EB8E2D5-C407-440F-93CA-6CB58693A15E}"/>
    <cellStyle name="Normal 10 2 2 3 10" xfId="6811" xr:uid="{38EF4797-A0C3-4C2A-A162-47FA815938D4}"/>
    <cellStyle name="Normal 10 2 2 3 11" xfId="546" xr:uid="{1FBF8D55-44CE-4AE1-9080-876BBD7F9D33}"/>
    <cellStyle name="Normal 10 2 2 3 2" xfId="313" xr:uid="{104434C7-D8C1-4786-BF17-61746E1BFE7F}"/>
    <cellStyle name="Normal 10 2 2 3 2 10" xfId="6812" xr:uid="{6FCCD928-0405-4728-8815-8431B24FCF83}"/>
    <cellStyle name="Normal 10 2 2 3 2 2" xfId="6813" xr:uid="{FBE94E55-57C6-48E7-9E2F-32C4B0492DC7}"/>
    <cellStyle name="Normal 10 2 2 3 2 2 2" xfId="6814" xr:uid="{7269F37D-5A2F-4F43-8930-43C0360964A2}"/>
    <cellStyle name="Normal 10 2 2 3 2 2 2 2" xfId="6815" xr:uid="{D865140A-5C07-420D-BAEE-36871CF60C53}"/>
    <cellStyle name="Normal 10 2 2 3 2 2 2 2 2" xfId="6816" xr:uid="{5B71919E-8522-436D-8324-08A4B91356D6}"/>
    <cellStyle name="Normal 10 2 2 3 2 2 2 2 2 2" xfId="6817" xr:uid="{F6B9B07C-0CCE-45E9-BB99-89E765F38346}"/>
    <cellStyle name="Normal 10 2 2 3 2 2 2 2 2 2 2" xfId="6818" xr:uid="{01A1DF9F-E90A-4D2F-9340-031872D1525C}"/>
    <cellStyle name="Normal 10 2 2 3 2 2 2 2 2 2 2 2" xfId="6819" xr:uid="{0E3D2F8A-5767-4022-AC5A-A73BBD975C9D}"/>
    <cellStyle name="Normal 10 2 2 3 2 2 2 2 2 2 2 2 2" xfId="6820" xr:uid="{842C0CE0-D332-4509-9DC0-2C482A9C72D5}"/>
    <cellStyle name="Normal 10 2 2 3 2 2 2 2 2 2 2 3" xfId="6821" xr:uid="{A6B9A07E-6F20-47C6-8683-360436E020A0}"/>
    <cellStyle name="Normal 10 2 2 3 2 2 2 2 2 2 3" xfId="6822" xr:uid="{46470873-A008-45C7-81CD-69B4A7923087}"/>
    <cellStyle name="Normal 10 2 2 3 2 2 2 2 2 2 3 2" xfId="6823" xr:uid="{10032371-F632-4313-BF65-2FDE44808E3B}"/>
    <cellStyle name="Normal 10 2 2 3 2 2 2 2 2 2 4" xfId="6824" xr:uid="{A903CE74-DA81-45EA-AE6F-0D212FD076FA}"/>
    <cellStyle name="Normal 10 2 2 3 2 2 2 2 2 3" xfId="6825" xr:uid="{4D4E8EE5-D60C-4FFD-B494-2C6A1D5C4767}"/>
    <cellStyle name="Normal 10 2 2 3 2 2 2 2 2 3 2" xfId="6826" xr:uid="{E60968DC-0C0F-4795-B0EF-0D11204C82F9}"/>
    <cellStyle name="Normal 10 2 2 3 2 2 2 2 2 3 2 2" xfId="6827" xr:uid="{0762A549-B958-42DA-839E-E1E14438136F}"/>
    <cellStyle name="Normal 10 2 2 3 2 2 2 2 2 3 3" xfId="6828" xr:uid="{E0B76DEF-F9CC-443C-AD1D-8175EB665C58}"/>
    <cellStyle name="Normal 10 2 2 3 2 2 2 2 2 4" xfId="6829" xr:uid="{A2276A85-9886-49F7-9497-2FF8DD52AB3F}"/>
    <cellStyle name="Normal 10 2 2 3 2 2 2 2 2 4 2" xfId="6830" xr:uid="{346F8309-BA82-40DA-A4EB-0DBE98C54199}"/>
    <cellStyle name="Normal 10 2 2 3 2 2 2 2 2 5" xfId="6831" xr:uid="{46053A59-D7BA-441A-8E80-FCDE20F24D75}"/>
    <cellStyle name="Normal 10 2 2 3 2 2 2 2 3" xfId="6832" xr:uid="{0D8E6DA4-088A-453C-B8E5-B14A4886BBEC}"/>
    <cellStyle name="Normal 10 2 2 3 2 2 2 2 3 2" xfId="6833" xr:uid="{A5A0E53E-15DE-4E16-A09B-CE8FB194D930}"/>
    <cellStyle name="Normal 10 2 2 3 2 2 2 2 3 2 2" xfId="6834" xr:uid="{D43BD1CF-D585-420F-A488-6AA0F2696BDA}"/>
    <cellStyle name="Normal 10 2 2 3 2 2 2 2 3 2 2 2" xfId="6835" xr:uid="{4729E602-2898-4057-B372-3D3BFE37FB81}"/>
    <cellStyle name="Normal 10 2 2 3 2 2 2 2 3 2 3" xfId="6836" xr:uid="{0CC5FDA8-2E99-42D0-B9E5-FB9FD820ED9A}"/>
    <cellStyle name="Normal 10 2 2 3 2 2 2 2 3 3" xfId="6837" xr:uid="{E6245147-AFDB-4647-9302-C8939D917620}"/>
    <cellStyle name="Normal 10 2 2 3 2 2 2 2 3 3 2" xfId="6838" xr:uid="{12615AA9-C395-4CF2-B6DC-31184ED26283}"/>
    <cellStyle name="Normal 10 2 2 3 2 2 2 2 3 4" xfId="6839" xr:uid="{17EA86BD-B939-44CC-AE2E-DC289BD264BD}"/>
    <cellStyle name="Normal 10 2 2 3 2 2 2 2 4" xfId="6840" xr:uid="{1BCF9C37-CA22-4A5D-87E0-68EA80B6A6B0}"/>
    <cellStyle name="Normal 10 2 2 3 2 2 2 2 4 2" xfId="6841" xr:uid="{4411542D-2EFB-43D7-8837-8E4E1CC91895}"/>
    <cellStyle name="Normal 10 2 2 3 2 2 2 2 4 2 2" xfId="6842" xr:uid="{6BDB448E-F22A-4744-9AC7-4D875E76B7EC}"/>
    <cellStyle name="Normal 10 2 2 3 2 2 2 2 4 3" xfId="6843" xr:uid="{A890FC7D-214D-44D8-BEF0-27B43F9413B7}"/>
    <cellStyle name="Normal 10 2 2 3 2 2 2 2 5" xfId="6844" xr:uid="{82A229F3-49A8-4FB2-864A-E236A503F522}"/>
    <cellStyle name="Normal 10 2 2 3 2 2 2 2 5 2" xfId="6845" xr:uid="{59A64960-09C6-48FF-9DDD-D883F45A25E6}"/>
    <cellStyle name="Normal 10 2 2 3 2 2 2 2 6" xfId="6846" xr:uid="{6202034F-9601-46A1-9808-1A6B9231D532}"/>
    <cellStyle name="Normal 10 2 2 3 2 2 2 3" xfId="6847" xr:uid="{9D77049D-627F-4CA8-98C0-216D28FA955C}"/>
    <cellStyle name="Normal 10 2 2 3 2 2 2 3 2" xfId="6848" xr:uid="{4B437073-6C03-410E-BE07-522187F187D8}"/>
    <cellStyle name="Normal 10 2 2 3 2 2 2 3 2 2" xfId="6849" xr:uid="{B78AA981-EDE7-499C-A970-EBE65E3CD05C}"/>
    <cellStyle name="Normal 10 2 2 3 2 2 2 3 2 2 2" xfId="6850" xr:uid="{380499C4-F721-462D-966A-E83C7010AA87}"/>
    <cellStyle name="Normal 10 2 2 3 2 2 2 3 2 2 2 2" xfId="6851" xr:uid="{ACD58532-6A5B-4811-B960-410F33C0297F}"/>
    <cellStyle name="Normal 10 2 2 3 2 2 2 3 2 2 3" xfId="6852" xr:uid="{82AC3C38-17FE-4058-AF1D-E8C57167C59D}"/>
    <cellStyle name="Normal 10 2 2 3 2 2 2 3 2 3" xfId="6853" xr:uid="{18F95A2E-2F77-4286-B8E0-BBD24A0AF178}"/>
    <cellStyle name="Normal 10 2 2 3 2 2 2 3 2 3 2" xfId="6854" xr:uid="{82726821-6FF7-472A-9999-E43C4725568B}"/>
    <cellStyle name="Normal 10 2 2 3 2 2 2 3 2 4" xfId="6855" xr:uid="{73BBB4AE-E834-4D47-B108-26E052ECBA2C}"/>
    <cellStyle name="Normal 10 2 2 3 2 2 2 3 3" xfId="6856" xr:uid="{79F0A5CC-184D-4BDE-B933-EE4AAC0350B5}"/>
    <cellStyle name="Normal 10 2 2 3 2 2 2 3 3 2" xfId="6857" xr:uid="{E4279D66-486E-4CD9-A0E7-73DC80B7F504}"/>
    <cellStyle name="Normal 10 2 2 3 2 2 2 3 3 2 2" xfId="6858" xr:uid="{5D02F2B7-44B5-4A56-ADB7-6AC9EF4D2FA8}"/>
    <cellStyle name="Normal 10 2 2 3 2 2 2 3 3 3" xfId="6859" xr:uid="{D04B527D-F228-4B0C-B70D-95BB6030A94B}"/>
    <cellStyle name="Normal 10 2 2 3 2 2 2 3 4" xfId="6860" xr:uid="{1E21D9B7-8104-4337-BA86-222A778BEC3B}"/>
    <cellStyle name="Normal 10 2 2 3 2 2 2 3 4 2" xfId="6861" xr:uid="{7AF7A4BF-21EF-4435-A83F-EDE93E9390E2}"/>
    <cellStyle name="Normal 10 2 2 3 2 2 2 3 5" xfId="6862" xr:uid="{BD0A2A75-5C25-414A-9F2A-8B9F4B5AC3E6}"/>
    <cellStyle name="Normal 10 2 2 3 2 2 2 4" xfId="6863" xr:uid="{9EEB1EFD-5349-4D3A-89AE-3E2750202B7B}"/>
    <cellStyle name="Normal 10 2 2 3 2 2 2 4 2" xfId="6864" xr:uid="{3D13F1EA-F876-4AA1-BA66-A2820B01D097}"/>
    <cellStyle name="Normal 10 2 2 3 2 2 2 4 2 2" xfId="6865" xr:uid="{779722D1-687D-4337-896F-C5ABD9A4EBD7}"/>
    <cellStyle name="Normal 10 2 2 3 2 2 2 4 2 2 2" xfId="6866" xr:uid="{82300625-26B3-431B-82A0-6A6F53D3C53D}"/>
    <cellStyle name="Normal 10 2 2 3 2 2 2 4 2 3" xfId="6867" xr:uid="{14B39CD5-BC94-4A1C-91BD-3DC448C6E05E}"/>
    <cellStyle name="Normal 10 2 2 3 2 2 2 4 3" xfId="6868" xr:uid="{A0E641C4-DDE0-47C3-AFF0-E34DF0C83E3A}"/>
    <cellStyle name="Normal 10 2 2 3 2 2 2 4 3 2" xfId="6869" xr:uid="{74C803C7-5F7F-4AA9-8185-6CDE1DF339C6}"/>
    <cellStyle name="Normal 10 2 2 3 2 2 2 4 4" xfId="6870" xr:uid="{0500BDB2-4670-42E0-B5C8-04B771A9E2D3}"/>
    <cellStyle name="Normal 10 2 2 3 2 2 2 5" xfId="6871" xr:uid="{EEA0E875-E87E-4A10-87EF-D436E33A1885}"/>
    <cellStyle name="Normal 10 2 2 3 2 2 2 5 2" xfId="6872" xr:uid="{4EB394B0-DC56-44C9-B37A-FA82EDDAA97A}"/>
    <cellStyle name="Normal 10 2 2 3 2 2 2 5 2 2" xfId="6873" xr:uid="{90E7E924-359A-4448-AF4E-370750DB4000}"/>
    <cellStyle name="Normal 10 2 2 3 2 2 2 5 3" xfId="6874" xr:uid="{5D1978D7-3D76-4253-9F2C-43EE68822035}"/>
    <cellStyle name="Normal 10 2 2 3 2 2 2 6" xfId="6875" xr:uid="{BD2C0D50-D1CA-45E7-B144-C1A2673DDB4A}"/>
    <cellStyle name="Normal 10 2 2 3 2 2 2 6 2" xfId="6876" xr:uid="{F50654EE-C0DD-43E0-9F2E-CF171F585605}"/>
    <cellStyle name="Normal 10 2 2 3 2 2 2 7" xfId="6877" xr:uid="{40A4D47E-61A3-4D90-879D-9F949076A5CA}"/>
    <cellStyle name="Normal 10 2 2 3 2 2 3" xfId="6878" xr:uid="{1A84ED20-D966-40E3-900C-0A20AABF3C4C}"/>
    <cellStyle name="Normal 10 2 2 3 2 2 3 2" xfId="6879" xr:uid="{1A39A622-54BE-4136-BA84-761D6BD6C873}"/>
    <cellStyle name="Normal 10 2 2 3 2 2 3 2 2" xfId="6880" xr:uid="{B8224EE5-2B40-4A99-9782-B3CD673884A5}"/>
    <cellStyle name="Normal 10 2 2 3 2 2 3 2 2 2" xfId="6881" xr:uid="{D6FF39F9-1DF6-4D6D-ABD6-D462F444F911}"/>
    <cellStyle name="Normal 10 2 2 3 2 2 3 2 2 2 2" xfId="6882" xr:uid="{B1809368-1A95-4741-90B6-D5567907AA74}"/>
    <cellStyle name="Normal 10 2 2 3 2 2 3 2 2 2 2 2" xfId="6883" xr:uid="{52045769-2C0B-4171-86B0-312E21517CED}"/>
    <cellStyle name="Normal 10 2 2 3 2 2 3 2 2 2 3" xfId="6884" xr:uid="{1ABE647A-5042-481C-A0BE-9B4D9DEC4152}"/>
    <cellStyle name="Normal 10 2 2 3 2 2 3 2 2 3" xfId="6885" xr:uid="{C4DA634C-4FBD-4920-BFE6-EB30707FC1AC}"/>
    <cellStyle name="Normal 10 2 2 3 2 2 3 2 2 3 2" xfId="6886" xr:uid="{9803DDA9-2A51-47F6-BBE7-83ED951A6C9E}"/>
    <cellStyle name="Normal 10 2 2 3 2 2 3 2 2 4" xfId="6887" xr:uid="{74FD346D-D8F9-4594-8536-89CB142EEE5B}"/>
    <cellStyle name="Normal 10 2 2 3 2 2 3 2 3" xfId="6888" xr:uid="{A9633456-D5B8-43BC-B7B8-1A74E2E8A869}"/>
    <cellStyle name="Normal 10 2 2 3 2 2 3 2 3 2" xfId="6889" xr:uid="{E3370725-2BAF-4648-9366-472A0494937A}"/>
    <cellStyle name="Normal 10 2 2 3 2 2 3 2 3 2 2" xfId="6890" xr:uid="{F3A73E18-2EF6-4255-97D3-377CF2F5742B}"/>
    <cellStyle name="Normal 10 2 2 3 2 2 3 2 3 3" xfId="6891" xr:uid="{B9CEE168-1747-4999-99EC-CC7E1F160A01}"/>
    <cellStyle name="Normal 10 2 2 3 2 2 3 2 4" xfId="6892" xr:uid="{F65E2C3A-6D0C-4BF7-9BD3-C28C1080F4B5}"/>
    <cellStyle name="Normal 10 2 2 3 2 2 3 2 4 2" xfId="6893" xr:uid="{06534B59-7083-4B15-B3A2-93FF19BDF2FF}"/>
    <cellStyle name="Normal 10 2 2 3 2 2 3 2 5" xfId="6894" xr:uid="{AD2A698E-8E62-4903-8766-9A8926CDC6A1}"/>
    <cellStyle name="Normal 10 2 2 3 2 2 3 3" xfId="6895" xr:uid="{7076B6CC-8966-4317-8E06-2B9CCDA6F645}"/>
    <cellStyle name="Normal 10 2 2 3 2 2 3 3 2" xfId="6896" xr:uid="{A42E6405-134C-46B9-881F-B6DED97B1A05}"/>
    <cellStyle name="Normal 10 2 2 3 2 2 3 3 2 2" xfId="6897" xr:uid="{880518B7-20B0-4473-9833-0BB09B3FEEC3}"/>
    <cellStyle name="Normal 10 2 2 3 2 2 3 3 2 2 2" xfId="6898" xr:uid="{67E68596-34BF-4544-9DA6-0F588F411580}"/>
    <cellStyle name="Normal 10 2 2 3 2 2 3 3 2 3" xfId="6899" xr:uid="{3D3C2148-8069-4B3E-9DD2-0C545F8C5A7C}"/>
    <cellStyle name="Normal 10 2 2 3 2 2 3 3 3" xfId="6900" xr:uid="{E80306A2-B39A-4B26-9DC5-93B112C8985B}"/>
    <cellStyle name="Normal 10 2 2 3 2 2 3 3 3 2" xfId="6901" xr:uid="{E9C47221-DCEE-435D-A911-69CFB0D0BF9F}"/>
    <cellStyle name="Normal 10 2 2 3 2 2 3 3 4" xfId="6902" xr:uid="{75EE3D19-8AAB-4CA8-9C02-7E0C2116D1AD}"/>
    <cellStyle name="Normal 10 2 2 3 2 2 3 4" xfId="6903" xr:uid="{6FFFB07B-5D90-41AB-B5CC-6B64EBB19ABF}"/>
    <cellStyle name="Normal 10 2 2 3 2 2 3 4 2" xfId="6904" xr:uid="{6EB18D89-2F24-4649-91B5-026834D12698}"/>
    <cellStyle name="Normal 10 2 2 3 2 2 3 4 2 2" xfId="6905" xr:uid="{747AC4C2-2C22-427E-888C-937F06CA50AB}"/>
    <cellStyle name="Normal 10 2 2 3 2 2 3 4 3" xfId="6906" xr:uid="{9DB73C7A-8492-4855-BAEE-7A1FFB092CE2}"/>
    <cellStyle name="Normal 10 2 2 3 2 2 3 5" xfId="6907" xr:uid="{B9832C6D-FD53-45C7-B8FF-DA9523888BE6}"/>
    <cellStyle name="Normal 10 2 2 3 2 2 3 5 2" xfId="6908" xr:uid="{7E021E1C-33A8-4D37-8FEB-F8D6F229F8B7}"/>
    <cellStyle name="Normal 10 2 2 3 2 2 3 6" xfId="6909" xr:uid="{F87780C2-8C19-4A1E-9E60-AD61E27E32AB}"/>
    <cellStyle name="Normal 10 2 2 3 2 2 4" xfId="6910" xr:uid="{A6EAE062-0A8B-4D6F-AC0A-9A68457E9CB9}"/>
    <cellStyle name="Normal 10 2 2 3 2 2 4 2" xfId="6911" xr:uid="{C29B6315-7C11-4A61-9B84-74E2E58BBBFE}"/>
    <cellStyle name="Normal 10 2 2 3 2 2 4 2 2" xfId="6912" xr:uid="{7F1E8B3B-0936-49C7-89B6-2995A702D23E}"/>
    <cellStyle name="Normal 10 2 2 3 2 2 4 2 2 2" xfId="6913" xr:uid="{2FEBF927-0C27-4126-A0BC-38035B54156D}"/>
    <cellStyle name="Normal 10 2 2 3 2 2 4 2 2 2 2" xfId="6914" xr:uid="{40CF1F76-9AC4-4409-8983-CE450BAE584B}"/>
    <cellStyle name="Normal 10 2 2 3 2 2 4 2 2 3" xfId="6915" xr:uid="{F9F3EF0D-4A6C-4BF3-A9AB-68DC08648DA3}"/>
    <cellStyle name="Normal 10 2 2 3 2 2 4 2 3" xfId="6916" xr:uid="{4D92E205-F5A5-4AC4-9CC1-64F5FB4327E1}"/>
    <cellStyle name="Normal 10 2 2 3 2 2 4 2 3 2" xfId="6917" xr:uid="{0972374A-2C5E-46CD-BD59-5415754F4DE1}"/>
    <cellStyle name="Normal 10 2 2 3 2 2 4 2 4" xfId="6918" xr:uid="{198BB5FC-CF1B-409A-91E1-EB01E1B12D75}"/>
    <cellStyle name="Normal 10 2 2 3 2 2 4 3" xfId="6919" xr:uid="{9F0E28F9-831E-4B90-B6CD-11F7DD601CDC}"/>
    <cellStyle name="Normal 10 2 2 3 2 2 4 3 2" xfId="6920" xr:uid="{13740F70-2D4F-45CC-9661-616B9120F635}"/>
    <cellStyle name="Normal 10 2 2 3 2 2 4 3 2 2" xfId="6921" xr:uid="{F95AE759-EE7E-4D79-9B31-4A406CC68592}"/>
    <cellStyle name="Normal 10 2 2 3 2 2 4 3 3" xfId="6922" xr:uid="{29F97EF4-6649-43FE-A8E7-797D644F7146}"/>
    <cellStyle name="Normal 10 2 2 3 2 2 4 4" xfId="6923" xr:uid="{5074C1B3-B6F9-4C0A-841A-60AB0F59FF4D}"/>
    <cellStyle name="Normal 10 2 2 3 2 2 4 4 2" xfId="6924" xr:uid="{A1E26B14-6D05-434A-8F22-5DEB183C81F9}"/>
    <cellStyle name="Normal 10 2 2 3 2 2 4 5" xfId="6925" xr:uid="{358F9787-F577-4706-AB4A-9A1EC08ACA90}"/>
    <cellStyle name="Normal 10 2 2 3 2 2 5" xfId="6926" xr:uid="{80747062-C400-44F5-9247-506DF5C95259}"/>
    <cellStyle name="Normal 10 2 2 3 2 2 5 2" xfId="6927" xr:uid="{E3986CD7-C00F-4D77-A5C1-B531D45F4A3B}"/>
    <cellStyle name="Normal 10 2 2 3 2 2 5 2 2" xfId="6928" xr:uid="{E8CBE6DE-887F-4C11-8137-051BB718E2AA}"/>
    <cellStyle name="Normal 10 2 2 3 2 2 5 2 2 2" xfId="6929" xr:uid="{0E9C066F-D78B-4AAA-B9CA-943487EE8134}"/>
    <cellStyle name="Normal 10 2 2 3 2 2 5 2 3" xfId="6930" xr:uid="{38F9F588-BF80-46FE-BD99-E8FCF3C60CF9}"/>
    <cellStyle name="Normal 10 2 2 3 2 2 5 3" xfId="6931" xr:uid="{1044E437-7497-4DF4-9763-CD44DCE61DBD}"/>
    <cellStyle name="Normal 10 2 2 3 2 2 5 3 2" xfId="6932" xr:uid="{203B4DF5-1A89-4A99-AE5F-B2EDF010AE50}"/>
    <cellStyle name="Normal 10 2 2 3 2 2 5 4" xfId="6933" xr:uid="{69F79997-71CD-401A-B652-58488E323B35}"/>
    <cellStyle name="Normal 10 2 2 3 2 2 6" xfId="6934" xr:uid="{3BF1F354-A3C3-4C49-AB23-0D9221B08553}"/>
    <cellStyle name="Normal 10 2 2 3 2 2 6 2" xfId="6935" xr:uid="{2B6C0C1E-7FD2-454C-A4C0-9F17B30D4E7C}"/>
    <cellStyle name="Normal 10 2 2 3 2 2 6 2 2" xfId="6936" xr:uid="{B55318F2-9800-4676-B5C6-077E394561D8}"/>
    <cellStyle name="Normal 10 2 2 3 2 2 6 3" xfId="6937" xr:uid="{1D9951C7-3746-498E-A90A-A5125351FF1F}"/>
    <cellStyle name="Normal 10 2 2 3 2 2 7" xfId="6938" xr:uid="{395B1645-65C0-45D2-B7DE-0F20933D170E}"/>
    <cellStyle name="Normal 10 2 2 3 2 2 7 2" xfId="6939" xr:uid="{8E93AF89-D0CB-430A-BC26-10CF9922D218}"/>
    <cellStyle name="Normal 10 2 2 3 2 2 8" xfId="6940" xr:uid="{C51883AB-8F1D-4247-858A-24E13C730512}"/>
    <cellStyle name="Normal 10 2 2 3 2 3" xfId="6941" xr:uid="{8A1EE33E-C73B-4909-87A3-B3B2E1DE4F5F}"/>
    <cellStyle name="Normal 10 2 2 3 2 3 2" xfId="6942" xr:uid="{1F377918-A7C4-4066-84C4-FB271756C835}"/>
    <cellStyle name="Normal 10 2 2 3 2 3 2 2" xfId="6943" xr:uid="{35398604-64FF-4832-8908-64CE0E8B108A}"/>
    <cellStyle name="Normal 10 2 2 3 2 3 2 2 2" xfId="6944" xr:uid="{4FC496DD-BDB9-4B06-8E0E-37346243483A}"/>
    <cellStyle name="Normal 10 2 2 3 2 3 2 2 2 2" xfId="6945" xr:uid="{053E4F10-226B-44CF-B2C5-EF72B232D4CA}"/>
    <cellStyle name="Normal 10 2 2 3 2 3 2 2 2 2 2" xfId="6946" xr:uid="{09E2DDB7-01AD-48B9-AE30-29FE7DAADD02}"/>
    <cellStyle name="Normal 10 2 2 3 2 3 2 2 2 2 2 2" xfId="6947" xr:uid="{7BC73E19-4CEA-4C22-90F0-8480100937D6}"/>
    <cellStyle name="Normal 10 2 2 3 2 3 2 2 2 2 3" xfId="6948" xr:uid="{D13FAEE8-4E47-4C75-8F06-4A2FD663E791}"/>
    <cellStyle name="Normal 10 2 2 3 2 3 2 2 2 3" xfId="6949" xr:uid="{694CB10C-DC0D-4F73-BD0D-8E9DAF5A4C88}"/>
    <cellStyle name="Normal 10 2 2 3 2 3 2 2 2 3 2" xfId="6950" xr:uid="{DE440C32-400D-45AF-BC30-74ACB2E52848}"/>
    <cellStyle name="Normal 10 2 2 3 2 3 2 2 2 4" xfId="6951" xr:uid="{D18689E6-5CDC-4930-B766-4D5F3A0F4C0B}"/>
    <cellStyle name="Normal 10 2 2 3 2 3 2 2 3" xfId="6952" xr:uid="{7A20BE5B-94AA-4373-9BD0-75DB5DD52355}"/>
    <cellStyle name="Normal 10 2 2 3 2 3 2 2 3 2" xfId="6953" xr:uid="{28616839-7F16-4AF4-8D42-C8B6437DA57E}"/>
    <cellStyle name="Normal 10 2 2 3 2 3 2 2 3 2 2" xfId="6954" xr:uid="{558ECEBD-28A4-45E6-B0DB-A711982AD62D}"/>
    <cellStyle name="Normal 10 2 2 3 2 3 2 2 3 3" xfId="6955" xr:uid="{870D3CB6-F2BD-4585-BE46-32BC23A6BF30}"/>
    <cellStyle name="Normal 10 2 2 3 2 3 2 2 4" xfId="6956" xr:uid="{AD140603-397E-42AE-A774-84CE5DF0798E}"/>
    <cellStyle name="Normal 10 2 2 3 2 3 2 2 4 2" xfId="6957" xr:uid="{AE83FBF3-BA2D-4652-A212-49F3E77EBEE4}"/>
    <cellStyle name="Normal 10 2 2 3 2 3 2 2 5" xfId="6958" xr:uid="{725432D7-257F-4D5C-AE3E-F496E615754C}"/>
    <cellStyle name="Normal 10 2 2 3 2 3 2 3" xfId="6959" xr:uid="{C2B7818A-3E69-4BF6-A747-EE5A3DBF89A0}"/>
    <cellStyle name="Normal 10 2 2 3 2 3 2 3 2" xfId="6960" xr:uid="{04ADB1AA-9A67-4485-9E28-0AF2BC0A5EDA}"/>
    <cellStyle name="Normal 10 2 2 3 2 3 2 3 2 2" xfId="6961" xr:uid="{50652B63-7DB3-487E-B528-DD726FC28B72}"/>
    <cellStyle name="Normal 10 2 2 3 2 3 2 3 2 2 2" xfId="6962" xr:uid="{1C29CA70-21BC-4462-A833-BA845DAF6A59}"/>
    <cellStyle name="Normal 10 2 2 3 2 3 2 3 2 3" xfId="6963" xr:uid="{89508CDB-5D5A-4A84-B966-6F1C6155D1A2}"/>
    <cellStyle name="Normal 10 2 2 3 2 3 2 3 3" xfId="6964" xr:uid="{625D6C3C-56C6-4758-BDEF-052F632A50B1}"/>
    <cellStyle name="Normal 10 2 2 3 2 3 2 3 3 2" xfId="6965" xr:uid="{E5C5F57E-0210-4936-94F7-15C6E643F167}"/>
    <cellStyle name="Normal 10 2 2 3 2 3 2 3 4" xfId="6966" xr:uid="{9788BE19-E9E6-44FA-80F4-2094753B7F20}"/>
    <cellStyle name="Normal 10 2 2 3 2 3 2 4" xfId="6967" xr:uid="{FE62A55F-F0F5-40CC-A424-CB26E48CDF62}"/>
    <cellStyle name="Normal 10 2 2 3 2 3 2 4 2" xfId="6968" xr:uid="{68B2282E-AC11-48E0-B6BA-A92ACC813666}"/>
    <cellStyle name="Normal 10 2 2 3 2 3 2 4 2 2" xfId="6969" xr:uid="{57933D6D-9CFB-41B9-B6B8-AAC845E9B170}"/>
    <cellStyle name="Normal 10 2 2 3 2 3 2 4 3" xfId="6970" xr:uid="{CD7E90CB-0133-46DA-9EE4-4B33B006F1B3}"/>
    <cellStyle name="Normal 10 2 2 3 2 3 2 5" xfId="6971" xr:uid="{C9838373-98DD-4055-9C74-740F4D5C51A6}"/>
    <cellStyle name="Normal 10 2 2 3 2 3 2 5 2" xfId="6972" xr:uid="{9EFA0A1B-B0F0-4C30-9A62-A2E6E03EA003}"/>
    <cellStyle name="Normal 10 2 2 3 2 3 2 6" xfId="6973" xr:uid="{F7D30545-79AC-404F-9010-2308CFF466FF}"/>
    <cellStyle name="Normal 10 2 2 3 2 3 3" xfId="6974" xr:uid="{B2188952-0D8A-4704-8A03-D753F55CB44C}"/>
    <cellStyle name="Normal 10 2 2 3 2 3 3 2" xfId="6975" xr:uid="{0F81D21C-62E1-45A8-AF5A-625FB8115C0A}"/>
    <cellStyle name="Normal 10 2 2 3 2 3 3 2 2" xfId="6976" xr:uid="{A49EF031-8BBB-4E64-81A4-65031E70E57D}"/>
    <cellStyle name="Normal 10 2 2 3 2 3 3 2 2 2" xfId="6977" xr:uid="{3A48D63D-BF50-4D0F-9221-E87BA642543E}"/>
    <cellStyle name="Normal 10 2 2 3 2 3 3 2 2 2 2" xfId="6978" xr:uid="{F67456BD-9911-4B4B-9E55-C60A3C2D7945}"/>
    <cellStyle name="Normal 10 2 2 3 2 3 3 2 2 3" xfId="6979" xr:uid="{BB16EB9C-AAD2-4070-ADE9-F50A8EBFB4E8}"/>
    <cellStyle name="Normal 10 2 2 3 2 3 3 2 3" xfId="6980" xr:uid="{4702A7EC-1AEB-4E63-AA10-A561FA2CA25C}"/>
    <cellStyle name="Normal 10 2 2 3 2 3 3 2 3 2" xfId="6981" xr:uid="{5271B578-AB95-4CF8-89C6-C8721B7253FD}"/>
    <cellStyle name="Normal 10 2 2 3 2 3 3 2 4" xfId="6982" xr:uid="{C03D0814-9998-4880-9909-ABE2EA0A01CF}"/>
    <cellStyle name="Normal 10 2 2 3 2 3 3 3" xfId="6983" xr:uid="{2D27D81F-94FF-46A1-8183-A53F35B3E167}"/>
    <cellStyle name="Normal 10 2 2 3 2 3 3 3 2" xfId="6984" xr:uid="{105B3E24-0CF8-4E66-BD89-50E61E4892D0}"/>
    <cellStyle name="Normal 10 2 2 3 2 3 3 3 2 2" xfId="6985" xr:uid="{E3F9CA25-5694-49B0-88E1-AAD135B5C223}"/>
    <cellStyle name="Normal 10 2 2 3 2 3 3 3 3" xfId="6986" xr:uid="{0FDD6229-CCCE-40FD-A220-C7F71A5DF3BA}"/>
    <cellStyle name="Normal 10 2 2 3 2 3 3 4" xfId="6987" xr:uid="{0829D632-4319-4C02-9BF4-0840CCFF7981}"/>
    <cellStyle name="Normal 10 2 2 3 2 3 3 4 2" xfId="6988" xr:uid="{63B8CD77-9FD4-43C1-AD56-A0E41B05D55A}"/>
    <cellStyle name="Normal 10 2 2 3 2 3 3 5" xfId="6989" xr:uid="{3186568A-88B9-4F4F-917F-698D858B58C6}"/>
    <cellStyle name="Normal 10 2 2 3 2 3 4" xfId="6990" xr:uid="{9F3824AE-46DF-4B7D-8BBE-5D995A69A90A}"/>
    <cellStyle name="Normal 10 2 2 3 2 3 4 2" xfId="6991" xr:uid="{777C6664-D704-447D-AB98-41C01888DDC4}"/>
    <cellStyle name="Normal 10 2 2 3 2 3 4 2 2" xfId="6992" xr:uid="{A3F8965B-9ACD-41F1-8C46-8CDA517FD165}"/>
    <cellStyle name="Normal 10 2 2 3 2 3 4 2 2 2" xfId="6993" xr:uid="{61AA10B2-B5A4-4103-A4B4-1134FDE807FB}"/>
    <cellStyle name="Normal 10 2 2 3 2 3 4 2 3" xfId="6994" xr:uid="{56ACC7C0-FFD2-4AB0-91BE-D9AC255137C0}"/>
    <cellStyle name="Normal 10 2 2 3 2 3 4 3" xfId="6995" xr:uid="{C7109AF0-C7F3-4356-BE19-1DC0A2D3C5F6}"/>
    <cellStyle name="Normal 10 2 2 3 2 3 4 3 2" xfId="6996" xr:uid="{B2193BD2-894D-46D2-A3BA-0DD308E2C270}"/>
    <cellStyle name="Normal 10 2 2 3 2 3 4 4" xfId="6997" xr:uid="{F2D648E9-187D-4610-8F04-DF5BDCDAD336}"/>
    <cellStyle name="Normal 10 2 2 3 2 3 5" xfId="6998" xr:uid="{50674963-68F3-4A3F-A242-807C71132310}"/>
    <cellStyle name="Normal 10 2 2 3 2 3 5 2" xfId="6999" xr:uid="{A386B4C2-F0C9-48A0-BAED-B0F268C496C4}"/>
    <cellStyle name="Normal 10 2 2 3 2 3 5 2 2" xfId="7000" xr:uid="{A67BDB34-0AA8-47B4-9530-EB64FC8E0D24}"/>
    <cellStyle name="Normal 10 2 2 3 2 3 5 3" xfId="7001" xr:uid="{DF732E18-17F1-464C-9E9D-29EC26183B84}"/>
    <cellStyle name="Normal 10 2 2 3 2 3 6" xfId="7002" xr:uid="{72896222-A741-4725-BAFE-38A7246356B4}"/>
    <cellStyle name="Normal 10 2 2 3 2 3 6 2" xfId="7003" xr:uid="{206169D4-3EEB-4C6B-8BB4-8B570C37370B}"/>
    <cellStyle name="Normal 10 2 2 3 2 3 7" xfId="7004" xr:uid="{78C7225E-37A5-4638-8B4F-A8ED5B715E64}"/>
    <cellStyle name="Normal 10 2 2 3 2 4" xfId="7005" xr:uid="{3CCB972C-6787-46A8-8256-620F443E5851}"/>
    <cellStyle name="Normal 10 2 2 3 2 4 2" xfId="7006" xr:uid="{889603CC-F61E-41C2-B5D5-9DAD7DE1A52E}"/>
    <cellStyle name="Normal 10 2 2 3 2 4 2 2" xfId="7007" xr:uid="{7B704489-76F8-4BF2-BA32-8B20549677D9}"/>
    <cellStyle name="Normal 10 2 2 3 2 4 2 2 2" xfId="7008" xr:uid="{E852E55F-7B4D-47B7-A36D-CD767D11DEC6}"/>
    <cellStyle name="Normal 10 2 2 3 2 4 2 2 2 2" xfId="7009" xr:uid="{E1A21D31-B9B0-4238-9B03-C45E58395CEF}"/>
    <cellStyle name="Normal 10 2 2 3 2 4 2 2 2 2 2" xfId="7010" xr:uid="{2C94D23E-A4FB-472F-8931-4433F45066D2}"/>
    <cellStyle name="Normal 10 2 2 3 2 4 2 2 2 3" xfId="7011" xr:uid="{031FA498-D363-4A7A-B756-4C1DB4AB06C0}"/>
    <cellStyle name="Normal 10 2 2 3 2 4 2 2 3" xfId="7012" xr:uid="{5A26EFFC-A11C-49D9-AE62-51C319C9ABA7}"/>
    <cellStyle name="Normal 10 2 2 3 2 4 2 2 3 2" xfId="7013" xr:uid="{F7F0ED32-07BB-456E-8E03-27FCCA300B17}"/>
    <cellStyle name="Normal 10 2 2 3 2 4 2 2 4" xfId="7014" xr:uid="{DDC38DE9-03D4-4E4A-B019-675BBA23FD72}"/>
    <cellStyle name="Normal 10 2 2 3 2 4 2 3" xfId="7015" xr:uid="{A08ACBC0-D419-44C3-825A-462BF76457D1}"/>
    <cellStyle name="Normal 10 2 2 3 2 4 2 3 2" xfId="7016" xr:uid="{5BF0FB1C-836E-4C3A-8010-1570AB11E9F2}"/>
    <cellStyle name="Normal 10 2 2 3 2 4 2 3 2 2" xfId="7017" xr:uid="{7143B0DA-D069-49D5-9F3E-5E60F21CC7E8}"/>
    <cellStyle name="Normal 10 2 2 3 2 4 2 3 3" xfId="7018" xr:uid="{9F42B554-5A90-4045-ABD7-2E8BBA702F83}"/>
    <cellStyle name="Normal 10 2 2 3 2 4 2 4" xfId="7019" xr:uid="{67B4E279-0FF9-43C7-8160-4245F04479A8}"/>
    <cellStyle name="Normal 10 2 2 3 2 4 2 4 2" xfId="7020" xr:uid="{310E4EB5-4903-49BE-8114-82F8AA93DE17}"/>
    <cellStyle name="Normal 10 2 2 3 2 4 2 5" xfId="7021" xr:uid="{C408DAA8-305F-41A8-8485-F22DDB10D381}"/>
    <cellStyle name="Normal 10 2 2 3 2 4 3" xfId="7022" xr:uid="{5C049DA5-9025-4735-811C-7150321CB6B0}"/>
    <cellStyle name="Normal 10 2 2 3 2 4 3 2" xfId="7023" xr:uid="{48D31848-E743-4E63-BAD6-80A8ADB3BC40}"/>
    <cellStyle name="Normal 10 2 2 3 2 4 3 2 2" xfId="7024" xr:uid="{C453FB2C-F7BF-4FD1-A9EE-7AA39F31E96B}"/>
    <cellStyle name="Normal 10 2 2 3 2 4 3 2 2 2" xfId="7025" xr:uid="{446FE588-B537-44C2-96E8-C99B72A90F2C}"/>
    <cellStyle name="Normal 10 2 2 3 2 4 3 2 3" xfId="7026" xr:uid="{709A3C6F-695E-4E89-99A7-C3691E9C6CC7}"/>
    <cellStyle name="Normal 10 2 2 3 2 4 3 3" xfId="7027" xr:uid="{0816CAC5-49E7-4B65-874F-8B3CA3D80565}"/>
    <cellStyle name="Normal 10 2 2 3 2 4 3 3 2" xfId="7028" xr:uid="{F6109755-2D08-48B6-8701-1CB4B2357039}"/>
    <cellStyle name="Normal 10 2 2 3 2 4 3 4" xfId="7029" xr:uid="{D9959CFC-942E-48AA-B00C-EBC3F9A36D7F}"/>
    <cellStyle name="Normal 10 2 2 3 2 4 4" xfId="7030" xr:uid="{FD59DCF9-1444-4DAF-A40C-2FD6FA9FFB94}"/>
    <cellStyle name="Normal 10 2 2 3 2 4 4 2" xfId="7031" xr:uid="{4FD63777-658D-4D71-A8A7-A87357D12258}"/>
    <cellStyle name="Normal 10 2 2 3 2 4 4 2 2" xfId="7032" xr:uid="{58FE9789-10CC-4C62-8CD8-0A08490415D6}"/>
    <cellStyle name="Normal 10 2 2 3 2 4 4 3" xfId="7033" xr:uid="{D93EC502-7C8F-42D4-9D20-25600D0A7461}"/>
    <cellStyle name="Normal 10 2 2 3 2 4 5" xfId="7034" xr:uid="{337BB7F8-E9AC-4478-9032-EFB99B3F683E}"/>
    <cellStyle name="Normal 10 2 2 3 2 4 5 2" xfId="7035" xr:uid="{8E6E451E-BC66-4BFB-B129-DD75535E0035}"/>
    <cellStyle name="Normal 10 2 2 3 2 4 6" xfId="7036" xr:uid="{098BE29D-F650-43B4-BF6B-B04EDA64F46C}"/>
    <cellStyle name="Normal 10 2 2 3 2 5" xfId="7037" xr:uid="{1FA3ED23-8ECA-42BC-BCEC-D712EE6EFC49}"/>
    <cellStyle name="Normal 10 2 2 3 2 5 2" xfId="7038" xr:uid="{630E8F43-7A27-4B79-A632-A2D3BAFFA4D5}"/>
    <cellStyle name="Normal 10 2 2 3 2 5 2 2" xfId="7039" xr:uid="{7DBD299F-D821-4F0C-8278-DB870A48D0D8}"/>
    <cellStyle name="Normal 10 2 2 3 2 5 2 2 2" xfId="7040" xr:uid="{EAEA9B57-9D74-4B4B-8387-A6C50ACFE86A}"/>
    <cellStyle name="Normal 10 2 2 3 2 5 2 2 2 2" xfId="7041" xr:uid="{F35AB5FB-3B1C-4DD6-9405-C12AA6DAA666}"/>
    <cellStyle name="Normal 10 2 2 3 2 5 2 2 3" xfId="7042" xr:uid="{03348805-5B51-40A2-88CC-08100AB40FB5}"/>
    <cellStyle name="Normal 10 2 2 3 2 5 2 3" xfId="7043" xr:uid="{81FC5DC6-EAD9-47C5-AB99-279565F2DDD8}"/>
    <cellStyle name="Normal 10 2 2 3 2 5 2 3 2" xfId="7044" xr:uid="{C3D0AC7F-B76B-4538-BA7E-E053E66B3B6E}"/>
    <cellStyle name="Normal 10 2 2 3 2 5 2 4" xfId="7045" xr:uid="{2227275B-DDB2-44DA-9892-4052D1F1C7CF}"/>
    <cellStyle name="Normal 10 2 2 3 2 5 3" xfId="7046" xr:uid="{9A60AF90-7D2F-4CAC-871B-F6C8AE072DA7}"/>
    <cellStyle name="Normal 10 2 2 3 2 5 3 2" xfId="7047" xr:uid="{833B1B81-198B-4646-AE10-D8648E906558}"/>
    <cellStyle name="Normal 10 2 2 3 2 5 3 2 2" xfId="7048" xr:uid="{983B10D7-D83A-43B4-A503-C74B48E2921F}"/>
    <cellStyle name="Normal 10 2 2 3 2 5 3 3" xfId="7049" xr:uid="{DA39464B-2FCE-46E1-9AB8-61BA4800E056}"/>
    <cellStyle name="Normal 10 2 2 3 2 5 4" xfId="7050" xr:uid="{F06903D4-891B-4AE3-9A60-B46B81320DA0}"/>
    <cellStyle name="Normal 10 2 2 3 2 5 4 2" xfId="7051" xr:uid="{C5ACF928-D3E6-4425-94B3-4849917B9DE6}"/>
    <cellStyle name="Normal 10 2 2 3 2 5 5" xfId="7052" xr:uid="{FCACE3E1-AA0C-4C7C-B192-D10DBEE6EC2A}"/>
    <cellStyle name="Normal 10 2 2 3 2 6" xfId="7053" xr:uid="{2E749C72-B720-43D1-8426-842C65F380E1}"/>
    <cellStyle name="Normal 10 2 2 3 2 6 2" xfId="7054" xr:uid="{9C4704BA-BF78-431D-BC2F-B9E2E9B8CC80}"/>
    <cellStyle name="Normal 10 2 2 3 2 6 2 2" xfId="7055" xr:uid="{00048B11-3BED-44E7-9ED5-39D4B9B40A51}"/>
    <cellStyle name="Normal 10 2 2 3 2 6 2 2 2" xfId="7056" xr:uid="{5DA3FDF8-CDBC-4284-8025-19A064CA5F4B}"/>
    <cellStyle name="Normal 10 2 2 3 2 6 2 3" xfId="7057" xr:uid="{FE2442A7-4F2C-44E1-B1DF-AC96EC430E35}"/>
    <cellStyle name="Normal 10 2 2 3 2 6 3" xfId="7058" xr:uid="{CF16FA23-D5A7-4468-9EF7-2716B6819ACB}"/>
    <cellStyle name="Normal 10 2 2 3 2 6 3 2" xfId="7059" xr:uid="{44714EA2-F929-4636-B548-FBC22006F5A2}"/>
    <cellStyle name="Normal 10 2 2 3 2 6 4" xfId="7060" xr:uid="{50E4C3F2-AC21-40E7-A11F-3813F1BDDDA8}"/>
    <cellStyle name="Normal 10 2 2 3 2 7" xfId="7061" xr:uid="{A3765A6A-B228-4453-9416-0469CBE46DAF}"/>
    <cellStyle name="Normal 10 2 2 3 2 7 2" xfId="7062" xr:uid="{0BFBE8ED-B0B6-46E9-B174-38AB719D3000}"/>
    <cellStyle name="Normal 10 2 2 3 2 7 2 2" xfId="7063" xr:uid="{1EB68F39-9128-4BC8-94BE-768F674BEA37}"/>
    <cellStyle name="Normal 10 2 2 3 2 7 3" xfId="7064" xr:uid="{D4CBEB16-D552-44C0-A8E4-FAD0D045C3A0}"/>
    <cellStyle name="Normal 10 2 2 3 2 8" xfId="7065" xr:uid="{268D8627-CC9A-42FC-A4C5-2555CF3A3EFD}"/>
    <cellStyle name="Normal 10 2 2 3 2 8 2" xfId="7066" xr:uid="{A06FB5A6-1825-41A6-A051-1616047F8621}"/>
    <cellStyle name="Normal 10 2 2 3 2 9" xfId="7067" xr:uid="{09B48A29-DC7D-4EBF-A0CB-344E612F1735}"/>
    <cellStyle name="Normal 10 2 2 3 3" xfId="457" xr:uid="{835BCB37-5E89-4FA9-87C8-B1B14363FE0F}"/>
    <cellStyle name="Normal 10 2 2 3 3 2" xfId="7069" xr:uid="{DC846454-C976-4B4A-A421-7F2925781F46}"/>
    <cellStyle name="Normal 10 2 2 3 3 2 2" xfId="7070" xr:uid="{B04EE69E-199C-4C47-A0E2-192FC0C4F327}"/>
    <cellStyle name="Normal 10 2 2 3 3 2 2 2" xfId="7071" xr:uid="{9535126B-BB91-45A6-9064-00F8CA14B87E}"/>
    <cellStyle name="Normal 10 2 2 3 3 2 2 2 2" xfId="7072" xr:uid="{E7710790-BEFC-4E0E-8885-687CE9039154}"/>
    <cellStyle name="Normal 10 2 2 3 3 2 2 2 2 2" xfId="7073" xr:uid="{34C449BC-EF39-41E1-81CB-A6B6A5673D78}"/>
    <cellStyle name="Normal 10 2 2 3 3 2 2 2 2 2 2" xfId="7074" xr:uid="{AE925261-0413-4DA9-9566-B80F538EEAA2}"/>
    <cellStyle name="Normal 10 2 2 3 3 2 2 2 2 2 2 2" xfId="7075" xr:uid="{0E294BF2-B6F0-4198-8754-08047045C3DA}"/>
    <cellStyle name="Normal 10 2 2 3 3 2 2 2 2 2 3" xfId="7076" xr:uid="{64EE10F3-7919-4B7E-9CC6-ADCC5126BDDA}"/>
    <cellStyle name="Normal 10 2 2 3 3 2 2 2 2 3" xfId="7077" xr:uid="{EAE905AD-C90A-46AB-95FE-925DA451784E}"/>
    <cellStyle name="Normal 10 2 2 3 3 2 2 2 2 3 2" xfId="7078" xr:uid="{CD5F3A91-FB06-4F86-B7EB-8E4A3AB0BA40}"/>
    <cellStyle name="Normal 10 2 2 3 3 2 2 2 2 4" xfId="7079" xr:uid="{27032541-6FE5-4DC9-BFB1-757E66CD7202}"/>
    <cellStyle name="Normal 10 2 2 3 3 2 2 2 3" xfId="7080" xr:uid="{F8AF7EB6-EBE2-4F8A-99E7-5218F2B01784}"/>
    <cellStyle name="Normal 10 2 2 3 3 2 2 2 3 2" xfId="7081" xr:uid="{6D3CE89C-8624-4C40-9ED9-A57FCDAD86C2}"/>
    <cellStyle name="Normal 10 2 2 3 3 2 2 2 3 2 2" xfId="7082" xr:uid="{60AFA49C-2FB1-4F52-B6DF-DCEB5C63CE9A}"/>
    <cellStyle name="Normal 10 2 2 3 3 2 2 2 3 3" xfId="7083" xr:uid="{824D96E6-3B86-497F-9583-F5210DC2DBCC}"/>
    <cellStyle name="Normal 10 2 2 3 3 2 2 2 4" xfId="7084" xr:uid="{EBE71019-DC55-493F-BF5F-0452BA0786AE}"/>
    <cellStyle name="Normal 10 2 2 3 3 2 2 2 4 2" xfId="7085" xr:uid="{62102BFB-27A1-4F0F-AEBC-C119F71F9C51}"/>
    <cellStyle name="Normal 10 2 2 3 3 2 2 2 5" xfId="7086" xr:uid="{5AC8F018-F7E3-48D4-A708-AF13D6F39B14}"/>
    <cellStyle name="Normal 10 2 2 3 3 2 2 3" xfId="7087" xr:uid="{A97EA57C-0C55-4D4F-B043-F6904AD46052}"/>
    <cellStyle name="Normal 10 2 2 3 3 2 2 3 2" xfId="7088" xr:uid="{BC728524-68BB-41D1-A47A-A75F02CB5A1F}"/>
    <cellStyle name="Normal 10 2 2 3 3 2 2 3 2 2" xfId="7089" xr:uid="{884EE081-63F1-4E2D-B2DA-8277CCC21581}"/>
    <cellStyle name="Normal 10 2 2 3 3 2 2 3 2 2 2" xfId="7090" xr:uid="{9FF4AE67-3945-43AB-9371-0DA74FCA7ACB}"/>
    <cellStyle name="Normal 10 2 2 3 3 2 2 3 2 3" xfId="7091" xr:uid="{1DA50600-6D3A-4E4D-8F74-28EE1B4DA0D2}"/>
    <cellStyle name="Normal 10 2 2 3 3 2 2 3 3" xfId="7092" xr:uid="{39AC0C46-23E9-4B74-A306-860CB956476E}"/>
    <cellStyle name="Normal 10 2 2 3 3 2 2 3 3 2" xfId="7093" xr:uid="{C51417B2-FC94-4463-B350-16D927F878C6}"/>
    <cellStyle name="Normal 10 2 2 3 3 2 2 3 4" xfId="7094" xr:uid="{5B54B9A1-C66B-478F-A786-B0E4B5FDC8AB}"/>
    <cellStyle name="Normal 10 2 2 3 3 2 2 4" xfId="7095" xr:uid="{BF1BAA6E-F095-403B-9F0C-7BE7472823B3}"/>
    <cellStyle name="Normal 10 2 2 3 3 2 2 4 2" xfId="7096" xr:uid="{E1454761-CD16-42D1-8CE1-C3A57B4F9CBE}"/>
    <cellStyle name="Normal 10 2 2 3 3 2 2 4 2 2" xfId="7097" xr:uid="{4B428BF0-7A63-424D-88DC-5C9A2582A3BF}"/>
    <cellStyle name="Normal 10 2 2 3 3 2 2 4 3" xfId="7098" xr:uid="{9F8997FC-CAB4-4A1D-A42A-0E2DCB418BDB}"/>
    <cellStyle name="Normal 10 2 2 3 3 2 2 5" xfId="7099" xr:uid="{58413338-1C3F-475D-AFA2-E95D08B4A9A4}"/>
    <cellStyle name="Normal 10 2 2 3 3 2 2 5 2" xfId="7100" xr:uid="{1AAA7A4D-0D7D-497E-B9C9-B64BEC06E01A}"/>
    <cellStyle name="Normal 10 2 2 3 3 2 2 6" xfId="7101" xr:uid="{188AD393-121D-4E44-BC6F-B8894E7AA221}"/>
    <cellStyle name="Normal 10 2 2 3 3 2 3" xfId="7102" xr:uid="{95BD4DA2-5D43-4BA2-B345-811A2EB0D4E5}"/>
    <cellStyle name="Normal 10 2 2 3 3 2 3 2" xfId="7103" xr:uid="{5B14C8A8-D130-48CA-ABE2-C3AAE3FFBA4E}"/>
    <cellStyle name="Normal 10 2 2 3 3 2 3 2 2" xfId="7104" xr:uid="{F9BD5A2A-7E40-4EDB-8697-2CFC9D17B647}"/>
    <cellStyle name="Normal 10 2 2 3 3 2 3 2 2 2" xfId="7105" xr:uid="{BE7D2249-62DD-4FAC-A90B-5339105F1BAA}"/>
    <cellStyle name="Normal 10 2 2 3 3 2 3 2 2 2 2" xfId="7106" xr:uid="{CEC09D18-18B2-4D58-AC25-9C85A19F02D5}"/>
    <cellStyle name="Normal 10 2 2 3 3 2 3 2 2 3" xfId="7107" xr:uid="{D84CB481-C697-44AE-BD65-DB521D4456FD}"/>
    <cellStyle name="Normal 10 2 2 3 3 2 3 2 3" xfId="7108" xr:uid="{73FFD6A9-EBDB-4BD6-9C2F-A007B131C946}"/>
    <cellStyle name="Normal 10 2 2 3 3 2 3 2 3 2" xfId="7109" xr:uid="{5ED473BA-84A1-4F5D-B48E-4AB04BD346E1}"/>
    <cellStyle name="Normal 10 2 2 3 3 2 3 2 4" xfId="7110" xr:uid="{A2828D4D-B043-4A27-838E-69B5205D093A}"/>
    <cellStyle name="Normal 10 2 2 3 3 2 3 3" xfId="7111" xr:uid="{078EA93C-DEC3-4DCB-8E31-2439FD9C1E06}"/>
    <cellStyle name="Normal 10 2 2 3 3 2 3 3 2" xfId="7112" xr:uid="{1C556493-A3C6-4C7F-96A6-929D250347A7}"/>
    <cellStyle name="Normal 10 2 2 3 3 2 3 3 2 2" xfId="7113" xr:uid="{5BDC153A-101F-403F-9B04-B886EDA7CED3}"/>
    <cellStyle name="Normal 10 2 2 3 3 2 3 3 3" xfId="7114" xr:uid="{3BE6FC44-32D1-44CB-B321-E73C184A89FB}"/>
    <cellStyle name="Normal 10 2 2 3 3 2 3 4" xfId="7115" xr:uid="{043211AC-0461-4D3D-A466-909DED8F8C9F}"/>
    <cellStyle name="Normal 10 2 2 3 3 2 3 4 2" xfId="7116" xr:uid="{26037AFB-7CA2-409D-818B-DC7AFD1275E0}"/>
    <cellStyle name="Normal 10 2 2 3 3 2 3 5" xfId="7117" xr:uid="{84C24A40-D64C-4A81-89DF-0DCE4888F90A}"/>
    <cellStyle name="Normal 10 2 2 3 3 2 4" xfId="7118" xr:uid="{70BFEBD9-C2F6-4EF0-9F76-1624CBEC4B78}"/>
    <cellStyle name="Normal 10 2 2 3 3 2 4 2" xfId="7119" xr:uid="{20CC4E0C-165B-450E-96FE-E4E476E0ABDE}"/>
    <cellStyle name="Normal 10 2 2 3 3 2 4 2 2" xfId="7120" xr:uid="{F723B53E-5DB0-4F21-B23B-7CF59ED555D2}"/>
    <cellStyle name="Normal 10 2 2 3 3 2 4 2 2 2" xfId="7121" xr:uid="{5AD48184-DB74-40F9-ABF4-DF7F343A2EA2}"/>
    <cellStyle name="Normal 10 2 2 3 3 2 4 2 3" xfId="7122" xr:uid="{DBEBE385-7FF8-4A79-9EFF-490E8612223F}"/>
    <cellStyle name="Normal 10 2 2 3 3 2 4 3" xfId="7123" xr:uid="{CB312062-D33D-4576-B0EE-372AA78D79B5}"/>
    <cellStyle name="Normal 10 2 2 3 3 2 4 3 2" xfId="7124" xr:uid="{563BF946-544F-48E7-8A2E-B6B1BAF524D2}"/>
    <cellStyle name="Normal 10 2 2 3 3 2 4 4" xfId="7125" xr:uid="{B5E29118-3202-45FE-BA8E-C9C49251D158}"/>
    <cellStyle name="Normal 10 2 2 3 3 2 5" xfId="7126" xr:uid="{D4B70866-8DBA-4EF3-898E-2DA161179FE8}"/>
    <cellStyle name="Normal 10 2 2 3 3 2 5 2" xfId="7127" xr:uid="{221E6E3A-1008-4AE4-A5FC-099B22323CD8}"/>
    <cellStyle name="Normal 10 2 2 3 3 2 5 2 2" xfId="7128" xr:uid="{5F978112-25D5-48DF-93C7-13B10BF9B2F7}"/>
    <cellStyle name="Normal 10 2 2 3 3 2 5 3" xfId="7129" xr:uid="{5A93EEA9-3D78-496F-8CD2-BCB4AF03D521}"/>
    <cellStyle name="Normal 10 2 2 3 3 2 6" xfId="7130" xr:uid="{F0D0324F-8D6D-49A5-8C72-6FA882D87296}"/>
    <cellStyle name="Normal 10 2 2 3 3 2 6 2" xfId="7131" xr:uid="{843A6B39-E4BC-4A61-AB23-6EC05E732B89}"/>
    <cellStyle name="Normal 10 2 2 3 3 2 7" xfId="7132" xr:uid="{D2812072-A982-4A57-BAD8-7D80268D61F8}"/>
    <cellStyle name="Normal 10 2 2 3 3 3" xfId="7133" xr:uid="{FD570804-62AD-4AD7-922A-682EA26BF8B5}"/>
    <cellStyle name="Normal 10 2 2 3 3 3 2" xfId="7134" xr:uid="{7A2951FC-9BE3-4570-BEF9-38106C8E530B}"/>
    <cellStyle name="Normal 10 2 2 3 3 3 2 2" xfId="7135" xr:uid="{C61112F9-F1F2-4B27-BC4C-9BFFA8F68EF8}"/>
    <cellStyle name="Normal 10 2 2 3 3 3 2 2 2" xfId="7136" xr:uid="{AB2B6684-E678-4F82-A735-79DC6A7EAFAB}"/>
    <cellStyle name="Normal 10 2 2 3 3 3 2 2 2 2" xfId="7137" xr:uid="{C821E899-2057-4470-9781-C2C2A90B4B58}"/>
    <cellStyle name="Normal 10 2 2 3 3 3 2 2 2 2 2" xfId="7138" xr:uid="{BBCFA943-97F4-4076-9DA9-BE79BA0DA196}"/>
    <cellStyle name="Normal 10 2 2 3 3 3 2 2 2 3" xfId="7139" xr:uid="{0EC90292-1A7F-4B45-9D19-44BEB27896BE}"/>
    <cellStyle name="Normal 10 2 2 3 3 3 2 2 3" xfId="7140" xr:uid="{54A447C3-E414-47CE-88BB-88E15E897AA3}"/>
    <cellStyle name="Normal 10 2 2 3 3 3 2 2 3 2" xfId="7141" xr:uid="{3D8B0770-9B4E-418B-8556-EF11CA20DDC1}"/>
    <cellStyle name="Normal 10 2 2 3 3 3 2 2 4" xfId="7142" xr:uid="{B7449DAA-DA20-4EA4-B6C3-A9FA8DA41179}"/>
    <cellStyle name="Normal 10 2 2 3 3 3 2 3" xfId="7143" xr:uid="{F85526FD-4684-4A1C-BB05-CCF5011FB1A1}"/>
    <cellStyle name="Normal 10 2 2 3 3 3 2 3 2" xfId="7144" xr:uid="{404E5700-DEC5-483D-9CCD-8FF1B5123E32}"/>
    <cellStyle name="Normal 10 2 2 3 3 3 2 3 2 2" xfId="7145" xr:uid="{6F07412D-AD27-4A2A-9BF0-A944580C022B}"/>
    <cellStyle name="Normal 10 2 2 3 3 3 2 3 3" xfId="7146" xr:uid="{54604205-7247-494D-8FE9-9DBAF8549251}"/>
    <cellStyle name="Normal 10 2 2 3 3 3 2 4" xfId="7147" xr:uid="{1056AC3E-50A3-460E-88C2-57D4D77CC5D7}"/>
    <cellStyle name="Normal 10 2 2 3 3 3 2 4 2" xfId="7148" xr:uid="{E5E6F43A-9914-4C1E-A959-0E2C94E983C1}"/>
    <cellStyle name="Normal 10 2 2 3 3 3 2 5" xfId="7149" xr:uid="{1912DC4E-BA1F-48BD-A432-9A8B7F9A18B5}"/>
    <cellStyle name="Normal 10 2 2 3 3 3 3" xfId="7150" xr:uid="{5310B850-953B-4B9E-A39D-8E3263BF9091}"/>
    <cellStyle name="Normal 10 2 2 3 3 3 3 2" xfId="7151" xr:uid="{DF8BEBF7-FF0C-43C7-B81B-E4224FFAA8AC}"/>
    <cellStyle name="Normal 10 2 2 3 3 3 3 2 2" xfId="7152" xr:uid="{3B9330F1-A7BC-4A4D-83E3-6DC6F7F59109}"/>
    <cellStyle name="Normal 10 2 2 3 3 3 3 2 2 2" xfId="7153" xr:uid="{96F6CBAF-E88A-448A-A01F-8D1460C364B6}"/>
    <cellStyle name="Normal 10 2 2 3 3 3 3 2 3" xfId="7154" xr:uid="{BB0DAB53-CD75-4FA6-A070-943371B9D975}"/>
    <cellStyle name="Normal 10 2 2 3 3 3 3 3" xfId="7155" xr:uid="{F22BDAEA-F8B9-4DF2-A5EF-52606395E31D}"/>
    <cellStyle name="Normal 10 2 2 3 3 3 3 3 2" xfId="7156" xr:uid="{B16A02E2-BC14-4B1B-87F7-AB3B7990E1B2}"/>
    <cellStyle name="Normal 10 2 2 3 3 3 3 4" xfId="7157" xr:uid="{D6EC7096-24C6-41E4-98B0-5A50FA9E72AD}"/>
    <cellStyle name="Normal 10 2 2 3 3 3 4" xfId="7158" xr:uid="{8B824917-5E6A-4F17-95F8-FFC2977B4464}"/>
    <cellStyle name="Normal 10 2 2 3 3 3 4 2" xfId="7159" xr:uid="{2A277D45-854C-463E-9F9D-859DCFB6F698}"/>
    <cellStyle name="Normal 10 2 2 3 3 3 4 2 2" xfId="7160" xr:uid="{5AC5EB06-3796-4F44-A0E9-6B11E09DA155}"/>
    <cellStyle name="Normal 10 2 2 3 3 3 4 3" xfId="7161" xr:uid="{AE852DC4-75DA-42CC-BB2B-EC9CA775A8ED}"/>
    <cellStyle name="Normal 10 2 2 3 3 3 5" xfId="7162" xr:uid="{1612CFAE-DC67-410A-A45E-B2ACDD085242}"/>
    <cellStyle name="Normal 10 2 2 3 3 3 5 2" xfId="7163" xr:uid="{30B91673-5DBB-4321-97B9-EF8C8619BC86}"/>
    <cellStyle name="Normal 10 2 2 3 3 3 6" xfId="7164" xr:uid="{3C3E7036-39EF-4C60-8BB0-91257DBA8EFA}"/>
    <cellStyle name="Normal 10 2 2 3 3 4" xfId="7165" xr:uid="{184A161E-8D2B-43E2-96F3-BA11FA4739DE}"/>
    <cellStyle name="Normal 10 2 2 3 3 4 2" xfId="7166" xr:uid="{4E22417E-BB19-4CF4-9095-3D6813AF2DE9}"/>
    <cellStyle name="Normal 10 2 2 3 3 4 2 2" xfId="7167" xr:uid="{A97CBF76-B8A7-47B0-8E95-246B2A5D50A6}"/>
    <cellStyle name="Normal 10 2 2 3 3 4 2 2 2" xfId="7168" xr:uid="{C893BFD9-D626-4825-9FF6-741E5B9F6EB2}"/>
    <cellStyle name="Normal 10 2 2 3 3 4 2 2 2 2" xfId="7169" xr:uid="{034BB394-05AE-4701-9251-A68EF6E31320}"/>
    <cellStyle name="Normal 10 2 2 3 3 4 2 2 3" xfId="7170" xr:uid="{058079C0-C05E-4B91-9E43-D19227F50950}"/>
    <cellStyle name="Normal 10 2 2 3 3 4 2 3" xfId="7171" xr:uid="{DCBF5E2D-CC41-4174-9222-66E98BD7BC86}"/>
    <cellStyle name="Normal 10 2 2 3 3 4 2 3 2" xfId="7172" xr:uid="{CFAAA184-D96C-4360-B9C5-1FF469BD7BE8}"/>
    <cellStyle name="Normal 10 2 2 3 3 4 2 4" xfId="7173" xr:uid="{33B319B9-A528-4510-8334-E91180FB076E}"/>
    <cellStyle name="Normal 10 2 2 3 3 4 3" xfId="7174" xr:uid="{B05D40CA-C8E4-4F2D-A1BE-AA4B2A516CA6}"/>
    <cellStyle name="Normal 10 2 2 3 3 4 3 2" xfId="7175" xr:uid="{42E7A713-10FF-477D-B2C1-847CF7F68D0E}"/>
    <cellStyle name="Normal 10 2 2 3 3 4 3 2 2" xfId="7176" xr:uid="{AA6575D2-48BB-4AEF-8403-AABA6AF53415}"/>
    <cellStyle name="Normal 10 2 2 3 3 4 3 3" xfId="7177" xr:uid="{B4F8AC0D-7165-405E-B719-76501E6DA341}"/>
    <cellStyle name="Normal 10 2 2 3 3 4 4" xfId="7178" xr:uid="{C40F00D2-02B8-4347-AE9E-BE9A35BCCA3E}"/>
    <cellStyle name="Normal 10 2 2 3 3 4 4 2" xfId="7179" xr:uid="{0FAB52CA-D35E-40E2-84A0-3E5C3B7E097C}"/>
    <cellStyle name="Normal 10 2 2 3 3 4 5" xfId="7180" xr:uid="{3D965049-A7A2-45EC-A715-A6138F84457F}"/>
    <cellStyle name="Normal 10 2 2 3 3 5" xfId="7181" xr:uid="{10ACDCFA-13C5-4AD1-B99B-883BE6A9FE9A}"/>
    <cellStyle name="Normal 10 2 2 3 3 5 2" xfId="7182" xr:uid="{B9764FE4-3D3F-463C-BAB7-B14FA17C0DB4}"/>
    <cellStyle name="Normal 10 2 2 3 3 5 2 2" xfId="7183" xr:uid="{04A2F949-4FD9-4767-8D09-D329F8D721F8}"/>
    <cellStyle name="Normal 10 2 2 3 3 5 2 2 2" xfId="7184" xr:uid="{175963CC-C1C7-4EE1-8D3E-8C505DC24482}"/>
    <cellStyle name="Normal 10 2 2 3 3 5 2 3" xfId="7185" xr:uid="{EFE9D9B4-1711-4261-9D09-059DD02A6FCF}"/>
    <cellStyle name="Normal 10 2 2 3 3 5 3" xfId="7186" xr:uid="{7E184E74-DFE9-4B18-B97C-0A9154637081}"/>
    <cellStyle name="Normal 10 2 2 3 3 5 3 2" xfId="7187" xr:uid="{B57322BB-B822-4F8B-94C8-88A79EDAD3C4}"/>
    <cellStyle name="Normal 10 2 2 3 3 5 4" xfId="7188" xr:uid="{FB3128A4-1BD7-4898-BDD5-652B0C44DDD4}"/>
    <cellStyle name="Normal 10 2 2 3 3 6" xfId="7189" xr:uid="{C4E37E49-64BD-43B0-9D25-05A93718A455}"/>
    <cellStyle name="Normal 10 2 2 3 3 6 2" xfId="7190" xr:uid="{344EEFCE-792C-4D64-B0CC-CDDFD494DDAA}"/>
    <cellStyle name="Normal 10 2 2 3 3 6 2 2" xfId="7191" xr:uid="{FF872298-6CEE-4540-B0AE-4EAEE9E7E844}"/>
    <cellStyle name="Normal 10 2 2 3 3 6 3" xfId="7192" xr:uid="{88756ABC-DFBC-41C7-8D54-DB872D97F156}"/>
    <cellStyle name="Normal 10 2 2 3 3 7" xfId="7193" xr:uid="{40E83E13-49F9-4023-BC92-CF79331A2F41}"/>
    <cellStyle name="Normal 10 2 2 3 3 7 2" xfId="7194" xr:uid="{AD21A6B7-1A91-44F1-A13D-635E1BDCF51E}"/>
    <cellStyle name="Normal 10 2 2 3 3 8" xfId="7195" xr:uid="{6A9B798D-999F-4D75-A2A1-A0927BB91C27}"/>
    <cellStyle name="Normal 10 2 2 3 3 9" xfId="7068" xr:uid="{D117D607-87C3-4C80-9565-3D7776608710}"/>
    <cellStyle name="Normal 10 2 2 3 4" xfId="7196" xr:uid="{AA50A98E-6F01-42AC-85D1-1ACAD9DAB157}"/>
    <cellStyle name="Normal 10 2 2 3 4 2" xfId="7197" xr:uid="{9207D41C-D895-490B-94E8-DFB13DADDCB0}"/>
    <cellStyle name="Normal 10 2 2 3 4 2 2" xfId="7198" xr:uid="{1FBE9AA6-9678-4666-BAD1-D761745DB05B}"/>
    <cellStyle name="Normal 10 2 2 3 4 2 2 2" xfId="7199" xr:uid="{94DBAA9C-5EAD-4242-B5C1-A10410FB2E65}"/>
    <cellStyle name="Normal 10 2 2 3 4 2 2 2 2" xfId="7200" xr:uid="{9DB8BB4A-2AC2-4B82-9D32-B885CC895F16}"/>
    <cellStyle name="Normal 10 2 2 3 4 2 2 2 2 2" xfId="7201" xr:uid="{89A2B6DB-FD39-467D-8F38-852A5CC57BF0}"/>
    <cellStyle name="Normal 10 2 2 3 4 2 2 2 2 2 2" xfId="7202" xr:uid="{856BD170-6DAE-4F03-BA21-EB830CDB3D05}"/>
    <cellStyle name="Normal 10 2 2 3 4 2 2 2 2 3" xfId="7203" xr:uid="{EEF8CD5F-07C0-40A6-9E4D-6B67467EA5AF}"/>
    <cellStyle name="Normal 10 2 2 3 4 2 2 2 3" xfId="7204" xr:uid="{BB8625C5-E084-43ED-AB61-8C2AD8AAE9E6}"/>
    <cellStyle name="Normal 10 2 2 3 4 2 2 2 3 2" xfId="7205" xr:uid="{7E39E9E9-DAD5-4924-B9E2-8F3BD6A97C91}"/>
    <cellStyle name="Normal 10 2 2 3 4 2 2 2 4" xfId="7206" xr:uid="{8FE2AEBF-FF5A-48E4-B698-69E676D31896}"/>
    <cellStyle name="Normal 10 2 2 3 4 2 2 3" xfId="7207" xr:uid="{E8A59BE2-7D90-474E-ACC6-27233B1B9566}"/>
    <cellStyle name="Normal 10 2 2 3 4 2 2 3 2" xfId="7208" xr:uid="{FD0C54DB-3849-4556-886D-6E7088E73617}"/>
    <cellStyle name="Normal 10 2 2 3 4 2 2 3 2 2" xfId="7209" xr:uid="{B53E5EB0-89BD-4773-90F0-050E3A972F47}"/>
    <cellStyle name="Normal 10 2 2 3 4 2 2 3 3" xfId="7210" xr:uid="{FB8FD899-5991-4D9D-8BF6-62E8073C1F57}"/>
    <cellStyle name="Normal 10 2 2 3 4 2 2 4" xfId="7211" xr:uid="{4972491D-9D29-4F03-AD07-AF7F4F8EBF9A}"/>
    <cellStyle name="Normal 10 2 2 3 4 2 2 4 2" xfId="7212" xr:uid="{1917CC37-7E8A-4404-8B7F-8D30B7FE60DD}"/>
    <cellStyle name="Normal 10 2 2 3 4 2 2 5" xfId="7213" xr:uid="{DE9D9991-644C-49CC-B637-EAA6CCA5D0FA}"/>
    <cellStyle name="Normal 10 2 2 3 4 2 3" xfId="7214" xr:uid="{A28D87DF-33FD-4304-8201-025643DC9198}"/>
    <cellStyle name="Normal 10 2 2 3 4 2 3 2" xfId="7215" xr:uid="{F5FADE01-8217-4D3E-9470-C6CC4BA83451}"/>
    <cellStyle name="Normal 10 2 2 3 4 2 3 2 2" xfId="7216" xr:uid="{5227DF6F-66B9-4478-B11C-3001C1C62288}"/>
    <cellStyle name="Normal 10 2 2 3 4 2 3 2 2 2" xfId="7217" xr:uid="{42A01179-DC4C-42CA-9539-846C3D25C4BD}"/>
    <cellStyle name="Normal 10 2 2 3 4 2 3 2 3" xfId="7218" xr:uid="{39AB1763-B2D7-4710-BA88-6D249E821139}"/>
    <cellStyle name="Normal 10 2 2 3 4 2 3 3" xfId="7219" xr:uid="{9E11A45E-EEFB-4795-BCF4-C0FDE47C26EC}"/>
    <cellStyle name="Normal 10 2 2 3 4 2 3 3 2" xfId="7220" xr:uid="{3C62B6DF-656B-452E-8D97-0293A9CA388C}"/>
    <cellStyle name="Normal 10 2 2 3 4 2 3 4" xfId="7221" xr:uid="{AD2AAA9C-4174-4A90-B80A-B3F847A59507}"/>
    <cellStyle name="Normal 10 2 2 3 4 2 4" xfId="7222" xr:uid="{0067F738-F5A6-4A33-A927-5E8242264AA8}"/>
    <cellStyle name="Normal 10 2 2 3 4 2 4 2" xfId="7223" xr:uid="{3CEBCC87-0CE1-4268-A806-863F925FEE06}"/>
    <cellStyle name="Normal 10 2 2 3 4 2 4 2 2" xfId="7224" xr:uid="{53541749-C60C-40DF-BC1F-2757D3A23040}"/>
    <cellStyle name="Normal 10 2 2 3 4 2 4 3" xfId="7225" xr:uid="{F79873AA-3735-449D-8C64-89CCC9444402}"/>
    <cellStyle name="Normal 10 2 2 3 4 2 5" xfId="7226" xr:uid="{E57885BD-145A-489A-B8AA-C0ABA2588A92}"/>
    <cellStyle name="Normal 10 2 2 3 4 2 5 2" xfId="7227" xr:uid="{5BF3E215-643A-423C-BD4A-E39BC76FD72F}"/>
    <cellStyle name="Normal 10 2 2 3 4 2 6" xfId="7228" xr:uid="{5A3947C6-9BB9-47FE-B002-8EE323BBCE7F}"/>
    <cellStyle name="Normal 10 2 2 3 4 3" xfId="7229" xr:uid="{BDDF705E-E171-4F40-8E19-1AE548554E98}"/>
    <cellStyle name="Normal 10 2 2 3 4 3 2" xfId="7230" xr:uid="{91E70372-0891-4548-B95A-984C2A52893B}"/>
    <cellStyle name="Normal 10 2 2 3 4 3 2 2" xfId="7231" xr:uid="{02AD71B6-FF1F-4003-91A3-501F05C4C324}"/>
    <cellStyle name="Normal 10 2 2 3 4 3 2 2 2" xfId="7232" xr:uid="{C70833E3-0FEF-46CC-A280-7BE26DE1767B}"/>
    <cellStyle name="Normal 10 2 2 3 4 3 2 2 2 2" xfId="7233" xr:uid="{4F06D175-F911-4893-BFDF-E31422D699AF}"/>
    <cellStyle name="Normal 10 2 2 3 4 3 2 2 3" xfId="7234" xr:uid="{E14128DA-BB5E-4898-AB59-E6031D5A28EB}"/>
    <cellStyle name="Normal 10 2 2 3 4 3 2 3" xfId="7235" xr:uid="{1B2D68B7-8F51-4B1B-8BAF-5EA164D53290}"/>
    <cellStyle name="Normal 10 2 2 3 4 3 2 3 2" xfId="7236" xr:uid="{63532189-62E3-4C51-9E3A-E572D3E67FBC}"/>
    <cellStyle name="Normal 10 2 2 3 4 3 2 4" xfId="7237" xr:uid="{9CCCE186-01F1-45C6-A3C2-29B13167D4F5}"/>
    <cellStyle name="Normal 10 2 2 3 4 3 3" xfId="7238" xr:uid="{C4939CF0-AF41-437B-93F4-E6CD80C73167}"/>
    <cellStyle name="Normal 10 2 2 3 4 3 3 2" xfId="7239" xr:uid="{B0DEBE37-0A44-4312-B27E-FF9BA836D5EE}"/>
    <cellStyle name="Normal 10 2 2 3 4 3 3 2 2" xfId="7240" xr:uid="{780C6A73-BAC0-4856-B822-01D4D3CD769F}"/>
    <cellStyle name="Normal 10 2 2 3 4 3 3 3" xfId="7241" xr:uid="{597D85E4-72DD-4CA6-9060-7CD6573A6A24}"/>
    <cellStyle name="Normal 10 2 2 3 4 3 4" xfId="7242" xr:uid="{D754DE8E-DE29-434D-9B58-8B35134E6453}"/>
    <cellStyle name="Normal 10 2 2 3 4 3 4 2" xfId="7243" xr:uid="{7483DC15-BF1C-4561-A3C8-C3487488E40B}"/>
    <cellStyle name="Normal 10 2 2 3 4 3 5" xfId="7244" xr:uid="{3CC6E680-761B-4911-AE5B-DC15A798AB25}"/>
    <cellStyle name="Normal 10 2 2 3 4 4" xfId="7245" xr:uid="{8BC7DC55-E81F-4209-83F7-334871E879C1}"/>
    <cellStyle name="Normal 10 2 2 3 4 4 2" xfId="7246" xr:uid="{FDA9947B-C9C4-42A0-A3BA-0832EBE90A85}"/>
    <cellStyle name="Normal 10 2 2 3 4 4 2 2" xfId="7247" xr:uid="{6C2DFD69-3C07-429F-BA49-A64A24C6FD6A}"/>
    <cellStyle name="Normal 10 2 2 3 4 4 2 2 2" xfId="7248" xr:uid="{676A06BA-B0C0-4A35-A257-D2856EC52E35}"/>
    <cellStyle name="Normal 10 2 2 3 4 4 2 3" xfId="7249" xr:uid="{D12A2D45-EE07-43EB-8CAC-AE598092E0FA}"/>
    <cellStyle name="Normal 10 2 2 3 4 4 3" xfId="7250" xr:uid="{195EA2C4-92BF-416D-883A-4C2F25AE1D2B}"/>
    <cellStyle name="Normal 10 2 2 3 4 4 3 2" xfId="7251" xr:uid="{F92D30A2-9761-4F10-9AAE-255AF2A516D1}"/>
    <cellStyle name="Normal 10 2 2 3 4 4 4" xfId="7252" xr:uid="{98BCEC94-6862-425E-AC55-4339B84D883F}"/>
    <cellStyle name="Normal 10 2 2 3 4 5" xfId="7253" xr:uid="{E7DF1457-FB62-4375-B969-938C2C2EE551}"/>
    <cellStyle name="Normal 10 2 2 3 4 5 2" xfId="7254" xr:uid="{2C665672-7516-4B1B-B520-3C4F5FABD014}"/>
    <cellStyle name="Normal 10 2 2 3 4 5 2 2" xfId="7255" xr:uid="{7065A630-FBA5-4B88-B790-B5A8D7AE216F}"/>
    <cellStyle name="Normal 10 2 2 3 4 5 3" xfId="7256" xr:uid="{27CF3105-1834-4398-A23D-400F5F588DBB}"/>
    <cellStyle name="Normal 10 2 2 3 4 6" xfId="7257" xr:uid="{E58BB4F1-1B29-4C45-B551-F6062A055451}"/>
    <cellStyle name="Normal 10 2 2 3 4 6 2" xfId="7258" xr:uid="{D27A05C1-58E1-46F6-B292-2D6DD568475C}"/>
    <cellStyle name="Normal 10 2 2 3 4 7" xfId="7259" xr:uid="{EA0BB328-A2C7-4526-944F-C8FD3C65DBC6}"/>
    <cellStyle name="Normal 10 2 2 3 5" xfId="7260" xr:uid="{CE8E3A65-84A3-47C5-99C3-E6A74108CFD6}"/>
    <cellStyle name="Normal 10 2 2 3 5 2" xfId="7261" xr:uid="{8A535D89-135C-4744-AB0E-9A4D45C288CB}"/>
    <cellStyle name="Normal 10 2 2 3 5 2 2" xfId="7262" xr:uid="{50291E9D-E637-40D0-9160-90686EAEAF60}"/>
    <cellStyle name="Normal 10 2 2 3 5 2 2 2" xfId="7263" xr:uid="{67EFAC23-9109-47CE-8A33-B852CF6EFA64}"/>
    <cellStyle name="Normal 10 2 2 3 5 2 2 2 2" xfId="7264" xr:uid="{C6861537-C325-421D-B900-C1A6481E7636}"/>
    <cellStyle name="Normal 10 2 2 3 5 2 2 2 2 2" xfId="7265" xr:uid="{84D07DD5-B159-4B9B-B9D5-8759A83B427F}"/>
    <cellStyle name="Normal 10 2 2 3 5 2 2 2 3" xfId="7266" xr:uid="{0D80FEB1-1A09-4536-B685-E64D7F1D8BCB}"/>
    <cellStyle name="Normal 10 2 2 3 5 2 2 3" xfId="7267" xr:uid="{BD4FE0A9-707A-41D2-B924-1F2F72075BFE}"/>
    <cellStyle name="Normal 10 2 2 3 5 2 2 3 2" xfId="7268" xr:uid="{4636A34F-034C-4DD1-A167-19B1090BFDAC}"/>
    <cellStyle name="Normal 10 2 2 3 5 2 2 4" xfId="7269" xr:uid="{0C2951A7-9FC1-4B0F-A8BE-F83243B6ED72}"/>
    <cellStyle name="Normal 10 2 2 3 5 2 3" xfId="7270" xr:uid="{6B5B102A-D56D-4C84-8CC7-37EC8417230F}"/>
    <cellStyle name="Normal 10 2 2 3 5 2 3 2" xfId="7271" xr:uid="{38B08F1D-EDDA-4CC7-86C4-CEB5400616FB}"/>
    <cellStyle name="Normal 10 2 2 3 5 2 3 2 2" xfId="7272" xr:uid="{C645B83F-438F-4912-A944-ABF0BF2B7CAA}"/>
    <cellStyle name="Normal 10 2 2 3 5 2 3 3" xfId="7273" xr:uid="{09E1D064-3FE4-49A5-A69B-D50EC167958A}"/>
    <cellStyle name="Normal 10 2 2 3 5 2 4" xfId="7274" xr:uid="{E47B59E9-B602-4F9A-8B59-C223903C54ED}"/>
    <cellStyle name="Normal 10 2 2 3 5 2 4 2" xfId="7275" xr:uid="{ED402F45-BFDF-43EC-8A21-64F2801133F5}"/>
    <cellStyle name="Normal 10 2 2 3 5 2 5" xfId="7276" xr:uid="{861DE46E-E9B4-4DE5-8D3B-89E8F92414C2}"/>
    <cellStyle name="Normal 10 2 2 3 5 3" xfId="7277" xr:uid="{A68A5C98-6FF0-41D5-8170-4460D406D1BB}"/>
    <cellStyle name="Normal 10 2 2 3 5 3 2" xfId="7278" xr:uid="{0AD0C30F-D34C-4F4C-A1C4-06F66EFBA56B}"/>
    <cellStyle name="Normal 10 2 2 3 5 3 2 2" xfId="7279" xr:uid="{B3B74E71-BAED-442F-B3E0-741DF917B00A}"/>
    <cellStyle name="Normal 10 2 2 3 5 3 2 2 2" xfId="7280" xr:uid="{C312F8A4-FFEF-4275-ABE2-BCA45D9992E4}"/>
    <cellStyle name="Normal 10 2 2 3 5 3 2 3" xfId="7281" xr:uid="{865AB658-DDE5-419A-89B2-82C120D9A944}"/>
    <cellStyle name="Normal 10 2 2 3 5 3 3" xfId="7282" xr:uid="{13FE1B4D-8420-4B13-A603-AABC5A40F1A7}"/>
    <cellStyle name="Normal 10 2 2 3 5 3 3 2" xfId="7283" xr:uid="{CA462D0B-A2DC-4763-A280-A95F18860BD3}"/>
    <cellStyle name="Normal 10 2 2 3 5 3 4" xfId="7284" xr:uid="{593B3B7B-3A11-47B6-816E-F4B9DE3BD3ED}"/>
    <cellStyle name="Normal 10 2 2 3 5 4" xfId="7285" xr:uid="{35F1E534-8592-4FAF-88A2-6A6224CB79E2}"/>
    <cellStyle name="Normal 10 2 2 3 5 4 2" xfId="7286" xr:uid="{B9527B59-BE92-4A13-8723-3B5E9951C430}"/>
    <cellStyle name="Normal 10 2 2 3 5 4 2 2" xfId="7287" xr:uid="{E938E0B1-0E49-4A50-93A6-37107A9A5475}"/>
    <cellStyle name="Normal 10 2 2 3 5 4 3" xfId="7288" xr:uid="{0C5804BF-A0A2-4D1D-9B51-D228CAD8410C}"/>
    <cellStyle name="Normal 10 2 2 3 5 5" xfId="7289" xr:uid="{82E3A517-265E-4805-A787-823B9E9248E3}"/>
    <cellStyle name="Normal 10 2 2 3 5 5 2" xfId="7290" xr:uid="{E9B6C120-599E-49CA-8B9F-E5DA2E2E3692}"/>
    <cellStyle name="Normal 10 2 2 3 5 6" xfId="7291" xr:uid="{7F9E35B4-3485-43A8-9D50-1EBC91B698CB}"/>
    <cellStyle name="Normal 10 2 2 3 6" xfId="7292" xr:uid="{C653137F-5352-4772-95C2-B551BF254168}"/>
    <cellStyle name="Normal 10 2 2 3 6 2" xfId="7293" xr:uid="{E247E6F6-D184-47B8-965F-23BAF2756A65}"/>
    <cellStyle name="Normal 10 2 2 3 6 2 2" xfId="7294" xr:uid="{202168AA-2A0F-4168-A5A6-CEF2B5AA1C0D}"/>
    <cellStyle name="Normal 10 2 2 3 6 2 2 2" xfId="7295" xr:uid="{DB3F4C9A-A241-4C6A-BB2D-B8516AF7BF73}"/>
    <cellStyle name="Normal 10 2 2 3 6 2 2 2 2" xfId="7296" xr:uid="{BFF7B871-9517-4D9D-9896-CC096F18C735}"/>
    <cellStyle name="Normal 10 2 2 3 6 2 2 3" xfId="7297" xr:uid="{1DE55FD5-F01F-405E-88FB-A52D1EBEB02A}"/>
    <cellStyle name="Normal 10 2 2 3 6 2 3" xfId="7298" xr:uid="{992E5D39-FB5C-4D4A-ACF0-4D140F2DD8AF}"/>
    <cellStyle name="Normal 10 2 2 3 6 2 3 2" xfId="7299" xr:uid="{AAFC19E0-1BCC-4970-A666-35DDA0AF391A}"/>
    <cellStyle name="Normal 10 2 2 3 6 2 4" xfId="7300" xr:uid="{CD089BA8-0D67-48B2-B276-6342E5ACF332}"/>
    <cellStyle name="Normal 10 2 2 3 6 3" xfId="7301" xr:uid="{84AB94D0-BAAE-48F0-B743-57B566EDFB8B}"/>
    <cellStyle name="Normal 10 2 2 3 6 3 2" xfId="7302" xr:uid="{380F4B32-30C1-45E1-9691-0BE1F7BC831B}"/>
    <cellStyle name="Normal 10 2 2 3 6 3 2 2" xfId="7303" xr:uid="{8F7E5F44-3C0B-4551-8B80-A642EAC83B37}"/>
    <cellStyle name="Normal 10 2 2 3 6 3 3" xfId="7304" xr:uid="{3FA1275E-83A1-4950-B0A0-10EE3B74069A}"/>
    <cellStyle name="Normal 10 2 2 3 6 4" xfId="7305" xr:uid="{8623A2B9-8402-4949-AB04-3022763D530A}"/>
    <cellStyle name="Normal 10 2 2 3 6 4 2" xfId="7306" xr:uid="{2F10A253-0659-4365-BD7C-A7D2808B5504}"/>
    <cellStyle name="Normal 10 2 2 3 6 5" xfId="7307" xr:uid="{B1AAC157-7A38-48D2-A2AD-7D19B19EEE3E}"/>
    <cellStyle name="Normal 10 2 2 3 7" xfId="7308" xr:uid="{FE303503-8FF0-4282-A4A2-25403F68769E}"/>
    <cellStyle name="Normal 10 2 2 3 7 2" xfId="7309" xr:uid="{D8290EFF-A1B9-4573-B44C-D47BAB94B8FA}"/>
    <cellStyle name="Normal 10 2 2 3 7 2 2" xfId="7310" xr:uid="{9F5283F3-A09D-4690-80D6-D77CD6690F27}"/>
    <cellStyle name="Normal 10 2 2 3 7 2 2 2" xfId="7311" xr:uid="{CA7C9A96-3B94-4F87-B0F7-55C314C94A39}"/>
    <cellStyle name="Normal 10 2 2 3 7 2 3" xfId="7312" xr:uid="{43878FFF-CE3A-4180-BB6B-004E26F2ACC0}"/>
    <cellStyle name="Normal 10 2 2 3 7 3" xfId="7313" xr:uid="{7DC9C579-D2AD-4808-AE92-86E0499BC2FA}"/>
    <cellStyle name="Normal 10 2 2 3 7 3 2" xfId="7314" xr:uid="{C268C28A-52D3-4931-848F-78411A3FE72B}"/>
    <cellStyle name="Normal 10 2 2 3 7 4" xfId="7315" xr:uid="{796BB15B-55E9-4FCC-86EE-EB8073973168}"/>
    <cellStyle name="Normal 10 2 2 3 8" xfId="7316" xr:uid="{B3548662-5301-43C1-9B69-8AA079B9C03D}"/>
    <cellStyle name="Normal 10 2 2 3 8 2" xfId="7317" xr:uid="{FF5EB110-72CF-4E1D-9E29-A7A9A11C0A28}"/>
    <cellStyle name="Normal 10 2 2 3 8 2 2" xfId="7318" xr:uid="{3FBB0D98-977C-4117-947D-3DA8FC22AC45}"/>
    <cellStyle name="Normal 10 2 2 3 8 3" xfId="7319" xr:uid="{504EDF68-B288-46B2-8AD0-5992F40ABA4F}"/>
    <cellStyle name="Normal 10 2 2 3 9" xfId="7320" xr:uid="{CB4FB924-4F9A-4B5E-A38E-14A66C0B6940}"/>
    <cellStyle name="Normal 10 2 2 3 9 2" xfId="7321" xr:uid="{8D28E3F5-4BCE-4E66-8C81-0D0DB1E08B0E}"/>
    <cellStyle name="Normal 10 2 2 4" xfId="238" xr:uid="{CC84E35A-8E1D-42C7-BA0F-06CC2B875520}"/>
    <cellStyle name="Normal 10 2 2 4 10" xfId="7322" xr:uid="{91EF1F58-F11E-4FDE-8915-63911D0710C0}"/>
    <cellStyle name="Normal 10 2 2 4 11" xfId="547" xr:uid="{703238EB-6C96-4CDA-B57C-D6263F50DA5D}"/>
    <cellStyle name="Normal 10 2 2 4 2" xfId="314" xr:uid="{7579751D-848C-473D-ABBA-47264E116461}"/>
    <cellStyle name="Normal 10 2 2 4 2 10" xfId="7323" xr:uid="{FA3B1FD7-938C-4F58-9AF7-9D44701472EA}"/>
    <cellStyle name="Normal 10 2 2 4 2 2" xfId="7324" xr:uid="{55528708-194A-4B25-BFD3-3F0B7EB05C4D}"/>
    <cellStyle name="Normal 10 2 2 4 2 2 2" xfId="7325" xr:uid="{95FA85BE-8567-4DD8-9E52-F7AC2958CD3E}"/>
    <cellStyle name="Normal 10 2 2 4 2 2 2 2" xfId="7326" xr:uid="{4A1EC48E-6891-4AF9-A625-7D59576E5F86}"/>
    <cellStyle name="Normal 10 2 2 4 2 2 2 2 2" xfId="7327" xr:uid="{7068E5AC-4A9D-44B6-AE65-A9DC85080B19}"/>
    <cellStyle name="Normal 10 2 2 4 2 2 2 2 2 2" xfId="7328" xr:uid="{177D7B83-748E-4C2E-9057-A3673691B120}"/>
    <cellStyle name="Normal 10 2 2 4 2 2 2 2 2 2 2" xfId="7329" xr:uid="{54B5397A-D703-4F1B-AA2E-018437736EEF}"/>
    <cellStyle name="Normal 10 2 2 4 2 2 2 2 2 2 2 2" xfId="7330" xr:uid="{8DE25C1B-1FCD-4556-9984-335B6B9AFE91}"/>
    <cellStyle name="Normal 10 2 2 4 2 2 2 2 2 2 2 2 2" xfId="7331" xr:uid="{09977033-7A62-4958-8C76-811F93223453}"/>
    <cellStyle name="Normal 10 2 2 4 2 2 2 2 2 2 2 3" xfId="7332" xr:uid="{86F6D720-5ED3-4897-AE78-EC5DD15ACEDC}"/>
    <cellStyle name="Normal 10 2 2 4 2 2 2 2 2 2 3" xfId="7333" xr:uid="{E39B91D1-C0DB-43FB-9188-81B3DDD6724E}"/>
    <cellStyle name="Normal 10 2 2 4 2 2 2 2 2 2 3 2" xfId="7334" xr:uid="{0BA5F64E-AD1F-4457-B81D-360A38450B1B}"/>
    <cellStyle name="Normal 10 2 2 4 2 2 2 2 2 2 4" xfId="7335" xr:uid="{0CE4228A-5663-4F58-B512-8CD86DF854E5}"/>
    <cellStyle name="Normal 10 2 2 4 2 2 2 2 2 3" xfId="7336" xr:uid="{98743B6A-0C2B-4B62-A8E9-46D53C69CA77}"/>
    <cellStyle name="Normal 10 2 2 4 2 2 2 2 2 3 2" xfId="7337" xr:uid="{E61F8107-0A31-4946-BFC1-C11B52A51EA7}"/>
    <cellStyle name="Normal 10 2 2 4 2 2 2 2 2 3 2 2" xfId="7338" xr:uid="{64024636-C959-4EA1-BF59-09540223D9D6}"/>
    <cellStyle name="Normal 10 2 2 4 2 2 2 2 2 3 3" xfId="7339" xr:uid="{6F15D74C-D0D4-4264-913E-FA99EF5EAD0B}"/>
    <cellStyle name="Normal 10 2 2 4 2 2 2 2 2 4" xfId="7340" xr:uid="{9D0116A9-3AB1-4224-9574-8563FB5AE6C0}"/>
    <cellStyle name="Normal 10 2 2 4 2 2 2 2 2 4 2" xfId="7341" xr:uid="{2342BA46-3A12-4BC5-9BD7-F18D5A9E09EE}"/>
    <cellStyle name="Normal 10 2 2 4 2 2 2 2 2 5" xfId="7342" xr:uid="{A338DFD7-516D-4781-A51D-4B82D78FA2DC}"/>
    <cellStyle name="Normal 10 2 2 4 2 2 2 2 3" xfId="7343" xr:uid="{3C65F4B9-913C-46A5-8111-50FA5F624002}"/>
    <cellStyle name="Normal 10 2 2 4 2 2 2 2 3 2" xfId="7344" xr:uid="{DB98FFF7-EC55-4F21-BD26-E15D79F31506}"/>
    <cellStyle name="Normal 10 2 2 4 2 2 2 2 3 2 2" xfId="7345" xr:uid="{5FE62B3D-8525-482C-8071-33876474ED95}"/>
    <cellStyle name="Normal 10 2 2 4 2 2 2 2 3 2 2 2" xfId="7346" xr:uid="{C95B2C80-1C81-47EE-B9A4-4BC48E2D10D2}"/>
    <cellStyle name="Normal 10 2 2 4 2 2 2 2 3 2 3" xfId="7347" xr:uid="{FB2EC845-5D28-47CE-A3A2-436096958B0D}"/>
    <cellStyle name="Normal 10 2 2 4 2 2 2 2 3 3" xfId="7348" xr:uid="{865435DD-7E66-4D78-8502-3F3D69B6B6A6}"/>
    <cellStyle name="Normal 10 2 2 4 2 2 2 2 3 3 2" xfId="7349" xr:uid="{40F7A71D-30AC-4E88-8527-4E825C8E9A44}"/>
    <cellStyle name="Normal 10 2 2 4 2 2 2 2 3 4" xfId="7350" xr:uid="{D903EE6B-5870-44A7-AF5A-4058157E8A1F}"/>
    <cellStyle name="Normal 10 2 2 4 2 2 2 2 4" xfId="7351" xr:uid="{168F349E-EA5E-44CC-9706-D0A6CAA0A3DB}"/>
    <cellStyle name="Normal 10 2 2 4 2 2 2 2 4 2" xfId="7352" xr:uid="{EEF411E6-663A-4A92-A9B5-1A964C84D63F}"/>
    <cellStyle name="Normal 10 2 2 4 2 2 2 2 4 2 2" xfId="7353" xr:uid="{B108EE34-D965-4E71-AA29-35312993BBB6}"/>
    <cellStyle name="Normal 10 2 2 4 2 2 2 2 4 3" xfId="7354" xr:uid="{ED777933-DFF3-465C-9491-79D9EA586783}"/>
    <cellStyle name="Normal 10 2 2 4 2 2 2 2 5" xfId="7355" xr:uid="{59C59162-69AF-43D7-A17F-3DE04439D312}"/>
    <cellStyle name="Normal 10 2 2 4 2 2 2 2 5 2" xfId="7356" xr:uid="{2B52D69C-61C1-45B2-A024-30CB1B82DC79}"/>
    <cellStyle name="Normal 10 2 2 4 2 2 2 2 6" xfId="7357" xr:uid="{63B5F2D2-8ED0-4694-9F6F-756999E981E5}"/>
    <cellStyle name="Normal 10 2 2 4 2 2 2 3" xfId="7358" xr:uid="{71F8E74B-9E15-4F71-9C36-238F238BCABA}"/>
    <cellStyle name="Normal 10 2 2 4 2 2 2 3 2" xfId="7359" xr:uid="{42F9FEC6-C0C4-42B6-99CC-8021BD490444}"/>
    <cellStyle name="Normal 10 2 2 4 2 2 2 3 2 2" xfId="7360" xr:uid="{9CDCFBF0-AAAC-402A-81C1-B0E9ECCC74F6}"/>
    <cellStyle name="Normal 10 2 2 4 2 2 2 3 2 2 2" xfId="7361" xr:uid="{2007CB07-383E-4F06-B605-BF98DBA176BA}"/>
    <cellStyle name="Normal 10 2 2 4 2 2 2 3 2 2 2 2" xfId="7362" xr:uid="{E75C0464-1987-4D9E-8948-01318A040C96}"/>
    <cellStyle name="Normal 10 2 2 4 2 2 2 3 2 2 3" xfId="7363" xr:uid="{D9C1D74C-C0BF-4787-8A21-4EEDC7EFDB2B}"/>
    <cellStyle name="Normal 10 2 2 4 2 2 2 3 2 3" xfId="7364" xr:uid="{E4781EDE-97F1-476D-9A85-C185F3B99438}"/>
    <cellStyle name="Normal 10 2 2 4 2 2 2 3 2 3 2" xfId="7365" xr:uid="{BEBDEEC8-AC61-4F15-B9C2-5754294EE148}"/>
    <cellStyle name="Normal 10 2 2 4 2 2 2 3 2 4" xfId="7366" xr:uid="{8B62ACE6-7561-4FBA-ABB0-71FBFA81ACC2}"/>
    <cellStyle name="Normal 10 2 2 4 2 2 2 3 3" xfId="7367" xr:uid="{47433CF5-4EF2-47EC-86E3-70B96A662B6F}"/>
    <cellStyle name="Normal 10 2 2 4 2 2 2 3 3 2" xfId="7368" xr:uid="{F467A123-C566-4965-92D4-2944ACF09518}"/>
    <cellStyle name="Normal 10 2 2 4 2 2 2 3 3 2 2" xfId="7369" xr:uid="{4453FDEC-AC35-4823-A340-6C2EEED12C39}"/>
    <cellStyle name="Normal 10 2 2 4 2 2 2 3 3 3" xfId="7370" xr:uid="{4EEDB90E-A0C8-45F3-8B9C-FB63C462A840}"/>
    <cellStyle name="Normal 10 2 2 4 2 2 2 3 4" xfId="7371" xr:uid="{DDE9F978-10B2-4AB4-A000-5735A8260633}"/>
    <cellStyle name="Normal 10 2 2 4 2 2 2 3 4 2" xfId="7372" xr:uid="{E6580A0A-5EDC-424B-9795-B9665ACA214D}"/>
    <cellStyle name="Normal 10 2 2 4 2 2 2 3 5" xfId="7373" xr:uid="{6B36382A-ED39-499F-BAE0-50034EE7C63C}"/>
    <cellStyle name="Normal 10 2 2 4 2 2 2 4" xfId="7374" xr:uid="{39E1F463-D34D-403B-B576-08CD7D17D6BA}"/>
    <cellStyle name="Normal 10 2 2 4 2 2 2 4 2" xfId="7375" xr:uid="{361676DD-D7D5-4A07-A5C8-05DDEEEC698F}"/>
    <cellStyle name="Normal 10 2 2 4 2 2 2 4 2 2" xfId="7376" xr:uid="{B30CE9F5-4647-4F69-A10E-E86A8DFFBA63}"/>
    <cellStyle name="Normal 10 2 2 4 2 2 2 4 2 2 2" xfId="7377" xr:uid="{0EC1D181-49EF-430F-8F0F-6FC2AA302AB9}"/>
    <cellStyle name="Normal 10 2 2 4 2 2 2 4 2 3" xfId="7378" xr:uid="{95AB2ADE-4E20-472A-A334-D4B53796D1B5}"/>
    <cellStyle name="Normal 10 2 2 4 2 2 2 4 3" xfId="7379" xr:uid="{E266F8D3-9B0E-4BEB-B3CA-9D6BE0F8C237}"/>
    <cellStyle name="Normal 10 2 2 4 2 2 2 4 3 2" xfId="7380" xr:uid="{1DFE5275-BAFB-49AD-A648-27ED050F8001}"/>
    <cellStyle name="Normal 10 2 2 4 2 2 2 4 4" xfId="7381" xr:uid="{21644F3C-B6D8-4C0D-8704-966FB8881D0F}"/>
    <cellStyle name="Normal 10 2 2 4 2 2 2 5" xfId="7382" xr:uid="{94E0D473-70BB-4B4A-9BFE-8CAB12FC991E}"/>
    <cellStyle name="Normal 10 2 2 4 2 2 2 5 2" xfId="7383" xr:uid="{5485315C-D07F-4C73-A086-29D1B2173B0D}"/>
    <cellStyle name="Normal 10 2 2 4 2 2 2 5 2 2" xfId="7384" xr:uid="{EF2FD6FA-F9F8-47A1-96F5-3C03B92B6866}"/>
    <cellStyle name="Normal 10 2 2 4 2 2 2 5 3" xfId="7385" xr:uid="{2FB23228-4E61-4C4C-B2AA-A7534CED68A6}"/>
    <cellStyle name="Normal 10 2 2 4 2 2 2 6" xfId="7386" xr:uid="{8CCE207D-8001-482A-BDAD-6A5E861E661E}"/>
    <cellStyle name="Normal 10 2 2 4 2 2 2 6 2" xfId="7387" xr:uid="{9C7D4C33-28AF-4ACF-BB90-A731DE092620}"/>
    <cellStyle name="Normal 10 2 2 4 2 2 2 7" xfId="7388" xr:uid="{B893F62D-CEDB-42E6-A29E-FF36E7BF7199}"/>
    <cellStyle name="Normal 10 2 2 4 2 2 3" xfId="7389" xr:uid="{D55B8B50-6631-4B85-91CA-711C21951137}"/>
    <cellStyle name="Normal 10 2 2 4 2 2 3 2" xfId="7390" xr:uid="{1D976D51-F04C-46DF-9704-84BEB6A77466}"/>
    <cellStyle name="Normal 10 2 2 4 2 2 3 2 2" xfId="7391" xr:uid="{C90489A1-811B-46B4-A45D-A69D1D08F138}"/>
    <cellStyle name="Normal 10 2 2 4 2 2 3 2 2 2" xfId="7392" xr:uid="{9B31509E-10A5-4C3D-821B-A78A81DA6F9F}"/>
    <cellStyle name="Normal 10 2 2 4 2 2 3 2 2 2 2" xfId="7393" xr:uid="{2156E76B-8906-4B8B-90BD-284C7605FB4C}"/>
    <cellStyle name="Normal 10 2 2 4 2 2 3 2 2 2 2 2" xfId="7394" xr:uid="{DF8376C3-8C16-4DEB-B054-D7CA7B3C53E1}"/>
    <cellStyle name="Normal 10 2 2 4 2 2 3 2 2 2 3" xfId="7395" xr:uid="{ED768C5F-403A-4F1E-B4AD-EA4566324512}"/>
    <cellStyle name="Normal 10 2 2 4 2 2 3 2 2 3" xfId="7396" xr:uid="{C107934A-706D-4C38-87AD-E696F14118A8}"/>
    <cellStyle name="Normal 10 2 2 4 2 2 3 2 2 3 2" xfId="7397" xr:uid="{578C8596-2D30-4852-BF15-F0EAEFFB062D}"/>
    <cellStyle name="Normal 10 2 2 4 2 2 3 2 2 4" xfId="7398" xr:uid="{ECD17064-C8CE-43FA-B447-DA3173B946EB}"/>
    <cellStyle name="Normal 10 2 2 4 2 2 3 2 3" xfId="7399" xr:uid="{68760FEE-66A8-4D5F-A190-70A2B5296605}"/>
    <cellStyle name="Normal 10 2 2 4 2 2 3 2 3 2" xfId="7400" xr:uid="{5CEDE72E-388C-42CF-B24D-06E8297CDF3F}"/>
    <cellStyle name="Normal 10 2 2 4 2 2 3 2 3 2 2" xfId="7401" xr:uid="{23D17286-92E8-4E18-ACA0-01CDFED2D27D}"/>
    <cellStyle name="Normal 10 2 2 4 2 2 3 2 3 3" xfId="7402" xr:uid="{113DBB9B-806A-4F67-9396-D62431225403}"/>
    <cellStyle name="Normal 10 2 2 4 2 2 3 2 4" xfId="7403" xr:uid="{9082AEED-6840-4BDE-88A5-24C7F6F695DF}"/>
    <cellStyle name="Normal 10 2 2 4 2 2 3 2 4 2" xfId="7404" xr:uid="{E261C7EC-D827-417F-A3DD-0459656E5658}"/>
    <cellStyle name="Normal 10 2 2 4 2 2 3 2 5" xfId="7405" xr:uid="{BEA4CFB8-30EC-4FFF-AF7E-D4FC923FC292}"/>
    <cellStyle name="Normal 10 2 2 4 2 2 3 3" xfId="7406" xr:uid="{9FB10EE8-9936-445B-9D3A-B5805F8AC577}"/>
    <cellStyle name="Normal 10 2 2 4 2 2 3 3 2" xfId="7407" xr:uid="{E98D9589-4CCA-4630-B9B7-EDF48D8B5131}"/>
    <cellStyle name="Normal 10 2 2 4 2 2 3 3 2 2" xfId="7408" xr:uid="{2549F84E-4B7D-43F3-B5DA-AE5E6339BF3C}"/>
    <cellStyle name="Normal 10 2 2 4 2 2 3 3 2 2 2" xfId="7409" xr:uid="{2DEAD1C0-9B39-4ACB-8C93-978BE305C1AB}"/>
    <cellStyle name="Normal 10 2 2 4 2 2 3 3 2 3" xfId="7410" xr:uid="{AC636016-570C-4783-AAC7-F00AD9CA5EA2}"/>
    <cellStyle name="Normal 10 2 2 4 2 2 3 3 3" xfId="7411" xr:uid="{FA1B48EF-EE8B-4718-88F1-B9AAF8B08635}"/>
    <cellStyle name="Normal 10 2 2 4 2 2 3 3 3 2" xfId="7412" xr:uid="{1CC2FB92-A198-421D-8E1B-C29F08FB53D6}"/>
    <cellStyle name="Normal 10 2 2 4 2 2 3 3 4" xfId="7413" xr:uid="{1524909A-D4C5-449B-9080-40B789D58027}"/>
    <cellStyle name="Normal 10 2 2 4 2 2 3 4" xfId="7414" xr:uid="{AAACE943-44ED-4932-AACB-41359F3A60EC}"/>
    <cellStyle name="Normal 10 2 2 4 2 2 3 4 2" xfId="7415" xr:uid="{B2FDAE3C-98E9-43CD-AB3F-D203D33FB6CB}"/>
    <cellStyle name="Normal 10 2 2 4 2 2 3 4 2 2" xfId="7416" xr:uid="{58D02823-1016-4294-AF0A-99FF967AA793}"/>
    <cellStyle name="Normal 10 2 2 4 2 2 3 4 3" xfId="7417" xr:uid="{4170AE32-D86D-440B-95B5-815F34DB05B6}"/>
    <cellStyle name="Normal 10 2 2 4 2 2 3 5" xfId="7418" xr:uid="{9B1F0149-4A65-4DDE-B037-59BE52ECF1E8}"/>
    <cellStyle name="Normal 10 2 2 4 2 2 3 5 2" xfId="7419" xr:uid="{0E4195C0-E11A-428C-9C81-0EA7F29BC602}"/>
    <cellStyle name="Normal 10 2 2 4 2 2 3 6" xfId="7420" xr:uid="{C13BEA6B-CD90-4167-BBA3-743150F13CD5}"/>
    <cellStyle name="Normal 10 2 2 4 2 2 4" xfId="7421" xr:uid="{2E330C96-134E-44CB-AB37-9E87BA869602}"/>
    <cellStyle name="Normal 10 2 2 4 2 2 4 2" xfId="7422" xr:uid="{1C3D6BB2-73B6-4FA8-AA81-C8D901E09AB4}"/>
    <cellStyle name="Normal 10 2 2 4 2 2 4 2 2" xfId="7423" xr:uid="{94F46FAC-BA2E-450C-8A07-85D1084A5F2A}"/>
    <cellStyle name="Normal 10 2 2 4 2 2 4 2 2 2" xfId="7424" xr:uid="{71000F25-4DD2-480F-BA5D-79B4A53303D8}"/>
    <cellStyle name="Normal 10 2 2 4 2 2 4 2 2 2 2" xfId="7425" xr:uid="{81881823-B902-41DE-890C-EFB9C54B0A23}"/>
    <cellStyle name="Normal 10 2 2 4 2 2 4 2 2 3" xfId="7426" xr:uid="{80626796-A53B-439A-8BA5-CBC919AF57D9}"/>
    <cellStyle name="Normal 10 2 2 4 2 2 4 2 3" xfId="7427" xr:uid="{4D6BE60F-B662-43E0-A4E9-C7086E762AD4}"/>
    <cellStyle name="Normal 10 2 2 4 2 2 4 2 3 2" xfId="7428" xr:uid="{95652275-B403-4FC8-83AB-DFA9E747A7B5}"/>
    <cellStyle name="Normal 10 2 2 4 2 2 4 2 4" xfId="7429" xr:uid="{F632A07A-1F58-4747-9330-98BBE244A71B}"/>
    <cellStyle name="Normal 10 2 2 4 2 2 4 3" xfId="7430" xr:uid="{9CD14CDC-7FB4-4198-BB65-FF64DD15FFB3}"/>
    <cellStyle name="Normal 10 2 2 4 2 2 4 3 2" xfId="7431" xr:uid="{473C653E-5951-4360-A085-CEE88B8D94B4}"/>
    <cellStyle name="Normal 10 2 2 4 2 2 4 3 2 2" xfId="7432" xr:uid="{E4204CF2-5FA3-4694-8BC5-21CE48199DFD}"/>
    <cellStyle name="Normal 10 2 2 4 2 2 4 3 3" xfId="7433" xr:uid="{B08A9946-11B2-4754-8B59-2F1C90A42CDC}"/>
    <cellStyle name="Normal 10 2 2 4 2 2 4 4" xfId="7434" xr:uid="{20C88102-8578-470A-AD4A-CC927C1387DC}"/>
    <cellStyle name="Normal 10 2 2 4 2 2 4 4 2" xfId="7435" xr:uid="{0EBB49BB-75A1-45D2-B09B-D54867371A56}"/>
    <cellStyle name="Normal 10 2 2 4 2 2 4 5" xfId="7436" xr:uid="{C61BEB98-B0B8-4EB1-A17D-49DDCE2A0BC5}"/>
    <cellStyle name="Normal 10 2 2 4 2 2 5" xfId="7437" xr:uid="{AA876192-C5C5-490B-8344-262758B51E87}"/>
    <cellStyle name="Normal 10 2 2 4 2 2 5 2" xfId="7438" xr:uid="{AA21BAAA-8B9D-49EB-A7A4-E3876C1E4A44}"/>
    <cellStyle name="Normal 10 2 2 4 2 2 5 2 2" xfId="7439" xr:uid="{05489823-E163-4F03-BD6A-0A251675F29B}"/>
    <cellStyle name="Normal 10 2 2 4 2 2 5 2 2 2" xfId="7440" xr:uid="{45C478EA-4922-4E50-BBBF-E40BB6215D92}"/>
    <cellStyle name="Normal 10 2 2 4 2 2 5 2 3" xfId="7441" xr:uid="{078CAFC8-9E26-416A-85D5-C2828B0F4BE3}"/>
    <cellStyle name="Normal 10 2 2 4 2 2 5 3" xfId="7442" xr:uid="{F6277EA9-0A48-4FEF-A578-9137E38F815E}"/>
    <cellStyle name="Normal 10 2 2 4 2 2 5 3 2" xfId="7443" xr:uid="{90196F89-DDB9-46CE-8ACD-026D251C456F}"/>
    <cellStyle name="Normal 10 2 2 4 2 2 5 4" xfId="7444" xr:uid="{F76474FF-1184-4EE8-BB73-3CAA8664497F}"/>
    <cellStyle name="Normal 10 2 2 4 2 2 6" xfId="7445" xr:uid="{353D5BE7-A496-438C-AAA4-E361663981EF}"/>
    <cellStyle name="Normal 10 2 2 4 2 2 6 2" xfId="7446" xr:uid="{8B7BFB35-3BA7-4493-B286-1BCCEAB6E9BC}"/>
    <cellStyle name="Normal 10 2 2 4 2 2 6 2 2" xfId="7447" xr:uid="{CA809D8C-E56F-4531-B977-E61D7FFA8B46}"/>
    <cellStyle name="Normal 10 2 2 4 2 2 6 3" xfId="7448" xr:uid="{808987DC-DA02-4E62-B475-C4F60F0E757B}"/>
    <cellStyle name="Normal 10 2 2 4 2 2 7" xfId="7449" xr:uid="{6FD2347C-E47A-4847-B3DA-95476347BCB6}"/>
    <cellStyle name="Normal 10 2 2 4 2 2 7 2" xfId="7450" xr:uid="{A02E6311-BF78-4BC9-A10B-B7592928A82C}"/>
    <cellStyle name="Normal 10 2 2 4 2 2 8" xfId="7451" xr:uid="{0B849A95-A01D-41A4-B175-8CEE292FD31C}"/>
    <cellStyle name="Normal 10 2 2 4 2 3" xfId="7452" xr:uid="{2AAFB825-551E-42AC-AA04-9A0AE4676686}"/>
    <cellStyle name="Normal 10 2 2 4 2 3 2" xfId="7453" xr:uid="{83BF1268-8AD2-480A-9DA0-740423EF3ABD}"/>
    <cellStyle name="Normal 10 2 2 4 2 3 2 2" xfId="7454" xr:uid="{1491C43D-3935-4657-A272-60361E3B8D6D}"/>
    <cellStyle name="Normal 10 2 2 4 2 3 2 2 2" xfId="7455" xr:uid="{E2643937-1866-4876-B560-7F998CD47BC7}"/>
    <cellStyle name="Normal 10 2 2 4 2 3 2 2 2 2" xfId="7456" xr:uid="{B6867C7B-4E81-40B9-B5E3-02F29FCB52F8}"/>
    <cellStyle name="Normal 10 2 2 4 2 3 2 2 2 2 2" xfId="7457" xr:uid="{D4C03BD6-281C-4E97-B32D-65D1A76A874F}"/>
    <cellStyle name="Normal 10 2 2 4 2 3 2 2 2 2 2 2" xfId="7458" xr:uid="{E9DD656C-078C-4684-87EB-0766124CF889}"/>
    <cellStyle name="Normal 10 2 2 4 2 3 2 2 2 2 3" xfId="7459" xr:uid="{54A4C3F7-58AF-4A7E-8981-2E2449DB0EFB}"/>
    <cellStyle name="Normal 10 2 2 4 2 3 2 2 2 3" xfId="7460" xr:uid="{6D3DFBED-5E93-498B-AD3B-1E1F5E9A2038}"/>
    <cellStyle name="Normal 10 2 2 4 2 3 2 2 2 3 2" xfId="7461" xr:uid="{F74BB283-1E79-490D-8064-FDD9E4C4F168}"/>
    <cellStyle name="Normal 10 2 2 4 2 3 2 2 2 4" xfId="7462" xr:uid="{C3F592EE-C4C0-4C7A-84B1-DE58D408EDCE}"/>
    <cellStyle name="Normal 10 2 2 4 2 3 2 2 3" xfId="7463" xr:uid="{D7A3A4BB-47A9-48E5-BF4F-38275546B878}"/>
    <cellStyle name="Normal 10 2 2 4 2 3 2 2 3 2" xfId="7464" xr:uid="{1086FB67-4E3F-4EBC-AFF6-92058989F934}"/>
    <cellStyle name="Normal 10 2 2 4 2 3 2 2 3 2 2" xfId="7465" xr:uid="{6A8B3088-E789-45FE-8D67-0D862AF2BB3B}"/>
    <cellStyle name="Normal 10 2 2 4 2 3 2 2 3 3" xfId="7466" xr:uid="{6C2356A9-8764-4592-9885-0653ADC819FB}"/>
    <cellStyle name="Normal 10 2 2 4 2 3 2 2 4" xfId="7467" xr:uid="{D57585DB-C68B-46B9-AF96-EA7B5955AC0D}"/>
    <cellStyle name="Normal 10 2 2 4 2 3 2 2 4 2" xfId="7468" xr:uid="{6C84A188-D1E8-4F6C-8F74-9DDC4E82E38A}"/>
    <cellStyle name="Normal 10 2 2 4 2 3 2 2 5" xfId="7469" xr:uid="{C023DCD0-0183-437E-A3B2-98D9AEDBAA19}"/>
    <cellStyle name="Normal 10 2 2 4 2 3 2 3" xfId="7470" xr:uid="{788123FA-14FD-430C-B3E2-AD1991D75C58}"/>
    <cellStyle name="Normal 10 2 2 4 2 3 2 3 2" xfId="7471" xr:uid="{A3D3B14A-7306-42DD-90A1-0FA21FB8BC5A}"/>
    <cellStyle name="Normal 10 2 2 4 2 3 2 3 2 2" xfId="7472" xr:uid="{3452D4EF-408F-4B4A-9F36-D4E82FD81770}"/>
    <cellStyle name="Normal 10 2 2 4 2 3 2 3 2 2 2" xfId="7473" xr:uid="{E1F0C1BF-B954-4EBE-A8B1-6B103A25375B}"/>
    <cellStyle name="Normal 10 2 2 4 2 3 2 3 2 3" xfId="7474" xr:uid="{2E6EF267-462F-4377-B1C7-68F407B45243}"/>
    <cellStyle name="Normal 10 2 2 4 2 3 2 3 3" xfId="7475" xr:uid="{D6C9307F-AB1A-400F-9001-F0AC768E25B4}"/>
    <cellStyle name="Normal 10 2 2 4 2 3 2 3 3 2" xfId="7476" xr:uid="{2C4CD617-965E-4567-85CD-6C448915A7E4}"/>
    <cellStyle name="Normal 10 2 2 4 2 3 2 3 4" xfId="7477" xr:uid="{B2EFCD2C-B6BC-4C27-92D4-EAE5A32EC5C2}"/>
    <cellStyle name="Normal 10 2 2 4 2 3 2 4" xfId="7478" xr:uid="{1DEFAB80-B5AA-454E-BE8F-920D97B97FCD}"/>
    <cellStyle name="Normal 10 2 2 4 2 3 2 4 2" xfId="7479" xr:uid="{966B2D22-ED93-4182-A766-0E28FBB5C12D}"/>
    <cellStyle name="Normal 10 2 2 4 2 3 2 4 2 2" xfId="7480" xr:uid="{FB7E72D6-222C-4596-881C-D6808132ACA3}"/>
    <cellStyle name="Normal 10 2 2 4 2 3 2 4 3" xfId="7481" xr:uid="{37A5B36D-0727-4942-A5B4-75965E8415EF}"/>
    <cellStyle name="Normal 10 2 2 4 2 3 2 5" xfId="7482" xr:uid="{FB7023D4-37C9-4F9B-9CE1-929F88494068}"/>
    <cellStyle name="Normal 10 2 2 4 2 3 2 5 2" xfId="7483" xr:uid="{4E099F2B-0623-412C-BEED-AF16EC786DFB}"/>
    <cellStyle name="Normal 10 2 2 4 2 3 2 6" xfId="7484" xr:uid="{DA72E004-A82E-4FA8-B663-72C639226CD2}"/>
    <cellStyle name="Normal 10 2 2 4 2 3 3" xfId="7485" xr:uid="{620511A7-54E9-42D6-A344-0E351C1DA2D9}"/>
    <cellStyle name="Normal 10 2 2 4 2 3 3 2" xfId="7486" xr:uid="{BE5FC751-1F64-48B2-9058-9F8C04D258D4}"/>
    <cellStyle name="Normal 10 2 2 4 2 3 3 2 2" xfId="7487" xr:uid="{C78C206A-2A02-41CA-B570-A7D569843A93}"/>
    <cellStyle name="Normal 10 2 2 4 2 3 3 2 2 2" xfId="7488" xr:uid="{999AF3CB-E8AE-4FD2-9B23-74BDCFBA874E}"/>
    <cellStyle name="Normal 10 2 2 4 2 3 3 2 2 2 2" xfId="7489" xr:uid="{B5EFD524-D5FA-4DC4-A360-819F1CC5D8BC}"/>
    <cellStyle name="Normal 10 2 2 4 2 3 3 2 2 3" xfId="7490" xr:uid="{54BAEBE0-C865-4924-9C4D-9B297B6E57F5}"/>
    <cellStyle name="Normal 10 2 2 4 2 3 3 2 3" xfId="7491" xr:uid="{2ECD0905-1E42-468F-918C-4182BE10DA9B}"/>
    <cellStyle name="Normal 10 2 2 4 2 3 3 2 3 2" xfId="7492" xr:uid="{95937907-15E2-4AE6-8B7A-F8F141C7DA3E}"/>
    <cellStyle name="Normal 10 2 2 4 2 3 3 2 4" xfId="7493" xr:uid="{D15F95C7-3437-462B-BFFF-4B8B3E45F714}"/>
    <cellStyle name="Normal 10 2 2 4 2 3 3 3" xfId="7494" xr:uid="{26995295-F157-4956-8DB4-744BE99E43C0}"/>
    <cellStyle name="Normal 10 2 2 4 2 3 3 3 2" xfId="7495" xr:uid="{605138DE-8C04-426A-9912-A780AC03AA7F}"/>
    <cellStyle name="Normal 10 2 2 4 2 3 3 3 2 2" xfId="7496" xr:uid="{E8FA41C7-301C-44ED-A2F8-CF0037D331BE}"/>
    <cellStyle name="Normal 10 2 2 4 2 3 3 3 3" xfId="7497" xr:uid="{386F1478-D6EF-4F84-8052-17D3FAA97216}"/>
    <cellStyle name="Normal 10 2 2 4 2 3 3 4" xfId="7498" xr:uid="{C0C135C4-D686-479B-9EDC-F75E113B4485}"/>
    <cellStyle name="Normal 10 2 2 4 2 3 3 4 2" xfId="7499" xr:uid="{223FDC20-5CAC-4064-BD7A-142630AE4CC0}"/>
    <cellStyle name="Normal 10 2 2 4 2 3 3 5" xfId="7500" xr:uid="{9D066E4B-4900-4BD8-BB08-DD44D1DBF751}"/>
    <cellStyle name="Normal 10 2 2 4 2 3 4" xfId="7501" xr:uid="{C2A0940D-D07F-464C-BBB1-DDFFFC8C4EA3}"/>
    <cellStyle name="Normal 10 2 2 4 2 3 4 2" xfId="7502" xr:uid="{33A1BB21-52F6-4335-AE3B-E235292F5DFB}"/>
    <cellStyle name="Normal 10 2 2 4 2 3 4 2 2" xfId="7503" xr:uid="{28E811CC-FC5A-4B44-BB9A-11C4D7B90868}"/>
    <cellStyle name="Normal 10 2 2 4 2 3 4 2 2 2" xfId="7504" xr:uid="{257AD9F7-4C56-4B02-AC48-B4C532124159}"/>
    <cellStyle name="Normal 10 2 2 4 2 3 4 2 3" xfId="7505" xr:uid="{9B356FCA-E4B3-45C0-B305-5E78BD81A6B2}"/>
    <cellStyle name="Normal 10 2 2 4 2 3 4 3" xfId="7506" xr:uid="{2DC849D7-FF4C-42AC-90F4-8AEC4733FDA2}"/>
    <cellStyle name="Normal 10 2 2 4 2 3 4 3 2" xfId="7507" xr:uid="{ACAD1AC8-38DA-4F38-9AA5-722BF0A93EF5}"/>
    <cellStyle name="Normal 10 2 2 4 2 3 4 4" xfId="7508" xr:uid="{C5DE70FB-1807-47D3-9D42-035A02A2E5F9}"/>
    <cellStyle name="Normal 10 2 2 4 2 3 5" xfId="7509" xr:uid="{2C4B0D32-BFDE-4638-8226-E8BFBDBDCF41}"/>
    <cellStyle name="Normal 10 2 2 4 2 3 5 2" xfId="7510" xr:uid="{77160AF1-0DF6-41B6-AD64-C53F404439C8}"/>
    <cellStyle name="Normal 10 2 2 4 2 3 5 2 2" xfId="7511" xr:uid="{527F132F-E6FD-4657-BDC4-A645F1F50FF3}"/>
    <cellStyle name="Normal 10 2 2 4 2 3 5 3" xfId="7512" xr:uid="{E3E52906-254C-4509-9042-76F15CDB9403}"/>
    <cellStyle name="Normal 10 2 2 4 2 3 6" xfId="7513" xr:uid="{E8A8DE3A-B6B4-480A-95B6-3356F9A2A585}"/>
    <cellStyle name="Normal 10 2 2 4 2 3 6 2" xfId="7514" xr:uid="{530C92F2-DA20-4EAB-B200-55660FC4FB7D}"/>
    <cellStyle name="Normal 10 2 2 4 2 3 7" xfId="7515" xr:uid="{2DEFC53A-894C-4DAD-A87C-FBC23D27FE47}"/>
    <cellStyle name="Normal 10 2 2 4 2 4" xfId="7516" xr:uid="{779F077C-42F9-4D44-A3B4-34AC64EF44D5}"/>
    <cellStyle name="Normal 10 2 2 4 2 4 2" xfId="7517" xr:uid="{F99252C0-1321-47AB-958C-5A0DBA141308}"/>
    <cellStyle name="Normal 10 2 2 4 2 4 2 2" xfId="7518" xr:uid="{89AC1FFA-AA85-471B-8C61-52562BE5B07D}"/>
    <cellStyle name="Normal 10 2 2 4 2 4 2 2 2" xfId="7519" xr:uid="{67ABC9EE-2D9C-443B-ABCD-CA9E9465F7D5}"/>
    <cellStyle name="Normal 10 2 2 4 2 4 2 2 2 2" xfId="7520" xr:uid="{7883FE16-0C09-4F40-B1FD-27D9CF486AB3}"/>
    <cellStyle name="Normal 10 2 2 4 2 4 2 2 2 2 2" xfId="7521" xr:uid="{36402652-464B-4FD4-B3D1-A314B91D0DDD}"/>
    <cellStyle name="Normal 10 2 2 4 2 4 2 2 2 3" xfId="7522" xr:uid="{2FFA1C04-693A-44D5-B2C6-DF4EAA574786}"/>
    <cellStyle name="Normal 10 2 2 4 2 4 2 2 3" xfId="7523" xr:uid="{321DADD1-5FCF-42C1-8023-B53D93EE4E23}"/>
    <cellStyle name="Normal 10 2 2 4 2 4 2 2 3 2" xfId="7524" xr:uid="{66756D21-9F29-4F76-8CCB-9106C514FEE6}"/>
    <cellStyle name="Normal 10 2 2 4 2 4 2 2 4" xfId="7525" xr:uid="{103DE94E-1FF7-4365-9336-BD3F17D1F6E5}"/>
    <cellStyle name="Normal 10 2 2 4 2 4 2 3" xfId="7526" xr:uid="{D68F2F85-AE50-4849-AE06-6A4A518EA9C7}"/>
    <cellStyle name="Normal 10 2 2 4 2 4 2 3 2" xfId="7527" xr:uid="{24BEE4C9-CE66-45D6-B5EE-C7F752770178}"/>
    <cellStyle name="Normal 10 2 2 4 2 4 2 3 2 2" xfId="7528" xr:uid="{B9F8D203-1A29-4D77-9E61-00938F6C60EC}"/>
    <cellStyle name="Normal 10 2 2 4 2 4 2 3 3" xfId="7529" xr:uid="{6625D79B-5FCA-4122-8923-F020DF5DBB6E}"/>
    <cellStyle name="Normal 10 2 2 4 2 4 2 4" xfId="7530" xr:uid="{74F9320B-0944-42AF-8B31-CE2088EB95A6}"/>
    <cellStyle name="Normal 10 2 2 4 2 4 2 4 2" xfId="7531" xr:uid="{4628C399-3E5F-49D5-B98C-4EC59355990F}"/>
    <cellStyle name="Normal 10 2 2 4 2 4 2 5" xfId="7532" xr:uid="{237D0AE2-98FF-4A6E-89C1-608384605B14}"/>
    <cellStyle name="Normal 10 2 2 4 2 4 3" xfId="7533" xr:uid="{939BD8C7-BCD7-48EF-9439-FAD4EF917CEA}"/>
    <cellStyle name="Normal 10 2 2 4 2 4 3 2" xfId="7534" xr:uid="{05BB71FF-1CAC-446B-ADD0-9D962B9EC49F}"/>
    <cellStyle name="Normal 10 2 2 4 2 4 3 2 2" xfId="7535" xr:uid="{665EAD83-4317-41B6-9D6D-FAFB7EF52C45}"/>
    <cellStyle name="Normal 10 2 2 4 2 4 3 2 2 2" xfId="7536" xr:uid="{2D568249-9303-41C2-8A78-87A47A64E4D4}"/>
    <cellStyle name="Normal 10 2 2 4 2 4 3 2 3" xfId="7537" xr:uid="{74ECBB8A-DFBB-4C7C-B51B-42B5BC0807AF}"/>
    <cellStyle name="Normal 10 2 2 4 2 4 3 3" xfId="7538" xr:uid="{4F4F4969-F4FA-4244-A49C-3A1F74726D1E}"/>
    <cellStyle name="Normal 10 2 2 4 2 4 3 3 2" xfId="7539" xr:uid="{05445921-397D-46E9-A065-37368885763C}"/>
    <cellStyle name="Normal 10 2 2 4 2 4 3 4" xfId="7540" xr:uid="{CEF8220B-E888-4864-8540-C73C95CC3293}"/>
    <cellStyle name="Normal 10 2 2 4 2 4 4" xfId="7541" xr:uid="{9E990966-93B8-4E88-8395-F69A3418E2D4}"/>
    <cellStyle name="Normal 10 2 2 4 2 4 4 2" xfId="7542" xr:uid="{C6970AFB-B8A9-406E-92E4-A2533111FFC9}"/>
    <cellStyle name="Normal 10 2 2 4 2 4 4 2 2" xfId="7543" xr:uid="{420DC91C-BC51-470C-8FA0-BF3AED54D7C4}"/>
    <cellStyle name="Normal 10 2 2 4 2 4 4 3" xfId="7544" xr:uid="{4E654D64-A336-44A9-875B-048F5FF6C30D}"/>
    <cellStyle name="Normal 10 2 2 4 2 4 5" xfId="7545" xr:uid="{EB9AD11D-F95F-4C66-9157-D262D06F565A}"/>
    <cellStyle name="Normal 10 2 2 4 2 4 5 2" xfId="7546" xr:uid="{5A4B000E-E987-48E9-AC3B-6C7F86103BD5}"/>
    <cellStyle name="Normal 10 2 2 4 2 4 6" xfId="7547" xr:uid="{EFE5830D-162F-437C-AA2A-2137EE86127F}"/>
    <cellStyle name="Normal 10 2 2 4 2 5" xfId="7548" xr:uid="{78D229FA-569E-437A-AC3C-BF5C097350DA}"/>
    <cellStyle name="Normal 10 2 2 4 2 5 2" xfId="7549" xr:uid="{C02C6443-1144-4AA2-9159-FD4A88A18A61}"/>
    <cellStyle name="Normal 10 2 2 4 2 5 2 2" xfId="7550" xr:uid="{EA28FBA6-8178-48AB-81FE-33C2EFE28479}"/>
    <cellStyle name="Normal 10 2 2 4 2 5 2 2 2" xfId="7551" xr:uid="{A504D2C3-05FE-41AA-91E2-567BC649A8DC}"/>
    <cellStyle name="Normal 10 2 2 4 2 5 2 2 2 2" xfId="7552" xr:uid="{C62CC887-E860-467B-A367-331CE3167C6D}"/>
    <cellStyle name="Normal 10 2 2 4 2 5 2 2 3" xfId="7553" xr:uid="{9CEF312E-7DF8-4935-BBC9-15C7B361EAEF}"/>
    <cellStyle name="Normal 10 2 2 4 2 5 2 3" xfId="7554" xr:uid="{20179E21-9130-4F62-BFB9-B5F0FCC47DB4}"/>
    <cellStyle name="Normal 10 2 2 4 2 5 2 3 2" xfId="7555" xr:uid="{9B1180E4-3D56-436E-8D64-E91F676DF850}"/>
    <cellStyle name="Normal 10 2 2 4 2 5 2 4" xfId="7556" xr:uid="{FF134D2D-B346-4FFF-860C-6226565DFC29}"/>
    <cellStyle name="Normal 10 2 2 4 2 5 3" xfId="7557" xr:uid="{BF4DC299-46E7-409A-9D42-147F069CD560}"/>
    <cellStyle name="Normal 10 2 2 4 2 5 3 2" xfId="7558" xr:uid="{AAB947BE-E440-470E-8573-76E85E6D5B6E}"/>
    <cellStyle name="Normal 10 2 2 4 2 5 3 2 2" xfId="7559" xr:uid="{95D94555-6B6E-4F1C-89F9-225F7DCACBB1}"/>
    <cellStyle name="Normal 10 2 2 4 2 5 3 3" xfId="7560" xr:uid="{AD25990B-AEC4-4CDD-AA63-C6BAC4A7D197}"/>
    <cellStyle name="Normal 10 2 2 4 2 5 4" xfId="7561" xr:uid="{5249E77D-5CC0-4F71-8C3F-CD14D26A1DEB}"/>
    <cellStyle name="Normal 10 2 2 4 2 5 4 2" xfId="7562" xr:uid="{75858CC0-9FB7-49A8-98EC-95DC46504FAD}"/>
    <cellStyle name="Normal 10 2 2 4 2 5 5" xfId="7563" xr:uid="{DA60727F-F461-4729-985A-AED9890199C1}"/>
    <cellStyle name="Normal 10 2 2 4 2 6" xfId="7564" xr:uid="{87FB59CA-4954-44E0-A279-FEE28E767BE2}"/>
    <cellStyle name="Normal 10 2 2 4 2 6 2" xfId="7565" xr:uid="{B6B502A8-53A6-49A0-963A-E1AA0E71DC04}"/>
    <cellStyle name="Normal 10 2 2 4 2 6 2 2" xfId="7566" xr:uid="{AC73EAAB-2697-4BB1-B8AF-DAE4EDA6DA8A}"/>
    <cellStyle name="Normal 10 2 2 4 2 6 2 2 2" xfId="7567" xr:uid="{1199828A-C778-429E-AD1E-A86BCFA4D030}"/>
    <cellStyle name="Normal 10 2 2 4 2 6 2 3" xfId="7568" xr:uid="{CF768788-5996-42DC-A322-73A63BD06EFE}"/>
    <cellStyle name="Normal 10 2 2 4 2 6 3" xfId="7569" xr:uid="{2530F573-E187-464F-8E08-AFF132CA1DA0}"/>
    <cellStyle name="Normal 10 2 2 4 2 6 3 2" xfId="7570" xr:uid="{2E8874F3-F212-4A98-9210-5EA2B2710F16}"/>
    <cellStyle name="Normal 10 2 2 4 2 6 4" xfId="7571" xr:uid="{BC41A5FC-682F-4589-AC63-FEDDB045C112}"/>
    <cellStyle name="Normal 10 2 2 4 2 7" xfId="7572" xr:uid="{AE6522E6-1187-4405-B16B-34FAFD03BF6A}"/>
    <cellStyle name="Normal 10 2 2 4 2 7 2" xfId="7573" xr:uid="{A605CC62-2BE6-402D-AA68-1E731F25B9B8}"/>
    <cellStyle name="Normal 10 2 2 4 2 7 2 2" xfId="7574" xr:uid="{F776B755-1273-40A1-BF8D-207A1A2BDBE2}"/>
    <cellStyle name="Normal 10 2 2 4 2 7 3" xfId="7575" xr:uid="{488E4BAC-841B-44AC-8599-027B5A4B6810}"/>
    <cellStyle name="Normal 10 2 2 4 2 8" xfId="7576" xr:uid="{8BF483B6-CE53-4C5C-89F1-A14FA7AA46E4}"/>
    <cellStyle name="Normal 10 2 2 4 2 8 2" xfId="7577" xr:uid="{5070B7C0-C230-4445-A15F-11ABD551B58F}"/>
    <cellStyle name="Normal 10 2 2 4 2 9" xfId="7578" xr:uid="{063D6ADC-B6FA-4E0A-ABB1-6222160338EE}"/>
    <cellStyle name="Normal 10 2 2 4 3" xfId="473" xr:uid="{254A3028-7477-4B17-97F8-9348777D4C93}"/>
    <cellStyle name="Normal 10 2 2 4 3 2" xfId="7580" xr:uid="{7A82F2EB-EB97-4CB5-82B6-965A3DA0654A}"/>
    <cellStyle name="Normal 10 2 2 4 3 2 2" xfId="7581" xr:uid="{6276BA12-2C8F-4AF4-86D4-1FD9FE49A443}"/>
    <cellStyle name="Normal 10 2 2 4 3 2 2 2" xfId="7582" xr:uid="{76660755-976A-4814-AD18-3CEB39B6AC76}"/>
    <cellStyle name="Normal 10 2 2 4 3 2 2 2 2" xfId="7583" xr:uid="{B541B131-FFD1-489D-B354-E548A206C7B7}"/>
    <cellStyle name="Normal 10 2 2 4 3 2 2 2 2 2" xfId="7584" xr:uid="{8D95FE5F-50F4-406B-98E7-120F55F7C377}"/>
    <cellStyle name="Normal 10 2 2 4 3 2 2 2 2 2 2" xfId="7585" xr:uid="{B9BEBD45-88BF-46D5-B25C-65F879706DCF}"/>
    <cellStyle name="Normal 10 2 2 4 3 2 2 2 2 2 2 2" xfId="7586" xr:uid="{746BA025-4270-49B4-BAD8-1EEA03382473}"/>
    <cellStyle name="Normal 10 2 2 4 3 2 2 2 2 2 3" xfId="7587" xr:uid="{98A83EFD-2FA8-4ECE-B699-30FCD4A7AECE}"/>
    <cellStyle name="Normal 10 2 2 4 3 2 2 2 2 3" xfId="7588" xr:uid="{5B704725-ABD0-47D3-90CB-2633FA01045C}"/>
    <cellStyle name="Normal 10 2 2 4 3 2 2 2 2 3 2" xfId="7589" xr:uid="{B11C4A92-0292-461D-A9E4-A2425744C6BE}"/>
    <cellStyle name="Normal 10 2 2 4 3 2 2 2 2 4" xfId="7590" xr:uid="{F41217BC-5169-4E17-AA90-D7767FC3CCC8}"/>
    <cellStyle name="Normal 10 2 2 4 3 2 2 2 3" xfId="7591" xr:uid="{9C0C8048-B5F2-4B5B-871A-73BCBB4EE774}"/>
    <cellStyle name="Normal 10 2 2 4 3 2 2 2 3 2" xfId="7592" xr:uid="{1A112AC2-9416-4D4D-ACDE-764E19D5249D}"/>
    <cellStyle name="Normal 10 2 2 4 3 2 2 2 3 2 2" xfId="7593" xr:uid="{DAA14CE9-C456-496D-A59A-76241C78E9F3}"/>
    <cellStyle name="Normal 10 2 2 4 3 2 2 2 3 3" xfId="7594" xr:uid="{C23734D9-59C8-427D-9B55-087A759245A3}"/>
    <cellStyle name="Normal 10 2 2 4 3 2 2 2 4" xfId="7595" xr:uid="{22773D30-5643-4CA0-BE0B-B6B03E5F3042}"/>
    <cellStyle name="Normal 10 2 2 4 3 2 2 2 4 2" xfId="7596" xr:uid="{12830416-342C-404B-A951-C13744BFD4EE}"/>
    <cellStyle name="Normal 10 2 2 4 3 2 2 2 5" xfId="7597" xr:uid="{66F0D919-1E84-4021-AD4C-F2D98817132C}"/>
    <cellStyle name="Normal 10 2 2 4 3 2 2 3" xfId="7598" xr:uid="{CD0E89FD-DB8B-49F7-8352-4BF7E1E62439}"/>
    <cellStyle name="Normal 10 2 2 4 3 2 2 3 2" xfId="7599" xr:uid="{E8483197-2825-4E79-9FE8-5F8E0267FAEB}"/>
    <cellStyle name="Normal 10 2 2 4 3 2 2 3 2 2" xfId="7600" xr:uid="{609BFFCE-F93E-45F0-B640-13B5ECB5A18A}"/>
    <cellStyle name="Normal 10 2 2 4 3 2 2 3 2 2 2" xfId="7601" xr:uid="{C6D21280-1F9A-4A8E-9634-D7DCAD7C78AC}"/>
    <cellStyle name="Normal 10 2 2 4 3 2 2 3 2 3" xfId="7602" xr:uid="{34401F92-3340-4676-9B27-6FF755B261C4}"/>
    <cellStyle name="Normal 10 2 2 4 3 2 2 3 3" xfId="7603" xr:uid="{6DF9C2BF-18B9-457D-920A-873F92887600}"/>
    <cellStyle name="Normal 10 2 2 4 3 2 2 3 3 2" xfId="7604" xr:uid="{181AEEC0-DD89-4B5D-9F1B-6642C91550CB}"/>
    <cellStyle name="Normal 10 2 2 4 3 2 2 3 4" xfId="7605" xr:uid="{1031CA6A-EE53-4104-AB6B-41EE1E3A3518}"/>
    <cellStyle name="Normal 10 2 2 4 3 2 2 4" xfId="7606" xr:uid="{99984FFB-EDD8-4FB2-9630-3F8F09C82692}"/>
    <cellStyle name="Normal 10 2 2 4 3 2 2 4 2" xfId="7607" xr:uid="{8D5DE308-8627-4799-AED9-AD3153664A15}"/>
    <cellStyle name="Normal 10 2 2 4 3 2 2 4 2 2" xfId="7608" xr:uid="{DF0DEF08-FC7F-49B9-B044-B892F4AD28A8}"/>
    <cellStyle name="Normal 10 2 2 4 3 2 2 4 3" xfId="7609" xr:uid="{5E67F1D7-6D6A-4CA4-8F79-812A621A05C8}"/>
    <cellStyle name="Normal 10 2 2 4 3 2 2 5" xfId="7610" xr:uid="{17E07A8A-DBDD-46DE-8256-3C4224719930}"/>
    <cellStyle name="Normal 10 2 2 4 3 2 2 5 2" xfId="7611" xr:uid="{4DC75747-C393-45FF-88D0-BF408D7BC845}"/>
    <cellStyle name="Normal 10 2 2 4 3 2 2 6" xfId="7612" xr:uid="{11413101-8C55-470C-A659-F63C04B73995}"/>
    <cellStyle name="Normal 10 2 2 4 3 2 3" xfId="7613" xr:uid="{5FB1E704-5864-4A35-82D3-9B016B406BAD}"/>
    <cellStyle name="Normal 10 2 2 4 3 2 3 2" xfId="7614" xr:uid="{78C3764D-57BE-4AFC-BCA7-904D965BB73F}"/>
    <cellStyle name="Normal 10 2 2 4 3 2 3 2 2" xfId="7615" xr:uid="{A6D46335-E5F1-4ABC-88CE-2FA0FFB04D9B}"/>
    <cellStyle name="Normal 10 2 2 4 3 2 3 2 2 2" xfId="7616" xr:uid="{103D79CF-E447-41B5-85E2-C0BF346349C5}"/>
    <cellStyle name="Normal 10 2 2 4 3 2 3 2 2 2 2" xfId="7617" xr:uid="{4ABC2450-C38B-48A2-98F4-88A3178C231F}"/>
    <cellStyle name="Normal 10 2 2 4 3 2 3 2 2 3" xfId="7618" xr:uid="{5F6E28CA-6FDE-4D05-BA1D-8DD3E0862C70}"/>
    <cellStyle name="Normal 10 2 2 4 3 2 3 2 3" xfId="7619" xr:uid="{D274C81F-443C-4ED1-B180-B84D851C5AA2}"/>
    <cellStyle name="Normal 10 2 2 4 3 2 3 2 3 2" xfId="7620" xr:uid="{233BE168-7F98-4335-B1A0-3B87B94BA1BB}"/>
    <cellStyle name="Normal 10 2 2 4 3 2 3 2 4" xfId="7621" xr:uid="{E3E6FBD9-A533-4A14-AE90-6A8D82A80123}"/>
    <cellStyle name="Normal 10 2 2 4 3 2 3 3" xfId="7622" xr:uid="{9B9AB8D1-8619-4FAC-85EC-423AF278C7EA}"/>
    <cellStyle name="Normal 10 2 2 4 3 2 3 3 2" xfId="7623" xr:uid="{209F2DC2-5322-494A-B617-EF086BDB0E82}"/>
    <cellStyle name="Normal 10 2 2 4 3 2 3 3 2 2" xfId="7624" xr:uid="{2EE81910-0EAB-4D8F-9F5D-6CBBB31A932E}"/>
    <cellStyle name="Normal 10 2 2 4 3 2 3 3 3" xfId="7625" xr:uid="{557CBCDD-0F53-4DA2-86F3-BF8F718CA8F6}"/>
    <cellStyle name="Normal 10 2 2 4 3 2 3 4" xfId="7626" xr:uid="{580499F2-DA75-4B27-8B04-B398B3EB4E15}"/>
    <cellStyle name="Normal 10 2 2 4 3 2 3 4 2" xfId="7627" xr:uid="{17F6CCB7-D3C2-434F-8BAE-6CD5FE2AE80F}"/>
    <cellStyle name="Normal 10 2 2 4 3 2 3 5" xfId="7628" xr:uid="{802670E3-DC50-401C-B2A4-1FE534BD4D6E}"/>
    <cellStyle name="Normal 10 2 2 4 3 2 4" xfId="7629" xr:uid="{5A7D5CED-FB7E-4577-B231-623C1FF852B4}"/>
    <cellStyle name="Normal 10 2 2 4 3 2 4 2" xfId="7630" xr:uid="{048A5628-DC28-4440-AA44-AC9C51492B3A}"/>
    <cellStyle name="Normal 10 2 2 4 3 2 4 2 2" xfId="7631" xr:uid="{A56EA3F0-293F-4A96-8CAB-61ED70452088}"/>
    <cellStyle name="Normal 10 2 2 4 3 2 4 2 2 2" xfId="7632" xr:uid="{A98038E1-9B03-4CBC-A3A1-354E7F0B8FCB}"/>
    <cellStyle name="Normal 10 2 2 4 3 2 4 2 3" xfId="7633" xr:uid="{8061D816-04AC-4523-BF7F-507A42C50F61}"/>
    <cellStyle name="Normal 10 2 2 4 3 2 4 3" xfId="7634" xr:uid="{F74B8807-54D7-4A7F-962F-440EB0323074}"/>
    <cellStyle name="Normal 10 2 2 4 3 2 4 3 2" xfId="7635" xr:uid="{C7BF411F-C1D3-4453-A32B-FE28A1A12163}"/>
    <cellStyle name="Normal 10 2 2 4 3 2 4 4" xfId="7636" xr:uid="{95FC7354-1279-49F7-93D2-8E36BE47A9BE}"/>
    <cellStyle name="Normal 10 2 2 4 3 2 5" xfId="7637" xr:uid="{F5AEEDC7-AC72-4B2F-8EF3-71C6E8851A99}"/>
    <cellStyle name="Normal 10 2 2 4 3 2 5 2" xfId="7638" xr:uid="{EF69CF17-AD49-4D92-86DB-951A088C7306}"/>
    <cellStyle name="Normal 10 2 2 4 3 2 5 2 2" xfId="7639" xr:uid="{45963208-F1B8-4710-9413-FF796CBFF32F}"/>
    <cellStyle name="Normal 10 2 2 4 3 2 5 3" xfId="7640" xr:uid="{807A8467-CB4B-4A04-A9F4-FAFC25D34F80}"/>
    <cellStyle name="Normal 10 2 2 4 3 2 6" xfId="7641" xr:uid="{C95F9553-17C0-406C-9589-66D1E27C76A4}"/>
    <cellStyle name="Normal 10 2 2 4 3 2 6 2" xfId="7642" xr:uid="{00B14220-1A0E-4A01-975F-C5AB328DB929}"/>
    <cellStyle name="Normal 10 2 2 4 3 2 7" xfId="7643" xr:uid="{C0A279B3-4013-482C-B6CB-6710841C58CF}"/>
    <cellStyle name="Normal 10 2 2 4 3 3" xfId="7644" xr:uid="{A57B6F9F-F6E3-416A-B5BF-02A615440EBA}"/>
    <cellStyle name="Normal 10 2 2 4 3 3 2" xfId="7645" xr:uid="{1F009E34-1E95-4414-86E9-C3231DBA7B2C}"/>
    <cellStyle name="Normal 10 2 2 4 3 3 2 2" xfId="7646" xr:uid="{DC97784A-C33F-463B-B907-FC7A7A824308}"/>
    <cellStyle name="Normal 10 2 2 4 3 3 2 2 2" xfId="7647" xr:uid="{B9E2E133-2785-4F50-B2CF-ACEC5D6F2D68}"/>
    <cellStyle name="Normal 10 2 2 4 3 3 2 2 2 2" xfId="7648" xr:uid="{EADB94AB-BDD9-42C7-B4E2-B995A1BF9022}"/>
    <cellStyle name="Normal 10 2 2 4 3 3 2 2 2 2 2" xfId="7649" xr:uid="{72DB27DB-ED47-40E2-B802-0B5B2BA1329A}"/>
    <cellStyle name="Normal 10 2 2 4 3 3 2 2 2 3" xfId="7650" xr:uid="{7E010BBB-64E3-4376-9049-8D27BBF69B4E}"/>
    <cellStyle name="Normal 10 2 2 4 3 3 2 2 3" xfId="7651" xr:uid="{95EFBDC5-5917-46CF-816B-8A578550094F}"/>
    <cellStyle name="Normal 10 2 2 4 3 3 2 2 3 2" xfId="7652" xr:uid="{C1F21141-3807-4A60-841E-F9B8A3397196}"/>
    <cellStyle name="Normal 10 2 2 4 3 3 2 2 4" xfId="7653" xr:uid="{CCF2FA88-867F-4E1C-B81C-01CC1ADBCF6E}"/>
    <cellStyle name="Normal 10 2 2 4 3 3 2 3" xfId="7654" xr:uid="{726CFC54-A1D2-40FF-BEC0-768B3C66CC7F}"/>
    <cellStyle name="Normal 10 2 2 4 3 3 2 3 2" xfId="7655" xr:uid="{A395147C-4948-4A9F-AF14-3A77BBC4D5C6}"/>
    <cellStyle name="Normal 10 2 2 4 3 3 2 3 2 2" xfId="7656" xr:uid="{756D421B-025A-40A6-8E35-5795C9726E25}"/>
    <cellStyle name="Normal 10 2 2 4 3 3 2 3 3" xfId="7657" xr:uid="{E21990CE-4CC3-4E43-A021-9C3EBF4015A9}"/>
    <cellStyle name="Normal 10 2 2 4 3 3 2 4" xfId="7658" xr:uid="{D9ECFAB9-1979-4D37-A53F-E8077CA6F59F}"/>
    <cellStyle name="Normal 10 2 2 4 3 3 2 4 2" xfId="7659" xr:uid="{0163776D-799B-4BBF-9224-FFC08541AAC6}"/>
    <cellStyle name="Normal 10 2 2 4 3 3 2 5" xfId="7660" xr:uid="{CA34F57E-1F76-4FDC-82A5-C61B3D031A30}"/>
    <cellStyle name="Normal 10 2 2 4 3 3 3" xfId="7661" xr:uid="{75A6EE0C-F622-41CC-A544-83DCA2D1014B}"/>
    <cellStyle name="Normal 10 2 2 4 3 3 3 2" xfId="7662" xr:uid="{9C1AF39F-CDDC-4DC7-B776-E80A327A5CCA}"/>
    <cellStyle name="Normal 10 2 2 4 3 3 3 2 2" xfId="7663" xr:uid="{C3240371-8D01-48A1-8AC3-B7B4C37DDBF5}"/>
    <cellStyle name="Normal 10 2 2 4 3 3 3 2 2 2" xfId="7664" xr:uid="{F56C1C0E-D782-4CC8-9B89-CAE50B7ED05E}"/>
    <cellStyle name="Normal 10 2 2 4 3 3 3 2 3" xfId="7665" xr:uid="{2F7605FF-BDA7-437A-A576-8D802FCA1244}"/>
    <cellStyle name="Normal 10 2 2 4 3 3 3 3" xfId="7666" xr:uid="{08AF87F0-955B-445D-A23B-4D18337DE0BF}"/>
    <cellStyle name="Normal 10 2 2 4 3 3 3 3 2" xfId="7667" xr:uid="{611C1FB2-3C91-4A1C-807F-1FA739FA8951}"/>
    <cellStyle name="Normal 10 2 2 4 3 3 3 4" xfId="7668" xr:uid="{F891A196-9B5A-404A-8376-65764A5CE2A3}"/>
    <cellStyle name="Normal 10 2 2 4 3 3 4" xfId="7669" xr:uid="{2CB95835-F44F-4B1F-AACD-215D8868AB93}"/>
    <cellStyle name="Normal 10 2 2 4 3 3 4 2" xfId="7670" xr:uid="{51324499-98EB-45A3-999A-D4EC44A1140A}"/>
    <cellStyle name="Normal 10 2 2 4 3 3 4 2 2" xfId="7671" xr:uid="{DB88C364-002B-4132-84C1-D21FDE869FB9}"/>
    <cellStyle name="Normal 10 2 2 4 3 3 4 3" xfId="7672" xr:uid="{D79761BF-4C03-4CE3-BC57-C65E8DCB3F4F}"/>
    <cellStyle name="Normal 10 2 2 4 3 3 5" xfId="7673" xr:uid="{F06759F3-7E7A-4B62-9A90-828EA838F524}"/>
    <cellStyle name="Normal 10 2 2 4 3 3 5 2" xfId="7674" xr:uid="{48C301C2-953B-4CD1-BA09-0EBE842F5575}"/>
    <cellStyle name="Normal 10 2 2 4 3 3 6" xfId="7675" xr:uid="{05EF2C1E-55C6-42F2-9F40-1C4BAB23BADD}"/>
    <cellStyle name="Normal 10 2 2 4 3 4" xfId="7676" xr:uid="{0103DC72-25B9-4F56-BCDC-D4894089BD03}"/>
    <cellStyle name="Normal 10 2 2 4 3 4 2" xfId="7677" xr:uid="{197B9D36-27C6-4B4E-8A42-03ABBAD5F2F2}"/>
    <cellStyle name="Normal 10 2 2 4 3 4 2 2" xfId="7678" xr:uid="{EBA96EBA-8133-4D7E-8907-EBA9E37E38E2}"/>
    <cellStyle name="Normal 10 2 2 4 3 4 2 2 2" xfId="7679" xr:uid="{F49A7F0F-1C15-4262-B528-0280C49F09A6}"/>
    <cellStyle name="Normal 10 2 2 4 3 4 2 2 2 2" xfId="7680" xr:uid="{726A26CD-E77F-4373-91A2-D1C3A3C3CA52}"/>
    <cellStyle name="Normal 10 2 2 4 3 4 2 2 3" xfId="7681" xr:uid="{D53508F3-7CAB-4D39-982B-D5644E208945}"/>
    <cellStyle name="Normal 10 2 2 4 3 4 2 3" xfId="7682" xr:uid="{5C20F3D9-874B-410F-8EC7-9943097BD45B}"/>
    <cellStyle name="Normal 10 2 2 4 3 4 2 3 2" xfId="7683" xr:uid="{40F04486-4CE4-4211-89E4-593758CA7B9C}"/>
    <cellStyle name="Normal 10 2 2 4 3 4 2 4" xfId="7684" xr:uid="{EF7E36A5-FA57-4A05-B323-423D4C018115}"/>
    <cellStyle name="Normal 10 2 2 4 3 4 3" xfId="7685" xr:uid="{7E9B5E9F-C885-4E8C-9900-D828CFA26A2F}"/>
    <cellStyle name="Normal 10 2 2 4 3 4 3 2" xfId="7686" xr:uid="{60C3EF97-943B-4FB6-872F-7162114BE418}"/>
    <cellStyle name="Normal 10 2 2 4 3 4 3 2 2" xfId="7687" xr:uid="{6F80623B-4A5D-4E55-903E-D2D55C649D7A}"/>
    <cellStyle name="Normal 10 2 2 4 3 4 3 3" xfId="7688" xr:uid="{5DAAF7A6-98C1-4D5F-B743-133674911B19}"/>
    <cellStyle name="Normal 10 2 2 4 3 4 4" xfId="7689" xr:uid="{1922DED9-2F82-4458-BB5C-0E8129B9DA16}"/>
    <cellStyle name="Normal 10 2 2 4 3 4 4 2" xfId="7690" xr:uid="{4341CFE3-D4F3-4131-905A-88F99CF8D28D}"/>
    <cellStyle name="Normal 10 2 2 4 3 4 5" xfId="7691" xr:uid="{398A67F0-EAC0-4089-BA5E-202E7B353AEF}"/>
    <cellStyle name="Normal 10 2 2 4 3 5" xfId="7692" xr:uid="{708D4685-9B3A-4480-87AC-4E83CC124960}"/>
    <cellStyle name="Normal 10 2 2 4 3 5 2" xfId="7693" xr:uid="{85C710B1-563C-4345-8CFD-B3FF3BA88364}"/>
    <cellStyle name="Normal 10 2 2 4 3 5 2 2" xfId="7694" xr:uid="{3846AEE8-3F35-42CE-8702-77BEA4673993}"/>
    <cellStyle name="Normal 10 2 2 4 3 5 2 2 2" xfId="7695" xr:uid="{2E4B0446-812A-4277-8A1F-445FAC09C532}"/>
    <cellStyle name="Normal 10 2 2 4 3 5 2 3" xfId="7696" xr:uid="{BF8883EB-B85E-410A-8D71-6B9EE803E9B4}"/>
    <cellStyle name="Normal 10 2 2 4 3 5 3" xfId="7697" xr:uid="{75EF0039-E788-45FC-857C-AD65D192AC1B}"/>
    <cellStyle name="Normal 10 2 2 4 3 5 3 2" xfId="7698" xr:uid="{37B59E08-BF90-4612-B814-A1D4F19E8371}"/>
    <cellStyle name="Normal 10 2 2 4 3 5 4" xfId="7699" xr:uid="{B55D8EA0-0ACF-400D-9834-C45405456AF0}"/>
    <cellStyle name="Normal 10 2 2 4 3 6" xfId="7700" xr:uid="{112A74E1-C61A-498A-AC4D-327ECE3E956C}"/>
    <cellStyle name="Normal 10 2 2 4 3 6 2" xfId="7701" xr:uid="{9BD0776C-3F16-45CD-A2CA-C3741B2AAF2F}"/>
    <cellStyle name="Normal 10 2 2 4 3 6 2 2" xfId="7702" xr:uid="{567B81CD-FAC9-493C-BECC-D1025A186EAC}"/>
    <cellStyle name="Normal 10 2 2 4 3 6 3" xfId="7703" xr:uid="{C3426026-75DB-4D6B-9305-43F0EDA89CCB}"/>
    <cellStyle name="Normal 10 2 2 4 3 7" xfId="7704" xr:uid="{F11D1B96-6DC6-46A8-AE15-E117C1DDBC25}"/>
    <cellStyle name="Normal 10 2 2 4 3 7 2" xfId="7705" xr:uid="{157B9256-F723-4C42-A554-B1A5FBD84BF4}"/>
    <cellStyle name="Normal 10 2 2 4 3 8" xfId="7706" xr:uid="{8BB0D1FE-4688-4AF9-BDA8-2C903540D4A7}"/>
    <cellStyle name="Normal 10 2 2 4 3 9" xfId="7579" xr:uid="{689A42DD-66F5-4EEF-A459-25EFE7FDCE95}"/>
    <cellStyle name="Normal 10 2 2 4 4" xfId="7707" xr:uid="{229831E1-31A2-4678-913F-2FCCEF1140F9}"/>
    <cellStyle name="Normal 10 2 2 4 4 2" xfId="7708" xr:uid="{6F207D08-F374-4F09-90F3-F191665205E9}"/>
    <cellStyle name="Normal 10 2 2 4 4 2 2" xfId="7709" xr:uid="{F9351CBD-7FDA-4282-968C-A9DD35DA4D52}"/>
    <cellStyle name="Normal 10 2 2 4 4 2 2 2" xfId="7710" xr:uid="{0C7E0E30-B2E0-4064-A231-AA637C97CAE8}"/>
    <cellStyle name="Normal 10 2 2 4 4 2 2 2 2" xfId="7711" xr:uid="{D4EE305F-B284-4B22-9F5F-14866A481046}"/>
    <cellStyle name="Normal 10 2 2 4 4 2 2 2 2 2" xfId="7712" xr:uid="{361EB544-FBF4-4AF1-9900-A85F936C3AF0}"/>
    <cellStyle name="Normal 10 2 2 4 4 2 2 2 2 2 2" xfId="7713" xr:uid="{2B4CF7C1-B18B-4CF4-9DD8-C62B5EF139E4}"/>
    <cellStyle name="Normal 10 2 2 4 4 2 2 2 2 3" xfId="7714" xr:uid="{0C1B4144-85A0-4098-8857-52272B885B7A}"/>
    <cellStyle name="Normal 10 2 2 4 4 2 2 2 3" xfId="7715" xr:uid="{2C91C555-E075-427E-A91D-717CA342BF3F}"/>
    <cellStyle name="Normal 10 2 2 4 4 2 2 2 3 2" xfId="7716" xr:uid="{9464B8AD-043E-4170-A5EC-79B1132C5959}"/>
    <cellStyle name="Normal 10 2 2 4 4 2 2 2 4" xfId="7717" xr:uid="{9DF148A3-BC10-4576-B713-EED2327884AC}"/>
    <cellStyle name="Normal 10 2 2 4 4 2 2 3" xfId="7718" xr:uid="{2DB3F3AF-BC99-4BB9-B794-95D17CF4FEEC}"/>
    <cellStyle name="Normal 10 2 2 4 4 2 2 3 2" xfId="7719" xr:uid="{9F795538-F90D-4A4A-AC92-9B21BAAC5E79}"/>
    <cellStyle name="Normal 10 2 2 4 4 2 2 3 2 2" xfId="7720" xr:uid="{7CB2FC04-4D4B-4308-88A0-BB50B9508DA0}"/>
    <cellStyle name="Normal 10 2 2 4 4 2 2 3 3" xfId="7721" xr:uid="{7A85BEEF-CA9F-4C80-88A5-8FBFA986A088}"/>
    <cellStyle name="Normal 10 2 2 4 4 2 2 4" xfId="7722" xr:uid="{852AE497-F78F-4E65-8CBD-DD639D26AEDB}"/>
    <cellStyle name="Normal 10 2 2 4 4 2 2 4 2" xfId="7723" xr:uid="{360E014E-D1C9-43E5-9FF7-8D480CC34C63}"/>
    <cellStyle name="Normal 10 2 2 4 4 2 2 5" xfId="7724" xr:uid="{FF1B6F68-D882-4778-9EB4-C89211991339}"/>
    <cellStyle name="Normal 10 2 2 4 4 2 3" xfId="7725" xr:uid="{F5DF1B8D-8F35-40BC-AF9B-633DCA6D04D6}"/>
    <cellStyle name="Normal 10 2 2 4 4 2 3 2" xfId="7726" xr:uid="{F3B6379A-19C9-4C73-AF2A-28941DA951B2}"/>
    <cellStyle name="Normal 10 2 2 4 4 2 3 2 2" xfId="7727" xr:uid="{41D069F5-A839-449C-B275-FFD9F2D66619}"/>
    <cellStyle name="Normal 10 2 2 4 4 2 3 2 2 2" xfId="7728" xr:uid="{3B396322-A8FB-4A16-9B26-AD3AB8F0C798}"/>
    <cellStyle name="Normal 10 2 2 4 4 2 3 2 3" xfId="7729" xr:uid="{6B94A40F-E2D2-48AE-A7A3-5CAA21E6FFD2}"/>
    <cellStyle name="Normal 10 2 2 4 4 2 3 3" xfId="7730" xr:uid="{2BB6BB11-1741-47FB-8BB9-DFE65F7FB097}"/>
    <cellStyle name="Normal 10 2 2 4 4 2 3 3 2" xfId="7731" xr:uid="{A4C339A6-55B9-47F0-80DA-B9DE9BF31883}"/>
    <cellStyle name="Normal 10 2 2 4 4 2 3 4" xfId="7732" xr:uid="{34683050-15A0-4723-AC26-C39B96C944BE}"/>
    <cellStyle name="Normal 10 2 2 4 4 2 4" xfId="7733" xr:uid="{65E30239-1FE3-4017-8233-FAFF837BF87E}"/>
    <cellStyle name="Normal 10 2 2 4 4 2 4 2" xfId="7734" xr:uid="{53ADC2A2-27D6-4043-8CDC-42D9A0F87400}"/>
    <cellStyle name="Normal 10 2 2 4 4 2 4 2 2" xfId="7735" xr:uid="{084403FC-EC4D-4FC9-95D3-0D336996CEAB}"/>
    <cellStyle name="Normal 10 2 2 4 4 2 4 3" xfId="7736" xr:uid="{3A303945-9919-4CD6-AC5C-00B86460527A}"/>
    <cellStyle name="Normal 10 2 2 4 4 2 5" xfId="7737" xr:uid="{CA91F852-F843-439F-9492-E1EEC9EE5BD6}"/>
    <cellStyle name="Normal 10 2 2 4 4 2 5 2" xfId="7738" xr:uid="{05BF68F5-2FBE-4A35-B008-4515D3B7413E}"/>
    <cellStyle name="Normal 10 2 2 4 4 2 6" xfId="7739" xr:uid="{CFB19211-483A-479D-83C9-E696FC1F3645}"/>
    <cellStyle name="Normal 10 2 2 4 4 3" xfId="7740" xr:uid="{4C50AAF3-16B5-4C78-A45C-B6E1B1E596F4}"/>
    <cellStyle name="Normal 10 2 2 4 4 3 2" xfId="7741" xr:uid="{5E4C061F-7166-4044-92D1-115F3CF85657}"/>
    <cellStyle name="Normal 10 2 2 4 4 3 2 2" xfId="7742" xr:uid="{2F2BF40D-98A0-4492-8DE6-F0C30C019567}"/>
    <cellStyle name="Normal 10 2 2 4 4 3 2 2 2" xfId="7743" xr:uid="{A0F66419-94DB-4B11-B486-223DE712E11B}"/>
    <cellStyle name="Normal 10 2 2 4 4 3 2 2 2 2" xfId="7744" xr:uid="{2CD9F358-C802-4203-8B75-9B5F73EB7648}"/>
    <cellStyle name="Normal 10 2 2 4 4 3 2 2 3" xfId="7745" xr:uid="{6B0F1972-5567-401B-8727-843529057ADC}"/>
    <cellStyle name="Normal 10 2 2 4 4 3 2 3" xfId="7746" xr:uid="{D50D8AAF-B14D-4F29-8C53-D4B84977F747}"/>
    <cellStyle name="Normal 10 2 2 4 4 3 2 3 2" xfId="7747" xr:uid="{24CF6171-C923-4B4D-A790-7A285A40728F}"/>
    <cellStyle name="Normal 10 2 2 4 4 3 2 4" xfId="7748" xr:uid="{E977F981-4549-4666-B5F9-49EBB057F6E7}"/>
    <cellStyle name="Normal 10 2 2 4 4 3 3" xfId="7749" xr:uid="{262D2C1E-BD46-4B56-BB96-242C48841FAE}"/>
    <cellStyle name="Normal 10 2 2 4 4 3 3 2" xfId="7750" xr:uid="{63BF5612-2E47-4459-A34D-AC05DAB83E3B}"/>
    <cellStyle name="Normal 10 2 2 4 4 3 3 2 2" xfId="7751" xr:uid="{7DC0D7CB-CFFD-4569-8198-2CAB41D242E8}"/>
    <cellStyle name="Normal 10 2 2 4 4 3 3 3" xfId="7752" xr:uid="{5925F71D-69D3-45DB-8245-0233C39C3BBE}"/>
    <cellStyle name="Normal 10 2 2 4 4 3 4" xfId="7753" xr:uid="{538DC694-8633-41D7-BC30-5E0B82D7FB06}"/>
    <cellStyle name="Normal 10 2 2 4 4 3 4 2" xfId="7754" xr:uid="{A902D4D1-9FA4-47C1-8D5B-CA2F54B4682B}"/>
    <cellStyle name="Normal 10 2 2 4 4 3 5" xfId="7755" xr:uid="{7201E8E8-9A3A-4613-85CF-8DCFE7270B8E}"/>
    <cellStyle name="Normal 10 2 2 4 4 4" xfId="7756" xr:uid="{EFB46145-6555-4775-8D24-D96865F664A8}"/>
    <cellStyle name="Normal 10 2 2 4 4 4 2" xfId="7757" xr:uid="{231394B2-BBBD-4B02-94EF-A0348DC0DDBC}"/>
    <cellStyle name="Normal 10 2 2 4 4 4 2 2" xfId="7758" xr:uid="{9B12FBBC-C676-44E0-9FEE-EFE8F57495A9}"/>
    <cellStyle name="Normal 10 2 2 4 4 4 2 2 2" xfId="7759" xr:uid="{E3EBDBA8-AEAB-4877-B9D4-E4C3EADA3083}"/>
    <cellStyle name="Normal 10 2 2 4 4 4 2 3" xfId="7760" xr:uid="{B0E284F4-CA33-4D75-A0B7-98686A7618A4}"/>
    <cellStyle name="Normal 10 2 2 4 4 4 3" xfId="7761" xr:uid="{A1E628C2-1B1F-4AC8-AB34-F7F74F51F976}"/>
    <cellStyle name="Normal 10 2 2 4 4 4 3 2" xfId="7762" xr:uid="{F81EB6B7-6463-4716-960A-777E3C818198}"/>
    <cellStyle name="Normal 10 2 2 4 4 4 4" xfId="7763" xr:uid="{99869AC2-3758-41F3-A618-74D156A24CD4}"/>
    <cellStyle name="Normal 10 2 2 4 4 5" xfId="7764" xr:uid="{65D66094-7E2B-4795-A20F-04AD7F923973}"/>
    <cellStyle name="Normal 10 2 2 4 4 5 2" xfId="7765" xr:uid="{7A4040F4-1D5D-4573-9A06-47798D5D7C62}"/>
    <cellStyle name="Normal 10 2 2 4 4 5 2 2" xfId="7766" xr:uid="{53251E92-A630-43D6-8766-2CA38FFA6EAC}"/>
    <cellStyle name="Normal 10 2 2 4 4 5 3" xfId="7767" xr:uid="{3B3620ED-A2D4-4F8B-AABD-49309E598D31}"/>
    <cellStyle name="Normal 10 2 2 4 4 6" xfId="7768" xr:uid="{1143BBC7-AD40-4348-A808-5950E5526FE5}"/>
    <cellStyle name="Normal 10 2 2 4 4 6 2" xfId="7769" xr:uid="{B462FF42-1DB0-4BD7-9A42-F43A4664900E}"/>
    <cellStyle name="Normal 10 2 2 4 4 7" xfId="7770" xr:uid="{AEDF613B-9E90-414D-9E02-75D1EBC2D57D}"/>
    <cellStyle name="Normal 10 2 2 4 5" xfId="7771" xr:uid="{9EBE8BBD-2F0C-4B91-A957-AB6A66122220}"/>
    <cellStyle name="Normal 10 2 2 4 5 2" xfId="7772" xr:uid="{618A3302-91C6-4383-A4F0-6586DD43DC69}"/>
    <cellStyle name="Normal 10 2 2 4 5 2 2" xfId="7773" xr:uid="{154D3CB4-F565-49F6-9747-21AA6EE8A624}"/>
    <cellStyle name="Normal 10 2 2 4 5 2 2 2" xfId="7774" xr:uid="{A19DBA22-4F44-4469-917F-A82826E40D41}"/>
    <cellStyle name="Normal 10 2 2 4 5 2 2 2 2" xfId="7775" xr:uid="{96807C0E-601F-4DFC-B82C-8D6A46E76815}"/>
    <cellStyle name="Normal 10 2 2 4 5 2 2 2 2 2" xfId="7776" xr:uid="{B1590B50-5FC9-431F-A5FD-A7BD790E670E}"/>
    <cellStyle name="Normal 10 2 2 4 5 2 2 2 3" xfId="7777" xr:uid="{41A06089-22F4-4DF7-8D29-9CE7C7A68B3F}"/>
    <cellStyle name="Normal 10 2 2 4 5 2 2 3" xfId="7778" xr:uid="{8125A8CA-A7B8-4E68-8D23-29A8662E4385}"/>
    <cellStyle name="Normal 10 2 2 4 5 2 2 3 2" xfId="7779" xr:uid="{35C7AED7-8C82-4422-BC41-9E0FBFFDE3C4}"/>
    <cellStyle name="Normal 10 2 2 4 5 2 2 4" xfId="7780" xr:uid="{5E4FF1AC-4477-4587-81CE-92612891C4D8}"/>
    <cellStyle name="Normal 10 2 2 4 5 2 3" xfId="7781" xr:uid="{D398A449-6775-4608-81EE-A43F287EED10}"/>
    <cellStyle name="Normal 10 2 2 4 5 2 3 2" xfId="7782" xr:uid="{CC03F75D-52A5-41EC-A8D7-6F2039FE4C59}"/>
    <cellStyle name="Normal 10 2 2 4 5 2 3 2 2" xfId="7783" xr:uid="{5A648ADD-365C-427E-BA18-39F19B161ADB}"/>
    <cellStyle name="Normal 10 2 2 4 5 2 3 3" xfId="7784" xr:uid="{81901792-B115-4BD0-9288-ACBCD126A168}"/>
    <cellStyle name="Normal 10 2 2 4 5 2 4" xfId="7785" xr:uid="{1059F809-9029-4B88-86E3-A8B5774B7A4E}"/>
    <cellStyle name="Normal 10 2 2 4 5 2 4 2" xfId="7786" xr:uid="{B0630337-2347-43DE-AA3A-D56AED044C2E}"/>
    <cellStyle name="Normal 10 2 2 4 5 2 5" xfId="7787" xr:uid="{7FDAF70C-91E6-4619-B90F-D19092AA2887}"/>
    <cellStyle name="Normal 10 2 2 4 5 3" xfId="7788" xr:uid="{4FE22F2E-1735-4764-A184-46B6493CC036}"/>
    <cellStyle name="Normal 10 2 2 4 5 3 2" xfId="7789" xr:uid="{040A7B21-F1B4-4D88-96FC-03FC71F12D84}"/>
    <cellStyle name="Normal 10 2 2 4 5 3 2 2" xfId="7790" xr:uid="{0FFEEB3F-1DAE-478B-BEBE-D890718522D0}"/>
    <cellStyle name="Normal 10 2 2 4 5 3 2 2 2" xfId="7791" xr:uid="{21966F1B-7633-4FA5-BA20-9E1404BD1880}"/>
    <cellStyle name="Normal 10 2 2 4 5 3 2 3" xfId="7792" xr:uid="{F0BCD593-AE7E-4FF9-B9C2-DE700107BD5B}"/>
    <cellStyle name="Normal 10 2 2 4 5 3 3" xfId="7793" xr:uid="{23E8DDDD-F9E3-4907-B713-915046BB1E0A}"/>
    <cellStyle name="Normal 10 2 2 4 5 3 3 2" xfId="7794" xr:uid="{74BA0655-4F83-406F-807B-E1B8BD0D15EB}"/>
    <cellStyle name="Normal 10 2 2 4 5 3 4" xfId="7795" xr:uid="{F408ED6D-1FD4-4BF7-BA07-3292D902889E}"/>
    <cellStyle name="Normal 10 2 2 4 5 4" xfId="7796" xr:uid="{AF4B9012-BF37-48F5-B31F-EB897A1E3A19}"/>
    <cellStyle name="Normal 10 2 2 4 5 4 2" xfId="7797" xr:uid="{BE2CAD33-8A0D-49B4-8443-DD341C36438C}"/>
    <cellStyle name="Normal 10 2 2 4 5 4 2 2" xfId="7798" xr:uid="{B6B9C8B4-5E5D-4CD7-AD35-D5D229DA5826}"/>
    <cellStyle name="Normal 10 2 2 4 5 4 3" xfId="7799" xr:uid="{11BB3AC0-8A0C-4B86-904D-A852D09FFFC4}"/>
    <cellStyle name="Normal 10 2 2 4 5 5" xfId="7800" xr:uid="{D868D6F9-B8CF-4DB3-9DE0-A9E2F2508EA7}"/>
    <cellStyle name="Normal 10 2 2 4 5 5 2" xfId="7801" xr:uid="{15F2E886-3DD3-4F1C-B7DA-16CC629E741D}"/>
    <cellStyle name="Normal 10 2 2 4 5 6" xfId="7802" xr:uid="{52C5A29C-E485-4D35-B2EE-9DA998CC1740}"/>
    <cellStyle name="Normal 10 2 2 4 6" xfId="7803" xr:uid="{860C2F37-ED62-4B95-A212-44E6CCE7E8A8}"/>
    <cellStyle name="Normal 10 2 2 4 6 2" xfId="7804" xr:uid="{09CFF943-C218-42B9-8159-A49968EDB396}"/>
    <cellStyle name="Normal 10 2 2 4 6 2 2" xfId="7805" xr:uid="{B5E483CA-A9C0-49C9-A00D-416216EBB7B9}"/>
    <cellStyle name="Normal 10 2 2 4 6 2 2 2" xfId="7806" xr:uid="{3F7F0948-19F8-4769-B5B1-F547B007F72A}"/>
    <cellStyle name="Normal 10 2 2 4 6 2 2 2 2" xfId="7807" xr:uid="{DFECB9AB-BF61-48CA-AA24-2FC434203846}"/>
    <cellStyle name="Normal 10 2 2 4 6 2 2 3" xfId="7808" xr:uid="{9D92362B-C5A5-410A-BED6-AAFEC86F0C07}"/>
    <cellStyle name="Normal 10 2 2 4 6 2 3" xfId="7809" xr:uid="{CDE0EC21-C2D7-45A0-8D3E-0F90DA32FD96}"/>
    <cellStyle name="Normal 10 2 2 4 6 2 3 2" xfId="7810" xr:uid="{8CAC6BD4-4A11-4D8C-8DED-4C3A34FB68DF}"/>
    <cellStyle name="Normal 10 2 2 4 6 2 4" xfId="7811" xr:uid="{0FD6E60F-F08D-4BAB-A2B8-7373E591127C}"/>
    <cellStyle name="Normal 10 2 2 4 6 3" xfId="7812" xr:uid="{963E4773-5C1B-465C-9ECB-1192B6ABCA0E}"/>
    <cellStyle name="Normal 10 2 2 4 6 3 2" xfId="7813" xr:uid="{4BE15672-4B86-4BD3-83EC-57C86909E27B}"/>
    <cellStyle name="Normal 10 2 2 4 6 3 2 2" xfId="7814" xr:uid="{728E53C8-1ED4-4F85-82D7-2AE5E2FCDC05}"/>
    <cellStyle name="Normal 10 2 2 4 6 3 3" xfId="7815" xr:uid="{1506EA7A-34AA-4C5B-B5AA-B170FB3146C0}"/>
    <cellStyle name="Normal 10 2 2 4 6 4" xfId="7816" xr:uid="{2CEBBE80-CBA0-4E14-AA2A-32CD0EA1D17B}"/>
    <cellStyle name="Normal 10 2 2 4 6 4 2" xfId="7817" xr:uid="{CB2BC087-46B3-438E-9F56-B20C804D6168}"/>
    <cellStyle name="Normal 10 2 2 4 6 5" xfId="7818" xr:uid="{74D96036-BB52-43FE-9B7F-972F3AF44780}"/>
    <cellStyle name="Normal 10 2 2 4 7" xfId="7819" xr:uid="{CB592D6A-A86D-4C97-B404-212EC9B4E749}"/>
    <cellStyle name="Normal 10 2 2 4 7 2" xfId="7820" xr:uid="{307BBBA1-38F1-435F-8590-31CA32860BC7}"/>
    <cellStyle name="Normal 10 2 2 4 7 2 2" xfId="7821" xr:uid="{C8503D02-6BD8-43B5-BA3B-41C38A4891AE}"/>
    <cellStyle name="Normal 10 2 2 4 7 2 2 2" xfId="7822" xr:uid="{67D0E398-25CC-43F1-BAEA-AAA72EEBBBCD}"/>
    <cellStyle name="Normal 10 2 2 4 7 2 3" xfId="7823" xr:uid="{974E2196-6398-4A7D-A573-E007B13835A6}"/>
    <cellStyle name="Normal 10 2 2 4 7 3" xfId="7824" xr:uid="{D9EC53BD-6FAF-408D-BF01-70986D19117D}"/>
    <cellStyle name="Normal 10 2 2 4 7 3 2" xfId="7825" xr:uid="{0AF0965A-D021-4F70-9D18-26654146F9AD}"/>
    <cellStyle name="Normal 10 2 2 4 7 4" xfId="7826" xr:uid="{C4ECBA69-CD8C-40DE-BB4A-A2866419A2ED}"/>
    <cellStyle name="Normal 10 2 2 4 8" xfId="7827" xr:uid="{88C22EC6-BA02-4948-9D43-4A6D0949DC18}"/>
    <cellStyle name="Normal 10 2 2 4 8 2" xfId="7828" xr:uid="{24710F94-8308-4795-9156-457793971F87}"/>
    <cellStyle name="Normal 10 2 2 4 8 2 2" xfId="7829" xr:uid="{BE043BC1-BAC9-4525-BF8E-5F670331745F}"/>
    <cellStyle name="Normal 10 2 2 4 8 3" xfId="7830" xr:uid="{C4A0FC4E-2A82-4EE3-9142-D4F4C48E37DF}"/>
    <cellStyle name="Normal 10 2 2 4 9" xfId="7831" xr:uid="{45CE6C49-2723-47CF-9FAB-66981C65BA13}"/>
    <cellStyle name="Normal 10 2 2 4 9 2" xfId="7832" xr:uid="{653ED96B-85CD-43F6-86B3-C050B645B4A0}"/>
    <cellStyle name="Normal 10 2 2 5" xfId="254" xr:uid="{9DAB4322-F71F-45EA-B93E-860CE23F3A97}"/>
    <cellStyle name="Normal 10 2 2 5 10" xfId="7833" xr:uid="{B5B39812-C66A-4180-9CAA-4A26891F48E8}"/>
    <cellStyle name="Normal 10 2 2 5 11" xfId="548" xr:uid="{EB37DF40-EF7C-4DF0-8753-A8778E31A44E}"/>
    <cellStyle name="Normal 10 2 2 5 2" xfId="315" xr:uid="{90B465C7-FEA0-423C-85F6-446B2D2965C5}"/>
    <cellStyle name="Normal 10 2 2 5 2 10" xfId="7834" xr:uid="{29EF0BA6-6A03-4AB2-8EA7-436C3F567DC2}"/>
    <cellStyle name="Normal 10 2 2 5 2 2" xfId="7835" xr:uid="{EF954D52-94BE-4DB1-A24F-A595A07E386D}"/>
    <cellStyle name="Normal 10 2 2 5 2 2 2" xfId="7836" xr:uid="{E3570FBF-34B8-413A-B1B2-075527D169E2}"/>
    <cellStyle name="Normal 10 2 2 5 2 2 2 2" xfId="7837" xr:uid="{EC9D64DE-6F67-43E6-8491-194644DF1B0D}"/>
    <cellStyle name="Normal 10 2 2 5 2 2 2 2 2" xfId="7838" xr:uid="{16A4A4B0-87BC-443E-8719-0FBA3DE9DFB1}"/>
    <cellStyle name="Normal 10 2 2 5 2 2 2 2 2 2" xfId="7839" xr:uid="{C4842EF6-AC50-466B-8646-E8E346E6049B}"/>
    <cellStyle name="Normal 10 2 2 5 2 2 2 2 2 2 2" xfId="7840" xr:uid="{C4F76E5A-3420-4847-A4F0-AA3B2EA99E0E}"/>
    <cellStyle name="Normal 10 2 2 5 2 2 2 2 2 2 2 2" xfId="7841" xr:uid="{F41762A3-3720-4DF4-968A-97C586EC4ACD}"/>
    <cellStyle name="Normal 10 2 2 5 2 2 2 2 2 2 2 2 2" xfId="7842" xr:uid="{861D0637-A5B5-431B-9A49-081490401344}"/>
    <cellStyle name="Normal 10 2 2 5 2 2 2 2 2 2 2 3" xfId="7843" xr:uid="{0CC7F336-A3C1-4510-A86D-3391AB4BDBE6}"/>
    <cellStyle name="Normal 10 2 2 5 2 2 2 2 2 2 3" xfId="7844" xr:uid="{039DB873-04F1-4130-95E3-D2860A0B7A56}"/>
    <cellStyle name="Normal 10 2 2 5 2 2 2 2 2 2 3 2" xfId="7845" xr:uid="{06E5FAF1-9814-4D31-A188-F608D1BF47E4}"/>
    <cellStyle name="Normal 10 2 2 5 2 2 2 2 2 2 4" xfId="7846" xr:uid="{CE015B13-8BF6-4C21-A173-B4994B1AF9F0}"/>
    <cellStyle name="Normal 10 2 2 5 2 2 2 2 2 3" xfId="7847" xr:uid="{C6E76550-6EC7-44F4-829C-CE8A3DE18E59}"/>
    <cellStyle name="Normal 10 2 2 5 2 2 2 2 2 3 2" xfId="7848" xr:uid="{5EB55265-618F-4B14-B620-C7E2482E58D9}"/>
    <cellStyle name="Normal 10 2 2 5 2 2 2 2 2 3 2 2" xfId="7849" xr:uid="{F18B6BA3-F189-4585-9F9D-39DDA94D7179}"/>
    <cellStyle name="Normal 10 2 2 5 2 2 2 2 2 3 3" xfId="7850" xr:uid="{D2373F11-CF58-49B2-944B-F3D0D010FD18}"/>
    <cellStyle name="Normal 10 2 2 5 2 2 2 2 2 4" xfId="7851" xr:uid="{9B8870E1-7ADE-4943-9302-A9C232360048}"/>
    <cellStyle name="Normal 10 2 2 5 2 2 2 2 2 4 2" xfId="7852" xr:uid="{B609C2E8-558E-4369-8CA1-5B3ED5345E8D}"/>
    <cellStyle name="Normal 10 2 2 5 2 2 2 2 2 5" xfId="7853" xr:uid="{F3264747-37AF-478E-BB34-21B6F76ACFC0}"/>
    <cellStyle name="Normal 10 2 2 5 2 2 2 2 3" xfId="7854" xr:uid="{9F89266D-8F3D-44FA-B451-ABC34AA1BE1C}"/>
    <cellStyle name="Normal 10 2 2 5 2 2 2 2 3 2" xfId="7855" xr:uid="{44F01277-713E-4E2E-8C13-3669415935C0}"/>
    <cellStyle name="Normal 10 2 2 5 2 2 2 2 3 2 2" xfId="7856" xr:uid="{8954758F-4EF8-4777-A12F-FA862E4F4CA4}"/>
    <cellStyle name="Normal 10 2 2 5 2 2 2 2 3 2 2 2" xfId="7857" xr:uid="{79FE0021-618C-4D1E-8E82-4AED381CC77B}"/>
    <cellStyle name="Normal 10 2 2 5 2 2 2 2 3 2 3" xfId="7858" xr:uid="{D39E96E4-FE2F-402E-ADEF-8E127828FE89}"/>
    <cellStyle name="Normal 10 2 2 5 2 2 2 2 3 3" xfId="7859" xr:uid="{A75C57B2-6BF5-4DFF-9B17-90958B383DAD}"/>
    <cellStyle name="Normal 10 2 2 5 2 2 2 2 3 3 2" xfId="7860" xr:uid="{1107504A-B908-433C-9796-A5CA94290B86}"/>
    <cellStyle name="Normal 10 2 2 5 2 2 2 2 3 4" xfId="7861" xr:uid="{B1E72A22-9E24-4A2E-8C18-DE597C764CF8}"/>
    <cellStyle name="Normal 10 2 2 5 2 2 2 2 4" xfId="7862" xr:uid="{6AD5E473-D078-4A11-8B34-A9CAFBAFE61E}"/>
    <cellStyle name="Normal 10 2 2 5 2 2 2 2 4 2" xfId="7863" xr:uid="{03E67D32-E216-4D6D-97EC-76A37BE33041}"/>
    <cellStyle name="Normal 10 2 2 5 2 2 2 2 4 2 2" xfId="7864" xr:uid="{90C5EFAE-DE43-4E29-88CF-36E604691C15}"/>
    <cellStyle name="Normal 10 2 2 5 2 2 2 2 4 3" xfId="7865" xr:uid="{B13790DB-6F86-43DF-9C33-A363EF7CFE5C}"/>
    <cellStyle name="Normal 10 2 2 5 2 2 2 2 5" xfId="7866" xr:uid="{6ABF46B3-7EB4-4127-B811-7CFE1697F356}"/>
    <cellStyle name="Normal 10 2 2 5 2 2 2 2 5 2" xfId="7867" xr:uid="{65391E25-12E6-4F18-AA09-45A2ED238418}"/>
    <cellStyle name="Normal 10 2 2 5 2 2 2 2 6" xfId="7868" xr:uid="{FC1E4C96-E065-4618-BBAD-8DF47E6B7B25}"/>
    <cellStyle name="Normal 10 2 2 5 2 2 2 3" xfId="7869" xr:uid="{BAC0FE64-8AD9-448B-A385-6D8C527C1D82}"/>
    <cellStyle name="Normal 10 2 2 5 2 2 2 3 2" xfId="7870" xr:uid="{560636C9-C4EB-43F5-B907-C4BCB379E4B7}"/>
    <cellStyle name="Normal 10 2 2 5 2 2 2 3 2 2" xfId="7871" xr:uid="{2C72B89F-451E-4190-8D1F-F86BCCDEB77B}"/>
    <cellStyle name="Normal 10 2 2 5 2 2 2 3 2 2 2" xfId="7872" xr:uid="{680CC47E-9B03-4BF2-988F-F07AE60563F7}"/>
    <cellStyle name="Normal 10 2 2 5 2 2 2 3 2 2 2 2" xfId="7873" xr:uid="{60A20314-1965-43FA-B475-54DD42BCF72A}"/>
    <cellStyle name="Normal 10 2 2 5 2 2 2 3 2 2 3" xfId="7874" xr:uid="{CED6E41C-4B61-4277-BF45-31F799F2B8BF}"/>
    <cellStyle name="Normal 10 2 2 5 2 2 2 3 2 3" xfId="7875" xr:uid="{2BE0B6EC-3239-4CFF-ADD4-6D54BEF00CCE}"/>
    <cellStyle name="Normal 10 2 2 5 2 2 2 3 2 3 2" xfId="7876" xr:uid="{4522D1A1-C80E-44DB-B25C-96D6ED0F4216}"/>
    <cellStyle name="Normal 10 2 2 5 2 2 2 3 2 4" xfId="7877" xr:uid="{ECEC7BA3-CBEB-43B0-ABD3-BB5491DFFA08}"/>
    <cellStyle name="Normal 10 2 2 5 2 2 2 3 3" xfId="7878" xr:uid="{7423BAB3-CB06-42B1-AAF5-16D5E1195BDE}"/>
    <cellStyle name="Normal 10 2 2 5 2 2 2 3 3 2" xfId="7879" xr:uid="{C6791D7E-EBDA-41EF-B24F-F32E6591DB2C}"/>
    <cellStyle name="Normal 10 2 2 5 2 2 2 3 3 2 2" xfId="7880" xr:uid="{104D64FA-D6FF-4393-A2DB-9A762C672434}"/>
    <cellStyle name="Normal 10 2 2 5 2 2 2 3 3 3" xfId="7881" xr:uid="{3587954C-740E-42F1-B711-2730920FE0B1}"/>
    <cellStyle name="Normal 10 2 2 5 2 2 2 3 4" xfId="7882" xr:uid="{18CBF03F-3E7E-4DC3-BDAA-4958A6CE4C03}"/>
    <cellStyle name="Normal 10 2 2 5 2 2 2 3 4 2" xfId="7883" xr:uid="{DA108509-1198-46CD-8445-1FC0F87E66C3}"/>
    <cellStyle name="Normal 10 2 2 5 2 2 2 3 5" xfId="7884" xr:uid="{8C882E79-D137-4D02-9C27-4E2ADC69F0DC}"/>
    <cellStyle name="Normal 10 2 2 5 2 2 2 4" xfId="7885" xr:uid="{C4192658-F307-4056-A93E-BCF0EB527AF5}"/>
    <cellStyle name="Normal 10 2 2 5 2 2 2 4 2" xfId="7886" xr:uid="{BEF38F7C-B7EA-4A0D-935D-7D4946019B2F}"/>
    <cellStyle name="Normal 10 2 2 5 2 2 2 4 2 2" xfId="7887" xr:uid="{DC610783-1CB2-41F9-B467-54BE73EBA6DC}"/>
    <cellStyle name="Normal 10 2 2 5 2 2 2 4 2 2 2" xfId="7888" xr:uid="{01B0AEC3-409D-410F-A9F3-298A30FE3BAE}"/>
    <cellStyle name="Normal 10 2 2 5 2 2 2 4 2 3" xfId="7889" xr:uid="{77479A99-D00B-42BA-960C-48C0E1523CFE}"/>
    <cellStyle name="Normal 10 2 2 5 2 2 2 4 3" xfId="7890" xr:uid="{B50AF036-4376-4BCF-853F-DA5E183DDBBD}"/>
    <cellStyle name="Normal 10 2 2 5 2 2 2 4 3 2" xfId="7891" xr:uid="{5ADEAF5D-CB5A-4608-9563-A28046F0523D}"/>
    <cellStyle name="Normal 10 2 2 5 2 2 2 4 4" xfId="7892" xr:uid="{51623833-6089-43BB-9541-F38EDB5C294F}"/>
    <cellStyle name="Normal 10 2 2 5 2 2 2 5" xfId="7893" xr:uid="{D85789B9-2B26-4DE4-A3D2-DE1FDBB3AE03}"/>
    <cellStyle name="Normal 10 2 2 5 2 2 2 5 2" xfId="7894" xr:uid="{B1D8B970-F336-4EA7-83BE-2889BF8E79CD}"/>
    <cellStyle name="Normal 10 2 2 5 2 2 2 5 2 2" xfId="7895" xr:uid="{29E7F400-FF82-42E1-A6C4-9E4FEFB25FF1}"/>
    <cellStyle name="Normal 10 2 2 5 2 2 2 5 3" xfId="7896" xr:uid="{769D301B-0A4D-4DBC-9FA1-4C50809C1E85}"/>
    <cellStyle name="Normal 10 2 2 5 2 2 2 6" xfId="7897" xr:uid="{A1A2B0FE-E130-45C7-B0BE-A36E0853DCAE}"/>
    <cellStyle name="Normal 10 2 2 5 2 2 2 6 2" xfId="7898" xr:uid="{BDB288E2-FDCB-4EB7-BA04-FCEFCF1A3EE6}"/>
    <cellStyle name="Normal 10 2 2 5 2 2 2 7" xfId="7899" xr:uid="{412A2D95-619F-4EF9-9AE7-65B9B75AEE45}"/>
    <cellStyle name="Normal 10 2 2 5 2 2 3" xfId="7900" xr:uid="{A29D39E7-E2AE-4289-892C-F90298906BCF}"/>
    <cellStyle name="Normal 10 2 2 5 2 2 3 2" xfId="7901" xr:uid="{7B7BDB16-E271-4387-8654-29F436B7DC59}"/>
    <cellStyle name="Normal 10 2 2 5 2 2 3 2 2" xfId="7902" xr:uid="{EFE4A932-110F-49CD-B726-4C7F930030B7}"/>
    <cellStyle name="Normal 10 2 2 5 2 2 3 2 2 2" xfId="7903" xr:uid="{F8EFE2FD-C1D9-4739-B195-82D8BCCDB1AA}"/>
    <cellStyle name="Normal 10 2 2 5 2 2 3 2 2 2 2" xfId="7904" xr:uid="{127C4D97-1AAB-41D5-A5CD-050D0F00F37A}"/>
    <cellStyle name="Normal 10 2 2 5 2 2 3 2 2 2 2 2" xfId="7905" xr:uid="{2BF4ECB7-6B27-4124-A08A-570B2C601C58}"/>
    <cellStyle name="Normal 10 2 2 5 2 2 3 2 2 2 3" xfId="7906" xr:uid="{D0EEFDBC-1CAD-40BA-A2BB-7BF8B58E3C47}"/>
    <cellStyle name="Normal 10 2 2 5 2 2 3 2 2 3" xfId="7907" xr:uid="{E52D67D8-89C3-4BEF-A451-07CBE63634CF}"/>
    <cellStyle name="Normal 10 2 2 5 2 2 3 2 2 3 2" xfId="7908" xr:uid="{45A4CADD-30E7-4691-9130-C6BA2A69EF92}"/>
    <cellStyle name="Normal 10 2 2 5 2 2 3 2 2 4" xfId="7909" xr:uid="{F3F7895C-9450-437F-9E33-0250E3E679D0}"/>
    <cellStyle name="Normal 10 2 2 5 2 2 3 2 3" xfId="7910" xr:uid="{03490147-C181-4BDA-844B-2AE4019ACA26}"/>
    <cellStyle name="Normal 10 2 2 5 2 2 3 2 3 2" xfId="7911" xr:uid="{A5F58736-B4F3-4BBE-B78E-A6D423B248EB}"/>
    <cellStyle name="Normal 10 2 2 5 2 2 3 2 3 2 2" xfId="7912" xr:uid="{AFA0858C-9733-46CE-9A20-F7E9BF461A2D}"/>
    <cellStyle name="Normal 10 2 2 5 2 2 3 2 3 3" xfId="7913" xr:uid="{E42FED10-29E3-4806-AE12-174A6FAC9024}"/>
    <cellStyle name="Normal 10 2 2 5 2 2 3 2 4" xfId="7914" xr:uid="{28E38408-F196-406A-8ABB-9F0456CE75E9}"/>
    <cellStyle name="Normal 10 2 2 5 2 2 3 2 4 2" xfId="7915" xr:uid="{FCFA4CCE-4913-4152-9B12-40B506DDFA44}"/>
    <cellStyle name="Normal 10 2 2 5 2 2 3 2 5" xfId="7916" xr:uid="{7A8DA0EA-960A-4524-AFBC-574CA079D629}"/>
    <cellStyle name="Normal 10 2 2 5 2 2 3 3" xfId="7917" xr:uid="{0A698976-C552-45F2-BF32-6E0212AF0475}"/>
    <cellStyle name="Normal 10 2 2 5 2 2 3 3 2" xfId="7918" xr:uid="{A09413CA-7091-4736-B802-C92D0E97561F}"/>
    <cellStyle name="Normal 10 2 2 5 2 2 3 3 2 2" xfId="7919" xr:uid="{4A057BA6-0C3A-46A4-A0AC-1554F67CDDCD}"/>
    <cellStyle name="Normal 10 2 2 5 2 2 3 3 2 2 2" xfId="7920" xr:uid="{91083DA4-06EB-43F1-8D78-88B22B09CE62}"/>
    <cellStyle name="Normal 10 2 2 5 2 2 3 3 2 3" xfId="7921" xr:uid="{D35A22D0-ECCF-48B6-BDDE-0EDBAE2ECB13}"/>
    <cellStyle name="Normal 10 2 2 5 2 2 3 3 3" xfId="7922" xr:uid="{ADE23FB8-3A69-4876-B016-BBFC6B612531}"/>
    <cellStyle name="Normal 10 2 2 5 2 2 3 3 3 2" xfId="7923" xr:uid="{0789A12D-E85C-4F0A-9D5E-4F6172747CE3}"/>
    <cellStyle name="Normal 10 2 2 5 2 2 3 3 4" xfId="7924" xr:uid="{4275B2EE-135B-4BE7-BF2B-55CEE19C71F4}"/>
    <cellStyle name="Normal 10 2 2 5 2 2 3 4" xfId="7925" xr:uid="{736488F8-AB64-4DAB-909C-6DBE85FD32B0}"/>
    <cellStyle name="Normal 10 2 2 5 2 2 3 4 2" xfId="7926" xr:uid="{997CA891-F706-4850-A0EA-8FCCF2541A93}"/>
    <cellStyle name="Normal 10 2 2 5 2 2 3 4 2 2" xfId="7927" xr:uid="{35496864-2E97-42E3-B0E3-E4DE4B618D1C}"/>
    <cellStyle name="Normal 10 2 2 5 2 2 3 4 3" xfId="7928" xr:uid="{13B44DF3-CEEE-49C3-9616-E9D4BD83B67C}"/>
    <cellStyle name="Normal 10 2 2 5 2 2 3 5" xfId="7929" xr:uid="{FE5846FD-B917-4BAE-BCEB-CFBD30A5B650}"/>
    <cellStyle name="Normal 10 2 2 5 2 2 3 5 2" xfId="7930" xr:uid="{C50D9644-17BB-4C42-87ED-D541E04A8A51}"/>
    <cellStyle name="Normal 10 2 2 5 2 2 3 6" xfId="7931" xr:uid="{A82A95F3-F8EB-453A-8FB9-B604FD5D2963}"/>
    <cellStyle name="Normal 10 2 2 5 2 2 4" xfId="7932" xr:uid="{93FC2E32-49C0-43F2-BE08-5B35059F97AA}"/>
    <cellStyle name="Normal 10 2 2 5 2 2 4 2" xfId="7933" xr:uid="{CBC1248D-7C81-42E5-B838-3FEFF817D0B4}"/>
    <cellStyle name="Normal 10 2 2 5 2 2 4 2 2" xfId="7934" xr:uid="{5356C603-4EB5-492A-90C7-1246C43C5D0B}"/>
    <cellStyle name="Normal 10 2 2 5 2 2 4 2 2 2" xfId="7935" xr:uid="{FD31A874-85C5-441D-B816-88923A8CFBE1}"/>
    <cellStyle name="Normal 10 2 2 5 2 2 4 2 2 2 2" xfId="7936" xr:uid="{100A692D-2FEE-4107-826D-E9F88F80F7F8}"/>
    <cellStyle name="Normal 10 2 2 5 2 2 4 2 2 3" xfId="7937" xr:uid="{96B33FB5-73E5-4D6B-807E-78361963EB1F}"/>
    <cellStyle name="Normal 10 2 2 5 2 2 4 2 3" xfId="7938" xr:uid="{B2A72BAB-FA38-4243-8B57-A7C09876D362}"/>
    <cellStyle name="Normal 10 2 2 5 2 2 4 2 3 2" xfId="7939" xr:uid="{DD999B59-F9CD-4329-9E9F-815EF0EC06E5}"/>
    <cellStyle name="Normal 10 2 2 5 2 2 4 2 4" xfId="7940" xr:uid="{384CA106-4DD3-4EEA-8867-A2248EC12041}"/>
    <cellStyle name="Normal 10 2 2 5 2 2 4 3" xfId="7941" xr:uid="{019C5233-CE7E-4D92-8262-4F71FF37D8A3}"/>
    <cellStyle name="Normal 10 2 2 5 2 2 4 3 2" xfId="7942" xr:uid="{E12EF4EA-17D5-4175-A6F8-4BB4CF3625DF}"/>
    <cellStyle name="Normal 10 2 2 5 2 2 4 3 2 2" xfId="7943" xr:uid="{2F4E904E-CEEB-4B17-AF14-A303B4FC2A42}"/>
    <cellStyle name="Normal 10 2 2 5 2 2 4 3 3" xfId="7944" xr:uid="{666B6DB3-2823-444C-8119-9728FD366AC3}"/>
    <cellStyle name="Normal 10 2 2 5 2 2 4 4" xfId="7945" xr:uid="{308E0BBA-8BA8-49A1-BA8B-8656F5873BD8}"/>
    <cellStyle name="Normal 10 2 2 5 2 2 4 4 2" xfId="7946" xr:uid="{2C5206A0-5AF1-4CF2-BE61-C0BF51F7B643}"/>
    <cellStyle name="Normal 10 2 2 5 2 2 4 5" xfId="7947" xr:uid="{E30C60B0-D54F-4E20-8824-9E312D682460}"/>
    <cellStyle name="Normal 10 2 2 5 2 2 5" xfId="7948" xr:uid="{9A65DDEA-763E-473F-AC67-47A4822ECB45}"/>
    <cellStyle name="Normal 10 2 2 5 2 2 5 2" xfId="7949" xr:uid="{07BBEDDE-88B7-45A0-8599-851758A93587}"/>
    <cellStyle name="Normal 10 2 2 5 2 2 5 2 2" xfId="7950" xr:uid="{E11F1C38-891B-44F5-A4D2-D9D39DD09876}"/>
    <cellStyle name="Normal 10 2 2 5 2 2 5 2 2 2" xfId="7951" xr:uid="{F514F37F-94E9-4F00-AEAD-2A997554E55A}"/>
    <cellStyle name="Normal 10 2 2 5 2 2 5 2 3" xfId="7952" xr:uid="{6DA4DDD3-2F52-4C24-9078-F75BC3A179BC}"/>
    <cellStyle name="Normal 10 2 2 5 2 2 5 3" xfId="7953" xr:uid="{F8109D54-9125-4B06-8FAF-FF050180A169}"/>
    <cellStyle name="Normal 10 2 2 5 2 2 5 3 2" xfId="7954" xr:uid="{AAE9617B-F215-4325-959B-B204C8711AC5}"/>
    <cellStyle name="Normal 10 2 2 5 2 2 5 4" xfId="7955" xr:uid="{24DF664D-D94E-4C8A-974B-E85E16BA51AF}"/>
    <cellStyle name="Normal 10 2 2 5 2 2 6" xfId="7956" xr:uid="{7D03A305-50E8-44E7-BE5A-E058C2A85B68}"/>
    <cellStyle name="Normal 10 2 2 5 2 2 6 2" xfId="7957" xr:uid="{2E96B5F9-973F-494E-8DC3-2626425C0F73}"/>
    <cellStyle name="Normal 10 2 2 5 2 2 6 2 2" xfId="7958" xr:uid="{5A7513E8-2A29-4B90-95BD-964D9A18975A}"/>
    <cellStyle name="Normal 10 2 2 5 2 2 6 3" xfId="7959" xr:uid="{3BF6DC72-6B54-4D3C-8392-63F8ED32974E}"/>
    <cellStyle name="Normal 10 2 2 5 2 2 7" xfId="7960" xr:uid="{C58266DA-FDEF-49F3-8D51-C74F2C948502}"/>
    <cellStyle name="Normal 10 2 2 5 2 2 7 2" xfId="7961" xr:uid="{9708AA42-BE8F-428B-833C-0D0F79A26053}"/>
    <cellStyle name="Normal 10 2 2 5 2 2 8" xfId="7962" xr:uid="{E1C8BF4F-D8F1-4CD3-8D9A-265F13DDE81E}"/>
    <cellStyle name="Normal 10 2 2 5 2 3" xfId="7963" xr:uid="{D829A658-E08B-4B62-A492-8A5AB54E8FF7}"/>
    <cellStyle name="Normal 10 2 2 5 2 3 2" xfId="7964" xr:uid="{73131B97-025D-43D6-AB4C-CEDC087461EC}"/>
    <cellStyle name="Normal 10 2 2 5 2 3 2 2" xfId="7965" xr:uid="{E89B8CC1-69A4-407B-B4A1-B17328FA7BF9}"/>
    <cellStyle name="Normal 10 2 2 5 2 3 2 2 2" xfId="7966" xr:uid="{4681E7A7-7E55-4957-8928-85DFDCC595F7}"/>
    <cellStyle name="Normal 10 2 2 5 2 3 2 2 2 2" xfId="7967" xr:uid="{D90640A9-397D-4EDA-BA80-2347F512322F}"/>
    <cellStyle name="Normal 10 2 2 5 2 3 2 2 2 2 2" xfId="7968" xr:uid="{2C77D301-3800-45FF-A120-37FB089CFEA5}"/>
    <cellStyle name="Normal 10 2 2 5 2 3 2 2 2 2 2 2" xfId="7969" xr:uid="{56F86E46-F5F7-487B-98A7-A1EAE6FC38BE}"/>
    <cellStyle name="Normal 10 2 2 5 2 3 2 2 2 2 3" xfId="7970" xr:uid="{A9D8F150-A7EF-462B-AFA4-7F16FD677C92}"/>
    <cellStyle name="Normal 10 2 2 5 2 3 2 2 2 3" xfId="7971" xr:uid="{FA2EDB55-F7A1-41CA-A321-9771BE14F209}"/>
    <cellStyle name="Normal 10 2 2 5 2 3 2 2 2 3 2" xfId="7972" xr:uid="{3C79A609-831B-4B47-A7A2-53A8BF5F8A7A}"/>
    <cellStyle name="Normal 10 2 2 5 2 3 2 2 2 4" xfId="7973" xr:uid="{AA3A889B-CE8F-4BCC-BA75-2948BD95B442}"/>
    <cellStyle name="Normal 10 2 2 5 2 3 2 2 3" xfId="7974" xr:uid="{449509BC-DD04-4D26-BC67-9A09F5DDBDAB}"/>
    <cellStyle name="Normal 10 2 2 5 2 3 2 2 3 2" xfId="7975" xr:uid="{5EFBBCB3-1BFB-4A14-ACC0-14C458CE2ACB}"/>
    <cellStyle name="Normal 10 2 2 5 2 3 2 2 3 2 2" xfId="7976" xr:uid="{F7B7C717-3A25-44BE-93D5-7F55EA53D15F}"/>
    <cellStyle name="Normal 10 2 2 5 2 3 2 2 3 3" xfId="7977" xr:uid="{9F445D09-D8E3-42AF-A156-FC6106A16043}"/>
    <cellStyle name="Normal 10 2 2 5 2 3 2 2 4" xfId="7978" xr:uid="{F3E3DC90-3909-497B-B347-05E516616496}"/>
    <cellStyle name="Normal 10 2 2 5 2 3 2 2 4 2" xfId="7979" xr:uid="{5BE3991F-FD04-4F99-A054-2B8F5CD9868E}"/>
    <cellStyle name="Normal 10 2 2 5 2 3 2 2 5" xfId="7980" xr:uid="{2B00C500-7B1C-4252-A55B-AF2EF5A739EB}"/>
    <cellStyle name="Normal 10 2 2 5 2 3 2 3" xfId="7981" xr:uid="{D02E17CD-C480-4B53-8A35-0960BDEAC1F0}"/>
    <cellStyle name="Normal 10 2 2 5 2 3 2 3 2" xfId="7982" xr:uid="{1B4FE892-C7C4-4EA4-A87B-2C123E96AAAA}"/>
    <cellStyle name="Normal 10 2 2 5 2 3 2 3 2 2" xfId="7983" xr:uid="{7442F28B-0212-4BB7-8974-4B1EE577D70D}"/>
    <cellStyle name="Normal 10 2 2 5 2 3 2 3 2 2 2" xfId="7984" xr:uid="{A5500F98-2A2E-434F-9E3E-364F8E35C630}"/>
    <cellStyle name="Normal 10 2 2 5 2 3 2 3 2 3" xfId="7985" xr:uid="{2514E60F-5A35-4707-8985-8B758392BAC7}"/>
    <cellStyle name="Normal 10 2 2 5 2 3 2 3 3" xfId="7986" xr:uid="{DE6A7300-B686-47A9-AB7A-396E1E4EDA79}"/>
    <cellStyle name="Normal 10 2 2 5 2 3 2 3 3 2" xfId="7987" xr:uid="{83741869-FA46-4D3C-AFBA-51BF6220E91A}"/>
    <cellStyle name="Normal 10 2 2 5 2 3 2 3 4" xfId="7988" xr:uid="{1322652E-E75B-4100-8547-84471FB6A197}"/>
    <cellStyle name="Normal 10 2 2 5 2 3 2 4" xfId="7989" xr:uid="{051FBBD3-EA25-455F-8E56-BAAB78520FF9}"/>
    <cellStyle name="Normal 10 2 2 5 2 3 2 4 2" xfId="7990" xr:uid="{924C09D2-5C55-48E8-AA1B-A0064895D461}"/>
    <cellStyle name="Normal 10 2 2 5 2 3 2 4 2 2" xfId="7991" xr:uid="{E3224CCE-ADCA-42F6-A3FC-9E75D3CEB1D6}"/>
    <cellStyle name="Normal 10 2 2 5 2 3 2 4 3" xfId="7992" xr:uid="{9BD4BDAB-DCDE-4947-A65A-4C40864B045E}"/>
    <cellStyle name="Normal 10 2 2 5 2 3 2 5" xfId="7993" xr:uid="{64A5F2D8-71DA-43F6-B42A-02A156C9A10F}"/>
    <cellStyle name="Normal 10 2 2 5 2 3 2 5 2" xfId="7994" xr:uid="{E01AA445-8BDC-4642-B612-80E4B18F9A83}"/>
    <cellStyle name="Normal 10 2 2 5 2 3 2 6" xfId="7995" xr:uid="{E7023522-58B9-4B24-8402-6A2DF110F506}"/>
    <cellStyle name="Normal 10 2 2 5 2 3 3" xfId="7996" xr:uid="{590C26D0-88CD-429B-86A7-D7F6375B6684}"/>
    <cellStyle name="Normal 10 2 2 5 2 3 3 2" xfId="7997" xr:uid="{BCE74DFB-8A1D-45FE-B60F-4ECBE8A780EF}"/>
    <cellStyle name="Normal 10 2 2 5 2 3 3 2 2" xfId="7998" xr:uid="{F52185EC-2FF2-4A47-94EE-042E5C2C0B62}"/>
    <cellStyle name="Normal 10 2 2 5 2 3 3 2 2 2" xfId="7999" xr:uid="{13F03522-58D9-4A25-AF96-A00AE258E0B0}"/>
    <cellStyle name="Normal 10 2 2 5 2 3 3 2 2 2 2" xfId="8000" xr:uid="{BE308E21-7425-4641-8D1B-63EA116DBA1B}"/>
    <cellStyle name="Normal 10 2 2 5 2 3 3 2 2 3" xfId="8001" xr:uid="{45D2C015-8923-4138-9CE4-BB46047A6916}"/>
    <cellStyle name="Normal 10 2 2 5 2 3 3 2 3" xfId="8002" xr:uid="{99B56628-B7C0-4031-AE10-C075A40EF99C}"/>
    <cellStyle name="Normal 10 2 2 5 2 3 3 2 3 2" xfId="8003" xr:uid="{F1CD2577-48FF-4452-AD86-31C85AF584A5}"/>
    <cellStyle name="Normal 10 2 2 5 2 3 3 2 4" xfId="8004" xr:uid="{759BB59E-404A-4E5B-BD39-7C997243BF18}"/>
    <cellStyle name="Normal 10 2 2 5 2 3 3 3" xfId="8005" xr:uid="{AD471C36-5165-4948-A7E9-BD16A2A471E7}"/>
    <cellStyle name="Normal 10 2 2 5 2 3 3 3 2" xfId="8006" xr:uid="{8AE3C8AD-C161-4494-ABDC-B86318285B34}"/>
    <cellStyle name="Normal 10 2 2 5 2 3 3 3 2 2" xfId="8007" xr:uid="{873BDDE9-F40C-47A7-8C11-302F61C2C39B}"/>
    <cellStyle name="Normal 10 2 2 5 2 3 3 3 3" xfId="8008" xr:uid="{A7369B37-DB55-4048-8B0A-66B893C89A5F}"/>
    <cellStyle name="Normal 10 2 2 5 2 3 3 4" xfId="8009" xr:uid="{253BC37E-6E62-4C10-9A1A-9C669F554C5A}"/>
    <cellStyle name="Normal 10 2 2 5 2 3 3 4 2" xfId="8010" xr:uid="{5939C95F-756E-4088-A144-DD5FDF90BA88}"/>
    <cellStyle name="Normal 10 2 2 5 2 3 3 5" xfId="8011" xr:uid="{0EBEC925-3967-46A7-B6C5-B84658B26D13}"/>
    <cellStyle name="Normal 10 2 2 5 2 3 4" xfId="8012" xr:uid="{3D91F95F-D936-4A33-9DA7-C5604F2370D3}"/>
    <cellStyle name="Normal 10 2 2 5 2 3 4 2" xfId="8013" xr:uid="{6684A1FD-F29A-4720-A302-CD25F640484E}"/>
    <cellStyle name="Normal 10 2 2 5 2 3 4 2 2" xfId="8014" xr:uid="{6C2FAC03-4C2F-4334-B1E8-772E8E461A5C}"/>
    <cellStyle name="Normal 10 2 2 5 2 3 4 2 2 2" xfId="8015" xr:uid="{6E63946B-F27C-4FAA-BA90-2666F04C4890}"/>
    <cellStyle name="Normal 10 2 2 5 2 3 4 2 3" xfId="8016" xr:uid="{976B638B-83F9-49F6-B8B1-CADEEC00BDFA}"/>
    <cellStyle name="Normal 10 2 2 5 2 3 4 3" xfId="8017" xr:uid="{48D0E634-5FA3-49CB-8DBA-6376EF15C45E}"/>
    <cellStyle name="Normal 10 2 2 5 2 3 4 3 2" xfId="8018" xr:uid="{709FBEFD-3E10-4D5F-9BBF-EE0080EA693A}"/>
    <cellStyle name="Normal 10 2 2 5 2 3 4 4" xfId="8019" xr:uid="{E8AFB572-B171-423A-A1A2-8671DDBA97B8}"/>
    <cellStyle name="Normal 10 2 2 5 2 3 5" xfId="8020" xr:uid="{4DE6452D-533A-477F-A9F4-7C43D89B8A4D}"/>
    <cellStyle name="Normal 10 2 2 5 2 3 5 2" xfId="8021" xr:uid="{F261F817-E29E-498A-AD78-B44FB3A81941}"/>
    <cellStyle name="Normal 10 2 2 5 2 3 5 2 2" xfId="8022" xr:uid="{39494415-1CAA-42B0-A0B0-7D51B100E98B}"/>
    <cellStyle name="Normal 10 2 2 5 2 3 5 3" xfId="8023" xr:uid="{DB76F26B-A535-48DE-94E6-0789330B21FA}"/>
    <cellStyle name="Normal 10 2 2 5 2 3 6" xfId="8024" xr:uid="{0B2329C4-81AF-432C-B7B5-FE3EB19FAFB2}"/>
    <cellStyle name="Normal 10 2 2 5 2 3 6 2" xfId="8025" xr:uid="{3FB48195-9BE6-4B92-B3F5-DC6EB5B0D784}"/>
    <cellStyle name="Normal 10 2 2 5 2 3 7" xfId="8026" xr:uid="{3410529E-086E-4A12-841B-EAC6DC9C8BC2}"/>
    <cellStyle name="Normal 10 2 2 5 2 4" xfId="8027" xr:uid="{E7F7B31A-5936-472C-ABCF-386CC48C6654}"/>
    <cellStyle name="Normal 10 2 2 5 2 4 2" xfId="8028" xr:uid="{46921B8C-983B-4DA2-ADBA-82142A509240}"/>
    <cellStyle name="Normal 10 2 2 5 2 4 2 2" xfId="8029" xr:uid="{48E870D8-7C80-4C74-A6A5-0706F442F8E8}"/>
    <cellStyle name="Normal 10 2 2 5 2 4 2 2 2" xfId="8030" xr:uid="{DC9EA6C1-FDBB-4CEF-B69C-A4284607BC97}"/>
    <cellStyle name="Normal 10 2 2 5 2 4 2 2 2 2" xfId="8031" xr:uid="{99802DDD-F174-4BEF-9229-19BE3769FA23}"/>
    <cellStyle name="Normal 10 2 2 5 2 4 2 2 2 2 2" xfId="8032" xr:uid="{AC501350-B1A7-4593-8941-99FC81BDD02F}"/>
    <cellStyle name="Normal 10 2 2 5 2 4 2 2 2 3" xfId="8033" xr:uid="{48D307DA-61F5-4BD8-ADE5-7E73A445058E}"/>
    <cellStyle name="Normal 10 2 2 5 2 4 2 2 3" xfId="8034" xr:uid="{E7B713BE-30AC-4299-B9F9-50C81CE7E98B}"/>
    <cellStyle name="Normal 10 2 2 5 2 4 2 2 3 2" xfId="8035" xr:uid="{0BDD6CD4-7ACF-4C05-99EF-93980C9FE475}"/>
    <cellStyle name="Normal 10 2 2 5 2 4 2 2 4" xfId="8036" xr:uid="{176D5FC7-B6AC-42CD-9222-2C51980B924D}"/>
    <cellStyle name="Normal 10 2 2 5 2 4 2 3" xfId="8037" xr:uid="{3D901334-B17C-4F28-B863-3B37AFD45E16}"/>
    <cellStyle name="Normal 10 2 2 5 2 4 2 3 2" xfId="8038" xr:uid="{1111BBB9-43AE-47C7-BA49-E5FCC047BEA4}"/>
    <cellStyle name="Normal 10 2 2 5 2 4 2 3 2 2" xfId="8039" xr:uid="{314161D5-5B22-4FE7-A15D-1BD02DFB4EF2}"/>
    <cellStyle name="Normal 10 2 2 5 2 4 2 3 3" xfId="8040" xr:uid="{72852BF7-B90D-4E0B-97F1-3F540572B625}"/>
    <cellStyle name="Normal 10 2 2 5 2 4 2 4" xfId="8041" xr:uid="{0BB1F311-FF36-4924-9188-F35C6BE1D084}"/>
    <cellStyle name="Normal 10 2 2 5 2 4 2 4 2" xfId="8042" xr:uid="{D0D64411-63D1-4A6E-A9D4-E7B89D3C0EE7}"/>
    <cellStyle name="Normal 10 2 2 5 2 4 2 5" xfId="8043" xr:uid="{1688E672-F521-4325-B63D-C892E4210804}"/>
    <cellStyle name="Normal 10 2 2 5 2 4 3" xfId="8044" xr:uid="{15FAFEDD-215B-4636-AC78-BE3673EB3859}"/>
    <cellStyle name="Normal 10 2 2 5 2 4 3 2" xfId="8045" xr:uid="{13A905E3-3761-4B81-AE2B-9D0025ABD652}"/>
    <cellStyle name="Normal 10 2 2 5 2 4 3 2 2" xfId="8046" xr:uid="{C4B986D2-C155-4B4B-8265-63BCE331A1F7}"/>
    <cellStyle name="Normal 10 2 2 5 2 4 3 2 2 2" xfId="8047" xr:uid="{B81C57B9-993E-4FA5-8F4A-069A16969D9A}"/>
    <cellStyle name="Normal 10 2 2 5 2 4 3 2 3" xfId="8048" xr:uid="{D4199E9B-7A06-4C6D-8B10-370F12003690}"/>
    <cellStyle name="Normal 10 2 2 5 2 4 3 3" xfId="8049" xr:uid="{7EA55373-C2D8-4BA8-9E74-245C759958C5}"/>
    <cellStyle name="Normal 10 2 2 5 2 4 3 3 2" xfId="8050" xr:uid="{B6958A58-0A51-4364-A787-F3E7E3CF94F9}"/>
    <cellStyle name="Normal 10 2 2 5 2 4 3 4" xfId="8051" xr:uid="{60A67CCE-AF5F-46E2-AFFD-A3491D862EED}"/>
    <cellStyle name="Normal 10 2 2 5 2 4 4" xfId="8052" xr:uid="{DB9710B0-220B-4986-B41D-DF0A54D4CD2D}"/>
    <cellStyle name="Normal 10 2 2 5 2 4 4 2" xfId="8053" xr:uid="{33E3C6B6-E411-4594-AF46-7E665BA41A85}"/>
    <cellStyle name="Normal 10 2 2 5 2 4 4 2 2" xfId="8054" xr:uid="{E8DBCFA4-9474-4BA1-989F-95277BFAE746}"/>
    <cellStyle name="Normal 10 2 2 5 2 4 4 3" xfId="8055" xr:uid="{D42691B4-AD0E-4F54-83D6-AFE69A2664D9}"/>
    <cellStyle name="Normal 10 2 2 5 2 4 5" xfId="8056" xr:uid="{E217529A-01CE-48F2-811B-2F23E3B8C019}"/>
    <cellStyle name="Normal 10 2 2 5 2 4 5 2" xfId="8057" xr:uid="{734A005D-8C21-4024-9661-EA5B128DB2B4}"/>
    <cellStyle name="Normal 10 2 2 5 2 4 6" xfId="8058" xr:uid="{4E03EE46-2965-4102-84CB-5B62AB06E2EF}"/>
    <cellStyle name="Normal 10 2 2 5 2 5" xfId="8059" xr:uid="{48872437-FDE4-4E58-90F8-2B4B72607757}"/>
    <cellStyle name="Normal 10 2 2 5 2 5 2" xfId="8060" xr:uid="{8B094216-C176-4263-8066-CA498529678C}"/>
    <cellStyle name="Normal 10 2 2 5 2 5 2 2" xfId="8061" xr:uid="{5E85ABEA-982C-4C7A-9D16-9219A7943D09}"/>
    <cellStyle name="Normal 10 2 2 5 2 5 2 2 2" xfId="8062" xr:uid="{07589373-73AA-47E4-B17A-CA194399098E}"/>
    <cellStyle name="Normal 10 2 2 5 2 5 2 2 2 2" xfId="8063" xr:uid="{8F71334B-EF61-497B-89AD-9C82AC35C0FA}"/>
    <cellStyle name="Normal 10 2 2 5 2 5 2 2 3" xfId="8064" xr:uid="{EBE8777F-8293-416E-B5CC-024556BC873D}"/>
    <cellStyle name="Normal 10 2 2 5 2 5 2 3" xfId="8065" xr:uid="{638F89B6-CBBA-46E2-BC98-257B9C4D443E}"/>
    <cellStyle name="Normal 10 2 2 5 2 5 2 3 2" xfId="8066" xr:uid="{942DC8F2-9415-4DFE-B6BB-C24AEF9B665B}"/>
    <cellStyle name="Normal 10 2 2 5 2 5 2 4" xfId="8067" xr:uid="{52B0E602-27D8-4BF0-8764-D5EB20D2C046}"/>
    <cellStyle name="Normal 10 2 2 5 2 5 3" xfId="8068" xr:uid="{318C9C40-0569-43C8-8831-F0A61863D89A}"/>
    <cellStyle name="Normal 10 2 2 5 2 5 3 2" xfId="8069" xr:uid="{13110C42-A0C6-452E-A344-6F7C3CC8006A}"/>
    <cellStyle name="Normal 10 2 2 5 2 5 3 2 2" xfId="8070" xr:uid="{ADA497A3-F7A1-45D6-941B-F4C0E1A1E108}"/>
    <cellStyle name="Normal 10 2 2 5 2 5 3 3" xfId="8071" xr:uid="{FF4BCF8F-BF28-4881-B5D2-050856183E33}"/>
    <cellStyle name="Normal 10 2 2 5 2 5 4" xfId="8072" xr:uid="{A82549C2-07B9-4E5F-994F-5E10DD8EF767}"/>
    <cellStyle name="Normal 10 2 2 5 2 5 4 2" xfId="8073" xr:uid="{4ED75CA8-F56C-4799-9D83-117137463D74}"/>
    <cellStyle name="Normal 10 2 2 5 2 5 5" xfId="8074" xr:uid="{3A58164F-D20B-4132-AA67-AEF9C9305886}"/>
    <cellStyle name="Normal 10 2 2 5 2 6" xfId="8075" xr:uid="{4F1C4CEA-20D7-4D38-9AF4-9A2A12A3399C}"/>
    <cellStyle name="Normal 10 2 2 5 2 6 2" xfId="8076" xr:uid="{B8D5741A-F6A9-4A5B-B4A1-C64822B21E88}"/>
    <cellStyle name="Normal 10 2 2 5 2 6 2 2" xfId="8077" xr:uid="{A40AF66C-E738-464D-972C-7CDDF3C0276D}"/>
    <cellStyle name="Normal 10 2 2 5 2 6 2 2 2" xfId="8078" xr:uid="{656CFA16-9EE1-4629-A296-C8A1A7E1E2BB}"/>
    <cellStyle name="Normal 10 2 2 5 2 6 2 3" xfId="8079" xr:uid="{B0AD107B-6E10-4C59-A696-8CAFA09C9AF8}"/>
    <cellStyle name="Normal 10 2 2 5 2 6 3" xfId="8080" xr:uid="{03147DC7-C17A-484F-9F2A-644958A03D73}"/>
    <cellStyle name="Normal 10 2 2 5 2 6 3 2" xfId="8081" xr:uid="{F398E9D3-4120-403E-BAA1-A0E2ADFC3089}"/>
    <cellStyle name="Normal 10 2 2 5 2 6 4" xfId="8082" xr:uid="{455F5871-A30E-4204-A807-620EA4AB0C89}"/>
    <cellStyle name="Normal 10 2 2 5 2 7" xfId="8083" xr:uid="{4ECCE010-CCA1-4A16-9438-9F17F8CB566C}"/>
    <cellStyle name="Normal 10 2 2 5 2 7 2" xfId="8084" xr:uid="{AC547BE6-988A-4C8F-BD71-28E3B0A650AE}"/>
    <cellStyle name="Normal 10 2 2 5 2 7 2 2" xfId="8085" xr:uid="{06B0BF5E-5BD0-4AD2-9E30-69C4E1ADE650}"/>
    <cellStyle name="Normal 10 2 2 5 2 7 3" xfId="8086" xr:uid="{CEEA1311-2B1E-420A-A33A-D44297060E30}"/>
    <cellStyle name="Normal 10 2 2 5 2 8" xfId="8087" xr:uid="{C1CD474F-C13E-4D9C-8A81-B2F6BB450838}"/>
    <cellStyle name="Normal 10 2 2 5 2 8 2" xfId="8088" xr:uid="{2FF22387-F85A-4245-810B-95FA2E13456A}"/>
    <cellStyle name="Normal 10 2 2 5 2 9" xfId="8089" xr:uid="{901BB376-2355-4E21-B4E6-7192A25ECCEF}"/>
    <cellStyle name="Normal 10 2 2 5 3" xfId="489" xr:uid="{6BE0F65B-A544-4231-AC58-31380A0EE546}"/>
    <cellStyle name="Normal 10 2 2 5 3 2" xfId="8091" xr:uid="{F5FD0FD7-9CA9-44DA-B8F1-C6E0577D43C4}"/>
    <cellStyle name="Normal 10 2 2 5 3 2 2" xfId="8092" xr:uid="{A8937870-BAF4-40D7-AA33-3069F52AC4E1}"/>
    <cellStyle name="Normal 10 2 2 5 3 2 2 2" xfId="8093" xr:uid="{099FBDC8-6A96-401B-87DF-7519D8484193}"/>
    <cellStyle name="Normal 10 2 2 5 3 2 2 2 2" xfId="8094" xr:uid="{3CA4067C-E30C-40C9-93D6-71F8441605A5}"/>
    <cellStyle name="Normal 10 2 2 5 3 2 2 2 2 2" xfId="8095" xr:uid="{5132864B-B3B1-4A39-A1E9-BDBD3A3CDEC9}"/>
    <cellStyle name="Normal 10 2 2 5 3 2 2 2 2 2 2" xfId="8096" xr:uid="{FB09EDF9-EB54-4B30-8EFD-F9BA8363E7D8}"/>
    <cellStyle name="Normal 10 2 2 5 3 2 2 2 2 2 2 2" xfId="8097" xr:uid="{C860CCBF-980E-477F-8B09-63D565007C3E}"/>
    <cellStyle name="Normal 10 2 2 5 3 2 2 2 2 2 3" xfId="8098" xr:uid="{FC3EBC91-B09B-4DD7-8ACE-AC71F543E68B}"/>
    <cellStyle name="Normal 10 2 2 5 3 2 2 2 2 3" xfId="8099" xr:uid="{5FC514CD-C2E5-42CE-A1E2-2E217D0DC76D}"/>
    <cellStyle name="Normal 10 2 2 5 3 2 2 2 2 3 2" xfId="8100" xr:uid="{A80B0D23-20AF-49FE-AA8C-A2E6B24A98E8}"/>
    <cellStyle name="Normal 10 2 2 5 3 2 2 2 2 4" xfId="8101" xr:uid="{5AD67BBD-F600-4FA6-8A04-045DF033ACAC}"/>
    <cellStyle name="Normal 10 2 2 5 3 2 2 2 3" xfId="8102" xr:uid="{96320A89-B173-45AA-A7AC-974666F2F528}"/>
    <cellStyle name="Normal 10 2 2 5 3 2 2 2 3 2" xfId="8103" xr:uid="{903B9DB8-7503-4FCE-B074-26EDCD6D0999}"/>
    <cellStyle name="Normal 10 2 2 5 3 2 2 2 3 2 2" xfId="8104" xr:uid="{3663899A-EAC0-4C75-A09A-4E27366582FB}"/>
    <cellStyle name="Normal 10 2 2 5 3 2 2 2 3 3" xfId="8105" xr:uid="{AF29258E-8064-4579-8CE0-81318D3575BD}"/>
    <cellStyle name="Normal 10 2 2 5 3 2 2 2 4" xfId="8106" xr:uid="{6256A114-4970-4E5F-AE6E-BF613BBB22ED}"/>
    <cellStyle name="Normal 10 2 2 5 3 2 2 2 4 2" xfId="8107" xr:uid="{5316B95A-D842-4D38-AEAB-4993B744EB95}"/>
    <cellStyle name="Normal 10 2 2 5 3 2 2 2 5" xfId="8108" xr:uid="{8703F0DA-C3FF-4E59-9461-A84A8885101C}"/>
    <cellStyle name="Normal 10 2 2 5 3 2 2 3" xfId="8109" xr:uid="{190BAACC-B3C5-4B07-8987-6777E48EEF58}"/>
    <cellStyle name="Normal 10 2 2 5 3 2 2 3 2" xfId="8110" xr:uid="{22DBEE69-2028-4745-83E0-3ED83951DF2E}"/>
    <cellStyle name="Normal 10 2 2 5 3 2 2 3 2 2" xfId="8111" xr:uid="{0D64B451-DB3A-44CC-A2AC-CBFD32538001}"/>
    <cellStyle name="Normal 10 2 2 5 3 2 2 3 2 2 2" xfId="8112" xr:uid="{84353037-1304-4ECD-B829-E9283D0E4AA6}"/>
    <cellStyle name="Normal 10 2 2 5 3 2 2 3 2 3" xfId="8113" xr:uid="{293AF4EF-41CA-4689-B2DF-A8AF09F5B7A7}"/>
    <cellStyle name="Normal 10 2 2 5 3 2 2 3 3" xfId="8114" xr:uid="{2BDDE375-D2D9-45BB-B828-F49738D007DC}"/>
    <cellStyle name="Normal 10 2 2 5 3 2 2 3 3 2" xfId="8115" xr:uid="{7A70E78F-BE3E-4AB6-82FF-87D8D23019DF}"/>
    <cellStyle name="Normal 10 2 2 5 3 2 2 3 4" xfId="8116" xr:uid="{143B153D-3AEE-4519-BA27-1A94BF318608}"/>
    <cellStyle name="Normal 10 2 2 5 3 2 2 4" xfId="8117" xr:uid="{40B4F0D0-3EFB-4D2B-9D27-A1456B7BE388}"/>
    <cellStyle name="Normal 10 2 2 5 3 2 2 4 2" xfId="8118" xr:uid="{15F9D1B9-6881-42D3-9E24-A06ECD3DF5A8}"/>
    <cellStyle name="Normal 10 2 2 5 3 2 2 4 2 2" xfId="8119" xr:uid="{1153547C-0C19-495F-A81D-6C0991BB580F}"/>
    <cellStyle name="Normal 10 2 2 5 3 2 2 4 3" xfId="8120" xr:uid="{354B9C34-56BD-4055-B393-351CFAD4DA37}"/>
    <cellStyle name="Normal 10 2 2 5 3 2 2 5" xfId="8121" xr:uid="{DFF62607-066B-43C5-85E7-502BF8011C3D}"/>
    <cellStyle name="Normal 10 2 2 5 3 2 2 5 2" xfId="8122" xr:uid="{0BD6CE98-3B52-4476-9E78-9D0180369A99}"/>
    <cellStyle name="Normal 10 2 2 5 3 2 2 6" xfId="8123" xr:uid="{BAC1A83C-B016-48F5-B227-C0A3912B15E8}"/>
    <cellStyle name="Normal 10 2 2 5 3 2 3" xfId="8124" xr:uid="{B4D76A9D-606A-4287-8DC0-7B43C10FE909}"/>
    <cellStyle name="Normal 10 2 2 5 3 2 3 2" xfId="8125" xr:uid="{DE749F03-8CC4-4024-919A-563E69908D03}"/>
    <cellStyle name="Normal 10 2 2 5 3 2 3 2 2" xfId="8126" xr:uid="{1698CC9A-A6D0-4F06-888F-AC8AA967272A}"/>
    <cellStyle name="Normal 10 2 2 5 3 2 3 2 2 2" xfId="8127" xr:uid="{06DBBDB8-BD6A-4143-9583-7A878183CEE2}"/>
    <cellStyle name="Normal 10 2 2 5 3 2 3 2 2 2 2" xfId="8128" xr:uid="{412141E4-715C-417B-93F2-B38DD4584317}"/>
    <cellStyle name="Normal 10 2 2 5 3 2 3 2 2 3" xfId="8129" xr:uid="{F47B3AB3-0584-47C3-9134-B4DC08D7290A}"/>
    <cellStyle name="Normal 10 2 2 5 3 2 3 2 3" xfId="8130" xr:uid="{D73D2FA3-16F6-45F1-A7EA-D0A041B23E0D}"/>
    <cellStyle name="Normal 10 2 2 5 3 2 3 2 3 2" xfId="8131" xr:uid="{2AA28E10-D29F-4FF4-92A2-D886CDAAC3A4}"/>
    <cellStyle name="Normal 10 2 2 5 3 2 3 2 4" xfId="8132" xr:uid="{102ECDEF-F5FF-4463-A8E3-BB3348052DAD}"/>
    <cellStyle name="Normal 10 2 2 5 3 2 3 3" xfId="8133" xr:uid="{0BC8C4CF-0D0A-4C2B-A41E-85887AB355D5}"/>
    <cellStyle name="Normal 10 2 2 5 3 2 3 3 2" xfId="8134" xr:uid="{65B89EDB-57C7-4981-B67C-8D2CDAC0B736}"/>
    <cellStyle name="Normal 10 2 2 5 3 2 3 3 2 2" xfId="8135" xr:uid="{8014A9DC-CC80-4BA4-A82C-5DDDCBF7CB43}"/>
    <cellStyle name="Normal 10 2 2 5 3 2 3 3 3" xfId="8136" xr:uid="{480ABA4F-6FCB-4668-8A04-A2F9DA5A2011}"/>
    <cellStyle name="Normal 10 2 2 5 3 2 3 4" xfId="8137" xr:uid="{86B75FDE-5A6C-4ABC-9109-C988A1722519}"/>
    <cellStyle name="Normal 10 2 2 5 3 2 3 4 2" xfId="8138" xr:uid="{47CEC13A-440F-476B-8937-6FA45629E270}"/>
    <cellStyle name="Normal 10 2 2 5 3 2 3 5" xfId="8139" xr:uid="{1B7F0906-D984-427C-B3B6-2A4A20D4CD2A}"/>
    <cellStyle name="Normal 10 2 2 5 3 2 4" xfId="8140" xr:uid="{62E06433-4652-4C65-B740-778E03C06919}"/>
    <cellStyle name="Normal 10 2 2 5 3 2 4 2" xfId="8141" xr:uid="{C7F66D01-4862-49E5-BBB2-EEEBD35977E7}"/>
    <cellStyle name="Normal 10 2 2 5 3 2 4 2 2" xfId="8142" xr:uid="{932585CB-C151-4196-A3A0-F72CD481E330}"/>
    <cellStyle name="Normal 10 2 2 5 3 2 4 2 2 2" xfId="8143" xr:uid="{6A406E43-5CE7-4615-8191-3FB406322B7E}"/>
    <cellStyle name="Normal 10 2 2 5 3 2 4 2 3" xfId="8144" xr:uid="{050B15C7-BADF-4F3E-BD15-A82AD12ABCA3}"/>
    <cellStyle name="Normal 10 2 2 5 3 2 4 3" xfId="8145" xr:uid="{D83DBE14-16D3-426A-B4E0-66D43C991F2B}"/>
    <cellStyle name="Normal 10 2 2 5 3 2 4 3 2" xfId="8146" xr:uid="{8473BA94-A526-4D50-B2C0-2D3B111530F3}"/>
    <cellStyle name="Normal 10 2 2 5 3 2 4 4" xfId="8147" xr:uid="{39277420-611C-47F0-B937-77DCD9B35546}"/>
    <cellStyle name="Normal 10 2 2 5 3 2 5" xfId="8148" xr:uid="{F166D64B-626B-4196-9C36-020B0DAFE04B}"/>
    <cellStyle name="Normal 10 2 2 5 3 2 5 2" xfId="8149" xr:uid="{BECB4AB8-4B82-41F8-AC4E-C9150F53E78A}"/>
    <cellStyle name="Normal 10 2 2 5 3 2 5 2 2" xfId="8150" xr:uid="{55E364FB-37EB-42B6-8AAE-24FC855B13A6}"/>
    <cellStyle name="Normal 10 2 2 5 3 2 5 3" xfId="8151" xr:uid="{04C9ABD6-4D2E-4A57-9071-409538BE0333}"/>
    <cellStyle name="Normal 10 2 2 5 3 2 6" xfId="8152" xr:uid="{27F0A9AD-1E7C-448F-83FF-ED2CE2C487B0}"/>
    <cellStyle name="Normal 10 2 2 5 3 2 6 2" xfId="8153" xr:uid="{3CE966C1-1151-4F01-8AEF-DBF128925E65}"/>
    <cellStyle name="Normal 10 2 2 5 3 2 7" xfId="8154" xr:uid="{620E22B1-4AEA-4B21-9EEF-1B956BBAF7EE}"/>
    <cellStyle name="Normal 10 2 2 5 3 3" xfId="8155" xr:uid="{B103355F-712F-4BA9-BA5A-981A0A695C59}"/>
    <cellStyle name="Normal 10 2 2 5 3 3 2" xfId="8156" xr:uid="{539A56DD-12C1-4825-9AA9-709967105B03}"/>
    <cellStyle name="Normal 10 2 2 5 3 3 2 2" xfId="8157" xr:uid="{E0935625-1912-4EAD-B6BC-04D95DAC99E9}"/>
    <cellStyle name="Normal 10 2 2 5 3 3 2 2 2" xfId="8158" xr:uid="{BE7D9E19-2E12-4A1B-897E-D069908C891F}"/>
    <cellStyle name="Normal 10 2 2 5 3 3 2 2 2 2" xfId="8159" xr:uid="{16123AA5-45FE-4A77-B898-304ED6AFD18D}"/>
    <cellStyle name="Normal 10 2 2 5 3 3 2 2 2 2 2" xfId="8160" xr:uid="{6CA658E0-B90B-4FE5-8B2D-7E69EC17B665}"/>
    <cellStyle name="Normal 10 2 2 5 3 3 2 2 2 3" xfId="8161" xr:uid="{7E1CDEED-801F-479B-9899-0E884B637A8C}"/>
    <cellStyle name="Normal 10 2 2 5 3 3 2 2 3" xfId="8162" xr:uid="{82871DEA-7686-439D-9429-83B16E2D8C56}"/>
    <cellStyle name="Normal 10 2 2 5 3 3 2 2 3 2" xfId="8163" xr:uid="{AF222A25-7841-4863-8173-4AEE0AA6AAB2}"/>
    <cellStyle name="Normal 10 2 2 5 3 3 2 2 4" xfId="8164" xr:uid="{FE9ABFF1-5BBA-4B8F-B41C-4B3187958F7C}"/>
    <cellStyle name="Normal 10 2 2 5 3 3 2 3" xfId="8165" xr:uid="{A47B11D6-A29B-4A6F-A95C-75D0FC88B4C4}"/>
    <cellStyle name="Normal 10 2 2 5 3 3 2 3 2" xfId="8166" xr:uid="{04014BF4-41B8-420B-B36D-C63AE91B37B9}"/>
    <cellStyle name="Normal 10 2 2 5 3 3 2 3 2 2" xfId="8167" xr:uid="{3CA0E246-845E-42B3-8325-F51FF28D77F7}"/>
    <cellStyle name="Normal 10 2 2 5 3 3 2 3 3" xfId="8168" xr:uid="{00D4D507-7D36-4951-95CF-9A97ABAD1AF0}"/>
    <cellStyle name="Normal 10 2 2 5 3 3 2 4" xfId="8169" xr:uid="{6F63ED6F-7209-4D3C-8783-C8A47DA67DEE}"/>
    <cellStyle name="Normal 10 2 2 5 3 3 2 4 2" xfId="8170" xr:uid="{D7B84D2D-1ED0-4D4B-8B84-AC7F75731DB8}"/>
    <cellStyle name="Normal 10 2 2 5 3 3 2 5" xfId="8171" xr:uid="{4552E906-1DAC-465A-A2EC-4A638F640C4D}"/>
    <cellStyle name="Normal 10 2 2 5 3 3 3" xfId="8172" xr:uid="{D027C863-47D9-42F2-9A9D-C909CBDBFBC5}"/>
    <cellStyle name="Normal 10 2 2 5 3 3 3 2" xfId="8173" xr:uid="{666F2B60-7BA7-4CBC-B721-3A333C53F98F}"/>
    <cellStyle name="Normal 10 2 2 5 3 3 3 2 2" xfId="8174" xr:uid="{AFBCDB22-7C64-4B6B-B825-98724EB7ABCE}"/>
    <cellStyle name="Normal 10 2 2 5 3 3 3 2 2 2" xfId="8175" xr:uid="{F2F5D506-065F-4211-B5F8-D02B1BE8ADC4}"/>
    <cellStyle name="Normal 10 2 2 5 3 3 3 2 3" xfId="8176" xr:uid="{ED76450F-18C9-4DC6-8FED-8CD5F6FA7FA0}"/>
    <cellStyle name="Normal 10 2 2 5 3 3 3 3" xfId="8177" xr:uid="{7F21ADBE-AF63-4B5B-9F9B-6878AF07A428}"/>
    <cellStyle name="Normal 10 2 2 5 3 3 3 3 2" xfId="8178" xr:uid="{6A283B5B-8B1D-46A5-A23A-46F22EFFE318}"/>
    <cellStyle name="Normal 10 2 2 5 3 3 3 4" xfId="8179" xr:uid="{FEDF2B5E-4502-4941-A9B7-1BAA1213A4CF}"/>
    <cellStyle name="Normal 10 2 2 5 3 3 4" xfId="8180" xr:uid="{6B1BA79F-4223-4824-A2D4-553894CD2A37}"/>
    <cellStyle name="Normal 10 2 2 5 3 3 4 2" xfId="8181" xr:uid="{FCE89BC6-2288-4A79-8C3E-40D63535FF58}"/>
    <cellStyle name="Normal 10 2 2 5 3 3 4 2 2" xfId="8182" xr:uid="{951068A5-EB9E-43C3-B09A-51CCC58E2A24}"/>
    <cellStyle name="Normal 10 2 2 5 3 3 4 3" xfId="8183" xr:uid="{5AFC352D-4762-4931-B22A-DAE7CAEB5240}"/>
    <cellStyle name="Normal 10 2 2 5 3 3 5" xfId="8184" xr:uid="{B0DC99DD-9430-464C-8775-4D40486F0A8A}"/>
    <cellStyle name="Normal 10 2 2 5 3 3 5 2" xfId="8185" xr:uid="{92AA7912-C2BE-4540-81CE-57A37E4066CC}"/>
    <cellStyle name="Normal 10 2 2 5 3 3 6" xfId="8186" xr:uid="{9471044C-0149-4971-9615-44ACC8524D40}"/>
    <cellStyle name="Normal 10 2 2 5 3 4" xfId="8187" xr:uid="{82DEADEF-8065-4D0A-968E-4028B05ECC3B}"/>
    <cellStyle name="Normal 10 2 2 5 3 4 2" xfId="8188" xr:uid="{068821A7-3853-4886-80F3-00E54B0109BF}"/>
    <cellStyle name="Normal 10 2 2 5 3 4 2 2" xfId="8189" xr:uid="{104D965D-D32D-4A06-AB73-D4186CBD5F42}"/>
    <cellStyle name="Normal 10 2 2 5 3 4 2 2 2" xfId="8190" xr:uid="{3CBB06DB-738B-43C2-8A7B-009EE266A6E5}"/>
    <cellStyle name="Normal 10 2 2 5 3 4 2 2 2 2" xfId="8191" xr:uid="{757B8A7D-8454-46E0-AC28-708D2D7A97E0}"/>
    <cellStyle name="Normal 10 2 2 5 3 4 2 2 3" xfId="8192" xr:uid="{BC87937A-2CB5-432A-8ABF-EDA06419421D}"/>
    <cellStyle name="Normal 10 2 2 5 3 4 2 3" xfId="8193" xr:uid="{F9640539-5ADB-4C3C-8B9D-A9C2D2A01456}"/>
    <cellStyle name="Normal 10 2 2 5 3 4 2 3 2" xfId="8194" xr:uid="{3051F0E2-C12D-494D-8CCD-12D38EB7B651}"/>
    <cellStyle name="Normal 10 2 2 5 3 4 2 4" xfId="8195" xr:uid="{153C2793-D546-4234-9CEF-1DFBF87AEAF8}"/>
    <cellStyle name="Normal 10 2 2 5 3 4 3" xfId="8196" xr:uid="{173C7BBF-E057-4042-AC32-7CAA8A90BA5A}"/>
    <cellStyle name="Normal 10 2 2 5 3 4 3 2" xfId="8197" xr:uid="{65296D9E-ED2B-4F61-9CDC-11CED277542E}"/>
    <cellStyle name="Normal 10 2 2 5 3 4 3 2 2" xfId="8198" xr:uid="{A6FE9498-A913-4337-8E56-3F5E4686D9D3}"/>
    <cellStyle name="Normal 10 2 2 5 3 4 3 3" xfId="8199" xr:uid="{FBD8A2DB-0B5F-4ECF-8D4A-81E645455744}"/>
    <cellStyle name="Normal 10 2 2 5 3 4 4" xfId="8200" xr:uid="{206B7378-E7F5-41B5-8335-5050957374D7}"/>
    <cellStyle name="Normal 10 2 2 5 3 4 4 2" xfId="8201" xr:uid="{48C3D94A-59AA-4812-ABE1-B3E144A28836}"/>
    <cellStyle name="Normal 10 2 2 5 3 4 5" xfId="8202" xr:uid="{65296A7C-84FB-4B69-BE32-7AF8ABE3DCCB}"/>
    <cellStyle name="Normal 10 2 2 5 3 5" xfId="8203" xr:uid="{3F6B54D0-8E92-4E55-AB15-B60653758321}"/>
    <cellStyle name="Normal 10 2 2 5 3 5 2" xfId="8204" xr:uid="{76930FBA-3418-4496-B1EB-492BB8A2569D}"/>
    <cellStyle name="Normal 10 2 2 5 3 5 2 2" xfId="8205" xr:uid="{F755765F-1C26-40CC-85EF-CCCAE9312989}"/>
    <cellStyle name="Normal 10 2 2 5 3 5 2 2 2" xfId="8206" xr:uid="{D6F5C668-6BC2-4015-BD54-3CD240DD05D0}"/>
    <cellStyle name="Normal 10 2 2 5 3 5 2 3" xfId="8207" xr:uid="{F5F921D1-0CBF-4DFC-8313-CC962E8CE8D9}"/>
    <cellStyle name="Normal 10 2 2 5 3 5 3" xfId="8208" xr:uid="{96E0A9AC-56CA-4092-99EC-0764C13B8D36}"/>
    <cellStyle name="Normal 10 2 2 5 3 5 3 2" xfId="8209" xr:uid="{9247CCB4-18A6-4F67-AB4F-81C76C9B6741}"/>
    <cellStyle name="Normal 10 2 2 5 3 5 4" xfId="8210" xr:uid="{346EBE8D-32A8-4A14-A44F-C53E98E0D1CA}"/>
    <cellStyle name="Normal 10 2 2 5 3 6" xfId="8211" xr:uid="{6C2CC3FF-BA6D-42E8-9B71-460569E69E6D}"/>
    <cellStyle name="Normal 10 2 2 5 3 6 2" xfId="8212" xr:uid="{4C784B9D-D938-450A-8BDD-4EEF1A0C624A}"/>
    <cellStyle name="Normal 10 2 2 5 3 6 2 2" xfId="8213" xr:uid="{01FAC904-7BF6-4A2C-9149-9C1FAD274DC7}"/>
    <cellStyle name="Normal 10 2 2 5 3 6 3" xfId="8214" xr:uid="{F3781545-722C-41D0-9F9A-B6E3A9AE7FC6}"/>
    <cellStyle name="Normal 10 2 2 5 3 7" xfId="8215" xr:uid="{CDCFC1FA-0313-4536-B3EC-889067637045}"/>
    <cellStyle name="Normal 10 2 2 5 3 7 2" xfId="8216" xr:uid="{8DF03E27-5586-4389-B9B0-ADC529C54C34}"/>
    <cellStyle name="Normal 10 2 2 5 3 8" xfId="8217" xr:uid="{1A40DF99-DE7E-4F8A-9631-EA713062F207}"/>
    <cellStyle name="Normal 10 2 2 5 3 9" xfId="8090" xr:uid="{89CA5681-A215-4DF8-93D9-05DAA57327C2}"/>
    <cellStyle name="Normal 10 2 2 5 4" xfId="8218" xr:uid="{2FB79FF3-1C72-49B5-8BBB-EA1235FF5682}"/>
    <cellStyle name="Normal 10 2 2 5 4 2" xfId="8219" xr:uid="{A09B38A5-D0FC-457B-B9D3-F6E33BBBDEA0}"/>
    <cellStyle name="Normal 10 2 2 5 4 2 2" xfId="8220" xr:uid="{E992D507-E3B7-4128-9E4F-864073CAA2A2}"/>
    <cellStyle name="Normal 10 2 2 5 4 2 2 2" xfId="8221" xr:uid="{45695A99-6803-4DF0-BA2F-A2930C3E36B9}"/>
    <cellStyle name="Normal 10 2 2 5 4 2 2 2 2" xfId="8222" xr:uid="{02E151CC-AE34-4085-919E-416F4CFF1674}"/>
    <cellStyle name="Normal 10 2 2 5 4 2 2 2 2 2" xfId="8223" xr:uid="{2A7E5640-3CDF-4042-91FD-A98916BD5D40}"/>
    <cellStyle name="Normal 10 2 2 5 4 2 2 2 2 2 2" xfId="8224" xr:uid="{8A30CA19-F31D-481B-91B7-86D7B24438C2}"/>
    <cellStyle name="Normal 10 2 2 5 4 2 2 2 2 3" xfId="8225" xr:uid="{3B4167C4-DFD0-4597-AB35-372ACB67ED46}"/>
    <cellStyle name="Normal 10 2 2 5 4 2 2 2 3" xfId="8226" xr:uid="{CAA66A02-2667-4638-BF6C-54EBE3723269}"/>
    <cellStyle name="Normal 10 2 2 5 4 2 2 2 3 2" xfId="8227" xr:uid="{8BEF74A2-8805-4D47-896D-DB56791DAB54}"/>
    <cellStyle name="Normal 10 2 2 5 4 2 2 2 4" xfId="8228" xr:uid="{28834FB8-0A43-4D8B-9FBE-01047C755F40}"/>
    <cellStyle name="Normal 10 2 2 5 4 2 2 3" xfId="8229" xr:uid="{E545C831-B112-401C-B692-D3847F05C580}"/>
    <cellStyle name="Normal 10 2 2 5 4 2 2 3 2" xfId="8230" xr:uid="{92EE5884-D715-4B1C-9646-41CFDCE1993D}"/>
    <cellStyle name="Normal 10 2 2 5 4 2 2 3 2 2" xfId="8231" xr:uid="{8F085BBF-2A32-41BE-BBAD-93CDBEEAD852}"/>
    <cellStyle name="Normal 10 2 2 5 4 2 2 3 3" xfId="8232" xr:uid="{4E862D16-0DA9-4CA9-8FA7-22E287FEA7E8}"/>
    <cellStyle name="Normal 10 2 2 5 4 2 2 4" xfId="8233" xr:uid="{C6856575-E640-412F-8F90-9A326693D38E}"/>
    <cellStyle name="Normal 10 2 2 5 4 2 2 4 2" xfId="8234" xr:uid="{0C4A6ED0-74E3-4A78-AD32-D39CA84D0AB2}"/>
    <cellStyle name="Normal 10 2 2 5 4 2 2 5" xfId="8235" xr:uid="{6D8F946D-E513-42B0-8937-EB243FD18D05}"/>
    <cellStyle name="Normal 10 2 2 5 4 2 3" xfId="8236" xr:uid="{E0B2C44B-7ECD-4DEF-878A-F6544F00D904}"/>
    <cellStyle name="Normal 10 2 2 5 4 2 3 2" xfId="8237" xr:uid="{14779007-D444-4024-8DAC-8132760D5EB3}"/>
    <cellStyle name="Normal 10 2 2 5 4 2 3 2 2" xfId="8238" xr:uid="{54D75B70-CE89-42E2-B580-3A13CE387003}"/>
    <cellStyle name="Normal 10 2 2 5 4 2 3 2 2 2" xfId="8239" xr:uid="{5268F263-AC34-48CE-A5B9-4B43AAE8D5CF}"/>
    <cellStyle name="Normal 10 2 2 5 4 2 3 2 3" xfId="8240" xr:uid="{1DCF99C1-4F7C-4E68-A3DD-64E0FE606E46}"/>
    <cellStyle name="Normal 10 2 2 5 4 2 3 3" xfId="8241" xr:uid="{574EB0B6-24AC-42F0-A258-846E3E892A01}"/>
    <cellStyle name="Normal 10 2 2 5 4 2 3 3 2" xfId="8242" xr:uid="{FB9E4B19-1889-4FB3-92FD-65C3A9D30B99}"/>
    <cellStyle name="Normal 10 2 2 5 4 2 3 4" xfId="8243" xr:uid="{8353EB2A-08A2-4A0E-A807-79106BCA151C}"/>
    <cellStyle name="Normal 10 2 2 5 4 2 4" xfId="8244" xr:uid="{F3CCE962-0C2C-4249-A72B-7A4366546FD5}"/>
    <cellStyle name="Normal 10 2 2 5 4 2 4 2" xfId="8245" xr:uid="{BDDA446B-16F6-45DA-96FD-79C085978498}"/>
    <cellStyle name="Normal 10 2 2 5 4 2 4 2 2" xfId="8246" xr:uid="{872D5013-AF76-46A7-A3A0-123273AD9372}"/>
    <cellStyle name="Normal 10 2 2 5 4 2 4 3" xfId="8247" xr:uid="{FB70D060-9EEA-41DD-B96F-4BDA471EB788}"/>
    <cellStyle name="Normal 10 2 2 5 4 2 5" xfId="8248" xr:uid="{413A6506-7309-4039-83DF-91697A2D01B6}"/>
    <cellStyle name="Normal 10 2 2 5 4 2 5 2" xfId="8249" xr:uid="{9F9061F9-53A6-45AF-844D-8B16E053913F}"/>
    <cellStyle name="Normal 10 2 2 5 4 2 6" xfId="8250" xr:uid="{87473089-31BF-41A7-B6CF-76675D08EE4D}"/>
    <cellStyle name="Normal 10 2 2 5 4 3" xfId="8251" xr:uid="{908F910C-58E7-40D6-8198-B27D5D55A6DF}"/>
    <cellStyle name="Normal 10 2 2 5 4 3 2" xfId="8252" xr:uid="{DC454341-CAAD-457D-AF4E-8328EB679010}"/>
    <cellStyle name="Normal 10 2 2 5 4 3 2 2" xfId="8253" xr:uid="{637999E7-ED3C-48FE-BC64-F9FFDF149BE5}"/>
    <cellStyle name="Normal 10 2 2 5 4 3 2 2 2" xfId="8254" xr:uid="{F9727720-39C4-4DE7-B4AA-A359A59CAE0A}"/>
    <cellStyle name="Normal 10 2 2 5 4 3 2 2 2 2" xfId="8255" xr:uid="{B670BC93-C345-48DE-AE65-C4434D87DF9B}"/>
    <cellStyle name="Normal 10 2 2 5 4 3 2 2 3" xfId="8256" xr:uid="{6A2A61B0-944D-488D-89A2-001F22F074FC}"/>
    <cellStyle name="Normal 10 2 2 5 4 3 2 3" xfId="8257" xr:uid="{AD1BACB7-D873-4CBE-8CDE-F1949147D030}"/>
    <cellStyle name="Normal 10 2 2 5 4 3 2 3 2" xfId="8258" xr:uid="{6D2CF348-0CE1-450E-9FFB-00DA768951EA}"/>
    <cellStyle name="Normal 10 2 2 5 4 3 2 4" xfId="8259" xr:uid="{EEAE707B-CAAE-40AC-93E0-44B3CF67538A}"/>
    <cellStyle name="Normal 10 2 2 5 4 3 3" xfId="8260" xr:uid="{1321B885-3B08-4592-97CA-F08708ACA11E}"/>
    <cellStyle name="Normal 10 2 2 5 4 3 3 2" xfId="8261" xr:uid="{89C6B505-C658-47C9-A9FF-54735482FE9A}"/>
    <cellStyle name="Normal 10 2 2 5 4 3 3 2 2" xfId="8262" xr:uid="{452B07F2-3AB0-4D22-85AD-DEFA13277C5D}"/>
    <cellStyle name="Normal 10 2 2 5 4 3 3 3" xfId="8263" xr:uid="{FC77305F-9C55-4F23-A344-6B01CD23068D}"/>
    <cellStyle name="Normal 10 2 2 5 4 3 4" xfId="8264" xr:uid="{75BC3CCC-8349-4D36-9933-4656B605DDEB}"/>
    <cellStyle name="Normal 10 2 2 5 4 3 4 2" xfId="8265" xr:uid="{C49CD1ED-98DC-4037-9793-BD6E10642D90}"/>
    <cellStyle name="Normal 10 2 2 5 4 3 5" xfId="8266" xr:uid="{AF5C6C34-5A99-4B7C-87BD-066253C64988}"/>
    <cellStyle name="Normal 10 2 2 5 4 4" xfId="8267" xr:uid="{8821C116-F7A5-443F-A94C-85A2FF58555F}"/>
    <cellStyle name="Normal 10 2 2 5 4 4 2" xfId="8268" xr:uid="{245C4D9B-8943-4F1F-A763-78687AB9C754}"/>
    <cellStyle name="Normal 10 2 2 5 4 4 2 2" xfId="8269" xr:uid="{952F3F3B-DC4C-41B3-A5EA-7126B49ECE9B}"/>
    <cellStyle name="Normal 10 2 2 5 4 4 2 2 2" xfId="8270" xr:uid="{78D85CF3-D881-4DA1-816F-89E3058A469B}"/>
    <cellStyle name="Normal 10 2 2 5 4 4 2 3" xfId="8271" xr:uid="{1231C87C-E2A9-4856-A160-03C8C30F2FA3}"/>
    <cellStyle name="Normal 10 2 2 5 4 4 3" xfId="8272" xr:uid="{B9C0B078-DF8B-4CBA-ADDE-7896C7D2F756}"/>
    <cellStyle name="Normal 10 2 2 5 4 4 3 2" xfId="8273" xr:uid="{DEDCA01E-4409-441A-B47E-6991B7779AE4}"/>
    <cellStyle name="Normal 10 2 2 5 4 4 4" xfId="8274" xr:uid="{823BC30E-95DF-4AD8-8225-CCDA886807F6}"/>
    <cellStyle name="Normal 10 2 2 5 4 5" xfId="8275" xr:uid="{1573391E-67AD-4DE1-97EF-2EEA83588C7B}"/>
    <cellStyle name="Normal 10 2 2 5 4 5 2" xfId="8276" xr:uid="{BD16B04C-921A-4B15-BD08-EBCDEBBD0168}"/>
    <cellStyle name="Normal 10 2 2 5 4 5 2 2" xfId="8277" xr:uid="{9E6D522B-3C95-4542-AAD9-42B1F733795A}"/>
    <cellStyle name="Normal 10 2 2 5 4 5 3" xfId="8278" xr:uid="{47E27FFC-7334-417B-B7E6-98507A74EB11}"/>
    <cellStyle name="Normal 10 2 2 5 4 6" xfId="8279" xr:uid="{AF0E1A10-625F-41C3-B837-3FCEBBE449F7}"/>
    <cellStyle name="Normal 10 2 2 5 4 6 2" xfId="8280" xr:uid="{61BB2215-A77E-49D6-8726-5E08FF5D2D14}"/>
    <cellStyle name="Normal 10 2 2 5 4 7" xfId="8281" xr:uid="{0936608F-79A4-4AD5-A299-EB5E2FB4440C}"/>
    <cellStyle name="Normal 10 2 2 5 5" xfId="8282" xr:uid="{A0323EFF-7A66-43EF-84A4-940AE95C3C20}"/>
    <cellStyle name="Normal 10 2 2 5 5 2" xfId="8283" xr:uid="{CE7EC616-5EF1-450E-8D53-0875BB51F5E6}"/>
    <cellStyle name="Normal 10 2 2 5 5 2 2" xfId="8284" xr:uid="{2AEB3465-C2F2-4AAE-A243-B0AE29D8E0FE}"/>
    <cellStyle name="Normal 10 2 2 5 5 2 2 2" xfId="8285" xr:uid="{E30C7355-7201-4C03-8039-418C6765D6FB}"/>
    <cellStyle name="Normal 10 2 2 5 5 2 2 2 2" xfId="8286" xr:uid="{0F22240C-88F4-47CC-8548-D33AE410D2FA}"/>
    <cellStyle name="Normal 10 2 2 5 5 2 2 2 2 2" xfId="8287" xr:uid="{19728D8E-B44A-4751-9B28-C63F831859E0}"/>
    <cellStyle name="Normal 10 2 2 5 5 2 2 2 3" xfId="8288" xr:uid="{EE94EFBF-74DE-4916-9BDF-B50645A72277}"/>
    <cellStyle name="Normal 10 2 2 5 5 2 2 3" xfId="8289" xr:uid="{2CC85040-3482-498E-BEA0-ED1E74468BF1}"/>
    <cellStyle name="Normal 10 2 2 5 5 2 2 3 2" xfId="8290" xr:uid="{C6672AB3-FD4F-4630-9B69-21CAA7A988D6}"/>
    <cellStyle name="Normal 10 2 2 5 5 2 2 4" xfId="8291" xr:uid="{30F5498E-26F0-4BD7-A9C5-9AA611BAE9B1}"/>
    <cellStyle name="Normal 10 2 2 5 5 2 3" xfId="8292" xr:uid="{4D4F627A-91AF-4095-957E-CBDABCCDB662}"/>
    <cellStyle name="Normal 10 2 2 5 5 2 3 2" xfId="8293" xr:uid="{40290F06-E406-4B01-9A97-004627EA845D}"/>
    <cellStyle name="Normal 10 2 2 5 5 2 3 2 2" xfId="8294" xr:uid="{04521CAE-161B-42E4-B934-892A0AECAE98}"/>
    <cellStyle name="Normal 10 2 2 5 5 2 3 3" xfId="8295" xr:uid="{B94FD023-FFD7-4D6D-A9F1-C01341F5330F}"/>
    <cellStyle name="Normal 10 2 2 5 5 2 4" xfId="8296" xr:uid="{1788D649-FDF8-4D27-8F5D-0C794973B040}"/>
    <cellStyle name="Normal 10 2 2 5 5 2 4 2" xfId="8297" xr:uid="{CAB6F7D9-8205-41A4-BFE8-A127067BE806}"/>
    <cellStyle name="Normal 10 2 2 5 5 2 5" xfId="8298" xr:uid="{8B57A57E-E879-48E6-9CED-C640BE70165B}"/>
    <cellStyle name="Normal 10 2 2 5 5 3" xfId="8299" xr:uid="{2B35221A-154D-4410-9B8A-B00A43C8CF99}"/>
    <cellStyle name="Normal 10 2 2 5 5 3 2" xfId="8300" xr:uid="{3C44EAB9-3EAB-4FC0-9746-6E6B2B1B8DAB}"/>
    <cellStyle name="Normal 10 2 2 5 5 3 2 2" xfId="8301" xr:uid="{0AB37645-EE1D-44A6-928E-1CBFBCDE6B31}"/>
    <cellStyle name="Normal 10 2 2 5 5 3 2 2 2" xfId="8302" xr:uid="{6EBCC245-F604-46C9-9D50-96BD66A53579}"/>
    <cellStyle name="Normal 10 2 2 5 5 3 2 3" xfId="8303" xr:uid="{8ECA986C-D8C6-4741-ACD5-92BE0D38E57B}"/>
    <cellStyle name="Normal 10 2 2 5 5 3 3" xfId="8304" xr:uid="{B1E153E2-BE5B-4C0A-BAB2-5D51CC4F5985}"/>
    <cellStyle name="Normal 10 2 2 5 5 3 3 2" xfId="8305" xr:uid="{D538D21F-AB4F-418B-93CE-64127425BBCC}"/>
    <cellStyle name="Normal 10 2 2 5 5 3 4" xfId="8306" xr:uid="{A2463EA7-891D-4023-A7BE-F8141D97C5FA}"/>
    <cellStyle name="Normal 10 2 2 5 5 4" xfId="8307" xr:uid="{15F878E7-851F-4C24-A493-67A78DF20636}"/>
    <cellStyle name="Normal 10 2 2 5 5 4 2" xfId="8308" xr:uid="{5347371D-E2C6-4977-BDFD-C0CD62A54730}"/>
    <cellStyle name="Normal 10 2 2 5 5 4 2 2" xfId="8309" xr:uid="{E4C93081-22C2-4CC9-8783-74AAE8142C94}"/>
    <cellStyle name="Normal 10 2 2 5 5 4 3" xfId="8310" xr:uid="{D63918E9-32E2-40F9-9D33-CD6E82B86C2A}"/>
    <cellStyle name="Normal 10 2 2 5 5 5" xfId="8311" xr:uid="{8DF8448C-76D1-4C00-B68F-CABA6FC97747}"/>
    <cellStyle name="Normal 10 2 2 5 5 5 2" xfId="8312" xr:uid="{D9251449-4FAF-4D25-BCA3-ACAE079FC045}"/>
    <cellStyle name="Normal 10 2 2 5 5 6" xfId="8313" xr:uid="{F832874B-361C-445A-A8BB-7026C9DD0392}"/>
    <cellStyle name="Normal 10 2 2 5 6" xfId="8314" xr:uid="{04C0C3DF-037A-4915-84BA-3A2AF76081F0}"/>
    <cellStyle name="Normal 10 2 2 5 6 2" xfId="8315" xr:uid="{D3129057-ACC5-446C-9EAE-F4EF77A77BE0}"/>
    <cellStyle name="Normal 10 2 2 5 6 2 2" xfId="8316" xr:uid="{42E07DC0-8B55-4ABD-914C-9887B67C3F58}"/>
    <cellStyle name="Normal 10 2 2 5 6 2 2 2" xfId="8317" xr:uid="{C7136AB1-88C6-4CE7-A548-55520CD1B71D}"/>
    <cellStyle name="Normal 10 2 2 5 6 2 2 2 2" xfId="8318" xr:uid="{2B650DF3-2E26-4F81-A37B-D860A2EE4C8B}"/>
    <cellStyle name="Normal 10 2 2 5 6 2 2 3" xfId="8319" xr:uid="{1684718F-D8D1-41F8-8493-48F1A09F02C4}"/>
    <cellStyle name="Normal 10 2 2 5 6 2 3" xfId="8320" xr:uid="{E237409C-AD79-4BC4-90C9-2A69DCF11423}"/>
    <cellStyle name="Normal 10 2 2 5 6 2 3 2" xfId="8321" xr:uid="{234DB8A5-C1D7-4F67-9E15-592A2E8F85B5}"/>
    <cellStyle name="Normal 10 2 2 5 6 2 4" xfId="8322" xr:uid="{96BDEDF3-D9BD-415E-83E6-2F75402A77B4}"/>
    <cellStyle name="Normal 10 2 2 5 6 3" xfId="8323" xr:uid="{68796018-E81A-43DE-AF92-E3253CF2C19B}"/>
    <cellStyle name="Normal 10 2 2 5 6 3 2" xfId="8324" xr:uid="{250DE468-3310-4CC2-A1DD-ED5F08622099}"/>
    <cellStyle name="Normal 10 2 2 5 6 3 2 2" xfId="8325" xr:uid="{F6490069-F9E9-4C03-B928-EA616AF5A388}"/>
    <cellStyle name="Normal 10 2 2 5 6 3 3" xfId="8326" xr:uid="{EC4636B5-B3E1-47FF-BBF4-A784AA6F56E4}"/>
    <cellStyle name="Normal 10 2 2 5 6 4" xfId="8327" xr:uid="{C7BA963F-99F6-4E72-B817-37F6950A8E24}"/>
    <cellStyle name="Normal 10 2 2 5 6 4 2" xfId="8328" xr:uid="{B3B67267-AA65-409D-B1DF-47B017B097F5}"/>
    <cellStyle name="Normal 10 2 2 5 6 5" xfId="8329" xr:uid="{CC082480-5FFA-4977-9C38-96A4B2B74443}"/>
    <cellStyle name="Normal 10 2 2 5 7" xfId="8330" xr:uid="{0C08ECF5-5D6B-4A99-8478-BCDB8A66CAA7}"/>
    <cellStyle name="Normal 10 2 2 5 7 2" xfId="8331" xr:uid="{8E52F0B3-D5CC-4E14-95A4-1EDAF14C4199}"/>
    <cellStyle name="Normal 10 2 2 5 7 2 2" xfId="8332" xr:uid="{A5346F56-AD08-4373-BC80-F6E5084424A8}"/>
    <cellStyle name="Normal 10 2 2 5 7 2 2 2" xfId="8333" xr:uid="{ADBE8DC6-3D07-408C-8587-07F4683D3890}"/>
    <cellStyle name="Normal 10 2 2 5 7 2 3" xfId="8334" xr:uid="{9FB9ACB4-E5E9-40F9-8758-6FBBA66A6AA9}"/>
    <cellStyle name="Normal 10 2 2 5 7 3" xfId="8335" xr:uid="{D95D5B98-803C-4387-B444-F011A21CEBE1}"/>
    <cellStyle name="Normal 10 2 2 5 7 3 2" xfId="8336" xr:uid="{F08B5959-DF16-476A-B5B5-B220CCB60EB2}"/>
    <cellStyle name="Normal 10 2 2 5 7 4" xfId="8337" xr:uid="{AFA47B17-868A-40F7-8E40-3D4A576004C7}"/>
    <cellStyle name="Normal 10 2 2 5 8" xfId="8338" xr:uid="{A4158C7D-BF7A-4AFD-BD7B-64E40E7F2FDC}"/>
    <cellStyle name="Normal 10 2 2 5 8 2" xfId="8339" xr:uid="{A15D97A6-EECB-4CC0-B29A-D6D140D8E2F6}"/>
    <cellStyle name="Normal 10 2 2 5 8 2 2" xfId="8340" xr:uid="{28AEC3A8-E6DF-4994-8595-AFBCA3B855F7}"/>
    <cellStyle name="Normal 10 2 2 5 8 3" xfId="8341" xr:uid="{D59422AD-7E1B-4CFD-AD9E-3F0B47A47FD5}"/>
    <cellStyle name="Normal 10 2 2 5 9" xfId="8342" xr:uid="{62956D28-4AFC-44E5-BDD6-2E460CFC028D}"/>
    <cellStyle name="Normal 10 2 2 5 9 2" xfId="8343" xr:uid="{FBA7C66B-63F9-44F5-9874-2E493EAD6B0E}"/>
    <cellStyle name="Normal 10 2 2 6" xfId="270" xr:uid="{D246E00F-9664-40CA-8CD3-027DD0E7EA45}"/>
    <cellStyle name="Normal 10 2 2 6 10" xfId="8344" xr:uid="{2FA33283-A1D3-4062-9749-54FE07624778}"/>
    <cellStyle name="Normal 10 2 2 6 11" xfId="549" xr:uid="{F832B91F-D4EB-4381-A428-C456A655A79F}"/>
    <cellStyle name="Normal 10 2 2 6 2" xfId="316" xr:uid="{33AE4322-00FB-4AD3-99E7-AB40E301E6FF}"/>
    <cellStyle name="Normal 10 2 2 6 2 10" xfId="8345" xr:uid="{9A43DBFA-F88D-498F-AAB5-D4E7C0931B31}"/>
    <cellStyle name="Normal 10 2 2 6 2 2" xfId="8346" xr:uid="{B5A7B47B-C9A1-4679-AF71-E933FDD7AF7B}"/>
    <cellStyle name="Normal 10 2 2 6 2 2 2" xfId="8347" xr:uid="{5CE017EA-60E3-4A78-A489-396560FFB24A}"/>
    <cellStyle name="Normal 10 2 2 6 2 2 2 2" xfId="8348" xr:uid="{82CB17F8-B122-4D87-9D99-8B41EBCA9FF7}"/>
    <cellStyle name="Normal 10 2 2 6 2 2 2 2 2" xfId="8349" xr:uid="{01D54B7A-8153-4D94-9F9D-EFFF7B429241}"/>
    <cellStyle name="Normal 10 2 2 6 2 2 2 2 2 2" xfId="8350" xr:uid="{0C904C13-AE10-4791-BA07-D6716BF4791B}"/>
    <cellStyle name="Normal 10 2 2 6 2 2 2 2 2 2 2" xfId="8351" xr:uid="{B1B55B2B-FBE1-47ED-9A3A-2133F72B6CD3}"/>
    <cellStyle name="Normal 10 2 2 6 2 2 2 2 2 2 2 2" xfId="8352" xr:uid="{250638C8-B91D-453C-B89D-088A0C39E7D1}"/>
    <cellStyle name="Normal 10 2 2 6 2 2 2 2 2 2 2 2 2" xfId="8353" xr:uid="{D5E0BF0C-D159-48ED-8758-3652D7B0426B}"/>
    <cellStyle name="Normal 10 2 2 6 2 2 2 2 2 2 2 3" xfId="8354" xr:uid="{47A526B1-18A2-4DD8-AC78-ACC2EAE2C05D}"/>
    <cellStyle name="Normal 10 2 2 6 2 2 2 2 2 2 3" xfId="8355" xr:uid="{68E3AAB5-5B97-41FE-A509-AA5EFB749D9F}"/>
    <cellStyle name="Normal 10 2 2 6 2 2 2 2 2 2 3 2" xfId="8356" xr:uid="{8053D54F-8CF7-43F3-AEF7-11C70624F1CB}"/>
    <cellStyle name="Normal 10 2 2 6 2 2 2 2 2 2 4" xfId="8357" xr:uid="{CBCACAA6-D0FA-4464-A4E1-9ED96745CD49}"/>
    <cellStyle name="Normal 10 2 2 6 2 2 2 2 2 3" xfId="8358" xr:uid="{B1B78711-0539-4D88-A178-9283FC13FC8A}"/>
    <cellStyle name="Normal 10 2 2 6 2 2 2 2 2 3 2" xfId="8359" xr:uid="{5CFDC963-AE24-443F-9A43-BC59B722E04A}"/>
    <cellStyle name="Normal 10 2 2 6 2 2 2 2 2 3 2 2" xfId="8360" xr:uid="{B9D49681-9539-4B89-A57B-115932E6E33E}"/>
    <cellStyle name="Normal 10 2 2 6 2 2 2 2 2 3 3" xfId="8361" xr:uid="{2786C2D1-EFCB-4951-BE53-1F116638B3D9}"/>
    <cellStyle name="Normal 10 2 2 6 2 2 2 2 2 4" xfId="8362" xr:uid="{1F54C187-47C0-4A07-B659-C7534FDAB84A}"/>
    <cellStyle name="Normal 10 2 2 6 2 2 2 2 2 4 2" xfId="8363" xr:uid="{108AF77E-68A6-489F-BB5E-C6AB1A55E85F}"/>
    <cellStyle name="Normal 10 2 2 6 2 2 2 2 2 5" xfId="8364" xr:uid="{9CF6D991-7BAD-4993-B028-7CDBEF56DCF3}"/>
    <cellStyle name="Normal 10 2 2 6 2 2 2 2 3" xfId="8365" xr:uid="{58ADB35B-A51C-435F-B982-80AC87916E78}"/>
    <cellStyle name="Normal 10 2 2 6 2 2 2 2 3 2" xfId="8366" xr:uid="{CDCF78BC-91A0-4E73-9AFE-D50E5D5391B9}"/>
    <cellStyle name="Normal 10 2 2 6 2 2 2 2 3 2 2" xfId="8367" xr:uid="{91C54EA7-BFB7-4207-8DA2-10CA98B867FA}"/>
    <cellStyle name="Normal 10 2 2 6 2 2 2 2 3 2 2 2" xfId="8368" xr:uid="{49601048-7E6C-4659-AFF2-595B7FAE5E48}"/>
    <cellStyle name="Normal 10 2 2 6 2 2 2 2 3 2 3" xfId="8369" xr:uid="{09A5134D-A064-4219-98F9-9D55B6DE06D0}"/>
    <cellStyle name="Normal 10 2 2 6 2 2 2 2 3 3" xfId="8370" xr:uid="{A27F9CD1-CA6A-4997-84EC-14B174D0A295}"/>
    <cellStyle name="Normal 10 2 2 6 2 2 2 2 3 3 2" xfId="8371" xr:uid="{8A251BAF-2ACA-4F69-AC93-C48D7E96A4E6}"/>
    <cellStyle name="Normal 10 2 2 6 2 2 2 2 3 4" xfId="8372" xr:uid="{40A3C124-4EE7-4D1F-8AFF-277DAF74D0ED}"/>
    <cellStyle name="Normal 10 2 2 6 2 2 2 2 4" xfId="8373" xr:uid="{B487E864-7A99-41F8-81B6-0B30FDA48D01}"/>
    <cellStyle name="Normal 10 2 2 6 2 2 2 2 4 2" xfId="8374" xr:uid="{783D4BEC-C3E4-49FD-8F5B-AA823DCEF9B8}"/>
    <cellStyle name="Normal 10 2 2 6 2 2 2 2 4 2 2" xfId="8375" xr:uid="{A0A136CA-DF14-4FD6-B824-6B12214C207C}"/>
    <cellStyle name="Normal 10 2 2 6 2 2 2 2 4 3" xfId="8376" xr:uid="{6BBA028E-84C7-4467-BF95-AA547A863432}"/>
    <cellStyle name="Normal 10 2 2 6 2 2 2 2 5" xfId="8377" xr:uid="{E8DE4C19-2045-4D2C-9313-F93F743EBF52}"/>
    <cellStyle name="Normal 10 2 2 6 2 2 2 2 5 2" xfId="8378" xr:uid="{E5E7F1EC-A975-4727-8E29-758E3506E6E0}"/>
    <cellStyle name="Normal 10 2 2 6 2 2 2 2 6" xfId="8379" xr:uid="{A7B34867-83C1-46DC-BA43-7E489325E7DF}"/>
    <cellStyle name="Normal 10 2 2 6 2 2 2 3" xfId="8380" xr:uid="{941019F5-AC28-45F4-8D25-1E2BBD965598}"/>
    <cellStyle name="Normal 10 2 2 6 2 2 2 3 2" xfId="8381" xr:uid="{B4C695B1-7EEF-42D2-8844-B1E8013879CC}"/>
    <cellStyle name="Normal 10 2 2 6 2 2 2 3 2 2" xfId="8382" xr:uid="{B16AA45D-6B35-4331-9836-0DB9962C3DE5}"/>
    <cellStyle name="Normal 10 2 2 6 2 2 2 3 2 2 2" xfId="8383" xr:uid="{B2CEE775-3D99-4872-994A-D6E0AEC5DE66}"/>
    <cellStyle name="Normal 10 2 2 6 2 2 2 3 2 2 2 2" xfId="8384" xr:uid="{BD481CEA-82B5-4DF2-99C7-A3961FAFF6EB}"/>
    <cellStyle name="Normal 10 2 2 6 2 2 2 3 2 2 3" xfId="8385" xr:uid="{AA33141C-1CB7-4899-AA2A-F27DBD13765D}"/>
    <cellStyle name="Normal 10 2 2 6 2 2 2 3 2 3" xfId="8386" xr:uid="{7342C2DA-8B48-4878-A481-03E674C41588}"/>
    <cellStyle name="Normal 10 2 2 6 2 2 2 3 2 3 2" xfId="8387" xr:uid="{1CCED172-7405-4F89-ABC9-46F6CD630C92}"/>
    <cellStyle name="Normal 10 2 2 6 2 2 2 3 2 4" xfId="8388" xr:uid="{4DE85D71-ADBE-43C7-87C4-FC2F124B3775}"/>
    <cellStyle name="Normal 10 2 2 6 2 2 2 3 3" xfId="8389" xr:uid="{38A99415-BFE7-4EC0-ACBE-34DED9A051EC}"/>
    <cellStyle name="Normal 10 2 2 6 2 2 2 3 3 2" xfId="8390" xr:uid="{F25635FD-4420-414F-86FF-E75BE8F569BB}"/>
    <cellStyle name="Normal 10 2 2 6 2 2 2 3 3 2 2" xfId="8391" xr:uid="{E1909BC5-8E2D-4102-988A-61DC35E9D437}"/>
    <cellStyle name="Normal 10 2 2 6 2 2 2 3 3 3" xfId="8392" xr:uid="{1BBF098E-1805-490F-B776-7AE473C9C8FD}"/>
    <cellStyle name="Normal 10 2 2 6 2 2 2 3 4" xfId="8393" xr:uid="{C85D2E43-1B20-4C2A-BAE2-28BD0DAEAB00}"/>
    <cellStyle name="Normal 10 2 2 6 2 2 2 3 4 2" xfId="8394" xr:uid="{AE31B456-D4DF-4FF5-85F7-52322E3AE828}"/>
    <cellStyle name="Normal 10 2 2 6 2 2 2 3 5" xfId="8395" xr:uid="{D309B023-1794-4E7E-A895-0D9FBEE2B285}"/>
    <cellStyle name="Normal 10 2 2 6 2 2 2 4" xfId="8396" xr:uid="{57991BCC-0EF4-4F05-937B-42871CA4CF48}"/>
    <cellStyle name="Normal 10 2 2 6 2 2 2 4 2" xfId="8397" xr:uid="{4902E1F3-DEA3-4F08-ACA2-947C0B53DB34}"/>
    <cellStyle name="Normal 10 2 2 6 2 2 2 4 2 2" xfId="8398" xr:uid="{70E92187-5678-482C-A977-97FC15CEE7F5}"/>
    <cellStyle name="Normal 10 2 2 6 2 2 2 4 2 2 2" xfId="8399" xr:uid="{4161503D-05EA-49F2-8638-ED2D63CDA265}"/>
    <cellStyle name="Normal 10 2 2 6 2 2 2 4 2 3" xfId="8400" xr:uid="{09262B43-3EAF-4DC3-9DCB-4EB7E26C35B2}"/>
    <cellStyle name="Normal 10 2 2 6 2 2 2 4 3" xfId="8401" xr:uid="{8C527E74-7EAD-48CF-972E-C54DAA9352F9}"/>
    <cellStyle name="Normal 10 2 2 6 2 2 2 4 3 2" xfId="8402" xr:uid="{ED4DE11E-23D4-4A12-83AA-AF3D35C45D26}"/>
    <cellStyle name="Normal 10 2 2 6 2 2 2 4 4" xfId="8403" xr:uid="{AFE70D0D-F83A-431E-984D-ACD61508819E}"/>
    <cellStyle name="Normal 10 2 2 6 2 2 2 5" xfId="8404" xr:uid="{DA766467-AEB5-4DFF-9F06-B7CDD56A3277}"/>
    <cellStyle name="Normal 10 2 2 6 2 2 2 5 2" xfId="8405" xr:uid="{046B7131-B4C5-4B5E-868D-208CA015EEF5}"/>
    <cellStyle name="Normal 10 2 2 6 2 2 2 5 2 2" xfId="8406" xr:uid="{3201C98A-C6C5-4BDF-B4FE-ABBD81421056}"/>
    <cellStyle name="Normal 10 2 2 6 2 2 2 5 3" xfId="8407" xr:uid="{52A2F117-31B5-4C52-B362-D71FFB453CD1}"/>
    <cellStyle name="Normal 10 2 2 6 2 2 2 6" xfId="8408" xr:uid="{D3CDA9A0-9E1E-41B5-B0AC-7173C910B761}"/>
    <cellStyle name="Normal 10 2 2 6 2 2 2 6 2" xfId="8409" xr:uid="{7CB04926-CFF4-4814-B0F5-80A51582A3E0}"/>
    <cellStyle name="Normal 10 2 2 6 2 2 2 7" xfId="8410" xr:uid="{FF34FB44-B77F-43FE-A17B-8F99953EF4DC}"/>
    <cellStyle name="Normal 10 2 2 6 2 2 3" xfId="8411" xr:uid="{DFD46D0C-2E81-437F-8754-89AF1B67C0C3}"/>
    <cellStyle name="Normal 10 2 2 6 2 2 3 2" xfId="8412" xr:uid="{52C84E81-FFDD-42AC-98EB-7F668D32A0E7}"/>
    <cellStyle name="Normal 10 2 2 6 2 2 3 2 2" xfId="8413" xr:uid="{7C429757-3497-4096-B8C2-39E378C41AAD}"/>
    <cellStyle name="Normal 10 2 2 6 2 2 3 2 2 2" xfId="8414" xr:uid="{86A78401-2495-4B8D-B0B0-C35C07EA59A4}"/>
    <cellStyle name="Normal 10 2 2 6 2 2 3 2 2 2 2" xfId="8415" xr:uid="{5FD5D4E1-E15A-44CE-BCC1-44EDA41777BE}"/>
    <cellStyle name="Normal 10 2 2 6 2 2 3 2 2 2 2 2" xfId="8416" xr:uid="{5D581F47-F4B6-4EED-9E80-E1B9E0BBBFE9}"/>
    <cellStyle name="Normal 10 2 2 6 2 2 3 2 2 2 3" xfId="8417" xr:uid="{F332770E-BAB1-4603-9712-55FA0BC137DE}"/>
    <cellStyle name="Normal 10 2 2 6 2 2 3 2 2 3" xfId="8418" xr:uid="{04018CCC-F682-4576-8B12-D28D465CD126}"/>
    <cellStyle name="Normal 10 2 2 6 2 2 3 2 2 3 2" xfId="8419" xr:uid="{E6B2834C-1D96-4194-9DA4-CC6EF79CBC25}"/>
    <cellStyle name="Normal 10 2 2 6 2 2 3 2 2 4" xfId="8420" xr:uid="{ED3F7368-7C54-4102-9EF8-D57F3D7FE339}"/>
    <cellStyle name="Normal 10 2 2 6 2 2 3 2 3" xfId="8421" xr:uid="{F1B8390C-F816-44B7-94F2-3E8A5B8D4391}"/>
    <cellStyle name="Normal 10 2 2 6 2 2 3 2 3 2" xfId="8422" xr:uid="{AF6880AA-DF21-4411-878E-80AF93C9E67E}"/>
    <cellStyle name="Normal 10 2 2 6 2 2 3 2 3 2 2" xfId="8423" xr:uid="{5478BD2D-1DDB-4322-B4DF-5673E487F57C}"/>
    <cellStyle name="Normal 10 2 2 6 2 2 3 2 3 3" xfId="8424" xr:uid="{694D2B3D-B3D7-4E96-AF4D-2759CD1C7D14}"/>
    <cellStyle name="Normal 10 2 2 6 2 2 3 2 4" xfId="8425" xr:uid="{92700B7A-114C-4199-848C-59ACA9FC52B4}"/>
    <cellStyle name="Normal 10 2 2 6 2 2 3 2 4 2" xfId="8426" xr:uid="{ECC7FE75-F37E-4021-A958-AD7FF69E0B57}"/>
    <cellStyle name="Normal 10 2 2 6 2 2 3 2 5" xfId="8427" xr:uid="{809A8E92-42FF-485B-8247-70DAD111DC9B}"/>
    <cellStyle name="Normal 10 2 2 6 2 2 3 3" xfId="8428" xr:uid="{C2721C8A-8AEA-4BE6-BB72-9DAB55284E1B}"/>
    <cellStyle name="Normal 10 2 2 6 2 2 3 3 2" xfId="8429" xr:uid="{C3B15749-6F53-49AE-A4CC-EF55EBCDE7EF}"/>
    <cellStyle name="Normal 10 2 2 6 2 2 3 3 2 2" xfId="8430" xr:uid="{137591FB-C8A6-4213-A49D-E265D869A1AD}"/>
    <cellStyle name="Normal 10 2 2 6 2 2 3 3 2 2 2" xfId="8431" xr:uid="{B73361C1-0BD4-495D-9BCE-E126250F18B0}"/>
    <cellStyle name="Normal 10 2 2 6 2 2 3 3 2 3" xfId="8432" xr:uid="{AB8E211B-7C45-41B8-9BD1-E152D5216AE4}"/>
    <cellStyle name="Normal 10 2 2 6 2 2 3 3 3" xfId="8433" xr:uid="{8AE6AD93-1B63-4704-ACF7-3ACD04DFCD7A}"/>
    <cellStyle name="Normal 10 2 2 6 2 2 3 3 3 2" xfId="8434" xr:uid="{1D8B01FB-E5B6-47F1-B1D9-D78CEDA94B86}"/>
    <cellStyle name="Normal 10 2 2 6 2 2 3 3 4" xfId="8435" xr:uid="{D81CAB04-5863-4578-89C5-849F028B5751}"/>
    <cellStyle name="Normal 10 2 2 6 2 2 3 4" xfId="8436" xr:uid="{45DBE3D6-BA27-461D-90D9-77E73B76B1D9}"/>
    <cellStyle name="Normal 10 2 2 6 2 2 3 4 2" xfId="8437" xr:uid="{D425DAC7-4029-4329-8530-23B55109FE89}"/>
    <cellStyle name="Normal 10 2 2 6 2 2 3 4 2 2" xfId="8438" xr:uid="{CAEF16F1-E353-46EE-9061-79AC5A8DA33B}"/>
    <cellStyle name="Normal 10 2 2 6 2 2 3 4 3" xfId="8439" xr:uid="{824FF7FA-3758-436E-B35A-378366EA08C8}"/>
    <cellStyle name="Normal 10 2 2 6 2 2 3 5" xfId="8440" xr:uid="{B1953DA8-BC63-4BAE-B0C4-C6A486C92EE4}"/>
    <cellStyle name="Normal 10 2 2 6 2 2 3 5 2" xfId="8441" xr:uid="{6C662244-7ECE-4CEB-AF67-3F35B4BAFC33}"/>
    <cellStyle name="Normal 10 2 2 6 2 2 3 6" xfId="8442" xr:uid="{3513BA92-2ACA-484E-8057-C30992F7CEDB}"/>
    <cellStyle name="Normal 10 2 2 6 2 2 4" xfId="8443" xr:uid="{74D239D9-8210-4212-A888-9AB4830191F5}"/>
    <cellStyle name="Normal 10 2 2 6 2 2 4 2" xfId="8444" xr:uid="{E98E0A0C-ACA8-4C76-A969-703522AF7711}"/>
    <cellStyle name="Normal 10 2 2 6 2 2 4 2 2" xfId="8445" xr:uid="{57110089-12D7-4D7A-80BF-05CEB8737256}"/>
    <cellStyle name="Normal 10 2 2 6 2 2 4 2 2 2" xfId="8446" xr:uid="{8C90FC8B-6BC0-4660-9EAE-830344D6141A}"/>
    <cellStyle name="Normal 10 2 2 6 2 2 4 2 2 2 2" xfId="8447" xr:uid="{1689796D-08F8-4DAC-BC69-2E00D7C68845}"/>
    <cellStyle name="Normal 10 2 2 6 2 2 4 2 2 3" xfId="8448" xr:uid="{DFCD70C4-AA7B-4A95-8A00-883B21B86F41}"/>
    <cellStyle name="Normal 10 2 2 6 2 2 4 2 3" xfId="8449" xr:uid="{06E9D437-6AA3-4CCC-900D-FB9E11822240}"/>
    <cellStyle name="Normal 10 2 2 6 2 2 4 2 3 2" xfId="8450" xr:uid="{BF3FBB56-AA84-430F-96F3-81A650BB8DED}"/>
    <cellStyle name="Normal 10 2 2 6 2 2 4 2 4" xfId="8451" xr:uid="{0ACB1409-C18F-4AFD-AC6E-5F3ADD9CBAAF}"/>
    <cellStyle name="Normal 10 2 2 6 2 2 4 3" xfId="8452" xr:uid="{75648A17-7772-41A6-BE7A-8057CD214606}"/>
    <cellStyle name="Normal 10 2 2 6 2 2 4 3 2" xfId="8453" xr:uid="{41F56CE9-B98F-4CCC-A4EE-82643920A9A1}"/>
    <cellStyle name="Normal 10 2 2 6 2 2 4 3 2 2" xfId="8454" xr:uid="{099D4B76-5B4F-4612-8148-A76734CAD7D7}"/>
    <cellStyle name="Normal 10 2 2 6 2 2 4 3 3" xfId="8455" xr:uid="{6F143433-B22A-465D-A591-8F992EBAD04A}"/>
    <cellStyle name="Normal 10 2 2 6 2 2 4 4" xfId="8456" xr:uid="{717868AE-FD48-41C8-81FD-AF21F4D3725D}"/>
    <cellStyle name="Normal 10 2 2 6 2 2 4 4 2" xfId="8457" xr:uid="{7475B27C-2186-4EE2-BED9-30F44C7C003D}"/>
    <cellStyle name="Normal 10 2 2 6 2 2 4 5" xfId="8458" xr:uid="{E2AF8F23-1A82-472C-AC1A-E6D732DAB098}"/>
    <cellStyle name="Normal 10 2 2 6 2 2 5" xfId="8459" xr:uid="{CD5264AE-9084-4075-8CC3-CF15BF10C596}"/>
    <cellStyle name="Normal 10 2 2 6 2 2 5 2" xfId="8460" xr:uid="{81C8965D-85A8-44E3-A67F-2D10986D0C4E}"/>
    <cellStyle name="Normal 10 2 2 6 2 2 5 2 2" xfId="8461" xr:uid="{806499A8-F5E8-4028-8E44-188D810C6F22}"/>
    <cellStyle name="Normal 10 2 2 6 2 2 5 2 2 2" xfId="8462" xr:uid="{03F0B54F-C816-4184-BDFE-85D59004B14E}"/>
    <cellStyle name="Normal 10 2 2 6 2 2 5 2 3" xfId="8463" xr:uid="{BE783078-E596-477B-953E-AF01A9268D7F}"/>
    <cellStyle name="Normal 10 2 2 6 2 2 5 3" xfId="8464" xr:uid="{4F0BD7B9-F92D-46CB-899F-07E3BBE2D46B}"/>
    <cellStyle name="Normal 10 2 2 6 2 2 5 3 2" xfId="8465" xr:uid="{DE3E9909-BD60-4B1A-AF7A-247CE264C9F5}"/>
    <cellStyle name="Normal 10 2 2 6 2 2 5 4" xfId="8466" xr:uid="{D042B03C-3653-4449-8097-ED2A6F807706}"/>
    <cellStyle name="Normal 10 2 2 6 2 2 6" xfId="8467" xr:uid="{A1683158-4E30-4433-A6AC-A1EECBC8CA97}"/>
    <cellStyle name="Normal 10 2 2 6 2 2 6 2" xfId="8468" xr:uid="{8D6E9349-EB8F-44B8-9BBF-BF1EC9AA6CAF}"/>
    <cellStyle name="Normal 10 2 2 6 2 2 6 2 2" xfId="8469" xr:uid="{902EC44F-48BB-436E-AC1D-30EA4049AB2B}"/>
    <cellStyle name="Normal 10 2 2 6 2 2 6 3" xfId="8470" xr:uid="{D8306C93-B6CD-4652-912A-A836FBD9800B}"/>
    <cellStyle name="Normal 10 2 2 6 2 2 7" xfId="8471" xr:uid="{B13C075C-EF13-4555-87D3-12CFC5284B98}"/>
    <cellStyle name="Normal 10 2 2 6 2 2 7 2" xfId="8472" xr:uid="{4D29D04D-0273-4F7F-80FD-2868D518EC51}"/>
    <cellStyle name="Normal 10 2 2 6 2 2 8" xfId="8473" xr:uid="{0EDF9C68-7783-4B2C-AD61-3B7C40B7580A}"/>
    <cellStyle name="Normal 10 2 2 6 2 3" xfId="8474" xr:uid="{0B9F9796-BF71-484F-990C-202567B29133}"/>
    <cellStyle name="Normal 10 2 2 6 2 3 2" xfId="8475" xr:uid="{2BC56003-6D49-40B9-8767-76B6DDBE792A}"/>
    <cellStyle name="Normal 10 2 2 6 2 3 2 2" xfId="8476" xr:uid="{FAE92205-22FA-4B2F-8F55-DC18672F7E6D}"/>
    <cellStyle name="Normal 10 2 2 6 2 3 2 2 2" xfId="8477" xr:uid="{516A63FA-AD8C-4CF8-938D-33C5A02169D8}"/>
    <cellStyle name="Normal 10 2 2 6 2 3 2 2 2 2" xfId="8478" xr:uid="{596F55B3-AA23-4F9B-9409-CF47B62BBE18}"/>
    <cellStyle name="Normal 10 2 2 6 2 3 2 2 2 2 2" xfId="8479" xr:uid="{4FC8F94B-C8C0-498D-836E-5A797797FEE6}"/>
    <cellStyle name="Normal 10 2 2 6 2 3 2 2 2 2 2 2" xfId="8480" xr:uid="{53ECBFFD-1965-4FC3-BE39-3259480245BF}"/>
    <cellStyle name="Normal 10 2 2 6 2 3 2 2 2 2 3" xfId="8481" xr:uid="{621A8134-516A-46C6-B3DB-9BAA602B2C8F}"/>
    <cellStyle name="Normal 10 2 2 6 2 3 2 2 2 3" xfId="8482" xr:uid="{076ED8E0-43B7-4069-8247-E65A0FED7CFC}"/>
    <cellStyle name="Normal 10 2 2 6 2 3 2 2 2 3 2" xfId="8483" xr:uid="{6CCC44F7-57DA-4BDB-A279-03B379EDBB9D}"/>
    <cellStyle name="Normal 10 2 2 6 2 3 2 2 2 4" xfId="8484" xr:uid="{A3AE7FE1-F5F3-453B-9BDF-CA497BBD6705}"/>
    <cellStyle name="Normal 10 2 2 6 2 3 2 2 3" xfId="8485" xr:uid="{367F5DE4-D7C2-41C0-B86B-570327451BF0}"/>
    <cellStyle name="Normal 10 2 2 6 2 3 2 2 3 2" xfId="8486" xr:uid="{2BA6BF32-C938-49C9-A07D-8B8EB12D43A5}"/>
    <cellStyle name="Normal 10 2 2 6 2 3 2 2 3 2 2" xfId="8487" xr:uid="{BF74FDAA-DDD2-43F7-8C2F-5CA0C3204E6D}"/>
    <cellStyle name="Normal 10 2 2 6 2 3 2 2 3 3" xfId="8488" xr:uid="{FED7F2D2-83FA-4425-9E13-33FF4B7EEC24}"/>
    <cellStyle name="Normal 10 2 2 6 2 3 2 2 4" xfId="8489" xr:uid="{17BBCC66-B378-4484-B60D-8121FBD3BB6F}"/>
    <cellStyle name="Normal 10 2 2 6 2 3 2 2 4 2" xfId="8490" xr:uid="{44EB743A-40E9-46AA-90FD-34AAF5969E41}"/>
    <cellStyle name="Normal 10 2 2 6 2 3 2 2 5" xfId="8491" xr:uid="{6E8F9B44-1BEC-4206-9E1C-5AD0DCABC0B7}"/>
    <cellStyle name="Normal 10 2 2 6 2 3 2 3" xfId="8492" xr:uid="{6D0FE8E6-8826-49D8-9F27-B7430FFF2065}"/>
    <cellStyle name="Normal 10 2 2 6 2 3 2 3 2" xfId="8493" xr:uid="{165F205F-472D-44E5-B40C-A039E0406AEA}"/>
    <cellStyle name="Normal 10 2 2 6 2 3 2 3 2 2" xfId="8494" xr:uid="{C3989433-FF28-4A28-B8F2-BD92F7A1EA33}"/>
    <cellStyle name="Normal 10 2 2 6 2 3 2 3 2 2 2" xfId="8495" xr:uid="{F002E986-691F-4947-AA55-F23CCF0CFDEE}"/>
    <cellStyle name="Normal 10 2 2 6 2 3 2 3 2 3" xfId="8496" xr:uid="{9686B4F6-EE4E-4D5E-B524-C2E3AB3DD94A}"/>
    <cellStyle name="Normal 10 2 2 6 2 3 2 3 3" xfId="8497" xr:uid="{82872999-9AAA-4FA4-AE9C-CD6438A59CEE}"/>
    <cellStyle name="Normal 10 2 2 6 2 3 2 3 3 2" xfId="8498" xr:uid="{D4E4AC47-56AD-4E74-BEEB-183A92395F45}"/>
    <cellStyle name="Normal 10 2 2 6 2 3 2 3 4" xfId="8499" xr:uid="{B7840809-E9A3-4A15-9658-23028DA0293B}"/>
    <cellStyle name="Normal 10 2 2 6 2 3 2 4" xfId="8500" xr:uid="{58C146FE-C202-4252-A223-C7E14ACFD5CE}"/>
    <cellStyle name="Normal 10 2 2 6 2 3 2 4 2" xfId="8501" xr:uid="{867A515D-78C6-4623-95DB-DEC11225D707}"/>
    <cellStyle name="Normal 10 2 2 6 2 3 2 4 2 2" xfId="8502" xr:uid="{F8B51666-E4D3-4B6F-9AF2-9DFF03C066F9}"/>
    <cellStyle name="Normal 10 2 2 6 2 3 2 4 3" xfId="8503" xr:uid="{1D5A378E-038F-425C-AA66-6C41B69CA333}"/>
    <cellStyle name="Normal 10 2 2 6 2 3 2 5" xfId="8504" xr:uid="{CB45FF87-D0D3-47BC-BE67-646C0F545020}"/>
    <cellStyle name="Normal 10 2 2 6 2 3 2 5 2" xfId="8505" xr:uid="{6ED43C4C-D519-47E8-97C8-0B23BE66CB1B}"/>
    <cellStyle name="Normal 10 2 2 6 2 3 2 6" xfId="8506" xr:uid="{D961C001-5DE7-433A-BDFF-340521285B41}"/>
    <cellStyle name="Normal 10 2 2 6 2 3 3" xfId="8507" xr:uid="{FEE6C54A-EA40-40DB-9A7F-A0BEBFBC43F8}"/>
    <cellStyle name="Normal 10 2 2 6 2 3 3 2" xfId="8508" xr:uid="{FB3F2B3E-AA7B-4A57-84F3-90E7B4CFEC36}"/>
    <cellStyle name="Normal 10 2 2 6 2 3 3 2 2" xfId="8509" xr:uid="{9D228D7D-C92F-4445-BFF3-76A76F2AE3EC}"/>
    <cellStyle name="Normal 10 2 2 6 2 3 3 2 2 2" xfId="8510" xr:uid="{5E525EBC-F23E-4284-9F09-42F60FF45D05}"/>
    <cellStyle name="Normal 10 2 2 6 2 3 3 2 2 2 2" xfId="8511" xr:uid="{4D40F288-68D9-4A05-BFB7-8D9C5F332E87}"/>
    <cellStyle name="Normal 10 2 2 6 2 3 3 2 2 3" xfId="8512" xr:uid="{6F61D239-5869-46F8-8DB5-31CA3E3A5474}"/>
    <cellStyle name="Normal 10 2 2 6 2 3 3 2 3" xfId="8513" xr:uid="{1ACF65B0-E271-4943-BFB2-C16AA6E71398}"/>
    <cellStyle name="Normal 10 2 2 6 2 3 3 2 3 2" xfId="8514" xr:uid="{BF66CF56-4875-4E44-A2D0-9CEEC2E576FF}"/>
    <cellStyle name="Normal 10 2 2 6 2 3 3 2 4" xfId="8515" xr:uid="{CAAB364B-D5D8-4349-B6A4-7003DA022E97}"/>
    <cellStyle name="Normal 10 2 2 6 2 3 3 3" xfId="8516" xr:uid="{11E2332B-2774-44D1-89AA-6F58C3566C40}"/>
    <cellStyle name="Normal 10 2 2 6 2 3 3 3 2" xfId="8517" xr:uid="{FDC93CC7-B746-4F1A-91CF-C77640CEAB80}"/>
    <cellStyle name="Normal 10 2 2 6 2 3 3 3 2 2" xfId="8518" xr:uid="{18591292-52D1-4660-87FF-8D2C158D3336}"/>
    <cellStyle name="Normal 10 2 2 6 2 3 3 3 3" xfId="8519" xr:uid="{DCBA6BB3-9ABB-4902-A719-BDE40A3DC9C8}"/>
    <cellStyle name="Normal 10 2 2 6 2 3 3 4" xfId="8520" xr:uid="{0003D5ED-9987-4793-BAA9-69FFE89D4D94}"/>
    <cellStyle name="Normal 10 2 2 6 2 3 3 4 2" xfId="8521" xr:uid="{161974F8-937E-4442-9AB3-D457710DB7E0}"/>
    <cellStyle name="Normal 10 2 2 6 2 3 3 5" xfId="8522" xr:uid="{09EC53AB-4CF6-47D4-918B-D753ADE697AC}"/>
    <cellStyle name="Normal 10 2 2 6 2 3 4" xfId="8523" xr:uid="{5F0D435A-5D61-4156-B3E6-DFCA51C5315C}"/>
    <cellStyle name="Normal 10 2 2 6 2 3 4 2" xfId="8524" xr:uid="{31EA3235-AE2C-4848-9721-6F5AF787A6F1}"/>
    <cellStyle name="Normal 10 2 2 6 2 3 4 2 2" xfId="8525" xr:uid="{8F8B6E15-E675-4674-AF45-B5F14087AA84}"/>
    <cellStyle name="Normal 10 2 2 6 2 3 4 2 2 2" xfId="8526" xr:uid="{96BD4B46-A362-4690-9592-C0336F344833}"/>
    <cellStyle name="Normal 10 2 2 6 2 3 4 2 3" xfId="8527" xr:uid="{D2720B87-CD47-4433-9116-3F324F799EF2}"/>
    <cellStyle name="Normal 10 2 2 6 2 3 4 3" xfId="8528" xr:uid="{FF881C03-37F1-42B9-80C3-5652877FCC06}"/>
    <cellStyle name="Normal 10 2 2 6 2 3 4 3 2" xfId="8529" xr:uid="{646E3DEA-161A-4B2C-8347-739D98C96E03}"/>
    <cellStyle name="Normal 10 2 2 6 2 3 4 4" xfId="8530" xr:uid="{684BDA54-6125-478D-83AE-581A08A5CB75}"/>
    <cellStyle name="Normal 10 2 2 6 2 3 5" xfId="8531" xr:uid="{1D8B927C-D8E1-4189-B5E6-82AA2E80F942}"/>
    <cellStyle name="Normal 10 2 2 6 2 3 5 2" xfId="8532" xr:uid="{71BC2899-960D-43C5-9D29-F04CBABE3BFE}"/>
    <cellStyle name="Normal 10 2 2 6 2 3 5 2 2" xfId="8533" xr:uid="{003BFD57-3B6A-43CF-9C1C-C83EFE0AC02F}"/>
    <cellStyle name="Normal 10 2 2 6 2 3 5 3" xfId="8534" xr:uid="{D23CF55E-1F38-4CE7-85E2-8A27CC87DBB0}"/>
    <cellStyle name="Normal 10 2 2 6 2 3 6" xfId="8535" xr:uid="{59A1DCA6-E59B-4C91-AD96-6C089C7954FF}"/>
    <cellStyle name="Normal 10 2 2 6 2 3 6 2" xfId="8536" xr:uid="{45A2A2AB-FBA2-404D-9E89-98F17A634472}"/>
    <cellStyle name="Normal 10 2 2 6 2 3 7" xfId="8537" xr:uid="{5DA62C38-9EFE-4611-BAA9-310139D808C0}"/>
    <cellStyle name="Normal 10 2 2 6 2 4" xfId="8538" xr:uid="{63BDBB98-B5BF-46EA-9F79-007757CCC220}"/>
    <cellStyle name="Normal 10 2 2 6 2 4 2" xfId="8539" xr:uid="{B1C7511C-4FAF-43AE-B0EC-3B16FDAF9A90}"/>
    <cellStyle name="Normal 10 2 2 6 2 4 2 2" xfId="8540" xr:uid="{76E4CB47-E217-4528-8B46-539DFC5DACAF}"/>
    <cellStyle name="Normal 10 2 2 6 2 4 2 2 2" xfId="8541" xr:uid="{5190EF65-8B03-44D6-8577-44FCE24CFDFC}"/>
    <cellStyle name="Normal 10 2 2 6 2 4 2 2 2 2" xfId="8542" xr:uid="{5DA73CC0-1E32-4F4B-B9D3-7D6F536050E2}"/>
    <cellStyle name="Normal 10 2 2 6 2 4 2 2 2 2 2" xfId="8543" xr:uid="{C3EEC1F6-5531-4FDE-AB5C-7DC1520162AD}"/>
    <cellStyle name="Normal 10 2 2 6 2 4 2 2 2 3" xfId="8544" xr:uid="{6A164586-FAE8-45F8-9570-6FF419BE2520}"/>
    <cellStyle name="Normal 10 2 2 6 2 4 2 2 3" xfId="8545" xr:uid="{D10655B0-BF17-4B2D-BB62-4AB541627575}"/>
    <cellStyle name="Normal 10 2 2 6 2 4 2 2 3 2" xfId="8546" xr:uid="{D75F785C-45AC-4AA3-BCA5-B7805A37A912}"/>
    <cellStyle name="Normal 10 2 2 6 2 4 2 2 4" xfId="8547" xr:uid="{2E35B69F-B62F-40D8-A9FE-37958ADC635C}"/>
    <cellStyle name="Normal 10 2 2 6 2 4 2 3" xfId="8548" xr:uid="{73B3622A-F244-4AE9-A7D3-E6FD4379D38D}"/>
    <cellStyle name="Normal 10 2 2 6 2 4 2 3 2" xfId="8549" xr:uid="{6527E539-F5DE-4002-8DAC-4FBD4D104744}"/>
    <cellStyle name="Normal 10 2 2 6 2 4 2 3 2 2" xfId="8550" xr:uid="{C6ECC142-DC63-4B76-984B-394FE338FA70}"/>
    <cellStyle name="Normal 10 2 2 6 2 4 2 3 3" xfId="8551" xr:uid="{965DCE0D-FEAD-4632-ADCE-F2C869863B60}"/>
    <cellStyle name="Normal 10 2 2 6 2 4 2 4" xfId="8552" xr:uid="{1598216C-5A40-4491-81F5-C3F2F1002FE9}"/>
    <cellStyle name="Normal 10 2 2 6 2 4 2 4 2" xfId="8553" xr:uid="{59E3DD72-027A-453F-BA75-E6E761FCB072}"/>
    <cellStyle name="Normal 10 2 2 6 2 4 2 5" xfId="8554" xr:uid="{1D5409E1-430E-418F-B763-CDBF4ACF02BA}"/>
    <cellStyle name="Normal 10 2 2 6 2 4 3" xfId="8555" xr:uid="{18D912B3-E2E0-4DC5-A039-57D6C09DD68E}"/>
    <cellStyle name="Normal 10 2 2 6 2 4 3 2" xfId="8556" xr:uid="{418939DE-09C3-4CE3-9642-60C42A8D322F}"/>
    <cellStyle name="Normal 10 2 2 6 2 4 3 2 2" xfId="8557" xr:uid="{02040FA4-D77B-4362-AF12-7BB6FE3AD280}"/>
    <cellStyle name="Normal 10 2 2 6 2 4 3 2 2 2" xfId="8558" xr:uid="{533F11B8-4430-48E3-A147-CF15ABB8D941}"/>
    <cellStyle name="Normal 10 2 2 6 2 4 3 2 3" xfId="8559" xr:uid="{AA6926E8-264C-43E4-8073-EFCFA6D28D5B}"/>
    <cellStyle name="Normal 10 2 2 6 2 4 3 3" xfId="8560" xr:uid="{CD25145B-A16D-4732-B829-2677CFFBD8B0}"/>
    <cellStyle name="Normal 10 2 2 6 2 4 3 3 2" xfId="8561" xr:uid="{84CC2B6A-4824-4EF5-8902-44FEB17DB2C0}"/>
    <cellStyle name="Normal 10 2 2 6 2 4 3 4" xfId="8562" xr:uid="{7EF08564-6C44-4273-B619-4A9AD5D1D35F}"/>
    <cellStyle name="Normal 10 2 2 6 2 4 4" xfId="8563" xr:uid="{E298293A-1473-4678-9115-C2244F11D137}"/>
    <cellStyle name="Normal 10 2 2 6 2 4 4 2" xfId="8564" xr:uid="{A4293977-BF32-47B4-AFE3-FC3E591451AB}"/>
    <cellStyle name="Normal 10 2 2 6 2 4 4 2 2" xfId="8565" xr:uid="{F66F44B4-64C4-4811-8E7F-3BB0305BAC2A}"/>
    <cellStyle name="Normal 10 2 2 6 2 4 4 3" xfId="8566" xr:uid="{99A1EAC1-FB7E-442B-B720-60663FDCD175}"/>
    <cellStyle name="Normal 10 2 2 6 2 4 5" xfId="8567" xr:uid="{37A034AA-996F-412A-B3F4-C7F519ABA5BA}"/>
    <cellStyle name="Normal 10 2 2 6 2 4 5 2" xfId="8568" xr:uid="{793AF2BE-8B5E-4245-A728-7C88529556CD}"/>
    <cellStyle name="Normal 10 2 2 6 2 4 6" xfId="8569" xr:uid="{61FE0477-84F5-4C8E-8D4D-5C9FE8A84223}"/>
    <cellStyle name="Normal 10 2 2 6 2 5" xfId="8570" xr:uid="{E5027E2F-C662-4274-8A35-2B778613E08F}"/>
    <cellStyle name="Normal 10 2 2 6 2 5 2" xfId="8571" xr:uid="{33551DAE-A7CB-439D-8381-F36498C45585}"/>
    <cellStyle name="Normal 10 2 2 6 2 5 2 2" xfId="8572" xr:uid="{061EF14D-AECB-470A-86A8-DF1167723125}"/>
    <cellStyle name="Normal 10 2 2 6 2 5 2 2 2" xfId="8573" xr:uid="{A7C67AD7-56CE-46DA-A24B-16B9FD380FD0}"/>
    <cellStyle name="Normal 10 2 2 6 2 5 2 2 2 2" xfId="8574" xr:uid="{EDE93F96-81F6-474B-90F9-325FC7D53B36}"/>
    <cellStyle name="Normal 10 2 2 6 2 5 2 2 3" xfId="8575" xr:uid="{20AB2E73-1852-42F5-AC81-BE62525DECD8}"/>
    <cellStyle name="Normal 10 2 2 6 2 5 2 3" xfId="8576" xr:uid="{EE00AA31-E287-4F2C-B83A-DF44EAEE2B1D}"/>
    <cellStyle name="Normal 10 2 2 6 2 5 2 3 2" xfId="8577" xr:uid="{E11F38F2-40B7-4BA4-914E-E993BC98ADBC}"/>
    <cellStyle name="Normal 10 2 2 6 2 5 2 4" xfId="8578" xr:uid="{707E8762-DB4B-417A-A5CA-23FDBAE6BD84}"/>
    <cellStyle name="Normal 10 2 2 6 2 5 3" xfId="8579" xr:uid="{D37C4087-5A78-454A-A928-08969DC2A1AA}"/>
    <cellStyle name="Normal 10 2 2 6 2 5 3 2" xfId="8580" xr:uid="{C687556F-D3D0-45C7-82DD-B16B09F783C2}"/>
    <cellStyle name="Normal 10 2 2 6 2 5 3 2 2" xfId="8581" xr:uid="{AE02E0A2-B13E-48AF-9788-2F058A090935}"/>
    <cellStyle name="Normal 10 2 2 6 2 5 3 3" xfId="8582" xr:uid="{81D29E82-81F4-4305-B6A4-6A2D55F0ED7D}"/>
    <cellStyle name="Normal 10 2 2 6 2 5 4" xfId="8583" xr:uid="{046B92DC-F014-4BFE-A14E-B54D08CF310F}"/>
    <cellStyle name="Normal 10 2 2 6 2 5 4 2" xfId="8584" xr:uid="{93753A1F-0BA8-40BB-992F-C845685F582D}"/>
    <cellStyle name="Normal 10 2 2 6 2 5 5" xfId="8585" xr:uid="{9AF0997F-7E3E-49E2-9B4B-81D1F01EBFEB}"/>
    <cellStyle name="Normal 10 2 2 6 2 6" xfId="8586" xr:uid="{86655C48-95B0-4B11-945D-E2D49F9E9248}"/>
    <cellStyle name="Normal 10 2 2 6 2 6 2" xfId="8587" xr:uid="{C00E5D58-9C27-4C41-BF79-C317AECB004A}"/>
    <cellStyle name="Normal 10 2 2 6 2 6 2 2" xfId="8588" xr:uid="{42997F88-20DF-4073-A86E-95F30D2E67A3}"/>
    <cellStyle name="Normal 10 2 2 6 2 6 2 2 2" xfId="8589" xr:uid="{CED74F5B-AD35-49F1-9824-803C91A642F9}"/>
    <cellStyle name="Normal 10 2 2 6 2 6 2 3" xfId="8590" xr:uid="{41108C6A-9DD0-4836-B7E3-7E7F0DDBEAB4}"/>
    <cellStyle name="Normal 10 2 2 6 2 6 3" xfId="8591" xr:uid="{47873A18-3FB7-42AF-8F65-C7B4925BF15C}"/>
    <cellStyle name="Normal 10 2 2 6 2 6 3 2" xfId="8592" xr:uid="{68302214-CC55-4719-B192-24C08BDDB6C0}"/>
    <cellStyle name="Normal 10 2 2 6 2 6 4" xfId="8593" xr:uid="{AA642E07-FF35-416C-9A75-DC4CE413F6F9}"/>
    <cellStyle name="Normal 10 2 2 6 2 7" xfId="8594" xr:uid="{70F49594-17A2-4C41-9C9B-3F3090F36D8A}"/>
    <cellStyle name="Normal 10 2 2 6 2 7 2" xfId="8595" xr:uid="{1036E7F9-BADA-435A-9757-335E903A178D}"/>
    <cellStyle name="Normal 10 2 2 6 2 7 2 2" xfId="8596" xr:uid="{5D4E71BE-6D62-4AED-AAA8-87A7C2217C9B}"/>
    <cellStyle name="Normal 10 2 2 6 2 7 3" xfId="8597" xr:uid="{F55575B6-41AD-4D5A-AC23-BBCF357357B8}"/>
    <cellStyle name="Normal 10 2 2 6 2 8" xfId="8598" xr:uid="{681598F5-5965-4526-9A8B-5D1CC1D1E8C9}"/>
    <cellStyle name="Normal 10 2 2 6 2 8 2" xfId="8599" xr:uid="{F264598A-20D2-4379-BDFD-DCA9C3BCD41A}"/>
    <cellStyle name="Normal 10 2 2 6 2 9" xfId="8600" xr:uid="{691F68E8-798E-44F0-A98C-CA3323DCB946}"/>
    <cellStyle name="Normal 10 2 2 6 3" xfId="505" xr:uid="{82B25E45-CF9A-4A93-8306-6B2F66402A96}"/>
    <cellStyle name="Normal 10 2 2 6 3 2" xfId="8602" xr:uid="{1F8E10E1-1469-496B-A059-C68A0266259C}"/>
    <cellStyle name="Normal 10 2 2 6 3 2 2" xfId="8603" xr:uid="{30315169-5DC7-46D5-9FD2-0F9D1FEF4F77}"/>
    <cellStyle name="Normal 10 2 2 6 3 2 2 2" xfId="8604" xr:uid="{5B3F38CE-FF9D-4A27-AEC0-D2B549C8B042}"/>
    <cellStyle name="Normal 10 2 2 6 3 2 2 2 2" xfId="8605" xr:uid="{CAD16BDD-CA3B-42E7-B87A-4E625A9885DE}"/>
    <cellStyle name="Normal 10 2 2 6 3 2 2 2 2 2" xfId="8606" xr:uid="{4CFB8CB6-D1F6-42D2-B5CC-DA632900FE7F}"/>
    <cellStyle name="Normal 10 2 2 6 3 2 2 2 2 2 2" xfId="8607" xr:uid="{8E741590-1F36-43AB-9238-A92F62FF7DE8}"/>
    <cellStyle name="Normal 10 2 2 6 3 2 2 2 2 2 2 2" xfId="8608" xr:uid="{13CC8D0A-2B86-48E7-BF62-878FA1D67DD8}"/>
    <cellStyle name="Normal 10 2 2 6 3 2 2 2 2 2 3" xfId="8609" xr:uid="{111CEEB0-64EC-4DA2-B385-910E407E16FA}"/>
    <cellStyle name="Normal 10 2 2 6 3 2 2 2 2 3" xfId="8610" xr:uid="{70AC94B6-9145-4A8D-B702-58CF7FEEF564}"/>
    <cellStyle name="Normal 10 2 2 6 3 2 2 2 2 3 2" xfId="8611" xr:uid="{1E3B383F-F1F3-4659-A39F-571A7A5C1E28}"/>
    <cellStyle name="Normal 10 2 2 6 3 2 2 2 2 4" xfId="8612" xr:uid="{42C2BCF0-18F4-4FDB-AF28-ED9A11854EB4}"/>
    <cellStyle name="Normal 10 2 2 6 3 2 2 2 3" xfId="8613" xr:uid="{C4545C7C-2B5A-4E7D-A705-73D2AB2B79C4}"/>
    <cellStyle name="Normal 10 2 2 6 3 2 2 2 3 2" xfId="8614" xr:uid="{302A45B3-2AB0-4AE6-ADEA-38EA75FBE3EA}"/>
    <cellStyle name="Normal 10 2 2 6 3 2 2 2 3 2 2" xfId="8615" xr:uid="{3A9B72C4-8E60-420F-85E1-D2E427F1598E}"/>
    <cellStyle name="Normal 10 2 2 6 3 2 2 2 3 3" xfId="8616" xr:uid="{E4AA3E61-7717-4B5D-BB01-DA29DC931CB9}"/>
    <cellStyle name="Normal 10 2 2 6 3 2 2 2 4" xfId="8617" xr:uid="{11BA0B0C-C4F1-48D2-B38E-40E9F8BCA604}"/>
    <cellStyle name="Normal 10 2 2 6 3 2 2 2 4 2" xfId="8618" xr:uid="{0AF06455-E1F0-415D-A70F-E4B7D6769DDE}"/>
    <cellStyle name="Normal 10 2 2 6 3 2 2 2 5" xfId="8619" xr:uid="{114FAB69-9178-4D82-B3A9-0979B54AB867}"/>
    <cellStyle name="Normal 10 2 2 6 3 2 2 3" xfId="8620" xr:uid="{CEB00E8D-1349-4A2E-9571-CFF57D0A2363}"/>
    <cellStyle name="Normal 10 2 2 6 3 2 2 3 2" xfId="8621" xr:uid="{4572A584-6AFD-4162-9204-9206D15DFF69}"/>
    <cellStyle name="Normal 10 2 2 6 3 2 2 3 2 2" xfId="8622" xr:uid="{B5042E0A-1808-4661-ABF0-E6DB98E9830B}"/>
    <cellStyle name="Normal 10 2 2 6 3 2 2 3 2 2 2" xfId="8623" xr:uid="{44F6DFE9-CC78-472D-8D7A-7DA3AF365044}"/>
    <cellStyle name="Normal 10 2 2 6 3 2 2 3 2 3" xfId="8624" xr:uid="{A2817885-1E81-4114-9B51-7591444C8529}"/>
    <cellStyle name="Normal 10 2 2 6 3 2 2 3 3" xfId="8625" xr:uid="{C296F8E4-3861-442D-9167-3122E3B429A5}"/>
    <cellStyle name="Normal 10 2 2 6 3 2 2 3 3 2" xfId="8626" xr:uid="{BE99ABAD-1765-494A-8748-5D63E75DE4CF}"/>
    <cellStyle name="Normal 10 2 2 6 3 2 2 3 4" xfId="8627" xr:uid="{03AE86FC-4CEB-42A3-B3FA-D3EC39668707}"/>
    <cellStyle name="Normal 10 2 2 6 3 2 2 4" xfId="8628" xr:uid="{9E3C1112-06D4-4E85-9AEB-A03CE97186BA}"/>
    <cellStyle name="Normal 10 2 2 6 3 2 2 4 2" xfId="8629" xr:uid="{8902CBE2-C506-4CA9-92EB-8BBE8A3CA9AC}"/>
    <cellStyle name="Normal 10 2 2 6 3 2 2 4 2 2" xfId="8630" xr:uid="{34FC6C06-C543-4078-83B0-CC9518877B2E}"/>
    <cellStyle name="Normal 10 2 2 6 3 2 2 4 3" xfId="8631" xr:uid="{C9C79DF0-2E0F-46B3-A484-DBDC737CBD81}"/>
    <cellStyle name="Normal 10 2 2 6 3 2 2 5" xfId="8632" xr:uid="{93D46325-734D-4DCE-8DA1-61B430BAD481}"/>
    <cellStyle name="Normal 10 2 2 6 3 2 2 5 2" xfId="8633" xr:uid="{11BCA7B6-A136-4F25-994A-5EFD2242A6FC}"/>
    <cellStyle name="Normal 10 2 2 6 3 2 2 6" xfId="8634" xr:uid="{6D7485F3-FE15-4CCE-955E-6BF5C500155C}"/>
    <cellStyle name="Normal 10 2 2 6 3 2 3" xfId="8635" xr:uid="{2A3D3641-107E-4BD2-B903-DBEBEF36AEDA}"/>
    <cellStyle name="Normal 10 2 2 6 3 2 3 2" xfId="8636" xr:uid="{F54A1E9E-385E-4306-98E4-D246F2204EBF}"/>
    <cellStyle name="Normal 10 2 2 6 3 2 3 2 2" xfId="8637" xr:uid="{9FE37A40-B64A-48D4-B4A7-24F8DA091A7F}"/>
    <cellStyle name="Normal 10 2 2 6 3 2 3 2 2 2" xfId="8638" xr:uid="{69625DE6-5AE7-48FD-9A28-F150769ECBC4}"/>
    <cellStyle name="Normal 10 2 2 6 3 2 3 2 2 2 2" xfId="8639" xr:uid="{1F48E06C-D4FB-415D-A768-F321061C1EFC}"/>
    <cellStyle name="Normal 10 2 2 6 3 2 3 2 2 3" xfId="8640" xr:uid="{2D11F1F1-C2F9-48A9-A191-DFC42FF3B18F}"/>
    <cellStyle name="Normal 10 2 2 6 3 2 3 2 3" xfId="8641" xr:uid="{302093CA-ABB9-44DB-807B-D1ACA3B69D04}"/>
    <cellStyle name="Normal 10 2 2 6 3 2 3 2 3 2" xfId="8642" xr:uid="{DAD3621C-4FB7-421E-AA95-B343DB22FECD}"/>
    <cellStyle name="Normal 10 2 2 6 3 2 3 2 4" xfId="8643" xr:uid="{50847BC1-D671-48FC-AE3A-624E2A989250}"/>
    <cellStyle name="Normal 10 2 2 6 3 2 3 3" xfId="8644" xr:uid="{2583FB89-31D3-45A6-9B64-39C255EF592B}"/>
    <cellStyle name="Normal 10 2 2 6 3 2 3 3 2" xfId="8645" xr:uid="{E5E16AAB-8D6A-4FEA-B965-D90FBB7ACDAF}"/>
    <cellStyle name="Normal 10 2 2 6 3 2 3 3 2 2" xfId="8646" xr:uid="{B3632450-E0D5-4349-BE95-7D389A1F895B}"/>
    <cellStyle name="Normal 10 2 2 6 3 2 3 3 3" xfId="8647" xr:uid="{FEEFF03D-9533-4CDB-A2C8-456776AD6508}"/>
    <cellStyle name="Normal 10 2 2 6 3 2 3 4" xfId="8648" xr:uid="{62561C39-4C8D-4794-8714-A70B3FDA1761}"/>
    <cellStyle name="Normal 10 2 2 6 3 2 3 4 2" xfId="8649" xr:uid="{5A703148-BC04-453C-91B0-9E5D1CF2E0D6}"/>
    <cellStyle name="Normal 10 2 2 6 3 2 3 5" xfId="8650" xr:uid="{56475863-1BAC-4D25-96E8-5CFADA6EED0A}"/>
    <cellStyle name="Normal 10 2 2 6 3 2 4" xfId="8651" xr:uid="{118551BD-BE0D-4047-A41C-F1118148CA56}"/>
    <cellStyle name="Normal 10 2 2 6 3 2 4 2" xfId="8652" xr:uid="{D1AF21FE-6D21-4531-AF36-8ADEDA9DD137}"/>
    <cellStyle name="Normal 10 2 2 6 3 2 4 2 2" xfId="8653" xr:uid="{D22855BE-84C2-42D6-B710-83DAFA6D0B1D}"/>
    <cellStyle name="Normal 10 2 2 6 3 2 4 2 2 2" xfId="8654" xr:uid="{DFE5BB83-0EAD-4ED2-822A-ACFEA8FA43BC}"/>
    <cellStyle name="Normal 10 2 2 6 3 2 4 2 3" xfId="8655" xr:uid="{C82BA16A-B809-4D30-AEDD-F1E028E8414E}"/>
    <cellStyle name="Normal 10 2 2 6 3 2 4 3" xfId="8656" xr:uid="{A6379381-029A-4798-B3B3-8457C535A552}"/>
    <cellStyle name="Normal 10 2 2 6 3 2 4 3 2" xfId="8657" xr:uid="{990E19FB-C0F2-440C-AB38-6322420816FC}"/>
    <cellStyle name="Normal 10 2 2 6 3 2 4 4" xfId="8658" xr:uid="{3553832E-BD74-4C4B-A157-C4DDDA6F7996}"/>
    <cellStyle name="Normal 10 2 2 6 3 2 5" xfId="8659" xr:uid="{C8FC1960-D080-4A46-9A5B-8873BB03149E}"/>
    <cellStyle name="Normal 10 2 2 6 3 2 5 2" xfId="8660" xr:uid="{82899878-E2DB-4D68-8D8F-B0AA0F8A099F}"/>
    <cellStyle name="Normal 10 2 2 6 3 2 5 2 2" xfId="8661" xr:uid="{5CD6E11A-7501-43BE-AAAC-6D959B5947E3}"/>
    <cellStyle name="Normal 10 2 2 6 3 2 5 3" xfId="8662" xr:uid="{B8D5CD8D-C2F6-444D-BB52-C864913C0A21}"/>
    <cellStyle name="Normal 10 2 2 6 3 2 6" xfId="8663" xr:uid="{4DF01845-6610-429A-9F86-10A73E29629E}"/>
    <cellStyle name="Normal 10 2 2 6 3 2 6 2" xfId="8664" xr:uid="{E0C651A9-3F32-4AE4-ADAD-C8833984D7F5}"/>
    <cellStyle name="Normal 10 2 2 6 3 2 7" xfId="8665" xr:uid="{A6A8617B-1580-40D4-B5D8-29F0F9D094B5}"/>
    <cellStyle name="Normal 10 2 2 6 3 3" xfId="8666" xr:uid="{93A70875-817B-4D60-A4FA-396B67202CB7}"/>
    <cellStyle name="Normal 10 2 2 6 3 3 2" xfId="8667" xr:uid="{E91EB1DB-A3CB-4993-9FE6-BF914DB3B083}"/>
    <cellStyle name="Normal 10 2 2 6 3 3 2 2" xfId="8668" xr:uid="{6C7FF1CE-B725-4512-91C1-943D73F3EF42}"/>
    <cellStyle name="Normal 10 2 2 6 3 3 2 2 2" xfId="8669" xr:uid="{0B76F2A4-2EE0-461F-AACE-6490D43D9A92}"/>
    <cellStyle name="Normal 10 2 2 6 3 3 2 2 2 2" xfId="8670" xr:uid="{58F5EB9E-151A-4AC3-A275-0FBB435262D4}"/>
    <cellStyle name="Normal 10 2 2 6 3 3 2 2 2 2 2" xfId="8671" xr:uid="{96CCC16C-5809-49DF-AADF-98FD9E3D44E7}"/>
    <cellStyle name="Normal 10 2 2 6 3 3 2 2 2 3" xfId="8672" xr:uid="{5A624E05-5C02-4517-9513-676F778D4F08}"/>
    <cellStyle name="Normal 10 2 2 6 3 3 2 2 3" xfId="8673" xr:uid="{6402EFDA-6AF4-4852-874C-16FEC7DEB78F}"/>
    <cellStyle name="Normal 10 2 2 6 3 3 2 2 3 2" xfId="8674" xr:uid="{75ECE750-0C61-4DE0-841C-FDC7744CCC1B}"/>
    <cellStyle name="Normal 10 2 2 6 3 3 2 2 4" xfId="8675" xr:uid="{D23147FD-620A-4CDC-A5F9-261BECB3BBB1}"/>
    <cellStyle name="Normal 10 2 2 6 3 3 2 3" xfId="8676" xr:uid="{B858DA73-7FCE-48D4-9609-00928A26D03D}"/>
    <cellStyle name="Normal 10 2 2 6 3 3 2 3 2" xfId="8677" xr:uid="{1B5843C9-3DFC-4547-920E-446FED669137}"/>
    <cellStyle name="Normal 10 2 2 6 3 3 2 3 2 2" xfId="8678" xr:uid="{A8F5A76F-9EFD-4662-AA8E-6BEEF07898C0}"/>
    <cellStyle name="Normal 10 2 2 6 3 3 2 3 3" xfId="8679" xr:uid="{B0C4C62C-6529-46B4-B510-331FD97229E7}"/>
    <cellStyle name="Normal 10 2 2 6 3 3 2 4" xfId="8680" xr:uid="{0B0EB145-B317-4B38-9132-B9C02226C1FB}"/>
    <cellStyle name="Normal 10 2 2 6 3 3 2 4 2" xfId="8681" xr:uid="{7A99FC82-319D-45F0-8840-F35ACEA53891}"/>
    <cellStyle name="Normal 10 2 2 6 3 3 2 5" xfId="8682" xr:uid="{8202C39B-2F71-47E9-86B9-64919EF8ED50}"/>
    <cellStyle name="Normal 10 2 2 6 3 3 3" xfId="8683" xr:uid="{D3DFA933-A48C-4A78-85E7-F8F889DB7428}"/>
    <cellStyle name="Normal 10 2 2 6 3 3 3 2" xfId="8684" xr:uid="{CB9C0BC8-EF94-4803-83DB-70E884DAD1AE}"/>
    <cellStyle name="Normal 10 2 2 6 3 3 3 2 2" xfId="8685" xr:uid="{8E08A572-4B0B-4A67-B8C8-8D5700607028}"/>
    <cellStyle name="Normal 10 2 2 6 3 3 3 2 2 2" xfId="8686" xr:uid="{5EA61D25-B6F3-4A29-A30B-9BEA0BC62FB2}"/>
    <cellStyle name="Normal 10 2 2 6 3 3 3 2 3" xfId="8687" xr:uid="{EBCFAA4F-C6CF-44D2-AEA1-33523B803AE7}"/>
    <cellStyle name="Normal 10 2 2 6 3 3 3 3" xfId="8688" xr:uid="{B2619C2C-5415-4855-A5C2-81E7F2161163}"/>
    <cellStyle name="Normal 10 2 2 6 3 3 3 3 2" xfId="8689" xr:uid="{F5315FB0-C9E7-4E58-976E-AA15D2E67CA1}"/>
    <cellStyle name="Normal 10 2 2 6 3 3 3 4" xfId="8690" xr:uid="{497BC1B2-19F6-4D84-8E0E-7F9594BAB17F}"/>
    <cellStyle name="Normal 10 2 2 6 3 3 4" xfId="8691" xr:uid="{8725B364-954F-41E6-962B-E593FCD3D996}"/>
    <cellStyle name="Normal 10 2 2 6 3 3 4 2" xfId="8692" xr:uid="{F3239351-DAB0-4A2F-AC0E-8814CAC48F78}"/>
    <cellStyle name="Normal 10 2 2 6 3 3 4 2 2" xfId="8693" xr:uid="{5C41DFF9-A6DF-4383-BEFC-DBDDB13CAA6F}"/>
    <cellStyle name="Normal 10 2 2 6 3 3 4 3" xfId="8694" xr:uid="{E2E15186-6792-43B4-8F90-0712A3562AFA}"/>
    <cellStyle name="Normal 10 2 2 6 3 3 5" xfId="8695" xr:uid="{8E1FC917-6145-4CA2-B740-1FBE60D913BD}"/>
    <cellStyle name="Normal 10 2 2 6 3 3 5 2" xfId="8696" xr:uid="{C2A0256B-5B10-46B7-A95A-99152030C9B3}"/>
    <cellStyle name="Normal 10 2 2 6 3 3 6" xfId="8697" xr:uid="{94DD3FE7-54A5-423B-9DF2-A690BCA1766C}"/>
    <cellStyle name="Normal 10 2 2 6 3 4" xfId="8698" xr:uid="{6EA56DDA-74B2-4478-8B95-8F772621CC4E}"/>
    <cellStyle name="Normal 10 2 2 6 3 4 2" xfId="8699" xr:uid="{54D7E196-BDB1-4759-95BA-9DCE09FA5DC4}"/>
    <cellStyle name="Normal 10 2 2 6 3 4 2 2" xfId="8700" xr:uid="{CA49B88E-3066-46A9-B96C-52299F4E3BD0}"/>
    <cellStyle name="Normal 10 2 2 6 3 4 2 2 2" xfId="8701" xr:uid="{65D5BE06-4E48-4E8B-A709-83FA35EDEE8F}"/>
    <cellStyle name="Normal 10 2 2 6 3 4 2 2 2 2" xfId="8702" xr:uid="{58617BC0-E12D-409A-B36D-089D39BCFA89}"/>
    <cellStyle name="Normal 10 2 2 6 3 4 2 2 3" xfId="8703" xr:uid="{A999D187-06C8-4BEA-B95B-6270B9C944B0}"/>
    <cellStyle name="Normal 10 2 2 6 3 4 2 3" xfId="8704" xr:uid="{D89CEA35-D995-4D21-9251-B0EEE3195E41}"/>
    <cellStyle name="Normal 10 2 2 6 3 4 2 3 2" xfId="8705" xr:uid="{B240D2C9-D618-4435-87EA-1BA93037272A}"/>
    <cellStyle name="Normal 10 2 2 6 3 4 2 4" xfId="8706" xr:uid="{3B294C47-3780-4E25-A221-E83DDD7B87B8}"/>
    <cellStyle name="Normal 10 2 2 6 3 4 3" xfId="8707" xr:uid="{3E71A346-8842-4FEB-8140-10A47E4F64BE}"/>
    <cellStyle name="Normal 10 2 2 6 3 4 3 2" xfId="8708" xr:uid="{BEFEB7BD-03A9-40F8-BB32-D550FB620F8A}"/>
    <cellStyle name="Normal 10 2 2 6 3 4 3 2 2" xfId="8709" xr:uid="{B179CE32-AEDA-495B-A2A8-CED69F22911E}"/>
    <cellStyle name="Normal 10 2 2 6 3 4 3 3" xfId="8710" xr:uid="{C7535B9F-6E1F-41E5-BB8D-776F2A4A3FE8}"/>
    <cellStyle name="Normal 10 2 2 6 3 4 4" xfId="8711" xr:uid="{1B1C5FB7-3B01-4DF4-85B2-6E90AEE50DCC}"/>
    <cellStyle name="Normal 10 2 2 6 3 4 4 2" xfId="8712" xr:uid="{A4637997-0F19-43AC-8273-F1A48061D77D}"/>
    <cellStyle name="Normal 10 2 2 6 3 4 5" xfId="8713" xr:uid="{CFDEBEF6-57BC-4926-BD9D-66D7BCB8EC99}"/>
    <cellStyle name="Normal 10 2 2 6 3 5" xfId="8714" xr:uid="{48BB75D4-AB63-469E-B596-58B92365BF21}"/>
    <cellStyle name="Normal 10 2 2 6 3 5 2" xfId="8715" xr:uid="{0AF661AF-471C-4F6D-8FE9-1DCEE5207502}"/>
    <cellStyle name="Normal 10 2 2 6 3 5 2 2" xfId="8716" xr:uid="{01552326-5245-4A71-ABA6-DB548BBE2108}"/>
    <cellStyle name="Normal 10 2 2 6 3 5 2 2 2" xfId="8717" xr:uid="{0F34D76A-EF50-4EDA-A8A9-8DE665285C76}"/>
    <cellStyle name="Normal 10 2 2 6 3 5 2 3" xfId="8718" xr:uid="{7A3F785C-956E-4674-B769-E08E94533EEF}"/>
    <cellStyle name="Normal 10 2 2 6 3 5 3" xfId="8719" xr:uid="{0A2C8D83-6391-4425-834A-9D8D7E1AED6B}"/>
    <cellStyle name="Normal 10 2 2 6 3 5 3 2" xfId="8720" xr:uid="{C776224F-E2CE-4BF1-92DE-3BE9704BC1B8}"/>
    <cellStyle name="Normal 10 2 2 6 3 5 4" xfId="8721" xr:uid="{0205B93B-09ED-43A3-BCF1-679CA6B1CDEB}"/>
    <cellStyle name="Normal 10 2 2 6 3 6" xfId="8722" xr:uid="{33252B4C-375A-4167-92DA-E383FBE1F0D8}"/>
    <cellStyle name="Normal 10 2 2 6 3 6 2" xfId="8723" xr:uid="{3581A21E-0810-464C-8D4C-CAC226C5D8A6}"/>
    <cellStyle name="Normal 10 2 2 6 3 6 2 2" xfId="8724" xr:uid="{8416BA09-13E2-415E-83F4-1AC1F121014C}"/>
    <cellStyle name="Normal 10 2 2 6 3 6 3" xfId="8725" xr:uid="{C3AD7455-125E-4084-AAD6-B0D291677AD2}"/>
    <cellStyle name="Normal 10 2 2 6 3 7" xfId="8726" xr:uid="{0C75F195-9CA1-4A21-936F-793818DCF35C}"/>
    <cellStyle name="Normal 10 2 2 6 3 7 2" xfId="8727" xr:uid="{1DAC8C27-A15A-4707-B67D-D482A3384636}"/>
    <cellStyle name="Normal 10 2 2 6 3 8" xfId="8728" xr:uid="{675CBBC5-D5C2-4696-9C10-1C5EA6CF5FA0}"/>
    <cellStyle name="Normal 10 2 2 6 3 9" xfId="8601" xr:uid="{8600C4B9-4BBD-408B-A9B3-43507915C835}"/>
    <cellStyle name="Normal 10 2 2 6 4" xfId="8729" xr:uid="{79CF7D39-7CEF-4807-810C-0E3D2256E9BE}"/>
    <cellStyle name="Normal 10 2 2 6 4 2" xfId="8730" xr:uid="{C701EC82-15C1-4BBF-AED2-74A159644CF5}"/>
    <cellStyle name="Normal 10 2 2 6 4 2 2" xfId="8731" xr:uid="{CFC176BF-6AC4-49F8-8FDC-E0A2026FF889}"/>
    <cellStyle name="Normal 10 2 2 6 4 2 2 2" xfId="8732" xr:uid="{C100F473-49F6-4AAC-ABE0-1F6C27FB4553}"/>
    <cellStyle name="Normal 10 2 2 6 4 2 2 2 2" xfId="8733" xr:uid="{6EB429B6-BC98-474B-AF90-CA882792FCA1}"/>
    <cellStyle name="Normal 10 2 2 6 4 2 2 2 2 2" xfId="8734" xr:uid="{006BB098-ECC3-476F-A1CC-68FC77323881}"/>
    <cellStyle name="Normal 10 2 2 6 4 2 2 2 2 2 2" xfId="8735" xr:uid="{AB3BD9BF-CA2F-45BE-BD62-9ECE8EA286AA}"/>
    <cellStyle name="Normal 10 2 2 6 4 2 2 2 2 3" xfId="8736" xr:uid="{6BB9D736-9C1B-40F1-B382-F319B595C9A5}"/>
    <cellStyle name="Normal 10 2 2 6 4 2 2 2 3" xfId="8737" xr:uid="{7F0143FD-77AB-4DEF-9ABB-47F951FBB98E}"/>
    <cellStyle name="Normal 10 2 2 6 4 2 2 2 3 2" xfId="8738" xr:uid="{821FF071-613D-495E-8D2B-7E756CAFA7A5}"/>
    <cellStyle name="Normal 10 2 2 6 4 2 2 2 4" xfId="8739" xr:uid="{C1CD7F87-0818-4B02-97FF-3C7A9BEA896B}"/>
    <cellStyle name="Normal 10 2 2 6 4 2 2 3" xfId="8740" xr:uid="{3D64D260-D158-4345-8191-024AF7569494}"/>
    <cellStyle name="Normal 10 2 2 6 4 2 2 3 2" xfId="8741" xr:uid="{56982227-B8A1-4875-91E4-607F35C3741A}"/>
    <cellStyle name="Normal 10 2 2 6 4 2 2 3 2 2" xfId="8742" xr:uid="{3AD207C3-A7D4-4710-A125-2353238EACBC}"/>
    <cellStyle name="Normal 10 2 2 6 4 2 2 3 3" xfId="8743" xr:uid="{32C68172-1F3C-47A8-9597-CA74A4150AE3}"/>
    <cellStyle name="Normal 10 2 2 6 4 2 2 4" xfId="8744" xr:uid="{4A1B3C66-E799-4432-9C85-60094BF49824}"/>
    <cellStyle name="Normal 10 2 2 6 4 2 2 4 2" xfId="8745" xr:uid="{3E9BB38F-16BB-48A2-BF5B-3D53EC7649A1}"/>
    <cellStyle name="Normal 10 2 2 6 4 2 2 5" xfId="8746" xr:uid="{3843A813-0FC4-462F-8799-1565EE4F6449}"/>
    <cellStyle name="Normal 10 2 2 6 4 2 3" xfId="8747" xr:uid="{95495CA1-A713-4BBD-829A-58FB08F11B5C}"/>
    <cellStyle name="Normal 10 2 2 6 4 2 3 2" xfId="8748" xr:uid="{0312E18D-0C8B-4D0A-A291-7D0B0D40472F}"/>
    <cellStyle name="Normal 10 2 2 6 4 2 3 2 2" xfId="8749" xr:uid="{55C863B2-518A-469F-87A3-7B33DE7D0482}"/>
    <cellStyle name="Normal 10 2 2 6 4 2 3 2 2 2" xfId="8750" xr:uid="{F721E54E-1294-42F7-810F-EB4E9968C62D}"/>
    <cellStyle name="Normal 10 2 2 6 4 2 3 2 3" xfId="8751" xr:uid="{110929A2-AA01-4B36-ADD4-C2E47F883DFE}"/>
    <cellStyle name="Normal 10 2 2 6 4 2 3 3" xfId="8752" xr:uid="{2B71529A-D625-4DEC-90BE-AFDF95949C5D}"/>
    <cellStyle name="Normal 10 2 2 6 4 2 3 3 2" xfId="8753" xr:uid="{CA9553D7-F56C-414B-9E2E-C45FF5C24E86}"/>
    <cellStyle name="Normal 10 2 2 6 4 2 3 4" xfId="8754" xr:uid="{0CEFFB16-0967-4609-892B-F9B408A9DAED}"/>
    <cellStyle name="Normal 10 2 2 6 4 2 4" xfId="8755" xr:uid="{E2764BC4-B411-41CF-9C2B-75E91C07A839}"/>
    <cellStyle name="Normal 10 2 2 6 4 2 4 2" xfId="8756" xr:uid="{5D7A5A31-849A-4EAD-AA2B-2F65532F9EE0}"/>
    <cellStyle name="Normal 10 2 2 6 4 2 4 2 2" xfId="8757" xr:uid="{88A72847-2E94-45F2-BDAD-55C0EBBD75C6}"/>
    <cellStyle name="Normal 10 2 2 6 4 2 4 3" xfId="8758" xr:uid="{415F6790-56A3-46F8-8147-395C35D9CBB1}"/>
    <cellStyle name="Normal 10 2 2 6 4 2 5" xfId="8759" xr:uid="{830A73F4-8CEB-408A-8398-221246CD54A0}"/>
    <cellStyle name="Normal 10 2 2 6 4 2 5 2" xfId="8760" xr:uid="{0472C383-6812-441F-B593-6791B27DD485}"/>
    <cellStyle name="Normal 10 2 2 6 4 2 6" xfId="8761" xr:uid="{0F8EFE68-5A1C-4920-ADD9-160B7BB1D8D3}"/>
    <cellStyle name="Normal 10 2 2 6 4 3" xfId="8762" xr:uid="{1E87E972-5892-45A2-B0EE-D12BC348F290}"/>
    <cellStyle name="Normal 10 2 2 6 4 3 2" xfId="8763" xr:uid="{F4103268-CDFA-483E-9BA1-482414CEBB44}"/>
    <cellStyle name="Normal 10 2 2 6 4 3 2 2" xfId="8764" xr:uid="{01C92BE5-8213-42F3-9444-F50FA07C0E18}"/>
    <cellStyle name="Normal 10 2 2 6 4 3 2 2 2" xfId="8765" xr:uid="{435454A3-5A30-46DA-AFA1-B553B385B002}"/>
    <cellStyle name="Normal 10 2 2 6 4 3 2 2 2 2" xfId="8766" xr:uid="{F8F8FCCF-7A2B-4FA0-AE31-171CCC4DEF79}"/>
    <cellStyle name="Normal 10 2 2 6 4 3 2 2 3" xfId="8767" xr:uid="{2087045B-430F-41E1-8BB2-E31AEE55EF62}"/>
    <cellStyle name="Normal 10 2 2 6 4 3 2 3" xfId="8768" xr:uid="{CFB2CB6E-F56F-4D29-8DEE-CB9DD6E1AA7E}"/>
    <cellStyle name="Normal 10 2 2 6 4 3 2 3 2" xfId="8769" xr:uid="{145D146A-6213-48FD-8009-82D776D950C2}"/>
    <cellStyle name="Normal 10 2 2 6 4 3 2 4" xfId="8770" xr:uid="{837456AF-4C3D-478F-8E24-95BD79AF6BF2}"/>
    <cellStyle name="Normal 10 2 2 6 4 3 3" xfId="8771" xr:uid="{6F28C485-FB1C-491E-942C-8B647C060A8C}"/>
    <cellStyle name="Normal 10 2 2 6 4 3 3 2" xfId="8772" xr:uid="{622E6203-2B44-459D-83A6-08711E9B9940}"/>
    <cellStyle name="Normal 10 2 2 6 4 3 3 2 2" xfId="8773" xr:uid="{17B4D31C-0664-4B41-9557-A5B7E7A80C5A}"/>
    <cellStyle name="Normal 10 2 2 6 4 3 3 3" xfId="8774" xr:uid="{58901412-775F-4FCF-A690-AC6B7E1C1812}"/>
    <cellStyle name="Normal 10 2 2 6 4 3 4" xfId="8775" xr:uid="{C820CB7F-39EE-43F9-AEBC-4B091086A774}"/>
    <cellStyle name="Normal 10 2 2 6 4 3 4 2" xfId="8776" xr:uid="{402F08B0-F446-46FA-AE5E-BDBD27E7E027}"/>
    <cellStyle name="Normal 10 2 2 6 4 3 5" xfId="8777" xr:uid="{3ECD299D-A818-4149-BFE6-363D40570518}"/>
    <cellStyle name="Normal 10 2 2 6 4 4" xfId="8778" xr:uid="{AC0E5E76-A02A-4135-922D-4FC0596C4EA7}"/>
    <cellStyle name="Normal 10 2 2 6 4 4 2" xfId="8779" xr:uid="{79322912-AB66-4721-A10C-EC6E9A3431B1}"/>
    <cellStyle name="Normal 10 2 2 6 4 4 2 2" xfId="8780" xr:uid="{E905DE9C-5552-40BD-843E-7460FD51638C}"/>
    <cellStyle name="Normal 10 2 2 6 4 4 2 2 2" xfId="8781" xr:uid="{D00C9FED-6BC8-430D-908F-4619FBD40216}"/>
    <cellStyle name="Normal 10 2 2 6 4 4 2 3" xfId="8782" xr:uid="{031473EA-DED7-45D8-B922-13CD24E3C721}"/>
    <cellStyle name="Normal 10 2 2 6 4 4 3" xfId="8783" xr:uid="{8315010C-F732-4B00-9CE5-5FCA64BE8A11}"/>
    <cellStyle name="Normal 10 2 2 6 4 4 3 2" xfId="8784" xr:uid="{90899737-6B80-4753-86B4-F7A9318208C6}"/>
    <cellStyle name="Normal 10 2 2 6 4 4 4" xfId="8785" xr:uid="{7A538911-42A0-4032-A2D5-4ABC9FAC0DFE}"/>
    <cellStyle name="Normal 10 2 2 6 4 5" xfId="8786" xr:uid="{007A0821-5813-4613-96BD-D1979DD28C01}"/>
    <cellStyle name="Normal 10 2 2 6 4 5 2" xfId="8787" xr:uid="{FAAD2890-5B64-4AE5-BFD2-2A7B9B52F64C}"/>
    <cellStyle name="Normal 10 2 2 6 4 5 2 2" xfId="8788" xr:uid="{EF6CB915-2E96-400D-A6A0-D31B1411E673}"/>
    <cellStyle name="Normal 10 2 2 6 4 5 3" xfId="8789" xr:uid="{404F6F92-A20E-4F07-94A8-BA930B98AF16}"/>
    <cellStyle name="Normal 10 2 2 6 4 6" xfId="8790" xr:uid="{A1A15D6F-A1BD-4182-98EA-507B86FD5134}"/>
    <cellStyle name="Normal 10 2 2 6 4 6 2" xfId="8791" xr:uid="{2283CE2E-8562-4627-97D1-9D6387B9CDAD}"/>
    <cellStyle name="Normal 10 2 2 6 4 7" xfId="8792" xr:uid="{5CC8FAD0-F583-41B9-8AF3-AEC1A1BE131D}"/>
    <cellStyle name="Normal 10 2 2 6 5" xfId="8793" xr:uid="{88CD0E7E-DDB5-4A3F-9F8F-9B92D47DE753}"/>
    <cellStyle name="Normal 10 2 2 6 5 2" xfId="8794" xr:uid="{5FBDC898-D6D2-43AF-A396-993764B66A69}"/>
    <cellStyle name="Normal 10 2 2 6 5 2 2" xfId="8795" xr:uid="{443E6A5F-B841-4E66-B8D8-BEB1143A47C3}"/>
    <cellStyle name="Normal 10 2 2 6 5 2 2 2" xfId="8796" xr:uid="{2C248AB0-A7BA-46E4-B482-76E7110CAC79}"/>
    <cellStyle name="Normal 10 2 2 6 5 2 2 2 2" xfId="8797" xr:uid="{9964C8D8-1AC6-4649-A223-F06768FF7541}"/>
    <cellStyle name="Normal 10 2 2 6 5 2 2 2 2 2" xfId="8798" xr:uid="{55CAC506-CA96-42DC-A371-D139B4F8BEE5}"/>
    <cellStyle name="Normal 10 2 2 6 5 2 2 2 3" xfId="8799" xr:uid="{2AAF6DAA-81C0-4285-B303-7E71013CA662}"/>
    <cellStyle name="Normal 10 2 2 6 5 2 2 3" xfId="8800" xr:uid="{20EB9BD1-9F07-4092-8E08-8BE8129784CC}"/>
    <cellStyle name="Normal 10 2 2 6 5 2 2 3 2" xfId="8801" xr:uid="{9159E4C9-CFA0-41EE-ADF1-DFCE3A2F06FB}"/>
    <cellStyle name="Normal 10 2 2 6 5 2 2 4" xfId="8802" xr:uid="{7B139F44-22D5-4455-A3BB-5588119B405C}"/>
    <cellStyle name="Normal 10 2 2 6 5 2 3" xfId="8803" xr:uid="{CA71AFCF-2B3B-418D-B665-046E2014BBC0}"/>
    <cellStyle name="Normal 10 2 2 6 5 2 3 2" xfId="8804" xr:uid="{B6E844D6-65C3-4119-9F3B-18FF2414C435}"/>
    <cellStyle name="Normal 10 2 2 6 5 2 3 2 2" xfId="8805" xr:uid="{AD5F07C8-5DA3-47BB-9FA0-275DD40D07B2}"/>
    <cellStyle name="Normal 10 2 2 6 5 2 3 3" xfId="8806" xr:uid="{055299AD-7209-48BC-B042-0C30526FD2A4}"/>
    <cellStyle name="Normal 10 2 2 6 5 2 4" xfId="8807" xr:uid="{A9871E48-18E4-4B51-B5C8-7C9E7294E795}"/>
    <cellStyle name="Normal 10 2 2 6 5 2 4 2" xfId="8808" xr:uid="{1E2C383B-D7E9-4337-B709-727FD5429FC4}"/>
    <cellStyle name="Normal 10 2 2 6 5 2 5" xfId="8809" xr:uid="{6C67A643-69CD-48B1-AC76-2B1BD695F832}"/>
    <cellStyle name="Normal 10 2 2 6 5 3" xfId="8810" xr:uid="{6C3867C7-01C1-4AB8-AB58-BE5F50F921BE}"/>
    <cellStyle name="Normal 10 2 2 6 5 3 2" xfId="8811" xr:uid="{845B66F9-7C0A-40C6-BC21-349578EDA804}"/>
    <cellStyle name="Normal 10 2 2 6 5 3 2 2" xfId="8812" xr:uid="{A952B673-880E-4782-8647-24D2E562098E}"/>
    <cellStyle name="Normal 10 2 2 6 5 3 2 2 2" xfId="8813" xr:uid="{31FEE866-77C8-4E36-BDB9-A48F2AF7F557}"/>
    <cellStyle name="Normal 10 2 2 6 5 3 2 3" xfId="8814" xr:uid="{347BD459-1CE9-4654-94D8-D8DE2203DA0F}"/>
    <cellStyle name="Normal 10 2 2 6 5 3 3" xfId="8815" xr:uid="{5ED53C53-C3D9-461D-88F9-108FDD3C519F}"/>
    <cellStyle name="Normal 10 2 2 6 5 3 3 2" xfId="8816" xr:uid="{DF6F2AA7-3B7C-4E43-AE69-BCB23F2BB729}"/>
    <cellStyle name="Normal 10 2 2 6 5 3 4" xfId="8817" xr:uid="{55A4728C-5D2A-44F3-ABA6-4C435052961A}"/>
    <cellStyle name="Normal 10 2 2 6 5 4" xfId="8818" xr:uid="{E128750A-DF5F-49D1-9436-E186037D206D}"/>
    <cellStyle name="Normal 10 2 2 6 5 4 2" xfId="8819" xr:uid="{BDFB3660-3D8C-4F6E-9152-D4B5E8BD32FF}"/>
    <cellStyle name="Normal 10 2 2 6 5 4 2 2" xfId="8820" xr:uid="{B961A028-845F-42D9-9404-DB135609DEBF}"/>
    <cellStyle name="Normal 10 2 2 6 5 4 3" xfId="8821" xr:uid="{589FD053-B2B8-4275-9529-0A4DC3D3D4B8}"/>
    <cellStyle name="Normal 10 2 2 6 5 5" xfId="8822" xr:uid="{F16EAF3A-D54C-4FE4-B238-AB704BE57C94}"/>
    <cellStyle name="Normal 10 2 2 6 5 5 2" xfId="8823" xr:uid="{9D6A505C-0DE5-481D-A264-7E59E7F04259}"/>
    <cellStyle name="Normal 10 2 2 6 5 6" xfId="8824" xr:uid="{6C67F208-3A11-4133-8825-35DD9C738999}"/>
    <cellStyle name="Normal 10 2 2 6 6" xfId="8825" xr:uid="{578BF6AA-5A5C-4F65-AB0B-27BE61C2279C}"/>
    <cellStyle name="Normal 10 2 2 6 6 2" xfId="8826" xr:uid="{2E4B8FA0-DCAC-4602-A001-48C15E078ADC}"/>
    <cellStyle name="Normal 10 2 2 6 6 2 2" xfId="8827" xr:uid="{87567005-5F5B-4594-8169-831E213AB10B}"/>
    <cellStyle name="Normal 10 2 2 6 6 2 2 2" xfId="8828" xr:uid="{CBB7BC84-2FC9-445B-B406-D76F992F95D4}"/>
    <cellStyle name="Normal 10 2 2 6 6 2 2 2 2" xfId="8829" xr:uid="{E4282DF2-CBB2-43BA-A471-F246C2352F8B}"/>
    <cellStyle name="Normal 10 2 2 6 6 2 2 3" xfId="8830" xr:uid="{5424518A-2CE9-459E-96B8-42B91AAE56A2}"/>
    <cellStyle name="Normal 10 2 2 6 6 2 3" xfId="8831" xr:uid="{46B9ECBF-7A8E-480A-A0A8-28B62B3F5027}"/>
    <cellStyle name="Normal 10 2 2 6 6 2 3 2" xfId="8832" xr:uid="{508942C5-B96B-4BB5-9A8E-ED74D4E9CAD7}"/>
    <cellStyle name="Normal 10 2 2 6 6 2 4" xfId="8833" xr:uid="{B315DEAD-EAF6-4F69-8CBA-3C3298B368FD}"/>
    <cellStyle name="Normal 10 2 2 6 6 3" xfId="8834" xr:uid="{39705DE1-E779-4734-BF8A-59BA2E481530}"/>
    <cellStyle name="Normal 10 2 2 6 6 3 2" xfId="8835" xr:uid="{83BC02DC-F95B-46A2-B5CA-C0C615E6F073}"/>
    <cellStyle name="Normal 10 2 2 6 6 3 2 2" xfId="8836" xr:uid="{7621DD71-614D-4DDF-9539-058178197C65}"/>
    <cellStyle name="Normal 10 2 2 6 6 3 3" xfId="8837" xr:uid="{19976328-0F69-432A-963B-E93309EC5C4E}"/>
    <cellStyle name="Normal 10 2 2 6 6 4" xfId="8838" xr:uid="{9D79B502-A895-455A-860A-5EF8D0405C45}"/>
    <cellStyle name="Normal 10 2 2 6 6 4 2" xfId="8839" xr:uid="{32897A73-BF16-406A-8C5C-8E203A5067A0}"/>
    <cellStyle name="Normal 10 2 2 6 6 5" xfId="8840" xr:uid="{5C969313-CB41-4B59-90F4-54336658CBEA}"/>
    <cellStyle name="Normal 10 2 2 6 7" xfId="8841" xr:uid="{70491E60-BE4E-4998-9767-654082E2FDBB}"/>
    <cellStyle name="Normal 10 2 2 6 7 2" xfId="8842" xr:uid="{0914168A-D43E-4263-A194-17EED4C132F1}"/>
    <cellStyle name="Normal 10 2 2 6 7 2 2" xfId="8843" xr:uid="{CD44DA9B-4CBD-4BFD-AE19-34126AA22EBA}"/>
    <cellStyle name="Normal 10 2 2 6 7 2 2 2" xfId="8844" xr:uid="{8FA43100-EE1B-4D6F-8E2F-C6E4F74769B7}"/>
    <cellStyle name="Normal 10 2 2 6 7 2 3" xfId="8845" xr:uid="{01E1E929-58F1-403A-A113-7F34016CEF70}"/>
    <cellStyle name="Normal 10 2 2 6 7 3" xfId="8846" xr:uid="{6BB07A55-265E-4010-8399-C8668B39F48B}"/>
    <cellStyle name="Normal 10 2 2 6 7 3 2" xfId="8847" xr:uid="{EDDE6C18-BACA-429B-B2DB-1359D9172D44}"/>
    <cellStyle name="Normal 10 2 2 6 7 4" xfId="8848" xr:uid="{9B1EC947-7096-4F2E-BD88-07BC04A80CAC}"/>
    <cellStyle name="Normal 10 2 2 6 8" xfId="8849" xr:uid="{D7ECB571-62FA-444B-B63E-1EDF062BD576}"/>
    <cellStyle name="Normal 10 2 2 6 8 2" xfId="8850" xr:uid="{5FEFA94A-A365-434B-A60A-2B8689592E9C}"/>
    <cellStyle name="Normal 10 2 2 6 8 2 2" xfId="8851" xr:uid="{B2895E97-369F-40C8-A195-4983334AEA6E}"/>
    <cellStyle name="Normal 10 2 2 6 8 3" xfId="8852" xr:uid="{326325AB-C89F-427B-9696-D8DB831C6AC8}"/>
    <cellStyle name="Normal 10 2 2 6 9" xfId="8853" xr:uid="{9694E782-9217-4840-A6AD-BD6DBA528E10}"/>
    <cellStyle name="Normal 10 2 2 6 9 2" xfId="8854" xr:uid="{3DE7A367-636E-4DA2-98FF-2CA22DD95A50}"/>
    <cellStyle name="Normal 10 2 2 7" xfId="307" xr:uid="{6062C8EB-F609-436B-A287-460F0B61CECD}"/>
    <cellStyle name="Normal 10 2 2 7 10" xfId="8855" xr:uid="{CA985523-4998-422A-911A-366E1948AB5E}"/>
    <cellStyle name="Normal 10 2 2 7 2" xfId="8856" xr:uid="{BF70F77D-5877-4A49-B770-3122766D7922}"/>
    <cellStyle name="Normal 10 2 2 7 2 2" xfId="8857" xr:uid="{CB01E92E-B032-4BB3-8D3E-28E7DDA5B081}"/>
    <cellStyle name="Normal 10 2 2 7 2 2 2" xfId="8858" xr:uid="{003FBCF6-3B46-4AE4-A1F4-DE3027D3C26B}"/>
    <cellStyle name="Normal 10 2 2 7 2 2 2 2" xfId="8859" xr:uid="{34544201-EC8D-46C9-8A6B-CF97A90100AD}"/>
    <cellStyle name="Normal 10 2 2 7 2 2 2 2 2" xfId="8860" xr:uid="{CBB1A62D-B995-4EA4-A483-93EB52601A81}"/>
    <cellStyle name="Normal 10 2 2 7 2 2 2 2 2 2" xfId="8861" xr:uid="{D3E40954-B571-4BC9-9182-E5E1820080E8}"/>
    <cellStyle name="Normal 10 2 2 7 2 2 2 2 2 2 2" xfId="8862" xr:uid="{DE36CBC0-EB8A-4464-B0D6-065B8540A111}"/>
    <cellStyle name="Normal 10 2 2 7 2 2 2 2 2 2 2 2" xfId="8863" xr:uid="{B067F37C-4D8F-4A73-BEF1-8B741030BAD0}"/>
    <cellStyle name="Normal 10 2 2 7 2 2 2 2 2 2 3" xfId="8864" xr:uid="{16023B22-0D81-4D10-ABAC-3C1CA36A3BE4}"/>
    <cellStyle name="Normal 10 2 2 7 2 2 2 2 2 3" xfId="8865" xr:uid="{93AE065C-C840-483E-9DD1-BACEB4D84F78}"/>
    <cellStyle name="Normal 10 2 2 7 2 2 2 2 2 3 2" xfId="8866" xr:uid="{74115C6A-DF5C-4363-957D-6C3AA57B9933}"/>
    <cellStyle name="Normal 10 2 2 7 2 2 2 2 2 4" xfId="8867" xr:uid="{99377378-E19D-41D9-9FF7-556430BA8A52}"/>
    <cellStyle name="Normal 10 2 2 7 2 2 2 2 3" xfId="8868" xr:uid="{F62A9A6C-2EC8-4BD9-9182-BFB68E4F4593}"/>
    <cellStyle name="Normal 10 2 2 7 2 2 2 2 3 2" xfId="8869" xr:uid="{A5706957-33B3-4FA8-A554-D5C3130357B3}"/>
    <cellStyle name="Normal 10 2 2 7 2 2 2 2 3 2 2" xfId="8870" xr:uid="{32812D8C-934E-4BC4-8AE7-088EE562671A}"/>
    <cellStyle name="Normal 10 2 2 7 2 2 2 2 3 3" xfId="8871" xr:uid="{505214F8-E5EB-448C-8A30-CCF5D19E4282}"/>
    <cellStyle name="Normal 10 2 2 7 2 2 2 2 4" xfId="8872" xr:uid="{7D35AF65-D077-48B9-B481-B46B79771C14}"/>
    <cellStyle name="Normal 10 2 2 7 2 2 2 2 4 2" xfId="8873" xr:uid="{9EFE630A-8D51-45EB-AA56-2DE892397055}"/>
    <cellStyle name="Normal 10 2 2 7 2 2 2 2 5" xfId="8874" xr:uid="{754A8525-B33D-49C6-814A-AF8CD41B2E84}"/>
    <cellStyle name="Normal 10 2 2 7 2 2 2 3" xfId="8875" xr:uid="{AF798BE1-F90C-49A2-8C4B-74890D70B350}"/>
    <cellStyle name="Normal 10 2 2 7 2 2 2 3 2" xfId="8876" xr:uid="{57E5C09B-B353-40A8-943B-023CE9FFA128}"/>
    <cellStyle name="Normal 10 2 2 7 2 2 2 3 2 2" xfId="8877" xr:uid="{EEC48255-9F22-43FD-A30F-0CBE4CA96875}"/>
    <cellStyle name="Normal 10 2 2 7 2 2 2 3 2 2 2" xfId="8878" xr:uid="{CB02C3F8-E7D5-431B-B46B-86C6DE50708E}"/>
    <cellStyle name="Normal 10 2 2 7 2 2 2 3 2 3" xfId="8879" xr:uid="{8B7C3B3F-4057-49EF-AE8E-7EC2163BC4D3}"/>
    <cellStyle name="Normal 10 2 2 7 2 2 2 3 3" xfId="8880" xr:uid="{E903B100-10EC-4F10-9CE8-0DFA3748D57B}"/>
    <cellStyle name="Normal 10 2 2 7 2 2 2 3 3 2" xfId="8881" xr:uid="{8531D43B-7F3B-49DD-9BB3-270A14FEA10A}"/>
    <cellStyle name="Normal 10 2 2 7 2 2 2 3 4" xfId="8882" xr:uid="{267CA613-2E1E-4C3F-B790-2D157AB78F34}"/>
    <cellStyle name="Normal 10 2 2 7 2 2 2 4" xfId="8883" xr:uid="{F5E5DE63-537D-409F-A10C-B7AEFF0BE9EF}"/>
    <cellStyle name="Normal 10 2 2 7 2 2 2 4 2" xfId="8884" xr:uid="{AA5D4D3E-1CA0-492C-9CBF-2A909E16D8A7}"/>
    <cellStyle name="Normal 10 2 2 7 2 2 2 4 2 2" xfId="8885" xr:uid="{AE6CB951-3DC8-4739-A975-D2CDABFDA4BC}"/>
    <cellStyle name="Normal 10 2 2 7 2 2 2 4 3" xfId="8886" xr:uid="{F12C0840-274D-4F4B-B6F0-86FB53B8C1E8}"/>
    <cellStyle name="Normal 10 2 2 7 2 2 2 5" xfId="8887" xr:uid="{60219AF4-4C41-4A15-9386-BE5376184682}"/>
    <cellStyle name="Normal 10 2 2 7 2 2 2 5 2" xfId="8888" xr:uid="{78018318-C82E-4166-9DA3-DC0D730831C7}"/>
    <cellStyle name="Normal 10 2 2 7 2 2 2 6" xfId="8889" xr:uid="{EF0AC9B8-2359-4D53-ADAB-8BD976F78A77}"/>
    <cellStyle name="Normal 10 2 2 7 2 2 3" xfId="8890" xr:uid="{CE0C7BCE-CA5C-4581-AFF5-ADC23586BCD6}"/>
    <cellStyle name="Normal 10 2 2 7 2 2 3 2" xfId="8891" xr:uid="{6982664B-A4FC-44F3-AF8C-68E776E25701}"/>
    <cellStyle name="Normal 10 2 2 7 2 2 3 2 2" xfId="8892" xr:uid="{AA9A7471-8FE6-42A2-83AF-443900CCF72C}"/>
    <cellStyle name="Normal 10 2 2 7 2 2 3 2 2 2" xfId="8893" xr:uid="{9128830B-E20E-4167-8D4E-268A88D6B52A}"/>
    <cellStyle name="Normal 10 2 2 7 2 2 3 2 2 2 2" xfId="8894" xr:uid="{3BC687D1-AB3E-4650-88FC-E028CFBD8C51}"/>
    <cellStyle name="Normal 10 2 2 7 2 2 3 2 2 3" xfId="8895" xr:uid="{40BF4695-9CC3-4223-B5D7-BAE0A3C9F059}"/>
    <cellStyle name="Normal 10 2 2 7 2 2 3 2 3" xfId="8896" xr:uid="{041D7B88-1EEF-44A5-B2DA-57D4067442A1}"/>
    <cellStyle name="Normal 10 2 2 7 2 2 3 2 3 2" xfId="8897" xr:uid="{793F45A7-A23B-493E-820F-A1423F24C43E}"/>
    <cellStyle name="Normal 10 2 2 7 2 2 3 2 4" xfId="8898" xr:uid="{49FDE0B9-271D-45B5-B1B9-6C8EFBC0E2B1}"/>
    <cellStyle name="Normal 10 2 2 7 2 2 3 3" xfId="8899" xr:uid="{408C20AC-825B-4167-B1E6-AE6359F558D9}"/>
    <cellStyle name="Normal 10 2 2 7 2 2 3 3 2" xfId="8900" xr:uid="{23A4412A-5BFF-4A31-900E-8221806D3284}"/>
    <cellStyle name="Normal 10 2 2 7 2 2 3 3 2 2" xfId="8901" xr:uid="{0658B193-19C4-45FC-9010-3E8F8625E476}"/>
    <cellStyle name="Normal 10 2 2 7 2 2 3 3 3" xfId="8902" xr:uid="{362C9F22-3074-4C01-B07A-82F9E0ACD05E}"/>
    <cellStyle name="Normal 10 2 2 7 2 2 3 4" xfId="8903" xr:uid="{B7534E63-2C71-4D49-A3E0-785A7B75C6DA}"/>
    <cellStyle name="Normal 10 2 2 7 2 2 3 4 2" xfId="8904" xr:uid="{E59723A5-1274-4140-A6D7-304C8F5AE134}"/>
    <cellStyle name="Normal 10 2 2 7 2 2 3 5" xfId="8905" xr:uid="{0AD534B7-7BF6-4146-8646-A94382A8A7F9}"/>
    <cellStyle name="Normal 10 2 2 7 2 2 4" xfId="8906" xr:uid="{690C2F1B-A629-495B-AE3F-64270B6BF627}"/>
    <cellStyle name="Normal 10 2 2 7 2 2 4 2" xfId="8907" xr:uid="{974651FA-D2B7-420A-A315-B92C965EE26F}"/>
    <cellStyle name="Normal 10 2 2 7 2 2 4 2 2" xfId="8908" xr:uid="{7DF08B39-37C7-43CE-93A3-CD4F8391CF7B}"/>
    <cellStyle name="Normal 10 2 2 7 2 2 4 2 2 2" xfId="8909" xr:uid="{15613AF7-951F-4E24-996C-CF7C8AD2B7D8}"/>
    <cellStyle name="Normal 10 2 2 7 2 2 4 2 3" xfId="8910" xr:uid="{DA957ECD-510C-47EF-BF0C-27A06F400B3D}"/>
    <cellStyle name="Normal 10 2 2 7 2 2 4 3" xfId="8911" xr:uid="{92B23607-57F1-40DF-92FE-1E55C5C42949}"/>
    <cellStyle name="Normal 10 2 2 7 2 2 4 3 2" xfId="8912" xr:uid="{3C66234D-DB1D-4D68-9B0F-105A96400C7D}"/>
    <cellStyle name="Normal 10 2 2 7 2 2 4 4" xfId="8913" xr:uid="{1D3BCE4F-8660-4304-9874-936BD58B22DC}"/>
    <cellStyle name="Normal 10 2 2 7 2 2 5" xfId="8914" xr:uid="{C1A3E475-E854-4EA9-94CD-C4B556B32FAA}"/>
    <cellStyle name="Normal 10 2 2 7 2 2 5 2" xfId="8915" xr:uid="{1C672366-EDED-4F3A-9333-0920386BD5F1}"/>
    <cellStyle name="Normal 10 2 2 7 2 2 5 2 2" xfId="8916" xr:uid="{B5AE844E-9D57-4FFF-96A1-1BB522A0A7B6}"/>
    <cellStyle name="Normal 10 2 2 7 2 2 5 3" xfId="8917" xr:uid="{A02B07B8-7026-45F3-9691-046C8F249996}"/>
    <cellStyle name="Normal 10 2 2 7 2 2 6" xfId="8918" xr:uid="{67406628-5A21-4316-9B35-DE367C420691}"/>
    <cellStyle name="Normal 10 2 2 7 2 2 6 2" xfId="8919" xr:uid="{3069CDBB-F776-4A42-8349-B4F0A96664E8}"/>
    <cellStyle name="Normal 10 2 2 7 2 2 7" xfId="8920" xr:uid="{C11CE7A9-D094-46F6-B601-098B7FD0A258}"/>
    <cellStyle name="Normal 10 2 2 7 2 3" xfId="8921" xr:uid="{97693039-F6CE-4880-8C5F-BF23C91C16B6}"/>
    <cellStyle name="Normal 10 2 2 7 2 3 2" xfId="8922" xr:uid="{786EC39A-E301-4F7A-B9DE-7B12D3520C53}"/>
    <cellStyle name="Normal 10 2 2 7 2 3 2 2" xfId="8923" xr:uid="{305C7FE6-C06C-4221-B0D4-98F4F7F48935}"/>
    <cellStyle name="Normal 10 2 2 7 2 3 2 2 2" xfId="8924" xr:uid="{DF9ED37A-789F-435A-B845-2AC041340939}"/>
    <cellStyle name="Normal 10 2 2 7 2 3 2 2 2 2" xfId="8925" xr:uid="{07AA478A-00B8-4706-BF48-0BAEC1F81F00}"/>
    <cellStyle name="Normal 10 2 2 7 2 3 2 2 2 2 2" xfId="8926" xr:uid="{E3E69A67-AA4D-4546-A529-39BF6262C078}"/>
    <cellStyle name="Normal 10 2 2 7 2 3 2 2 2 3" xfId="8927" xr:uid="{05BAA946-2C24-48EF-BFD3-A50E5F509E79}"/>
    <cellStyle name="Normal 10 2 2 7 2 3 2 2 3" xfId="8928" xr:uid="{838E77E6-6364-491F-9FA9-A33A8445199C}"/>
    <cellStyle name="Normal 10 2 2 7 2 3 2 2 3 2" xfId="8929" xr:uid="{EF83EA80-A31C-4C73-A2BC-7FCDAA8B7D90}"/>
    <cellStyle name="Normal 10 2 2 7 2 3 2 2 4" xfId="8930" xr:uid="{23E255E1-9024-4E69-A95D-C4BADD922647}"/>
    <cellStyle name="Normal 10 2 2 7 2 3 2 3" xfId="8931" xr:uid="{B050AB94-42CA-460B-B2AB-FE7A7A1CB037}"/>
    <cellStyle name="Normal 10 2 2 7 2 3 2 3 2" xfId="8932" xr:uid="{8721EDB5-BE4F-4062-BDD9-08CA33A8A114}"/>
    <cellStyle name="Normal 10 2 2 7 2 3 2 3 2 2" xfId="8933" xr:uid="{5A3E5D53-9230-4C53-A945-B2CF8CF9CCFE}"/>
    <cellStyle name="Normal 10 2 2 7 2 3 2 3 3" xfId="8934" xr:uid="{EC84004E-6054-4509-A0E0-BB38DC7192E6}"/>
    <cellStyle name="Normal 10 2 2 7 2 3 2 4" xfId="8935" xr:uid="{04ED1FDF-F905-4DED-91AA-D484C1B82B85}"/>
    <cellStyle name="Normal 10 2 2 7 2 3 2 4 2" xfId="8936" xr:uid="{797A7C71-E8E6-4B19-B57E-F171AF3623F1}"/>
    <cellStyle name="Normal 10 2 2 7 2 3 2 5" xfId="8937" xr:uid="{7CC65ABD-20AB-4D7A-85DA-8D666D3FB41F}"/>
    <cellStyle name="Normal 10 2 2 7 2 3 3" xfId="8938" xr:uid="{17508274-AA5B-4F7D-B96F-802C03D81C6D}"/>
    <cellStyle name="Normal 10 2 2 7 2 3 3 2" xfId="8939" xr:uid="{DB5FEB97-F70C-4F96-B310-EFAA305354D3}"/>
    <cellStyle name="Normal 10 2 2 7 2 3 3 2 2" xfId="8940" xr:uid="{037D81B7-D98F-498E-83BC-02C178377461}"/>
    <cellStyle name="Normal 10 2 2 7 2 3 3 2 2 2" xfId="8941" xr:uid="{06B4C8D4-FC20-40F9-9312-5009C313E9FC}"/>
    <cellStyle name="Normal 10 2 2 7 2 3 3 2 3" xfId="8942" xr:uid="{19445D28-093A-46BC-A9AC-4B8D991DC198}"/>
    <cellStyle name="Normal 10 2 2 7 2 3 3 3" xfId="8943" xr:uid="{A5E3F6D6-688E-4F1B-8ACB-CF684547206D}"/>
    <cellStyle name="Normal 10 2 2 7 2 3 3 3 2" xfId="8944" xr:uid="{1DFC5E06-589C-4F19-A018-56CD38A9221E}"/>
    <cellStyle name="Normal 10 2 2 7 2 3 3 4" xfId="8945" xr:uid="{764F6772-14FC-44EA-8657-F9DE65579908}"/>
    <cellStyle name="Normal 10 2 2 7 2 3 4" xfId="8946" xr:uid="{398E265E-A1A7-49E7-A7E9-B14C0D9E9781}"/>
    <cellStyle name="Normal 10 2 2 7 2 3 4 2" xfId="8947" xr:uid="{BD2D6698-0D67-4BE7-AC51-130787FF8A50}"/>
    <cellStyle name="Normal 10 2 2 7 2 3 4 2 2" xfId="8948" xr:uid="{D70C99F2-BA92-43EE-B324-18C743313A27}"/>
    <cellStyle name="Normal 10 2 2 7 2 3 4 3" xfId="8949" xr:uid="{70C56A56-6D39-4B4B-B453-4786B8561CCE}"/>
    <cellStyle name="Normal 10 2 2 7 2 3 5" xfId="8950" xr:uid="{B9CB23F2-413B-4A6E-B3BA-D43ED46F0839}"/>
    <cellStyle name="Normal 10 2 2 7 2 3 5 2" xfId="8951" xr:uid="{FFBE3BC7-D3A4-4D41-95E7-0280D345C134}"/>
    <cellStyle name="Normal 10 2 2 7 2 3 6" xfId="8952" xr:uid="{29DC5265-CBE6-4DE1-B180-0EB9315A1F86}"/>
    <cellStyle name="Normal 10 2 2 7 2 4" xfId="8953" xr:uid="{FAA734C7-D5D5-47BC-80A6-F0868E9341B2}"/>
    <cellStyle name="Normal 10 2 2 7 2 4 2" xfId="8954" xr:uid="{603C3520-0CE2-4003-968D-7CAA67FF215A}"/>
    <cellStyle name="Normal 10 2 2 7 2 4 2 2" xfId="8955" xr:uid="{3D97701D-CA78-4E53-9219-83268573995A}"/>
    <cellStyle name="Normal 10 2 2 7 2 4 2 2 2" xfId="8956" xr:uid="{08EA4E7F-D319-490A-AD9A-646573AF54E3}"/>
    <cellStyle name="Normal 10 2 2 7 2 4 2 2 2 2" xfId="8957" xr:uid="{53922CC6-9BD8-4489-ACDC-76096DFB52EA}"/>
    <cellStyle name="Normal 10 2 2 7 2 4 2 2 3" xfId="8958" xr:uid="{8E516874-49C6-48F3-8D3A-61A666C24614}"/>
    <cellStyle name="Normal 10 2 2 7 2 4 2 3" xfId="8959" xr:uid="{5DBF7CC4-B1D7-4D99-9C2B-E190271FB9EE}"/>
    <cellStyle name="Normal 10 2 2 7 2 4 2 3 2" xfId="8960" xr:uid="{80DAB333-3BE1-485D-9871-A829445E5FFB}"/>
    <cellStyle name="Normal 10 2 2 7 2 4 2 4" xfId="8961" xr:uid="{107D0B7A-5F08-42C1-A2A4-3A4B8CE84EFA}"/>
    <cellStyle name="Normal 10 2 2 7 2 4 3" xfId="8962" xr:uid="{70F72A25-B2B4-4C4C-9A4C-B8F6441EF714}"/>
    <cellStyle name="Normal 10 2 2 7 2 4 3 2" xfId="8963" xr:uid="{8358ECDC-C221-40FD-828B-E6EC8882C80E}"/>
    <cellStyle name="Normal 10 2 2 7 2 4 3 2 2" xfId="8964" xr:uid="{33E4D093-B740-4562-9EE4-54A133FB99E5}"/>
    <cellStyle name="Normal 10 2 2 7 2 4 3 3" xfId="8965" xr:uid="{CCEEF9C5-2862-4EBD-BAE0-BFFCF16887EA}"/>
    <cellStyle name="Normal 10 2 2 7 2 4 4" xfId="8966" xr:uid="{FF850CF2-0A51-4AAC-8EBA-E9ADCE54C9AF}"/>
    <cellStyle name="Normal 10 2 2 7 2 4 4 2" xfId="8967" xr:uid="{157E225C-EAD8-4884-BD81-C82AD08AA0F1}"/>
    <cellStyle name="Normal 10 2 2 7 2 4 5" xfId="8968" xr:uid="{46D82D7D-5B58-4059-9133-723C3C13B178}"/>
    <cellStyle name="Normal 10 2 2 7 2 5" xfId="8969" xr:uid="{C1BDA2BA-BA32-47BE-864D-0B31A148C264}"/>
    <cellStyle name="Normal 10 2 2 7 2 5 2" xfId="8970" xr:uid="{8D11D2C5-9A6A-4C64-84BB-3B1B6B83A967}"/>
    <cellStyle name="Normal 10 2 2 7 2 5 2 2" xfId="8971" xr:uid="{36BA2418-CC10-4E6A-B296-BB25AFF0DA4E}"/>
    <cellStyle name="Normal 10 2 2 7 2 5 2 2 2" xfId="8972" xr:uid="{10FF8AD4-F5C7-4DB8-8C5F-B8BEAF9329D8}"/>
    <cellStyle name="Normal 10 2 2 7 2 5 2 3" xfId="8973" xr:uid="{DE5FAB48-B3EC-4A23-AB97-6927DC49ADFA}"/>
    <cellStyle name="Normal 10 2 2 7 2 5 3" xfId="8974" xr:uid="{40A27D84-30E3-436A-8811-C273A334DB2A}"/>
    <cellStyle name="Normal 10 2 2 7 2 5 3 2" xfId="8975" xr:uid="{0B7F90F1-4496-4D3B-9264-83371D66F2DA}"/>
    <cellStyle name="Normal 10 2 2 7 2 5 4" xfId="8976" xr:uid="{1F5C2C42-6ADC-49E0-9F25-A9C9D5613EFB}"/>
    <cellStyle name="Normal 10 2 2 7 2 6" xfId="8977" xr:uid="{13C1102D-8258-492D-A3E4-D86C6461B6B7}"/>
    <cellStyle name="Normal 10 2 2 7 2 6 2" xfId="8978" xr:uid="{81241660-1074-41A0-98C3-A818595444B4}"/>
    <cellStyle name="Normal 10 2 2 7 2 6 2 2" xfId="8979" xr:uid="{42EE5BB6-371C-4492-944E-83A894FF55CD}"/>
    <cellStyle name="Normal 10 2 2 7 2 6 3" xfId="8980" xr:uid="{08FE8F19-28BB-454A-8496-33AD17232408}"/>
    <cellStyle name="Normal 10 2 2 7 2 7" xfId="8981" xr:uid="{09717A88-0849-4380-A416-0985B3A042A4}"/>
    <cellStyle name="Normal 10 2 2 7 2 7 2" xfId="8982" xr:uid="{9847E4E9-862A-41D4-9379-06C1D44669D8}"/>
    <cellStyle name="Normal 10 2 2 7 2 8" xfId="8983" xr:uid="{4FFEA83B-F4CA-43AE-B226-1304352B9A53}"/>
    <cellStyle name="Normal 10 2 2 7 3" xfId="8984" xr:uid="{5B1425E2-2691-4081-99A5-DDAB3E514615}"/>
    <cellStyle name="Normal 10 2 2 7 3 2" xfId="8985" xr:uid="{2DF338C7-C56E-4F74-B8E2-A9072DE6524E}"/>
    <cellStyle name="Normal 10 2 2 7 3 2 2" xfId="8986" xr:uid="{C60B826F-6E42-4787-8EA5-99AC944A269B}"/>
    <cellStyle name="Normal 10 2 2 7 3 2 2 2" xfId="8987" xr:uid="{62951423-ACA0-46FA-AFA4-59D2AA8CDC93}"/>
    <cellStyle name="Normal 10 2 2 7 3 2 2 2 2" xfId="8988" xr:uid="{1FBDF9C1-9801-42F8-9759-6D0DC9F93D19}"/>
    <cellStyle name="Normal 10 2 2 7 3 2 2 2 2 2" xfId="8989" xr:uid="{4C75B8AF-3602-4DA3-A491-EBCA900D6C9B}"/>
    <cellStyle name="Normal 10 2 2 7 3 2 2 2 2 2 2" xfId="8990" xr:uid="{C83A78D3-D515-4A74-8B48-2B48683F6263}"/>
    <cellStyle name="Normal 10 2 2 7 3 2 2 2 2 3" xfId="8991" xr:uid="{CA87223D-5FFC-4283-BC4A-26746201E45B}"/>
    <cellStyle name="Normal 10 2 2 7 3 2 2 2 3" xfId="8992" xr:uid="{4598B4C4-1A13-417B-8072-93E4C64D70D8}"/>
    <cellStyle name="Normal 10 2 2 7 3 2 2 2 3 2" xfId="8993" xr:uid="{31FBE59C-B1DA-4BB4-9B24-55C81A821470}"/>
    <cellStyle name="Normal 10 2 2 7 3 2 2 2 4" xfId="8994" xr:uid="{8D9BD922-36F6-44E3-A285-16C97D703866}"/>
    <cellStyle name="Normal 10 2 2 7 3 2 2 3" xfId="8995" xr:uid="{ECE70E3D-83C3-40A8-B410-1C1732FA11D2}"/>
    <cellStyle name="Normal 10 2 2 7 3 2 2 3 2" xfId="8996" xr:uid="{6CE29EF4-AFBE-40A4-B46B-4467B51978C5}"/>
    <cellStyle name="Normal 10 2 2 7 3 2 2 3 2 2" xfId="8997" xr:uid="{0F932818-B115-4B61-92CF-3318F27D9A85}"/>
    <cellStyle name="Normal 10 2 2 7 3 2 2 3 3" xfId="8998" xr:uid="{7B091177-8C69-4484-9EA7-58E3B0DF1E18}"/>
    <cellStyle name="Normal 10 2 2 7 3 2 2 4" xfId="8999" xr:uid="{E5B2C849-EC08-4841-848C-4CF49A59B679}"/>
    <cellStyle name="Normal 10 2 2 7 3 2 2 4 2" xfId="9000" xr:uid="{F306D5E5-C3BC-4849-A077-D062ACC964AE}"/>
    <cellStyle name="Normal 10 2 2 7 3 2 2 5" xfId="9001" xr:uid="{8853FA65-44F7-4636-A848-148A4F51DBB7}"/>
    <cellStyle name="Normal 10 2 2 7 3 2 3" xfId="9002" xr:uid="{9D49B626-ED14-4A47-B2A9-2E8913344448}"/>
    <cellStyle name="Normal 10 2 2 7 3 2 3 2" xfId="9003" xr:uid="{44C688CC-0915-4319-9A26-3212A39888E5}"/>
    <cellStyle name="Normal 10 2 2 7 3 2 3 2 2" xfId="9004" xr:uid="{2EB37227-E950-47A5-9435-3F56D6062BDC}"/>
    <cellStyle name="Normal 10 2 2 7 3 2 3 2 2 2" xfId="9005" xr:uid="{FD164032-989F-4497-B639-77465FF96D6C}"/>
    <cellStyle name="Normal 10 2 2 7 3 2 3 2 3" xfId="9006" xr:uid="{77439DFD-BC81-4A24-8036-31C53196FE17}"/>
    <cellStyle name="Normal 10 2 2 7 3 2 3 3" xfId="9007" xr:uid="{41956891-4BDC-4E6B-B03D-B4F574A6DCC3}"/>
    <cellStyle name="Normal 10 2 2 7 3 2 3 3 2" xfId="9008" xr:uid="{5600C7E6-52FF-4C28-8A96-030CC62FF7E3}"/>
    <cellStyle name="Normal 10 2 2 7 3 2 3 4" xfId="9009" xr:uid="{68238311-F162-4894-96E3-F60ACE7B8B00}"/>
    <cellStyle name="Normal 10 2 2 7 3 2 4" xfId="9010" xr:uid="{00F0BAC0-D877-4405-AF5A-E5F1F532FD0A}"/>
    <cellStyle name="Normal 10 2 2 7 3 2 4 2" xfId="9011" xr:uid="{22A8E47B-60E5-43DF-9AEC-2ECE159A7B9B}"/>
    <cellStyle name="Normal 10 2 2 7 3 2 4 2 2" xfId="9012" xr:uid="{7DA508B5-26D9-4927-8450-AE450C1D61E8}"/>
    <cellStyle name="Normal 10 2 2 7 3 2 4 3" xfId="9013" xr:uid="{ABB336B5-BEAF-4147-87F8-CF12DA4C53B1}"/>
    <cellStyle name="Normal 10 2 2 7 3 2 5" xfId="9014" xr:uid="{3601125F-6F3A-45A0-B1CE-F3101905DE66}"/>
    <cellStyle name="Normal 10 2 2 7 3 2 5 2" xfId="9015" xr:uid="{7CE4B113-2311-4248-8697-EFE10C66206B}"/>
    <cellStyle name="Normal 10 2 2 7 3 2 6" xfId="9016" xr:uid="{F75C27EA-4E84-40E4-87E8-243C4CACAE53}"/>
    <cellStyle name="Normal 10 2 2 7 3 3" xfId="9017" xr:uid="{B487294A-03FA-474A-A11C-9B8A09B47B8A}"/>
    <cellStyle name="Normal 10 2 2 7 3 3 2" xfId="9018" xr:uid="{F9301F41-BD03-43B1-B1DB-EC37FFB63B03}"/>
    <cellStyle name="Normal 10 2 2 7 3 3 2 2" xfId="9019" xr:uid="{9DB8E55C-11AC-46CF-8495-AAFE0161A9A1}"/>
    <cellStyle name="Normal 10 2 2 7 3 3 2 2 2" xfId="9020" xr:uid="{CE655F42-897C-44F3-BD55-E4776E69CA1A}"/>
    <cellStyle name="Normal 10 2 2 7 3 3 2 2 2 2" xfId="9021" xr:uid="{92E61DE7-D0C3-484F-B20B-31814B06BC1F}"/>
    <cellStyle name="Normal 10 2 2 7 3 3 2 2 3" xfId="9022" xr:uid="{5B6AAFA7-30D0-4CCF-ABEE-CC54929E31E0}"/>
    <cellStyle name="Normal 10 2 2 7 3 3 2 3" xfId="9023" xr:uid="{53CB893F-2D3D-4ED7-B11E-ECAF6D690226}"/>
    <cellStyle name="Normal 10 2 2 7 3 3 2 3 2" xfId="9024" xr:uid="{2B7EFB62-D558-4352-82BC-B61C5B887140}"/>
    <cellStyle name="Normal 10 2 2 7 3 3 2 4" xfId="9025" xr:uid="{D63A7C60-F620-4F65-9483-264743ED677C}"/>
    <cellStyle name="Normal 10 2 2 7 3 3 3" xfId="9026" xr:uid="{52C9CD26-8AE1-4D74-869F-E57712F58E3E}"/>
    <cellStyle name="Normal 10 2 2 7 3 3 3 2" xfId="9027" xr:uid="{B4936D59-1C0A-4558-8462-6BC341C2A4CD}"/>
    <cellStyle name="Normal 10 2 2 7 3 3 3 2 2" xfId="9028" xr:uid="{A7BE12C6-45C8-4DE4-9CE4-EE84B0EE71E3}"/>
    <cellStyle name="Normal 10 2 2 7 3 3 3 3" xfId="9029" xr:uid="{ACE9B7AB-17A9-465E-A7D3-85130BA1E667}"/>
    <cellStyle name="Normal 10 2 2 7 3 3 4" xfId="9030" xr:uid="{4B820CFF-39FD-4B7B-BD91-841C3BE247F5}"/>
    <cellStyle name="Normal 10 2 2 7 3 3 4 2" xfId="9031" xr:uid="{D4B0E290-141C-47D3-956A-5F3AC5B002E5}"/>
    <cellStyle name="Normal 10 2 2 7 3 3 5" xfId="9032" xr:uid="{E029ABB7-C7FA-497B-B4AF-F9376487E4CF}"/>
    <cellStyle name="Normal 10 2 2 7 3 4" xfId="9033" xr:uid="{FBFAD4DC-C9B8-4343-9E60-77B72819EEAA}"/>
    <cellStyle name="Normal 10 2 2 7 3 4 2" xfId="9034" xr:uid="{1939D347-8429-43F5-B7C4-8C3EAC7FBDEE}"/>
    <cellStyle name="Normal 10 2 2 7 3 4 2 2" xfId="9035" xr:uid="{F4029B27-D982-460C-8CDA-CFF99A456918}"/>
    <cellStyle name="Normal 10 2 2 7 3 4 2 2 2" xfId="9036" xr:uid="{E3E9365D-D6C5-4C20-BFF9-712EF9A3EEE9}"/>
    <cellStyle name="Normal 10 2 2 7 3 4 2 3" xfId="9037" xr:uid="{D2862F98-C0E2-44DC-A418-FF2629E1839D}"/>
    <cellStyle name="Normal 10 2 2 7 3 4 3" xfId="9038" xr:uid="{7B71CFD5-E266-4CF9-9BAB-091BA21535F1}"/>
    <cellStyle name="Normal 10 2 2 7 3 4 3 2" xfId="9039" xr:uid="{628F45A5-F0A1-4FD1-8E72-07B45D0E6FF6}"/>
    <cellStyle name="Normal 10 2 2 7 3 4 4" xfId="9040" xr:uid="{07076781-96A2-4797-B18B-57DC06551D1A}"/>
    <cellStyle name="Normal 10 2 2 7 3 5" xfId="9041" xr:uid="{A321D806-EB85-4DC3-B941-A817B9190423}"/>
    <cellStyle name="Normal 10 2 2 7 3 5 2" xfId="9042" xr:uid="{5E600EA2-2713-45A2-9ED8-EF5A6EB007F4}"/>
    <cellStyle name="Normal 10 2 2 7 3 5 2 2" xfId="9043" xr:uid="{C137AD74-6F69-4A2C-A923-01F0D89F1D13}"/>
    <cellStyle name="Normal 10 2 2 7 3 5 3" xfId="9044" xr:uid="{4C33D632-0D2E-41DC-A6AC-D4E58E365E35}"/>
    <cellStyle name="Normal 10 2 2 7 3 6" xfId="9045" xr:uid="{113D7684-DDB8-453B-B876-1B573998EE09}"/>
    <cellStyle name="Normal 10 2 2 7 3 6 2" xfId="9046" xr:uid="{E54A0167-5D8F-4D6C-ADB6-BF76CE7ECE80}"/>
    <cellStyle name="Normal 10 2 2 7 3 7" xfId="9047" xr:uid="{A1D831E8-9CC6-421F-BE9D-00FEE4616A42}"/>
    <cellStyle name="Normal 10 2 2 7 4" xfId="9048" xr:uid="{88A8EA1A-2333-47C6-A025-AEF527F39A76}"/>
    <cellStyle name="Normal 10 2 2 7 4 2" xfId="9049" xr:uid="{34D125EA-C11B-4E3C-83E5-E6CAC3A66426}"/>
    <cellStyle name="Normal 10 2 2 7 4 2 2" xfId="9050" xr:uid="{9EB8EBBE-EB6C-4FD0-BA05-318FD8AB3546}"/>
    <cellStyle name="Normal 10 2 2 7 4 2 2 2" xfId="9051" xr:uid="{B776D5BB-98C6-4C35-9EAA-93AE08CDC679}"/>
    <cellStyle name="Normal 10 2 2 7 4 2 2 2 2" xfId="9052" xr:uid="{E2501964-D40E-49BD-99DD-AEECB9A80A07}"/>
    <cellStyle name="Normal 10 2 2 7 4 2 2 2 2 2" xfId="9053" xr:uid="{91825DCE-CBDC-4B5F-A44F-DE56B274FC74}"/>
    <cellStyle name="Normal 10 2 2 7 4 2 2 2 3" xfId="9054" xr:uid="{A7557BCC-C792-4AD2-AD88-E76508519A2A}"/>
    <cellStyle name="Normal 10 2 2 7 4 2 2 3" xfId="9055" xr:uid="{FD4C9B6C-4685-4AFA-8422-731C2145C562}"/>
    <cellStyle name="Normal 10 2 2 7 4 2 2 3 2" xfId="9056" xr:uid="{7812604D-620D-4944-9294-F138B4872D50}"/>
    <cellStyle name="Normal 10 2 2 7 4 2 2 4" xfId="9057" xr:uid="{D5E57A41-5178-4B9D-81B1-A8E465846281}"/>
    <cellStyle name="Normal 10 2 2 7 4 2 3" xfId="9058" xr:uid="{675AD319-66E3-4AEB-B909-23C80D31D2D8}"/>
    <cellStyle name="Normal 10 2 2 7 4 2 3 2" xfId="9059" xr:uid="{F87F3BA9-3150-426A-9D7D-75EB80167561}"/>
    <cellStyle name="Normal 10 2 2 7 4 2 3 2 2" xfId="9060" xr:uid="{7A4BF06F-2A1B-4417-B68B-E71C17AC4ABA}"/>
    <cellStyle name="Normal 10 2 2 7 4 2 3 3" xfId="9061" xr:uid="{1C3A27DD-33AB-4620-8425-49619BCB7544}"/>
    <cellStyle name="Normal 10 2 2 7 4 2 4" xfId="9062" xr:uid="{28214A9A-9AF1-4BAF-B807-038CDA88F49A}"/>
    <cellStyle name="Normal 10 2 2 7 4 2 4 2" xfId="9063" xr:uid="{BCC2D763-CD72-4903-B6C1-91D37C284B5C}"/>
    <cellStyle name="Normal 10 2 2 7 4 2 5" xfId="9064" xr:uid="{98BB98A2-DDCC-454F-8AB1-D29B0E051927}"/>
    <cellStyle name="Normal 10 2 2 7 4 3" xfId="9065" xr:uid="{918F6EF5-2197-4A14-97BB-4F18A9F040F7}"/>
    <cellStyle name="Normal 10 2 2 7 4 3 2" xfId="9066" xr:uid="{0B8CAF9A-4642-46FD-82FE-529AECACCE78}"/>
    <cellStyle name="Normal 10 2 2 7 4 3 2 2" xfId="9067" xr:uid="{72131A7F-B95E-4299-9586-F2865F038368}"/>
    <cellStyle name="Normal 10 2 2 7 4 3 2 2 2" xfId="9068" xr:uid="{D8C4B41F-6EF3-438F-B0A7-AED2896E2CE5}"/>
    <cellStyle name="Normal 10 2 2 7 4 3 2 3" xfId="9069" xr:uid="{F606C82E-CD6A-47BB-A450-E0E1FD4ED150}"/>
    <cellStyle name="Normal 10 2 2 7 4 3 3" xfId="9070" xr:uid="{7E985BE2-A26A-43A3-A66E-F9CD3451D97F}"/>
    <cellStyle name="Normal 10 2 2 7 4 3 3 2" xfId="9071" xr:uid="{ACA64628-2C95-4FEE-A195-93663C9542DC}"/>
    <cellStyle name="Normal 10 2 2 7 4 3 4" xfId="9072" xr:uid="{27960914-BFF6-49F1-A790-35B2A26AA26E}"/>
    <cellStyle name="Normal 10 2 2 7 4 4" xfId="9073" xr:uid="{7F590B74-151B-4AE7-A577-D189DA2495AC}"/>
    <cellStyle name="Normal 10 2 2 7 4 4 2" xfId="9074" xr:uid="{67D1C062-02C5-413C-AC4B-68CC167A6949}"/>
    <cellStyle name="Normal 10 2 2 7 4 4 2 2" xfId="9075" xr:uid="{DE0D3502-77BA-4600-886E-0A8D0D6B9D01}"/>
    <cellStyle name="Normal 10 2 2 7 4 4 3" xfId="9076" xr:uid="{2D15DB23-5046-48F3-BB23-FEF73D86445E}"/>
    <cellStyle name="Normal 10 2 2 7 4 5" xfId="9077" xr:uid="{F1CDDF60-DE9C-4CDA-9BE6-11939F457F69}"/>
    <cellStyle name="Normal 10 2 2 7 4 5 2" xfId="9078" xr:uid="{80BB5A26-9E4A-405F-A1C3-DB52722415A6}"/>
    <cellStyle name="Normal 10 2 2 7 4 6" xfId="9079" xr:uid="{A3B8C45F-FA98-41E3-A8AC-70E75CA34642}"/>
    <cellStyle name="Normal 10 2 2 7 5" xfId="9080" xr:uid="{DDBEA307-2D8C-453E-8982-5DB0D63F738D}"/>
    <cellStyle name="Normal 10 2 2 7 5 2" xfId="9081" xr:uid="{18568E68-EF0D-4FF3-9F96-F882E21D18D5}"/>
    <cellStyle name="Normal 10 2 2 7 5 2 2" xfId="9082" xr:uid="{54A92C3D-033A-4F9E-B891-8CBE465F173D}"/>
    <cellStyle name="Normal 10 2 2 7 5 2 2 2" xfId="9083" xr:uid="{AB073462-96B1-4F52-8DB7-DC8ACF088B52}"/>
    <cellStyle name="Normal 10 2 2 7 5 2 2 2 2" xfId="9084" xr:uid="{5845B86A-1245-4EFC-A126-7F15086B81EA}"/>
    <cellStyle name="Normal 10 2 2 7 5 2 2 3" xfId="9085" xr:uid="{1D045AB8-25D3-4FEE-8957-FC876EADA9F0}"/>
    <cellStyle name="Normal 10 2 2 7 5 2 3" xfId="9086" xr:uid="{E0C91CA9-2FCC-46BE-B3DC-5C0299031C7B}"/>
    <cellStyle name="Normal 10 2 2 7 5 2 3 2" xfId="9087" xr:uid="{A3560D7E-558E-4340-80BE-6FAC6B0B2BA0}"/>
    <cellStyle name="Normal 10 2 2 7 5 2 4" xfId="9088" xr:uid="{42A9FBA5-59C0-452C-A931-B3F00C2D180F}"/>
    <cellStyle name="Normal 10 2 2 7 5 3" xfId="9089" xr:uid="{210DF2B9-69FA-4D2A-9E38-6979FC673D5C}"/>
    <cellStyle name="Normal 10 2 2 7 5 3 2" xfId="9090" xr:uid="{2FAD283D-1C98-4C2B-A8A0-90D9EF4351A2}"/>
    <cellStyle name="Normal 10 2 2 7 5 3 2 2" xfId="9091" xr:uid="{AEFE2712-8F70-4F06-8F19-BF81B099EA99}"/>
    <cellStyle name="Normal 10 2 2 7 5 3 3" xfId="9092" xr:uid="{4FD9D380-DA17-43BA-9D75-EE1A10DA66C9}"/>
    <cellStyle name="Normal 10 2 2 7 5 4" xfId="9093" xr:uid="{7E3ACAB3-EF9B-4C12-B4A0-2025D12EE738}"/>
    <cellStyle name="Normal 10 2 2 7 5 4 2" xfId="9094" xr:uid="{993C83F7-AA32-4087-B6A6-F8371A363FCC}"/>
    <cellStyle name="Normal 10 2 2 7 5 5" xfId="9095" xr:uid="{D9C6B79B-7C90-4CED-9188-CAB9870C7EEC}"/>
    <cellStyle name="Normal 10 2 2 7 6" xfId="9096" xr:uid="{23D04E59-B2D1-4AA1-A5B4-297E88B480F6}"/>
    <cellStyle name="Normal 10 2 2 7 6 2" xfId="9097" xr:uid="{43E1ECCD-30F4-497F-801F-081678A1EFDB}"/>
    <cellStyle name="Normal 10 2 2 7 6 2 2" xfId="9098" xr:uid="{A3757ABE-F08C-4713-B911-B8C4CCD63131}"/>
    <cellStyle name="Normal 10 2 2 7 6 2 2 2" xfId="9099" xr:uid="{6F1C7901-2EBA-48E6-99B2-333F9484E8BC}"/>
    <cellStyle name="Normal 10 2 2 7 6 2 3" xfId="9100" xr:uid="{05A2603C-962D-482A-916D-6B55CB2363C3}"/>
    <cellStyle name="Normal 10 2 2 7 6 3" xfId="9101" xr:uid="{01202018-4A6C-4C3C-A7C1-45A0A057DE97}"/>
    <cellStyle name="Normal 10 2 2 7 6 3 2" xfId="9102" xr:uid="{07737D43-ECEB-4B8A-B99A-7E62C5E858B7}"/>
    <cellStyle name="Normal 10 2 2 7 6 4" xfId="9103" xr:uid="{8F0B0C38-E879-42AA-B95C-D41D8A55BF9E}"/>
    <cellStyle name="Normal 10 2 2 7 7" xfId="9104" xr:uid="{1E5DDA56-2FF2-4CAA-AD13-A2E12B4B7DFA}"/>
    <cellStyle name="Normal 10 2 2 7 7 2" xfId="9105" xr:uid="{FD80F12D-2735-4789-87F6-633D13E2FC20}"/>
    <cellStyle name="Normal 10 2 2 7 7 2 2" xfId="9106" xr:uid="{14CD6EAD-4363-47A8-A884-89629E63DFAA}"/>
    <cellStyle name="Normal 10 2 2 7 7 3" xfId="9107" xr:uid="{66BCD9F8-C09B-43EF-9799-EAA8CFE7E7B5}"/>
    <cellStyle name="Normal 10 2 2 7 8" xfId="9108" xr:uid="{2CA8207B-FC07-46BD-8A33-84088DDA7A18}"/>
    <cellStyle name="Normal 10 2 2 7 8 2" xfId="9109" xr:uid="{70BEA7DA-1F3F-411B-9865-97B152FD960C}"/>
    <cellStyle name="Normal 10 2 2 7 9" xfId="9110" xr:uid="{7E2622DB-E6D3-4D83-A74A-B021FDA5777C}"/>
    <cellStyle name="Normal 10 2 2 8" xfId="441" xr:uid="{DEB4D455-0104-4077-98E2-274283A727D5}"/>
    <cellStyle name="Normal 10 2 2 8 2" xfId="9112" xr:uid="{1627EE5E-50E4-4D7A-86A1-C7A30491B010}"/>
    <cellStyle name="Normal 10 2 2 8 2 2" xfId="9113" xr:uid="{8A03AF0F-25C6-40F4-ADB2-CC692B0884FF}"/>
    <cellStyle name="Normal 10 2 2 8 2 2 2" xfId="9114" xr:uid="{9D77C319-1656-434A-88C5-BCD8BFC4E6AE}"/>
    <cellStyle name="Normal 10 2 2 8 2 2 2 2" xfId="9115" xr:uid="{A035A2EB-866C-46F9-87B1-01DEAFFC9AFD}"/>
    <cellStyle name="Normal 10 2 2 8 2 2 2 2 2" xfId="9116" xr:uid="{21ABB1F0-DA59-4164-9934-523075D775B5}"/>
    <cellStyle name="Normal 10 2 2 8 2 2 2 2 2 2" xfId="9117" xr:uid="{EFDEDF10-AD2E-4BA0-9CA9-9C96F3E13032}"/>
    <cellStyle name="Normal 10 2 2 8 2 2 2 2 2 2 2" xfId="9118" xr:uid="{840686FA-19E5-460E-8AD9-A6E6542EC0B4}"/>
    <cellStyle name="Normal 10 2 2 8 2 2 2 2 2 3" xfId="9119" xr:uid="{AE93E5F3-4F0E-4BF0-820D-6720F39D3E3D}"/>
    <cellStyle name="Normal 10 2 2 8 2 2 2 2 3" xfId="9120" xr:uid="{E9C87A2A-A5E2-44E3-B613-C72827F81B1C}"/>
    <cellStyle name="Normal 10 2 2 8 2 2 2 2 3 2" xfId="9121" xr:uid="{3FD52368-6AF1-49A2-94AC-2B00051023FF}"/>
    <cellStyle name="Normal 10 2 2 8 2 2 2 2 4" xfId="9122" xr:uid="{324AC548-CA1C-47E1-B070-7380953253BD}"/>
    <cellStyle name="Normal 10 2 2 8 2 2 2 3" xfId="9123" xr:uid="{64AD9678-632C-4E09-A9B2-2A2C06B5987B}"/>
    <cellStyle name="Normal 10 2 2 8 2 2 2 3 2" xfId="9124" xr:uid="{9E38A3F5-B692-459F-958F-9429E662BF4C}"/>
    <cellStyle name="Normal 10 2 2 8 2 2 2 3 2 2" xfId="9125" xr:uid="{545A312D-E9A9-409D-ACAF-4378541F3102}"/>
    <cellStyle name="Normal 10 2 2 8 2 2 2 3 3" xfId="9126" xr:uid="{DCFBFC36-07D3-43FF-A3F0-EE6E87D877E3}"/>
    <cellStyle name="Normal 10 2 2 8 2 2 2 4" xfId="9127" xr:uid="{140C6C7E-5167-46FB-8527-6BC0F436B2FD}"/>
    <cellStyle name="Normal 10 2 2 8 2 2 2 4 2" xfId="9128" xr:uid="{47A35849-2C9A-440C-8788-61AB6FF41C61}"/>
    <cellStyle name="Normal 10 2 2 8 2 2 2 5" xfId="9129" xr:uid="{3ABD25BA-FB20-4AFB-980D-55ADD363B032}"/>
    <cellStyle name="Normal 10 2 2 8 2 2 3" xfId="9130" xr:uid="{1B169D57-D67E-4EFB-A744-217B974410EB}"/>
    <cellStyle name="Normal 10 2 2 8 2 2 3 2" xfId="9131" xr:uid="{8D2EAA63-5291-45AB-8E3E-D20591D59FA8}"/>
    <cellStyle name="Normal 10 2 2 8 2 2 3 2 2" xfId="9132" xr:uid="{2DFE2048-EEBF-48D5-9CCC-AD089AFC6881}"/>
    <cellStyle name="Normal 10 2 2 8 2 2 3 2 2 2" xfId="9133" xr:uid="{B5E6F9EC-3F0B-4703-BA8A-9CEEACFDCCC8}"/>
    <cellStyle name="Normal 10 2 2 8 2 2 3 2 3" xfId="9134" xr:uid="{6B63691E-9542-4E44-B747-B9BC63DFE9AD}"/>
    <cellStyle name="Normal 10 2 2 8 2 2 3 3" xfId="9135" xr:uid="{D4E18C06-FFB2-4004-BD3F-E630CED3DDE3}"/>
    <cellStyle name="Normal 10 2 2 8 2 2 3 3 2" xfId="9136" xr:uid="{6240FF86-8B0C-4AEF-A52A-1A5A39F82156}"/>
    <cellStyle name="Normal 10 2 2 8 2 2 3 4" xfId="9137" xr:uid="{B3D18DD5-4170-46C9-AD3C-105A86E5E14D}"/>
    <cellStyle name="Normal 10 2 2 8 2 2 4" xfId="9138" xr:uid="{FAB01C60-3A33-4053-8BD8-DF2C50305938}"/>
    <cellStyle name="Normal 10 2 2 8 2 2 4 2" xfId="9139" xr:uid="{21ACF536-91F6-408F-B37D-317DEC52BA13}"/>
    <cellStyle name="Normal 10 2 2 8 2 2 4 2 2" xfId="9140" xr:uid="{3FC6D908-5118-405F-8E71-DC7C14D43783}"/>
    <cellStyle name="Normal 10 2 2 8 2 2 4 3" xfId="9141" xr:uid="{A9F0EC6B-5FB9-4E0A-9FA2-9D956DE9F6FF}"/>
    <cellStyle name="Normal 10 2 2 8 2 2 5" xfId="9142" xr:uid="{DAA0F53D-75D6-4672-83D5-57ED8F3AEEF4}"/>
    <cellStyle name="Normal 10 2 2 8 2 2 5 2" xfId="9143" xr:uid="{8ACECB8F-A0C7-4B6F-B130-DF625C4B8063}"/>
    <cellStyle name="Normal 10 2 2 8 2 2 6" xfId="9144" xr:uid="{982A0246-E8C0-49D9-94E1-92915433F2EC}"/>
    <cellStyle name="Normal 10 2 2 8 2 3" xfId="9145" xr:uid="{B945ACBC-53A8-4631-A969-59EBCD63FB29}"/>
    <cellStyle name="Normal 10 2 2 8 2 3 2" xfId="9146" xr:uid="{B68E38EE-1933-45D0-8D39-404C6AFD3139}"/>
    <cellStyle name="Normal 10 2 2 8 2 3 2 2" xfId="9147" xr:uid="{CB6DCF6E-884E-463A-99C3-FA04D59D8FF0}"/>
    <cellStyle name="Normal 10 2 2 8 2 3 2 2 2" xfId="9148" xr:uid="{B984100B-F7A2-48C5-93D3-E67B916FD853}"/>
    <cellStyle name="Normal 10 2 2 8 2 3 2 2 2 2" xfId="9149" xr:uid="{36586299-AB9D-46C5-AD2D-0533F1193127}"/>
    <cellStyle name="Normal 10 2 2 8 2 3 2 2 3" xfId="9150" xr:uid="{5BB9B517-C592-4492-A07F-BFF73C4B1E42}"/>
    <cellStyle name="Normal 10 2 2 8 2 3 2 3" xfId="9151" xr:uid="{3B31DEA4-4486-46A2-8D11-ECB5FD459854}"/>
    <cellStyle name="Normal 10 2 2 8 2 3 2 3 2" xfId="9152" xr:uid="{F7040B56-463D-48B7-9C3C-8E9D22ED2A0A}"/>
    <cellStyle name="Normal 10 2 2 8 2 3 2 4" xfId="9153" xr:uid="{D2A3EF29-BA9F-4778-BC4E-B68B7A494511}"/>
    <cellStyle name="Normal 10 2 2 8 2 3 3" xfId="9154" xr:uid="{B9FC8038-4C3F-4818-8745-1656D293AB79}"/>
    <cellStyle name="Normal 10 2 2 8 2 3 3 2" xfId="9155" xr:uid="{D824EA08-2376-4464-9657-3A8E2DAE9365}"/>
    <cellStyle name="Normal 10 2 2 8 2 3 3 2 2" xfId="9156" xr:uid="{BFF470CD-65F7-428F-9D2F-F4FABA86E024}"/>
    <cellStyle name="Normal 10 2 2 8 2 3 3 3" xfId="9157" xr:uid="{5AECC8F3-2E76-4D74-8F8F-C7B869CDDC1F}"/>
    <cellStyle name="Normal 10 2 2 8 2 3 4" xfId="9158" xr:uid="{10D52179-CD9E-4CD9-BB34-6FE5A72DD20E}"/>
    <cellStyle name="Normal 10 2 2 8 2 3 4 2" xfId="9159" xr:uid="{294BAECC-1174-4A27-9D5C-38E994CF7EA6}"/>
    <cellStyle name="Normal 10 2 2 8 2 3 5" xfId="9160" xr:uid="{7D713E76-D6A0-4AB1-8074-40B9AAB65458}"/>
    <cellStyle name="Normal 10 2 2 8 2 4" xfId="9161" xr:uid="{BA064696-57B0-4C33-8893-13D73C48C684}"/>
    <cellStyle name="Normal 10 2 2 8 2 4 2" xfId="9162" xr:uid="{051750FA-339A-457E-A57A-EA9EC81FEC1B}"/>
    <cellStyle name="Normal 10 2 2 8 2 4 2 2" xfId="9163" xr:uid="{438EA1CB-863A-4C70-8E83-1628EF8695A3}"/>
    <cellStyle name="Normal 10 2 2 8 2 4 2 2 2" xfId="9164" xr:uid="{5061C59F-BEC1-47FF-AD3D-6E6B6FF57979}"/>
    <cellStyle name="Normal 10 2 2 8 2 4 2 3" xfId="9165" xr:uid="{34871CFF-9359-49A8-B058-EE1CBEE76C00}"/>
    <cellStyle name="Normal 10 2 2 8 2 4 3" xfId="9166" xr:uid="{4460843E-C279-47C5-A1F6-9801090DA7A9}"/>
    <cellStyle name="Normal 10 2 2 8 2 4 3 2" xfId="9167" xr:uid="{C585FFD9-B388-4763-BE67-7B588DE64B1B}"/>
    <cellStyle name="Normal 10 2 2 8 2 4 4" xfId="9168" xr:uid="{C5E3C377-0517-45F7-B4DF-E88068315907}"/>
    <cellStyle name="Normal 10 2 2 8 2 5" xfId="9169" xr:uid="{1E653564-DE14-43CA-AAA4-E9799DC87E81}"/>
    <cellStyle name="Normal 10 2 2 8 2 5 2" xfId="9170" xr:uid="{F8E34D26-563C-45DE-A929-9A7A42CC59D8}"/>
    <cellStyle name="Normal 10 2 2 8 2 5 2 2" xfId="9171" xr:uid="{6171AA90-58F5-4193-ABD0-F0885EE87AD2}"/>
    <cellStyle name="Normal 10 2 2 8 2 5 3" xfId="9172" xr:uid="{6AF6DB03-AC68-474B-8961-9C07BCD002A2}"/>
    <cellStyle name="Normal 10 2 2 8 2 6" xfId="9173" xr:uid="{ECC1F591-0A29-4718-9A5C-4CAFAAAB29F1}"/>
    <cellStyle name="Normal 10 2 2 8 2 6 2" xfId="9174" xr:uid="{A7D8B9D8-177F-47FD-B1C4-3E2AB47B3AE3}"/>
    <cellStyle name="Normal 10 2 2 8 2 7" xfId="9175" xr:uid="{7B6E14A7-4B34-4584-AE27-A1DAE1D94CD3}"/>
    <cellStyle name="Normal 10 2 2 8 3" xfId="9176" xr:uid="{58D97F07-43FD-4954-A241-310213C72AAA}"/>
    <cellStyle name="Normal 10 2 2 8 3 2" xfId="9177" xr:uid="{CAD0B75F-B965-4A67-9E46-42FF5E91EFF4}"/>
    <cellStyle name="Normal 10 2 2 8 3 2 2" xfId="9178" xr:uid="{D10157D3-9CC1-4BC3-8528-29A78DCB61C7}"/>
    <cellStyle name="Normal 10 2 2 8 3 2 2 2" xfId="9179" xr:uid="{2C42CA05-C0BE-4E51-980B-EBF016980D32}"/>
    <cellStyle name="Normal 10 2 2 8 3 2 2 2 2" xfId="9180" xr:uid="{24BC0292-696D-4C35-B926-B21591DC8008}"/>
    <cellStyle name="Normal 10 2 2 8 3 2 2 2 2 2" xfId="9181" xr:uid="{4D542B3E-DEA7-4CD9-A9C5-CA81ED7CFB03}"/>
    <cellStyle name="Normal 10 2 2 8 3 2 2 2 3" xfId="9182" xr:uid="{203A73AF-70E3-4B1A-8B73-36E611E35E4E}"/>
    <cellStyle name="Normal 10 2 2 8 3 2 2 3" xfId="9183" xr:uid="{F9BCF0E4-B1C6-4C28-AC76-197554219503}"/>
    <cellStyle name="Normal 10 2 2 8 3 2 2 3 2" xfId="9184" xr:uid="{93343AEB-4A6C-4063-84AE-E5E99B6B39C4}"/>
    <cellStyle name="Normal 10 2 2 8 3 2 2 4" xfId="9185" xr:uid="{2122B45E-E0F2-413F-9758-E8B28DC3C397}"/>
    <cellStyle name="Normal 10 2 2 8 3 2 3" xfId="9186" xr:uid="{C0715A90-DC9B-4C7D-9261-76851FFA1BFC}"/>
    <cellStyle name="Normal 10 2 2 8 3 2 3 2" xfId="9187" xr:uid="{957C59F6-86FD-406C-B0C1-5406533D9015}"/>
    <cellStyle name="Normal 10 2 2 8 3 2 3 2 2" xfId="9188" xr:uid="{63EA1617-F9AF-4944-AEDF-20C0072368A6}"/>
    <cellStyle name="Normal 10 2 2 8 3 2 3 3" xfId="9189" xr:uid="{A29596F5-F5E6-4C73-8DA0-2D9EFAE8CCD6}"/>
    <cellStyle name="Normal 10 2 2 8 3 2 4" xfId="9190" xr:uid="{BF1C1462-F903-499F-9590-D31151598021}"/>
    <cellStyle name="Normal 10 2 2 8 3 2 4 2" xfId="9191" xr:uid="{8B93235E-46DA-4591-80AB-3D6E3D5A43C0}"/>
    <cellStyle name="Normal 10 2 2 8 3 2 5" xfId="9192" xr:uid="{23862409-2C92-4D7A-90F8-2FA7C9A10CED}"/>
    <cellStyle name="Normal 10 2 2 8 3 3" xfId="9193" xr:uid="{3EBFF852-E1DA-4757-8C21-609BE622B8B5}"/>
    <cellStyle name="Normal 10 2 2 8 3 3 2" xfId="9194" xr:uid="{A501C7D2-0B0F-4B79-9B65-9042D843D5CF}"/>
    <cellStyle name="Normal 10 2 2 8 3 3 2 2" xfId="9195" xr:uid="{EAE67A33-37AD-43C1-9F26-88D4F6E2E6A1}"/>
    <cellStyle name="Normal 10 2 2 8 3 3 2 2 2" xfId="9196" xr:uid="{67F421E9-6FEF-4A37-911E-8A1E708809B7}"/>
    <cellStyle name="Normal 10 2 2 8 3 3 2 3" xfId="9197" xr:uid="{C0E17CE1-02AC-428C-BC63-1904541D60C0}"/>
    <cellStyle name="Normal 10 2 2 8 3 3 3" xfId="9198" xr:uid="{6471C2A2-384A-40D2-816A-DDE2BADB92D9}"/>
    <cellStyle name="Normal 10 2 2 8 3 3 3 2" xfId="9199" xr:uid="{285A4160-88E2-4D1F-9496-B8B8D7C21D53}"/>
    <cellStyle name="Normal 10 2 2 8 3 3 4" xfId="9200" xr:uid="{C4A01C91-9695-4A74-A158-5E2E62D5F269}"/>
    <cellStyle name="Normal 10 2 2 8 3 4" xfId="9201" xr:uid="{4637EEF7-8A0B-438A-80CA-382E1B38D5A8}"/>
    <cellStyle name="Normal 10 2 2 8 3 4 2" xfId="9202" xr:uid="{ED511FD0-761E-41B2-B49A-E03D9F53465D}"/>
    <cellStyle name="Normal 10 2 2 8 3 4 2 2" xfId="9203" xr:uid="{9B597987-3A3F-49C0-8F3D-EDB97D238A5E}"/>
    <cellStyle name="Normal 10 2 2 8 3 4 3" xfId="9204" xr:uid="{711EC37F-D07B-4BD6-AAA2-F9952C408DCE}"/>
    <cellStyle name="Normal 10 2 2 8 3 5" xfId="9205" xr:uid="{89B993B8-2C34-4EB7-8DEA-4783B59533E9}"/>
    <cellStyle name="Normal 10 2 2 8 3 5 2" xfId="9206" xr:uid="{3736729B-4D2B-40B6-85EA-DF9A76BF0A65}"/>
    <cellStyle name="Normal 10 2 2 8 3 6" xfId="9207" xr:uid="{C0410D27-12A3-4ED6-A0EC-8A6568015032}"/>
    <cellStyle name="Normal 10 2 2 8 4" xfId="9208" xr:uid="{EA8C54A9-106C-4098-ADFE-7A15451AF545}"/>
    <cellStyle name="Normal 10 2 2 8 4 2" xfId="9209" xr:uid="{6F2299AE-CDB4-4E04-B07A-2F2903F50192}"/>
    <cellStyle name="Normal 10 2 2 8 4 2 2" xfId="9210" xr:uid="{8B477642-0389-4A6A-AF52-693791B8018D}"/>
    <cellStyle name="Normal 10 2 2 8 4 2 2 2" xfId="9211" xr:uid="{E21A0731-0983-4588-8AFB-FF60B16453BB}"/>
    <cellStyle name="Normal 10 2 2 8 4 2 2 2 2" xfId="9212" xr:uid="{4AFE7744-7E27-4307-B855-AFCE4AE5FADD}"/>
    <cellStyle name="Normal 10 2 2 8 4 2 2 3" xfId="9213" xr:uid="{314595AF-4879-40AB-B8B4-F06B446DF0B5}"/>
    <cellStyle name="Normal 10 2 2 8 4 2 3" xfId="9214" xr:uid="{C7C2F002-9E97-462C-99C5-EF7CED1ACF7A}"/>
    <cellStyle name="Normal 10 2 2 8 4 2 3 2" xfId="9215" xr:uid="{930A3BC9-959A-48C0-AF32-435677E5F737}"/>
    <cellStyle name="Normal 10 2 2 8 4 2 4" xfId="9216" xr:uid="{51B40A54-2DCB-4C9F-B6C8-76619C670F45}"/>
    <cellStyle name="Normal 10 2 2 8 4 3" xfId="9217" xr:uid="{EF15DFDA-E655-4181-A033-41164DB142A7}"/>
    <cellStyle name="Normal 10 2 2 8 4 3 2" xfId="9218" xr:uid="{E1C9DE82-2047-4215-849B-C08EBCD5375A}"/>
    <cellStyle name="Normal 10 2 2 8 4 3 2 2" xfId="9219" xr:uid="{742F3DEC-0053-4C90-8DE2-476161691D5B}"/>
    <cellStyle name="Normal 10 2 2 8 4 3 3" xfId="9220" xr:uid="{62CEB080-32F4-49DE-BAC6-8838826F90DB}"/>
    <cellStyle name="Normal 10 2 2 8 4 4" xfId="9221" xr:uid="{BE94705C-57B1-439B-AACE-808674E60C09}"/>
    <cellStyle name="Normal 10 2 2 8 4 4 2" xfId="9222" xr:uid="{EA08E013-3B81-4DE8-A732-DC5906D60E44}"/>
    <cellStyle name="Normal 10 2 2 8 4 5" xfId="9223" xr:uid="{82C15CA3-DECB-4919-BB4E-6C12B663B4C5}"/>
    <cellStyle name="Normal 10 2 2 8 5" xfId="9224" xr:uid="{AB235023-B67D-445A-A767-4B4E7B31BBEF}"/>
    <cellStyle name="Normal 10 2 2 8 5 2" xfId="9225" xr:uid="{3F31567F-5A03-47E8-AE17-F5C5C199CE72}"/>
    <cellStyle name="Normal 10 2 2 8 5 2 2" xfId="9226" xr:uid="{86EAB164-8521-44DC-9880-B0DD0978D737}"/>
    <cellStyle name="Normal 10 2 2 8 5 2 2 2" xfId="9227" xr:uid="{1B0FEB79-F8D0-4326-8DB1-1FD810CC6717}"/>
    <cellStyle name="Normal 10 2 2 8 5 2 3" xfId="9228" xr:uid="{014B3E99-2F7F-466A-950D-23614AD0249F}"/>
    <cellStyle name="Normal 10 2 2 8 5 3" xfId="9229" xr:uid="{BF2558D9-3101-4F92-BA98-5B27F35B672F}"/>
    <cellStyle name="Normal 10 2 2 8 5 3 2" xfId="9230" xr:uid="{A87DFC2E-8A76-44EF-AA1B-CF315DF6D7F1}"/>
    <cellStyle name="Normal 10 2 2 8 5 4" xfId="9231" xr:uid="{AD1BCEBF-3BF2-4EB7-9C6B-06A1953978CB}"/>
    <cellStyle name="Normal 10 2 2 8 6" xfId="9232" xr:uid="{EDC5B38B-A2A4-44C7-82A0-DC9C0C14929D}"/>
    <cellStyle name="Normal 10 2 2 8 6 2" xfId="9233" xr:uid="{2430AFDB-02AE-4A01-8E2D-249E80A2CCA4}"/>
    <cellStyle name="Normal 10 2 2 8 6 2 2" xfId="9234" xr:uid="{ED1C0EB3-CADD-4D87-8BCE-D8E692144825}"/>
    <cellStyle name="Normal 10 2 2 8 6 3" xfId="9235" xr:uid="{201CBE3B-51EC-4F2D-BB8A-E8F79BB63595}"/>
    <cellStyle name="Normal 10 2 2 8 7" xfId="9236" xr:uid="{0D8673AC-E832-4075-8D50-FDFB484E05F7}"/>
    <cellStyle name="Normal 10 2 2 8 7 2" xfId="9237" xr:uid="{2219F33D-F674-4895-A817-90448EC52D81}"/>
    <cellStyle name="Normal 10 2 2 8 8" xfId="9238" xr:uid="{DC73A571-C856-4CC3-B03A-1594D5BF37A3}"/>
    <cellStyle name="Normal 10 2 2 8 9" xfId="9111" xr:uid="{B1B810D6-74A7-4E5E-91E9-2DD005FA430A}"/>
    <cellStyle name="Normal 10 2 2 9" xfId="9239" xr:uid="{F93DB2F8-02C5-4B93-BD10-10C31C60FB84}"/>
    <cellStyle name="Normal 10 2 2 9 2" xfId="9240" xr:uid="{559EE90E-24C5-407F-A281-E777D588696D}"/>
    <cellStyle name="Normal 10 2 2 9 2 2" xfId="9241" xr:uid="{65FE7372-DA84-4CBB-9A65-C7F93290F009}"/>
    <cellStyle name="Normal 10 2 2 9 2 2 2" xfId="9242" xr:uid="{521285A6-179F-4AFE-8C4B-0AC502CB18B6}"/>
    <cellStyle name="Normal 10 2 2 9 2 2 2 2" xfId="9243" xr:uid="{C8B85CE6-12C5-48CC-8CC9-62A295A9DDDB}"/>
    <cellStyle name="Normal 10 2 2 9 2 2 2 2 2" xfId="9244" xr:uid="{FE31B782-5A83-443C-9126-5B50BD8067CB}"/>
    <cellStyle name="Normal 10 2 2 9 2 2 2 2 2 2" xfId="9245" xr:uid="{117C94C3-F7E1-4D7D-8626-F6A67C39A0BC}"/>
    <cellStyle name="Normal 10 2 2 9 2 2 2 2 3" xfId="9246" xr:uid="{01033EFE-AD92-46B4-A360-BF1610DBC3C8}"/>
    <cellStyle name="Normal 10 2 2 9 2 2 2 3" xfId="9247" xr:uid="{FEEF8259-A562-4DAA-BC38-E764C5561A8B}"/>
    <cellStyle name="Normal 10 2 2 9 2 2 2 3 2" xfId="9248" xr:uid="{4E7EAB06-F325-48D2-947C-E5D0C8583BB9}"/>
    <cellStyle name="Normal 10 2 2 9 2 2 2 4" xfId="9249" xr:uid="{974744D7-1522-45B4-ABC0-8622530F3AA6}"/>
    <cellStyle name="Normal 10 2 2 9 2 2 3" xfId="9250" xr:uid="{15FBD748-E53F-4EA3-97A4-146D5352A131}"/>
    <cellStyle name="Normal 10 2 2 9 2 2 3 2" xfId="9251" xr:uid="{79C27735-4D3D-45A4-A016-49A638738F90}"/>
    <cellStyle name="Normal 10 2 2 9 2 2 3 2 2" xfId="9252" xr:uid="{FD1302F2-5A3B-4BCB-A6C2-3C6CCD1E165F}"/>
    <cellStyle name="Normal 10 2 2 9 2 2 3 3" xfId="9253" xr:uid="{3957EB41-CBC5-4F0E-976F-48C3935A287F}"/>
    <cellStyle name="Normal 10 2 2 9 2 2 4" xfId="9254" xr:uid="{E54F309B-438A-41C6-A1DE-EE0AD847E821}"/>
    <cellStyle name="Normal 10 2 2 9 2 2 4 2" xfId="9255" xr:uid="{0C3E1AF1-3BA8-4FF1-B6E2-DB74F4512DC3}"/>
    <cellStyle name="Normal 10 2 2 9 2 2 5" xfId="9256" xr:uid="{B599A1FA-F83A-42A0-8693-8C2E756B83B1}"/>
    <cellStyle name="Normal 10 2 2 9 2 3" xfId="9257" xr:uid="{BAFE721F-6653-44FD-A2B7-45B2D09CBB8B}"/>
    <cellStyle name="Normal 10 2 2 9 2 3 2" xfId="9258" xr:uid="{57C01AD5-006B-4DFF-94B9-A3D573D45493}"/>
    <cellStyle name="Normal 10 2 2 9 2 3 2 2" xfId="9259" xr:uid="{21F94AA0-0A97-433C-842B-03E68AF6BC07}"/>
    <cellStyle name="Normal 10 2 2 9 2 3 2 2 2" xfId="9260" xr:uid="{A9B9FF07-3021-4074-AABE-0EE7EF223F57}"/>
    <cellStyle name="Normal 10 2 2 9 2 3 2 3" xfId="9261" xr:uid="{46A0A938-ED7A-435D-ADDA-BC2706BEC371}"/>
    <cellStyle name="Normal 10 2 2 9 2 3 3" xfId="9262" xr:uid="{47005F6D-919E-4D11-A198-C066FAC65CF9}"/>
    <cellStyle name="Normal 10 2 2 9 2 3 3 2" xfId="9263" xr:uid="{75292678-6A6E-4D57-A6BB-C88BE6C6B9B8}"/>
    <cellStyle name="Normal 10 2 2 9 2 3 4" xfId="9264" xr:uid="{2804DB4A-8886-42C5-A7F7-5BC2DDB84584}"/>
    <cellStyle name="Normal 10 2 2 9 2 4" xfId="9265" xr:uid="{4B6CEFE0-CAEA-4F56-BC07-E78893BE8436}"/>
    <cellStyle name="Normal 10 2 2 9 2 4 2" xfId="9266" xr:uid="{605350D5-C6AB-49C1-90B1-D528BD8DC5D8}"/>
    <cellStyle name="Normal 10 2 2 9 2 4 2 2" xfId="9267" xr:uid="{8CFDB2D9-BAF1-474F-9FAE-CF7D4594AFC0}"/>
    <cellStyle name="Normal 10 2 2 9 2 4 3" xfId="9268" xr:uid="{E7E04F6F-1D57-47D3-BDBA-8A2E8231A88A}"/>
    <cellStyle name="Normal 10 2 2 9 2 5" xfId="9269" xr:uid="{7D6374B2-8518-4893-A0AB-92B7C6B1BA88}"/>
    <cellStyle name="Normal 10 2 2 9 2 5 2" xfId="9270" xr:uid="{2BB213D3-B97E-46A5-B1C0-E7F50EAEB509}"/>
    <cellStyle name="Normal 10 2 2 9 2 6" xfId="9271" xr:uid="{FA92AF54-3E51-432C-9ADD-BA4C4BCFB4E4}"/>
    <cellStyle name="Normal 10 2 2 9 3" xfId="9272" xr:uid="{5AE17A48-A8D4-4FC7-8EC5-8AA7762E6BC0}"/>
    <cellStyle name="Normal 10 2 2 9 3 2" xfId="9273" xr:uid="{ECCC6479-A68E-4FDD-9522-1C51CEA433E3}"/>
    <cellStyle name="Normal 10 2 2 9 3 2 2" xfId="9274" xr:uid="{E566D3B6-E397-44CF-9B09-0B2D41D0E3C4}"/>
    <cellStyle name="Normal 10 2 2 9 3 2 2 2" xfId="9275" xr:uid="{B42360A2-1DD9-4502-849D-48398BE26BCC}"/>
    <cellStyle name="Normal 10 2 2 9 3 2 2 2 2" xfId="9276" xr:uid="{EBAC64FA-B0C2-4DBF-9B32-B08DD4C2C3D0}"/>
    <cellStyle name="Normal 10 2 2 9 3 2 2 3" xfId="9277" xr:uid="{17707204-E312-4CAB-A50D-66BA1AB92AF2}"/>
    <cellStyle name="Normal 10 2 2 9 3 2 3" xfId="9278" xr:uid="{524E3949-A492-484C-99B1-23AA1553B746}"/>
    <cellStyle name="Normal 10 2 2 9 3 2 3 2" xfId="9279" xr:uid="{7E543E55-7421-4650-BF3F-46D0D5EA05FC}"/>
    <cellStyle name="Normal 10 2 2 9 3 2 4" xfId="9280" xr:uid="{67D6F9D8-0B6F-41AF-BCFD-DB7D2D46224D}"/>
    <cellStyle name="Normal 10 2 2 9 3 3" xfId="9281" xr:uid="{511A6B50-D4B5-4620-8304-9B8249E58478}"/>
    <cellStyle name="Normal 10 2 2 9 3 3 2" xfId="9282" xr:uid="{E5738A96-B745-4F4A-A86E-F3588283F26C}"/>
    <cellStyle name="Normal 10 2 2 9 3 3 2 2" xfId="9283" xr:uid="{97B3107B-9560-4847-B31A-840A8EA9FDED}"/>
    <cellStyle name="Normal 10 2 2 9 3 3 3" xfId="9284" xr:uid="{CF2C5D94-1767-41D1-8ADD-3E52F1F90AA2}"/>
    <cellStyle name="Normal 10 2 2 9 3 4" xfId="9285" xr:uid="{B4018B02-45A2-41FE-9D6A-2CB439832DB0}"/>
    <cellStyle name="Normal 10 2 2 9 3 4 2" xfId="9286" xr:uid="{5D8AE320-3D06-440E-BBAC-6427DAC97438}"/>
    <cellStyle name="Normal 10 2 2 9 3 5" xfId="9287" xr:uid="{EC601EAA-5BF0-4B9A-B6A4-4F3CAF798973}"/>
    <cellStyle name="Normal 10 2 2 9 4" xfId="9288" xr:uid="{97A1A58E-775C-4A00-AA98-295547F2CC74}"/>
    <cellStyle name="Normal 10 2 2 9 4 2" xfId="9289" xr:uid="{D5D94E51-0041-46C6-9855-80A84502FFCB}"/>
    <cellStyle name="Normal 10 2 2 9 4 2 2" xfId="9290" xr:uid="{7D54669C-F576-40C8-B9F6-A7BA791CACF9}"/>
    <cellStyle name="Normal 10 2 2 9 4 2 2 2" xfId="9291" xr:uid="{3903BD0D-CD92-4F74-B45F-060B460104B4}"/>
    <cellStyle name="Normal 10 2 2 9 4 2 3" xfId="9292" xr:uid="{46F834F8-77E5-43BB-AC11-E056EA90E5DB}"/>
    <cellStyle name="Normal 10 2 2 9 4 3" xfId="9293" xr:uid="{063A199D-90D4-469D-915C-0F8D212CED16}"/>
    <cellStyle name="Normal 10 2 2 9 4 3 2" xfId="9294" xr:uid="{711F0128-9820-44B8-A602-70E377010A15}"/>
    <cellStyle name="Normal 10 2 2 9 4 4" xfId="9295" xr:uid="{9E741CBA-8ACC-45EC-A331-66A3DE3FB61A}"/>
    <cellStyle name="Normal 10 2 2 9 5" xfId="9296" xr:uid="{D538A513-DE07-4D64-9A93-BE6BF73FED81}"/>
    <cellStyle name="Normal 10 2 2 9 5 2" xfId="9297" xr:uid="{10144C03-4D7E-4C95-80AB-F9BCCDB10CA8}"/>
    <cellStyle name="Normal 10 2 2 9 5 2 2" xfId="9298" xr:uid="{0B74BFCE-2AC1-4356-89D7-711EC29BF5B6}"/>
    <cellStyle name="Normal 10 2 2 9 5 3" xfId="9299" xr:uid="{EBE26B25-DD05-4D32-A336-5212AED54CDB}"/>
    <cellStyle name="Normal 10 2 2 9 6" xfId="9300" xr:uid="{C7C3BF19-62CD-4743-89D2-753169425E45}"/>
    <cellStyle name="Normal 10 2 2 9 6 2" xfId="9301" xr:uid="{4ED7B1E2-1F31-4593-978E-0890A1769317}"/>
    <cellStyle name="Normal 10 2 2 9 7" xfId="9302" xr:uid="{733D8ECA-9A65-46C1-96EE-0928A8E4297A}"/>
    <cellStyle name="Normal 10 2 3" xfId="209" xr:uid="{5B786D75-3613-4B1E-89C8-8CD46F38CEEC}"/>
    <cellStyle name="Normal 10 2 3 10" xfId="9303" xr:uid="{2069D910-802F-43A9-84F5-5A52B99F2DC3}"/>
    <cellStyle name="Normal 10 2 3 10 2" xfId="9304" xr:uid="{EF9F0FAD-9F05-4B1A-A50F-37CD9905F558}"/>
    <cellStyle name="Normal 10 2 3 10 2 2" xfId="9305" xr:uid="{B6985A23-50D4-49EB-8D71-A653AC68346C}"/>
    <cellStyle name="Normal 10 2 3 10 2 2 2" xfId="9306" xr:uid="{6FB4DAFF-4E73-4A97-A82D-592123F4B965}"/>
    <cellStyle name="Normal 10 2 3 10 2 2 2 2" xfId="9307" xr:uid="{2B360C6B-600E-4504-BB09-BF295F4464A6}"/>
    <cellStyle name="Normal 10 2 3 10 2 2 3" xfId="9308" xr:uid="{C5A856A9-189C-40E0-A10F-3E87F73C9744}"/>
    <cellStyle name="Normal 10 2 3 10 2 3" xfId="9309" xr:uid="{A57940E1-05E7-458F-B18C-F342D89EC154}"/>
    <cellStyle name="Normal 10 2 3 10 2 3 2" xfId="9310" xr:uid="{DB6A9EBE-C86F-4943-83CE-C2FEF96A3323}"/>
    <cellStyle name="Normal 10 2 3 10 2 4" xfId="9311" xr:uid="{FD85DB47-FF4A-4020-88A8-CC6E047FD73E}"/>
    <cellStyle name="Normal 10 2 3 10 3" xfId="9312" xr:uid="{637BC2EB-E523-4F9C-91C1-7C1C18DCDD1A}"/>
    <cellStyle name="Normal 10 2 3 10 3 2" xfId="9313" xr:uid="{EBC88CF1-5EC1-4BBC-B2B1-6D685FB9CEE3}"/>
    <cellStyle name="Normal 10 2 3 10 3 2 2" xfId="9314" xr:uid="{0D576AAF-1791-411F-9BDB-0150705D73A0}"/>
    <cellStyle name="Normal 10 2 3 10 3 3" xfId="9315" xr:uid="{05684DA1-B1B5-4FB3-8B56-635989847349}"/>
    <cellStyle name="Normal 10 2 3 10 4" xfId="9316" xr:uid="{B318384D-9BC2-46B6-A467-BF86E6A68758}"/>
    <cellStyle name="Normal 10 2 3 10 4 2" xfId="9317" xr:uid="{FF12058C-571F-43EA-BB0A-B43450964124}"/>
    <cellStyle name="Normal 10 2 3 10 5" xfId="9318" xr:uid="{6AB269EB-2BE4-44CF-9FC9-0284ED079C2D}"/>
    <cellStyle name="Normal 10 2 3 11" xfId="9319" xr:uid="{CF5618FC-00A5-44CA-BB83-E33D6177DBA6}"/>
    <cellStyle name="Normal 10 2 3 11 2" xfId="9320" xr:uid="{F9770178-94D8-4FC5-A93F-EA185DB2C859}"/>
    <cellStyle name="Normal 10 2 3 11 2 2" xfId="9321" xr:uid="{D3E22956-DF4A-4406-9454-CACCF5685B8B}"/>
    <cellStyle name="Normal 10 2 3 11 2 2 2" xfId="9322" xr:uid="{E6A54104-4545-41E5-8892-C6AB8EB45F41}"/>
    <cellStyle name="Normal 10 2 3 11 2 3" xfId="9323" xr:uid="{06B474A1-2DBF-445E-BE9D-C3252CB244B7}"/>
    <cellStyle name="Normal 10 2 3 11 3" xfId="9324" xr:uid="{487CDD17-F591-43E0-A06B-8D96A2097B56}"/>
    <cellStyle name="Normal 10 2 3 11 3 2" xfId="9325" xr:uid="{2AF25F25-616C-4C10-B405-094E5C1DFB2F}"/>
    <cellStyle name="Normal 10 2 3 11 4" xfId="9326" xr:uid="{5952D787-A18A-4956-B5DC-11EDA076E77A}"/>
    <cellStyle name="Normal 10 2 3 12" xfId="9327" xr:uid="{F56DF7D3-0A79-4261-A43D-2289DD141E21}"/>
    <cellStyle name="Normal 10 2 3 12 2" xfId="9328" xr:uid="{054FA5FF-0ED4-4B5A-A7F9-2ED8925BFDFB}"/>
    <cellStyle name="Normal 10 2 3 12 2 2" xfId="9329" xr:uid="{BDCB2457-00BB-4915-B23E-CDD7B3BA225F}"/>
    <cellStyle name="Normal 10 2 3 12 3" xfId="9330" xr:uid="{F83F3C94-5432-4A07-B81F-0423B2D223C0}"/>
    <cellStyle name="Normal 10 2 3 13" xfId="9331" xr:uid="{ABE39734-08F8-4658-9414-45E20ED2FAB5}"/>
    <cellStyle name="Normal 10 2 3 13 2" xfId="9332" xr:uid="{0BD1F8A5-DEFE-4C07-8B86-B3BFC8DC2CE9}"/>
    <cellStyle name="Normal 10 2 3 14" xfId="9333" xr:uid="{5C2A84F3-B73F-4DA7-82F0-745E4827C089}"/>
    <cellStyle name="Normal 10 2 3 15" xfId="533" xr:uid="{62F045E0-99E9-4BE9-B226-C3F17B7C27AA}"/>
    <cellStyle name="Normal 10 2 3 2" xfId="226" xr:uid="{8EA16FF2-94DE-435B-849A-E4D91E2AFCD6}"/>
    <cellStyle name="Normal 10 2 3 2 10" xfId="9334" xr:uid="{B510F183-D2FE-4213-9FDE-7CF971A56843}"/>
    <cellStyle name="Normal 10 2 3 2 11" xfId="550" xr:uid="{2F56ED13-ED52-45FA-9150-39894218AA5B}"/>
    <cellStyle name="Normal 10 2 3 2 2" xfId="318" xr:uid="{13907233-2631-4DE9-87C9-26D087DDB576}"/>
    <cellStyle name="Normal 10 2 3 2 2 10" xfId="9335" xr:uid="{1589329C-3B13-4E3E-85D8-87B298F86076}"/>
    <cellStyle name="Normal 10 2 3 2 2 2" xfId="9336" xr:uid="{EB8EBABC-D637-43E4-A2C2-38804B866A98}"/>
    <cellStyle name="Normal 10 2 3 2 2 2 2" xfId="9337" xr:uid="{D2F22B5E-0E44-4E97-8AE2-16D6D60D54E1}"/>
    <cellStyle name="Normal 10 2 3 2 2 2 2 2" xfId="9338" xr:uid="{416D1634-E74F-4270-A5F6-3CF06AE9FE5C}"/>
    <cellStyle name="Normal 10 2 3 2 2 2 2 2 2" xfId="9339" xr:uid="{FD2AD817-D562-4EE9-B952-83E9D3444BCC}"/>
    <cellStyle name="Normal 10 2 3 2 2 2 2 2 2 2" xfId="9340" xr:uid="{142962BC-97E4-4BE3-8620-6E3D0EB225F2}"/>
    <cellStyle name="Normal 10 2 3 2 2 2 2 2 2 2 2" xfId="9341" xr:uid="{319F734A-62F1-4F2A-802D-BE138E1D5F4C}"/>
    <cellStyle name="Normal 10 2 3 2 2 2 2 2 2 2 2 2" xfId="9342" xr:uid="{DF873350-27FA-4C14-8AE3-7CABEBB45D63}"/>
    <cellStyle name="Normal 10 2 3 2 2 2 2 2 2 2 2 2 2" xfId="9343" xr:uid="{A1950BB3-9AAE-4193-9B13-968859AB99A7}"/>
    <cellStyle name="Normal 10 2 3 2 2 2 2 2 2 2 2 3" xfId="9344" xr:uid="{4ED213E2-C6AF-4DB7-A3CD-AFC051502F4A}"/>
    <cellStyle name="Normal 10 2 3 2 2 2 2 2 2 2 3" xfId="9345" xr:uid="{9A2938EB-29B5-4884-AB6E-762F215BB30D}"/>
    <cellStyle name="Normal 10 2 3 2 2 2 2 2 2 2 3 2" xfId="9346" xr:uid="{6C9D918E-3D59-4D1C-AF13-D398AE16B0D6}"/>
    <cellStyle name="Normal 10 2 3 2 2 2 2 2 2 2 4" xfId="9347" xr:uid="{22897CEE-793C-42C2-8F52-CAC2178ACE02}"/>
    <cellStyle name="Normal 10 2 3 2 2 2 2 2 2 3" xfId="9348" xr:uid="{CAABC635-51A5-4BCC-8B22-9862B3F5834E}"/>
    <cellStyle name="Normal 10 2 3 2 2 2 2 2 2 3 2" xfId="9349" xr:uid="{E3082D90-778A-44A7-AD66-6A0C0B979D45}"/>
    <cellStyle name="Normal 10 2 3 2 2 2 2 2 2 3 2 2" xfId="9350" xr:uid="{187C2D2E-D56B-4B23-B5CF-6EAA72EB1C35}"/>
    <cellStyle name="Normal 10 2 3 2 2 2 2 2 2 3 3" xfId="9351" xr:uid="{11C6EB83-115D-47F5-9FB5-47F7E10890BC}"/>
    <cellStyle name="Normal 10 2 3 2 2 2 2 2 2 4" xfId="9352" xr:uid="{0CF67F0F-E37A-4399-83BA-356E9E634C24}"/>
    <cellStyle name="Normal 10 2 3 2 2 2 2 2 2 4 2" xfId="9353" xr:uid="{485E6F07-DE99-453E-A0D6-291C4DBC2CF9}"/>
    <cellStyle name="Normal 10 2 3 2 2 2 2 2 2 5" xfId="9354" xr:uid="{BDF1779B-0017-4B5E-874A-FB4C9E3A21D3}"/>
    <cellStyle name="Normal 10 2 3 2 2 2 2 2 3" xfId="9355" xr:uid="{4FCBC2F6-FE61-4DCC-B2BE-3F2F07BCB633}"/>
    <cellStyle name="Normal 10 2 3 2 2 2 2 2 3 2" xfId="9356" xr:uid="{3821A6F6-637E-4CF3-99B0-3C13BE1512C5}"/>
    <cellStyle name="Normal 10 2 3 2 2 2 2 2 3 2 2" xfId="9357" xr:uid="{4EEE4E9A-6E0E-4633-B5D2-FBB4ADCC4B84}"/>
    <cellStyle name="Normal 10 2 3 2 2 2 2 2 3 2 2 2" xfId="9358" xr:uid="{67D6CE27-C994-4957-9402-B6E91DA660F6}"/>
    <cellStyle name="Normal 10 2 3 2 2 2 2 2 3 2 3" xfId="9359" xr:uid="{E2B3788C-98B9-4096-A8C1-EAE9B7D85876}"/>
    <cellStyle name="Normal 10 2 3 2 2 2 2 2 3 3" xfId="9360" xr:uid="{DD9DBCD4-1C43-402B-A166-646FD3135660}"/>
    <cellStyle name="Normal 10 2 3 2 2 2 2 2 3 3 2" xfId="9361" xr:uid="{373FF10B-D8F2-4F1C-94F3-B1BDDD975092}"/>
    <cellStyle name="Normal 10 2 3 2 2 2 2 2 3 4" xfId="9362" xr:uid="{12034C06-F5C7-48FE-AE65-9BCEB7B95438}"/>
    <cellStyle name="Normal 10 2 3 2 2 2 2 2 4" xfId="9363" xr:uid="{E7BC2E0E-8442-4663-AC90-235BC2C91C18}"/>
    <cellStyle name="Normal 10 2 3 2 2 2 2 2 4 2" xfId="9364" xr:uid="{E4073FA5-C3E8-402C-B385-E142D8FDC341}"/>
    <cellStyle name="Normal 10 2 3 2 2 2 2 2 4 2 2" xfId="9365" xr:uid="{9CF03EFA-909E-4577-8D40-E3A0358E2E1A}"/>
    <cellStyle name="Normal 10 2 3 2 2 2 2 2 4 3" xfId="9366" xr:uid="{6A50AAA3-6A90-4209-8DDD-808DA0B9493E}"/>
    <cellStyle name="Normal 10 2 3 2 2 2 2 2 5" xfId="9367" xr:uid="{F4317A94-8C4A-4EBD-879F-A0988BA392A7}"/>
    <cellStyle name="Normal 10 2 3 2 2 2 2 2 5 2" xfId="9368" xr:uid="{4E4BA163-AD48-414D-9A7F-D0917D6E8D1B}"/>
    <cellStyle name="Normal 10 2 3 2 2 2 2 2 6" xfId="9369" xr:uid="{40E788A8-F0B6-476C-B63E-58FE4CB18427}"/>
    <cellStyle name="Normal 10 2 3 2 2 2 2 3" xfId="9370" xr:uid="{0B035DB1-AA39-4CF4-8ACE-4659BAA0E650}"/>
    <cellStyle name="Normal 10 2 3 2 2 2 2 3 2" xfId="9371" xr:uid="{71E20155-C430-4931-BF06-07795CBA6B99}"/>
    <cellStyle name="Normal 10 2 3 2 2 2 2 3 2 2" xfId="9372" xr:uid="{D9D99E1C-8A4C-4C34-A41D-BFCE3ADED989}"/>
    <cellStyle name="Normal 10 2 3 2 2 2 2 3 2 2 2" xfId="9373" xr:uid="{D8E85AF7-78D1-4447-BC3C-338CD8005976}"/>
    <cellStyle name="Normal 10 2 3 2 2 2 2 3 2 2 2 2" xfId="9374" xr:uid="{B875C674-EB6D-4219-8BC3-4284C74B7ACF}"/>
    <cellStyle name="Normal 10 2 3 2 2 2 2 3 2 2 3" xfId="9375" xr:uid="{C405ED13-DEDF-422A-95CE-671F105789AC}"/>
    <cellStyle name="Normal 10 2 3 2 2 2 2 3 2 3" xfId="9376" xr:uid="{F291B5FC-25D9-468A-ACD0-8C7F0903AF53}"/>
    <cellStyle name="Normal 10 2 3 2 2 2 2 3 2 3 2" xfId="9377" xr:uid="{3CB4926E-3CCE-410C-8D8F-97F485DFD62A}"/>
    <cellStyle name="Normal 10 2 3 2 2 2 2 3 2 4" xfId="9378" xr:uid="{11F51871-8B9C-4E41-B431-0FAB3F4922A7}"/>
    <cellStyle name="Normal 10 2 3 2 2 2 2 3 3" xfId="9379" xr:uid="{035B9700-543D-4323-B698-5D23A3F89C38}"/>
    <cellStyle name="Normal 10 2 3 2 2 2 2 3 3 2" xfId="9380" xr:uid="{2C510FAF-4183-4770-9129-3339E11CF53D}"/>
    <cellStyle name="Normal 10 2 3 2 2 2 2 3 3 2 2" xfId="9381" xr:uid="{BB695509-AB8A-4155-951E-4A2FAFF7D9CF}"/>
    <cellStyle name="Normal 10 2 3 2 2 2 2 3 3 3" xfId="9382" xr:uid="{D36E4534-9208-47C7-98A8-264D69783388}"/>
    <cellStyle name="Normal 10 2 3 2 2 2 2 3 4" xfId="9383" xr:uid="{9D6E8265-17A9-45F1-A68F-66460003A0FC}"/>
    <cellStyle name="Normal 10 2 3 2 2 2 2 3 4 2" xfId="9384" xr:uid="{3407A354-D39E-4842-B4C2-178F9D62E9F1}"/>
    <cellStyle name="Normal 10 2 3 2 2 2 2 3 5" xfId="9385" xr:uid="{6575F05F-AF23-4ADE-A0FF-8E78611D48C0}"/>
    <cellStyle name="Normal 10 2 3 2 2 2 2 4" xfId="9386" xr:uid="{000C7094-055B-44C9-A826-E121A9441FF6}"/>
    <cellStyle name="Normal 10 2 3 2 2 2 2 4 2" xfId="9387" xr:uid="{0EE0680B-FFFD-4DE8-8E15-775CC422E760}"/>
    <cellStyle name="Normal 10 2 3 2 2 2 2 4 2 2" xfId="9388" xr:uid="{237C8D84-96E3-4927-BA2B-FCFDFD0175C0}"/>
    <cellStyle name="Normal 10 2 3 2 2 2 2 4 2 2 2" xfId="9389" xr:uid="{A4FDBA44-EA0C-4C43-89BE-4E8B2ECC02D6}"/>
    <cellStyle name="Normal 10 2 3 2 2 2 2 4 2 3" xfId="9390" xr:uid="{FC66B8B1-824A-4316-B2F1-10E0E8B00E33}"/>
    <cellStyle name="Normal 10 2 3 2 2 2 2 4 3" xfId="9391" xr:uid="{20AB2025-E883-4BDE-BDAF-26ACACBC0B1A}"/>
    <cellStyle name="Normal 10 2 3 2 2 2 2 4 3 2" xfId="9392" xr:uid="{4FBC0AEC-B978-4696-BFDE-4C472ADC6681}"/>
    <cellStyle name="Normal 10 2 3 2 2 2 2 4 4" xfId="9393" xr:uid="{89D3EA38-9169-439F-B074-439DDBC45464}"/>
    <cellStyle name="Normal 10 2 3 2 2 2 2 5" xfId="9394" xr:uid="{B215B491-A403-46C3-9FEE-5275B4307994}"/>
    <cellStyle name="Normal 10 2 3 2 2 2 2 5 2" xfId="9395" xr:uid="{C7F9B05D-9943-4588-ACB1-82A85B836BA8}"/>
    <cellStyle name="Normal 10 2 3 2 2 2 2 5 2 2" xfId="9396" xr:uid="{F7FC0246-CA9E-4F8E-994C-6AC61B51268A}"/>
    <cellStyle name="Normal 10 2 3 2 2 2 2 5 3" xfId="9397" xr:uid="{FBD4EADA-D4A1-4A8D-9B43-97880D40B782}"/>
    <cellStyle name="Normal 10 2 3 2 2 2 2 6" xfId="9398" xr:uid="{35014BC0-D7FE-4FAB-B4C9-49860FD57C72}"/>
    <cellStyle name="Normal 10 2 3 2 2 2 2 6 2" xfId="9399" xr:uid="{CB6A477C-AC03-4C2C-BA9F-AE1DBC317860}"/>
    <cellStyle name="Normal 10 2 3 2 2 2 2 7" xfId="9400" xr:uid="{B1103945-4B3A-4FD3-BBC7-96DFE9CF36B9}"/>
    <cellStyle name="Normal 10 2 3 2 2 2 3" xfId="9401" xr:uid="{648C571C-50D7-43FD-9AA6-8DA394F30095}"/>
    <cellStyle name="Normal 10 2 3 2 2 2 3 2" xfId="9402" xr:uid="{0AD0C4A7-62B1-401B-81E1-A73546EEC0F2}"/>
    <cellStyle name="Normal 10 2 3 2 2 2 3 2 2" xfId="9403" xr:uid="{C56F2A69-AB3F-4C7E-BD3A-019F11960298}"/>
    <cellStyle name="Normal 10 2 3 2 2 2 3 2 2 2" xfId="9404" xr:uid="{F83F9A86-24AC-42C6-9AC1-F69E43B3C196}"/>
    <cellStyle name="Normal 10 2 3 2 2 2 3 2 2 2 2" xfId="9405" xr:uid="{4A2BC0F6-8EE1-4B85-8C2A-9AD48DC0C0AA}"/>
    <cellStyle name="Normal 10 2 3 2 2 2 3 2 2 2 2 2" xfId="9406" xr:uid="{480261E9-CA76-4395-98EA-6DCA3258F339}"/>
    <cellStyle name="Normal 10 2 3 2 2 2 3 2 2 2 3" xfId="9407" xr:uid="{189CAF45-FE03-46CF-8C98-A263353DE9A2}"/>
    <cellStyle name="Normal 10 2 3 2 2 2 3 2 2 3" xfId="9408" xr:uid="{97A73058-5588-44AA-9A69-71AF5BF34EE0}"/>
    <cellStyle name="Normal 10 2 3 2 2 2 3 2 2 3 2" xfId="9409" xr:uid="{9D115223-CBDC-4171-80D1-369B64CE92AF}"/>
    <cellStyle name="Normal 10 2 3 2 2 2 3 2 2 4" xfId="9410" xr:uid="{B2C8F4FB-8373-49B7-A136-59D6501447DA}"/>
    <cellStyle name="Normal 10 2 3 2 2 2 3 2 3" xfId="9411" xr:uid="{804FBE7E-DD73-446F-8B61-13E342C5D1D9}"/>
    <cellStyle name="Normal 10 2 3 2 2 2 3 2 3 2" xfId="9412" xr:uid="{8A3BD71D-4FBF-44BB-AB73-D77E890A960E}"/>
    <cellStyle name="Normal 10 2 3 2 2 2 3 2 3 2 2" xfId="9413" xr:uid="{A5FE97CC-5695-451B-9656-69D192042C1D}"/>
    <cellStyle name="Normal 10 2 3 2 2 2 3 2 3 3" xfId="9414" xr:uid="{5F16F9E1-8409-49B9-8D07-5D66AE78636A}"/>
    <cellStyle name="Normal 10 2 3 2 2 2 3 2 4" xfId="9415" xr:uid="{8681DBF3-554D-4544-89C9-C7AE9C027EC9}"/>
    <cellStyle name="Normal 10 2 3 2 2 2 3 2 4 2" xfId="9416" xr:uid="{0EA86C36-A234-48E2-A8A2-4198032ABE90}"/>
    <cellStyle name="Normal 10 2 3 2 2 2 3 2 5" xfId="9417" xr:uid="{1509B954-87CD-4B2E-A34B-E7CC0CD652CA}"/>
    <cellStyle name="Normal 10 2 3 2 2 2 3 3" xfId="9418" xr:uid="{0D7554BA-AD1B-46CC-9158-8A3908B75FA7}"/>
    <cellStyle name="Normal 10 2 3 2 2 2 3 3 2" xfId="9419" xr:uid="{E99B5E0A-25A6-4C43-86FE-43D15363D535}"/>
    <cellStyle name="Normal 10 2 3 2 2 2 3 3 2 2" xfId="9420" xr:uid="{770F1E4E-063F-496D-8799-E45138CBCF2C}"/>
    <cellStyle name="Normal 10 2 3 2 2 2 3 3 2 2 2" xfId="9421" xr:uid="{C041C354-B23F-4E99-8E49-A1FB7A6379C3}"/>
    <cellStyle name="Normal 10 2 3 2 2 2 3 3 2 3" xfId="9422" xr:uid="{83950D87-8D97-4E80-8EE5-C62568522E35}"/>
    <cellStyle name="Normal 10 2 3 2 2 2 3 3 3" xfId="9423" xr:uid="{0019F288-0346-45AE-851F-FE1DD845B9EE}"/>
    <cellStyle name="Normal 10 2 3 2 2 2 3 3 3 2" xfId="9424" xr:uid="{D883332D-DAAD-4FCE-A4C4-ED81BB441F9D}"/>
    <cellStyle name="Normal 10 2 3 2 2 2 3 3 4" xfId="9425" xr:uid="{82901358-23B3-4C8C-9AB2-D237786F3A3B}"/>
    <cellStyle name="Normal 10 2 3 2 2 2 3 4" xfId="9426" xr:uid="{5D8003D4-86DF-4ADB-8F2D-A1525F612324}"/>
    <cellStyle name="Normal 10 2 3 2 2 2 3 4 2" xfId="9427" xr:uid="{77C9F0F9-0F49-429D-8F40-75015522C564}"/>
    <cellStyle name="Normal 10 2 3 2 2 2 3 4 2 2" xfId="9428" xr:uid="{9390FE76-3274-42D8-971B-E96F9D6B796B}"/>
    <cellStyle name="Normal 10 2 3 2 2 2 3 4 3" xfId="9429" xr:uid="{F248436C-A478-4F13-B712-DC53709D1B6A}"/>
    <cellStyle name="Normal 10 2 3 2 2 2 3 5" xfId="9430" xr:uid="{88F5942E-315E-4429-BC8C-BE06E7D4AF99}"/>
    <cellStyle name="Normal 10 2 3 2 2 2 3 5 2" xfId="9431" xr:uid="{AE287A55-4B72-4CC5-BB05-9CE855E1B980}"/>
    <cellStyle name="Normal 10 2 3 2 2 2 3 6" xfId="9432" xr:uid="{A2183BD7-445C-40BA-B6D0-6C0627EE29E0}"/>
    <cellStyle name="Normal 10 2 3 2 2 2 4" xfId="9433" xr:uid="{BD4D9B8C-3CED-46F9-BEB4-1E1BF4399E03}"/>
    <cellStyle name="Normal 10 2 3 2 2 2 4 2" xfId="9434" xr:uid="{1FBC1B30-BB2A-4CCE-A167-700F1BF9FE99}"/>
    <cellStyle name="Normal 10 2 3 2 2 2 4 2 2" xfId="9435" xr:uid="{4DB25115-1CC2-4D98-A724-6F7961671B2A}"/>
    <cellStyle name="Normal 10 2 3 2 2 2 4 2 2 2" xfId="9436" xr:uid="{79BA01B3-E167-421D-80F3-85549B7868F7}"/>
    <cellStyle name="Normal 10 2 3 2 2 2 4 2 2 2 2" xfId="9437" xr:uid="{72AA3306-BCD8-415C-83F7-2B0CF6FA620D}"/>
    <cellStyle name="Normal 10 2 3 2 2 2 4 2 2 3" xfId="9438" xr:uid="{058E9A1F-F148-4E34-89C7-4EBEAD5D48CB}"/>
    <cellStyle name="Normal 10 2 3 2 2 2 4 2 3" xfId="9439" xr:uid="{B1A54A7E-6DC8-4398-BA0F-BC24E8F2B363}"/>
    <cellStyle name="Normal 10 2 3 2 2 2 4 2 3 2" xfId="9440" xr:uid="{E1A51488-93EB-401E-B7F3-27242DCB1C71}"/>
    <cellStyle name="Normal 10 2 3 2 2 2 4 2 4" xfId="9441" xr:uid="{9C036AE6-BDE8-4802-A33C-AAB821A48B60}"/>
    <cellStyle name="Normal 10 2 3 2 2 2 4 3" xfId="9442" xr:uid="{B18B4DE7-A5D9-4E08-BDCA-CCB816812118}"/>
    <cellStyle name="Normal 10 2 3 2 2 2 4 3 2" xfId="9443" xr:uid="{6E2AE8BC-BFC2-4675-9404-17AC49ECC9B2}"/>
    <cellStyle name="Normal 10 2 3 2 2 2 4 3 2 2" xfId="9444" xr:uid="{5DC219D1-D685-47C4-851F-803FA9BC2B69}"/>
    <cellStyle name="Normal 10 2 3 2 2 2 4 3 3" xfId="9445" xr:uid="{6ED11556-893A-48FF-ADF4-47888CE21625}"/>
    <cellStyle name="Normal 10 2 3 2 2 2 4 4" xfId="9446" xr:uid="{D0B806CE-07AE-4A3C-AF48-22B34BB343EB}"/>
    <cellStyle name="Normal 10 2 3 2 2 2 4 4 2" xfId="9447" xr:uid="{4D0D17A3-82EF-4D14-A05F-44365CF6F9D9}"/>
    <cellStyle name="Normal 10 2 3 2 2 2 4 5" xfId="9448" xr:uid="{CE58F949-21A2-429E-91FF-189810B2274D}"/>
    <cellStyle name="Normal 10 2 3 2 2 2 5" xfId="9449" xr:uid="{9E20C86B-385C-452D-AFE4-EE52B37454C6}"/>
    <cellStyle name="Normal 10 2 3 2 2 2 5 2" xfId="9450" xr:uid="{251BC12C-DEBD-40FC-B10B-85C8DDEA13C8}"/>
    <cellStyle name="Normal 10 2 3 2 2 2 5 2 2" xfId="9451" xr:uid="{29D81432-BCA8-485D-8BCE-8D940F6EFAAC}"/>
    <cellStyle name="Normal 10 2 3 2 2 2 5 2 2 2" xfId="9452" xr:uid="{1D65FD83-0027-4602-9C01-1E878009A022}"/>
    <cellStyle name="Normal 10 2 3 2 2 2 5 2 3" xfId="9453" xr:uid="{52BB2FA1-3780-4B23-B019-3837C3939EAA}"/>
    <cellStyle name="Normal 10 2 3 2 2 2 5 3" xfId="9454" xr:uid="{B95DFFB2-91DD-4D90-BCB2-A839325CA2A4}"/>
    <cellStyle name="Normal 10 2 3 2 2 2 5 3 2" xfId="9455" xr:uid="{BE7214BC-3BB7-4740-A286-C861CFF53741}"/>
    <cellStyle name="Normal 10 2 3 2 2 2 5 4" xfId="9456" xr:uid="{B5D10CFF-7DA0-448D-9C63-070DD1BD774C}"/>
    <cellStyle name="Normal 10 2 3 2 2 2 6" xfId="9457" xr:uid="{88A067D9-134D-448B-BA42-5577EE8B944C}"/>
    <cellStyle name="Normal 10 2 3 2 2 2 6 2" xfId="9458" xr:uid="{29A597FC-4A3B-4289-B6D6-BC590E3145B0}"/>
    <cellStyle name="Normal 10 2 3 2 2 2 6 2 2" xfId="9459" xr:uid="{F0BFE2E5-5554-4756-996D-B9FE1ABFA170}"/>
    <cellStyle name="Normal 10 2 3 2 2 2 6 3" xfId="9460" xr:uid="{BB1506A7-E1DE-4874-B4D3-F379496CE573}"/>
    <cellStyle name="Normal 10 2 3 2 2 2 7" xfId="9461" xr:uid="{A4108C8D-726C-45FE-B012-F3650689FF71}"/>
    <cellStyle name="Normal 10 2 3 2 2 2 7 2" xfId="9462" xr:uid="{86C3A361-B29D-4320-90B6-C12E931F4EF9}"/>
    <cellStyle name="Normal 10 2 3 2 2 2 8" xfId="9463" xr:uid="{85772D6F-F845-40FE-A461-1DB88EF892BD}"/>
    <cellStyle name="Normal 10 2 3 2 2 3" xfId="9464" xr:uid="{CD70E83B-9F8E-4674-BD54-1645CCCACF72}"/>
    <cellStyle name="Normal 10 2 3 2 2 3 2" xfId="9465" xr:uid="{DFE27F8F-6835-47AC-9BE3-11BBE3DBC2CA}"/>
    <cellStyle name="Normal 10 2 3 2 2 3 2 2" xfId="9466" xr:uid="{96D1EF00-59F8-4ED2-BD84-1067C77196CC}"/>
    <cellStyle name="Normal 10 2 3 2 2 3 2 2 2" xfId="9467" xr:uid="{6389B304-6792-4A00-9BCB-F3969563F0AC}"/>
    <cellStyle name="Normal 10 2 3 2 2 3 2 2 2 2" xfId="9468" xr:uid="{311684A6-3705-4E45-9A54-D613C3E14D7A}"/>
    <cellStyle name="Normal 10 2 3 2 2 3 2 2 2 2 2" xfId="9469" xr:uid="{31DC21CF-FDA3-49CD-8062-316D0156536A}"/>
    <cellStyle name="Normal 10 2 3 2 2 3 2 2 2 2 2 2" xfId="9470" xr:uid="{989ECDAC-F27C-418A-80EE-3283E83DC222}"/>
    <cellStyle name="Normal 10 2 3 2 2 3 2 2 2 2 3" xfId="9471" xr:uid="{7DBF4FD0-C14A-4A48-8B86-646553425A96}"/>
    <cellStyle name="Normal 10 2 3 2 2 3 2 2 2 3" xfId="9472" xr:uid="{B0088E9D-26E1-4928-BA1F-38EFAB0AC9E1}"/>
    <cellStyle name="Normal 10 2 3 2 2 3 2 2 2 3 2" xfId="9473" xr:uid="{F72DA66C-50E1-4909-A479-EDC06D1225B5}"/>
    <cellStyle name="Normal 10 2 3 2 2 3 2 2 2 4" xfId="9474" xr:uid="{7650CFA5-711E-4D37-A6BE-ACBB2C4F9799}"/>
    <cellStyle name="Normal 10 2 3 2 2 3 2 2 3" xfId="9475" xr:uid="{698A3A29-F2A1-44C0-8A99-28618CC279E9}"/>
    <cellStyle name="Normal 10 2 3 2 2 3 2 2 3 2" xfId="9476" xr:uid="{662E48BC-8F4C-4BCA-A3CB-65044A5F4CDA}"/>
    <cellStyle name="Normal 10 2 3 2 2 3 2 2 3 2 2" xfId="9477" xr:uid="{147AA3B1-52F5-4958-882A-669AB6EA1119}"/>
    <cellStyle name="Normal 10 2 3 2 2 3 2 2 3 3" xfId="9478" xr:uid="{8AB00CDF-AD02-4D3F-8149-3946661D1FC0}"/>
    <cellStyle name="Normal 10 2 3 2 2 3 2 2 4" xfId="9479" xr:uid="{8A342AEF-2465-4413-B7DA-02A2AF0FECCE}"/>
    <cellStyle name="Normal 10 2 3 2 2 3 2 2 4 2" xfId="9480" xr:uid="{24536415-74A6-40E6-BCC8-8F12C784DABF}"/>
    <cellStyle name="Normal 10 2 3 2 2 3 2 2 5" xfId="9481" xr:uid="{7522EE8A-635E-4FC9-87B5-14D1B1EB31C9}"/>
    <cellStyle name="Normal 10 2 3 2 2 3 2 3" xfId="9482" xr:uid="{DDB875FF-A563-47B5-9253-DCAA745B9454}"/>
    <cellStyle name="Normal 10 2 3 2 2 3 2 3 2" xfId="9483" xr:uid="{031BF91A-0DF8-400F-BF74-360283C3C0C2}"/>
    <cellStyle name="Normal 10 2 3 2 2 3 2 3 2 2" xfId="9484" xr:uid="{8B17B8A0-A17B-4D13-99D9-86B33FD2FD85}"/>
    <cellStyle name="Normal 10 2 3 2 2 3 2 3 2 2 2" xfId="9485" xr:uid="{A2AF23AC-BB1E-45B3-9457-A26BC241E213}"/>
    <cellStyle name="Normal 10 2 3 2 2 3 2 3 2 3" xfId="9486" xr:uid="{F38C6EEC-2AE6-463E-887F-6999BF6F4312}"/>
    <cellStyle name="Normal 10 2 3 2 2 3 2 3 3" xfId="9487" xr:uid="{A8CB1EFC-7F9B-4662-B37A-B3EA5941E869}"/>
    <cellStyle name="Normal 10 2 3 2 2 3 2 3 3 2" xfId="9488" xr:uid="{91A9CC5D-CA25-4A88-B24B-5D76F235104A}"/>
    <cellStyle name="Normal 10 2 3 2 2 3 2 3 4" xfId="9489" xr:uid="{D1FEB588-52FB-4A87-9AA0-8C6604E6A094}"/>
    <cellStyle name="Normal 10 2 3 2 2 3 2 4" xfId="9490" xr:uid="{7CA9E914-4D66-4974-84DE-00476FAA1745}"/>
    <cellStyle name="Normal 10 2 3 2 2 3 2 4 2" xfId="9491" xr:uid="{36E9643A-AEEE-4F05-BB39-248742CD71D7}"/>
    <cellStyle name="Normal 10 2 3 2 2 3 2 4 2 2" xfId="9492" xr:uid="{E4B8D817-CD62-4356-BDEB-096F951E7099}"/>
    <cellStyle name="Normal 10 2 3 2 2 3 2 4 3" xfId="9493" xr:uid="{690C7AB3-7639-424D-9F54-A0147E0479EA}"/>
    <cellStyle name="Normal 10 2 3 2 2 3 2 5" xfId="9494" xr:uid="{7CD3140F-92F9-40F0-B854-0FB93E368A7E}"/>
    <cellStyle name="Normal 10 2 3 2 2 3 2 5 2" xfId="9495" xr:uid="{FF48DBA7-00E3-4D36-93D5-976042032331}"/>
    <cellStyle name="Normal 10 2 3 2 2 3 2 6" xfId="9496" xr:uid="{DE19C067-D8D9-461B-86FB-8F5B16D703B6}"/>
    <cellStyle name="Normal 10 2 3 2 2 3 3" xfId="9497" xr:uid="{22DDE911-F041-4ADF-8FAA-30CA43DC790E}"/>
    <cellStyle name="Normal 10 2 3 2 2 3 3 2" xfId="9498" xr:uid="{D537912D-382D-43DE-B9CE-B1214DB3A702}"/>
    <cellStyle name="Normal 10 2 3 2 2 3 3 2 2" xfId="9499" xr:uid="{77CE0C3A-B222-44DF-852B-C82A81F9B178}"/>
    <cellStyle name="Normal 10 2 3 2 2 3 3 2 2 2" xfId="9500" xr:uid="{4F7C50DF-EBE9-4B4D-B10D-47B38F96C532}"/>
    <cellStyle name="Normal 10 2 3 2 2 3 3 2 2 2 2" xfId="9501" xr:uid="{FD317E9D-2602-427C-9114-53E35946C8A3}"/>
    <cellStyle name="Normal 10 2 3 2 2 3 3 2 2 3" xfId="9502" xr:uid="{0AC05F00-7B13-4E4B-8F18-0FCF29906E3C}"/>
    <cellStyle name="Normal 10 2 3 2 2 3 3 2 3" xfId="9503" xr:uid="{22AE0949-C546-4422-BF9A-71342F4C22E3}"/>
    <cellStyle name="Normal 10 2 3 2 2 3 3 2 3 2" xfId="9504" xr:uid="{3BB587FB-3447-4DAA-AB99-3D1CAE8B6DB9}"/>
    <cellStyle name="Normal 10 2 3 2 2 3 3 2 4" xfId="9505" xr:uid="{43EFAFFB-50F5-4586-8BE3-A1750F7185C9}"/>
    <cellStyle name="Normal 10 2 3 2 2 3 3 3" xfId="9506" xr:uid="{E58B4C6B-9178-4723-B809-D1833CDFFA35}"/>
    <cellStyle name="Normal 10 2 3 2 2 3 3 3 2" xfId="9507" xr:uid="{F26FAAA6-F095-44C7-80BA-FDF88030751C}"/>
    <cellStyle name="Normal 10 2 3 2 2 3 3 3 2 2" xfId="9508" xr:uid="{B5E0FE23-06B0-403C-91A0-C6454A3352CE}"/>
    <cellStyle name="Normal 10 2 3 2 2 3 3 3 3" xfId="9509" xr:uid="{46DA682C-11E8-43CE-8EED-62E6CE11B003}"/>
    <cellStyle name="Normal 10 2 3 2 2 3 3 4" xfId="9510" xr:uid="{D91000F2-A97D-433F-A2B6-871CAFA09A46}"/>
    <cellStyle name="Normal 10 2 3 2 2 3 3 4 2" xfId="9511" xr:uid="{7304BABF-7188-4B4C-862E-26640310723E}"/>
    <cellStyle name="Normal 10 2 3 2 2 3 3 5" xfId="9512" xr:uid="{8E6FCC35-4FEF-4364-9992-AF9703B0398F}"/>
    <cellStyle name="Normal 10 2 3 2 2 3 4" xfId="9513" xr:uid="{C47DBC7B-DFC7-41BD-9284-7BA38021045C}"/>
    <cellStyle name="Normal 10 2 3 2 2 3 4 2" xfId="9514" xr:uid="{60532482-FC37-4020-BBD4-8F235D81C4B6}"/>
    <cellStyle name="Normal 10 2 3 2 2 3 4 2 2" xfId="9515" xr:uid="{28A1BDDA-4B6B-4219-9D35-ACB13F310EE0}"/>
    <cellStyle name="Normal 10 2 3 2 2 3 4 2 2 2" xfId="9516" xr:uid="{3D125EF6-B1DC-4C87-A693-AA8EB8B4C0E2}"/>
    <cellStyle name="Normal 10 2 3 2 2 3 4 2 3" xfId="9517" xr:uid="{76FD5576-4286-41FD-97C0-27DB53825C61}"/>
    <cellStyle name="Normal 10 2 3 2 2 3 4 3" xfId="9518" xr:uid="{C370DD2D-BCF8-4968-8B9D-70735B725612}"/>
    <cellStyle name="Normal 10 2 3 2 2 3 4 3 2" xfId="9519" xr:uid="{D1FDFC5E-5EE3-4DB7-A974-47F516E8E25D}"/>
    <cellStyle name="Normal 10 2 3 2 2 3 4 4" xfId="9520" xr:uid="{447278C4-507E-416E-A9EB-8AE716733344}"/>
    <cellStyle name="Normal 10 2 3 2 2 3 5" xfId="9521" xr:uid="{47180ACE-AF19-4EF7-BB91-62F930DC4CF7}"/>
    <cellStyle name="Normal 10 2 3 2 2 3 5 2" xfId="9522" xr:uid="{2A7F933F-FC73-4FAB-ACDC-51E676DAAD2E}"/>
    <cellStyle name="Normal 10 2 3 2 2 3 5 2 2" xfId="9523" xr:uid="{0EDADCAB-7609-496C-9E05-E15CCF31D5DE}"/>
    <cellStyle name="Normal 10 2 3 2 2 3 5 3" xfId="9524" xr:uid="{6A0D324F-05F1-4229-8674-A016175F011E}"/>
    <cellStyle name="Normal 10 2 3 2 2 3 6" xfId="9525" xr:uid="{EFC757A7-ABC3-4C5C-8901-F58780D961E7}"/>
    <cellStyle name="Normal 10 2 3 2 2 3 6 2" xfId="9526" xr:uid="{56AC0ACF-4444-499D-9EB1-F8696643204C}"/>
    <cellStyle name="Normal 10 2 3 2 2 3 7" xfId="9527" xr:uid="{8DA79C5C-FF0C-4701-B5E2-491267B5622E}"/>
    <cellStyle name="Normal 10 2 3 2 2 4" xfId="9528" xr:uid="{5310CA54-93EF-4D9B-A21E-81928190BEA7}"/>
    <cellStyle name="Normal 10 2 3 2 2 4 2" xfId="9529" xr:uid="{FC1F4967-30FF-4AB1-BB2B-B86C64B768B3}"/>
    <cellStyle name="Normal 10 2 3 2 2 4 2 2" xfId="9530" xr:uid="{A49F9584-4C44-4F65-B787-3F3A9213F24D}"/>
    <cellStyle name="Normal 10 2 3 2 2 4 2 2 2" xfId="9531" xr:uid="{BDE2758E-946F-487C-A3A1-1A0D1DD73FF7}"/>
    <cellStyle name="Normal 10 2 3 2 2 4 2 2 2 2" xfId="9532" xr:uid="{8851AABD-CC05-4BB2-B6A6-358FEEDA3761}"/>
    <cellStyle name="Normal 10 2 3 2 2 4 2 2 2 2 2" xfId="9533" xr:uid="{5B5A18DB-C8EC-4EC0-8480-567FF1EAEB43}"/>
    <cellStyle name="Normal 10 2 3 2 2 4 2 2 2 3" xfId="9534" xr:uid="{23C6CD94-7B6A-44AE-85CF-9DE478164C24}"/>
    <cellStyle name="Normal 10 2 3 2 2 4 2 2 3" xfId="9535" xr:uid="{AFACDF23-910F-4AED-900C-D33942C6F685}"/>
    <cellStyle name="Normal 10 2 3 2 2 4 2 2 3 2" xfId="9536" xr:uid="{0789D437-A69B-41F6-B340-2B524059C725}"/>
    <cellStyle name="Normal 10 2 3 2 2 4 2 2 4" xfId="9537" xr:uid="{9799D2C6-7B85-4C88-8106-82643826E7CD}"/>
    <cellStyle name="Normal 10 2 3 2 2 4 2 3" xfId="9538" xr:uid="{6CBBF0DC-59E1-4967-B1C5-A1B91A462BA3}"/>
    <cellStyle name="Normal 10 2 3 2 2 4 2 3 2" xfId="9539" xr:uid="{EAF7D9F8-F97B-4AEA-ACED-9AD375943411}"/>
    <cellStyle name="Normal 10 2 3 2 2 4 2 3 2 2" xfId="9540" xr:uid="{3CADBCD5-21D1-478A-AF26-4F056C20B5EB}"/>
    <cellStyle name="Normal 10 2 3 2 2 4 2 3 3" xfId="9541" xr:uid="{99AC600B-1816-4EAC-A699-F7BADD0A83DF}"/>
    <cellStyle name="Normal 10 2 3 2 2 4 2 4" xfId="9542" xr:uid="{8D8152CD-9E1D-4260-A350-F31650C552AB}"/>
    <cellStyle name="Normal 10 2 3 2 2 4 2 4 2" xfId="9543" xr:uid="{48B62CE6-C103-4DFE-91F9-ACD8B11BBF81}"/>
    <cellStyle name="Normal 10 2 3 2 2 4 2 5" xfId="9544" xr:uid="{B30DB963-15A1-45E0-926F-0B6126A3457B}"/>
    <cellStyle name="Normal 10 2 3 2 2 4 3" xfId="9545" xr:uid="{93F7E482-3279-444A-8667-501BC2C3B563}"/>
    <cellStyle name="Normal 10 2 3 2 2 4 3 2" xfId="9546" xr:uid="{BBC9E315-7C14-4B77-ACB7-F58530694240}"/>
    <cellStyle name="Normal 10 2 3 2 2 4 3 2 2" xfId="9547" xr:uid="{C01075E5-D210-4B5F-9133-87E408421127}"/>
    <cellStyle name="Normal 10 2 3 2 2 4 3 2 2 2" xfId="9548" xr:uid="{6CFA60D1-ED35-4F4C-BB15-64F2672F29D2}"/>
    <cellStyle name="Normal 10 2 3 2 2 4 3 2 3" xfId="9549" xr:uid="{E638B164-2A68-4065-A95E-398BEB2541DC}"/>
    <cellStyle name="Normal 10 2 3 2 2 4 3 3" xfId="9550" xr:uid="{DF683277-3CDF-4743-B5BF-8F725E4C2F8B}"/>
    <cellStyle name="Normal 10 2 3 2 2 4 3 3 2" xfId="9551" xr:uid="{F4C5D911-D36E-425B-9833-AFABEF7E5508}"/>
    <cellStyle name="Normal 10 2 3 2 2 4 3 4" xfId="9552" xr:uid="{AE59C81D-C0B0-4E69-9E93-488CD5283D37}"/>
    <cellStyle name="Normal 10 2 3 2 2 4 4" xfId="9553" xr:uid="{AEFFFD77-8B65-473B-959D-786F01F9E585}"/>
    <cellStyle name="Normal 10 2 3 2 2 4 4 2" xfId="9554" xr:uid="{5E938BEF-2361-4FA1-9CF0-D32AB112A2DE}"/>
    <cellStyle name="Normal 10 2 3 2 2 4 4 2 2" xfId="9555" xr:uid="{42C06E32-DD5B-4D74-A440-FBB72BE7225A}"/>
    <cellStyle name="Normal 10 2 3 2 2 4 4 3" xfId="9556" xr:uid="{2CB35770-4CDF-4DEF-B592-265855823887}"/>
    <cellStyle name="Normal 10 2 3 2 2 4 5" xfId="9557" xr:uid="{1BC9F308-B35B-47C4-91E2-CC83810AF7A0}"/>
    <cellStyle name="Normal 10 2 3 2 2 4 5 2" xfId="9558" xr:uid="{C5B36CFF-72EA-41C3-A00D-BD516CC058E4}"/>
    <cellStyle name="Normal 10 2 3 2 2 4 6" xfId="9559" xr:uid="{EC2D7739-487C-49ED-8528-BE55C66C98D9}"/>
    <cellStyle name="Normal 10 2 3 2 2 5" xfId="9560" xr:uid="{E56DBD36-F658-4959-8F78-B634BDA4431F}"/>
    <cellStyle name="Normal 10 2 3 2 2 5 2" xfId="9561" xr:uid="{CEBFD009-3AE6-40FD-9BA3-B6D60A748516}"/>
    <cellStyle name="Normal 10 2 3 2 2 5 2 2" xfId="9562" xr:uid="{32802787-C986-4F83-8614-53330AFC3D2B}"/>
    <cellStyle name="Normal 10 2 3 2 2 5 2 2 2" xfId="9563" xr:uid="{EF7CEC75-AD73-450A-BAF9-47FA0D4FA846}"/>
    <cellStyle name="Normal 10 2 3 2 2 5 2 2 2 2" xfId="9564" xr:uid="{D822A9ED-2A60-4E32-A320-DE8EF5EBCCEC}"/>
    <cellStyle name="Normal 10 2 3 2 2 5 2 2 3" xfId="9565" xr:uid="{1CBD215B-71F9-431C-A6A9-7B89E562118A}"/>
    <cellStyle name="Normal 10 2 3 2 2 5 2 3" xfId="9566" xr:uid="{F87AA412-597A-4247-AB19-C354F3890D82}"/>
    <cellStyle name="Normal 10 2 3 2 2 5 2 3 2" xfId="9567" xr:uid="{4BEFF361-D1E2-4B53-BE0F-56FA21DC5625}"/>
    <cellStyle name="Normal 10 2 3 2 2 5 2 4" xfId="9568" xr:uid="{DCEEF693-CD3C-422B-9BFB-A7125F4AFFE0}"/>
    <cellStyle name="Normal 10 2 3 2 2 5 3" xfId="9569" xr:uid="{7847E673-C513-4379-8A52-20EBBA62CC3D}"/>
    <cellStyle name="Normal 10 2 3 2 2 5 3 2" xfId="9570" xr:uid="{6E256DE8-53DA-4BCC-9E8C-1809C3EF1D4B}"/>
    <cellStyle name="Normal 10 2 3 2 2 5 3 2 2" xfId="9571" xr:uid="{C5E3C92C-8FA1-4BC0-A3A9-37E81E6A73B4}"/>
    <cellStyle name="Normal 10 2 3 2 2 5 3 3" xfId="9572" xr:uid="{78AF8116-C0E3-4665-8F90-002193DF66A5}"/>
    <cellStyle name="Normal 10 2 3 2 2 5 4" xfId="9573" xr:uid="{2F5E2927-4E1A-4989-ADFB-97D5DF4AB81B}"/>
    <cellStyle name="Normal 10 2 3 2 2 5 4 2" xfId="9574" xr:uid="{76D9782A-6F87-4012-B18B-E886A44A6ADB}"/>
    <cellStyle name="Normal 10 2 3 2 2 5 5" xfId="9575" xr:uid="{7EA15394-B467-4E49-A8CF-6A884BD45B36}"/>
    <cellStyle name="Normal 10 2 3 2 2 6" xfId="9576" xr:uid="{A42E4220-D516-48E0-94D5-950A39124CAF}"/>
    <cellStyle name="Normal 10 2 3 2 2 6 2" xfId="9577" xr:uid="{88D2D27A-D190-4339-8782-51CC24F42AB8}"/>
    <cellStyle name="Normal 10 2 3 2 2 6 2 2" xfId="9578" xr:uid="{0E1B169E-1120-4BA4-AD58-E2F172DB50C2}"/>
    <cellStyle name="Normal 10 2 3 2 2 6 2 2 2" xfId="9579" xr:uid="{6A81BB8D-F12F-45D7-B800-DCAC809A5941}"/>
    <cellStyle name="Normal 10 2 3 2 2 6 2 3" xfId="9580" xr:uid="{55664A98-941A-4A84-8291-861E7BD13E25}"/>
    <cellStyle name="Normal 10 2 3 2 2 6 3" xfId="9581" xr:uid="{4F6F783B-93BD-4B9B-A137-FA02111B4B5B}"/>
    <cellStyle name="Normal 10 2 3 2 2 6 3 2" xfId="9582" xr:uid="{B3EC2CBE-A44B-4CC3-9992-A07A6E405CC0}"/>
    <cellStyle name="Normal 10 2 3 2 2 6 4" xfId="9583" xr:uid="{4CF86C71-5A39-46BB-8423-910BB0BA24D5}"/>
    <cellStyle name="Normal 10 2 3 2 2 7" xfId="9584" xr:uid="{6AF22FAC-A743-419A-88F1-9FD90857E387}"/>
    <cellStyle name="Normal 10 2 3 2 2 7 2" xfId="9585" xr:uid="{8C02494A-22F4-465B-835F-441064C2CA95}"/>
    <cellStyle name="Normal 10 2 3 2 2 7 2 2" xfId="9586" xr:uid="{070035E1-3DEB-49B8-B956-B7EC58B1472B}"/>
    <cellStyle name="Normal 10 2 3 2 2 7 3" xfId="9587" xr:uid="{EEED70A0-12F1-4EB5-9673-C249021B8F54}"/>
    <cellStyle name="Normal 10 2 3 2 2 8" xfId="9588" xr:uid="{1FBB0D54-3842-4B8B-AA0C-EFE033360D72}"/>
    <cellStyle name="Normal 10 2 3 2 2 8 2" xfId="9589" xr:uid="{12631A93-D804-409F-9F65-31F961C9BC54}"/>
    <cellStyle name="Normal 10 2 3 2 2 9" xfId="9590" xr:uid="{4A084E84-D0B6-42E7-BA61-25E08006BD27}"/>
    <cellStyle name="Normal 10 2 3 2 3" xfId="461" xr:uid="{95A3D33D-224C-4001-B072-700275F7C2FF}"/>
    <cellStyle name="Normal 10 2 3 2 3 2" xfId="9592" xr:uid="{5F50B177-30C4-4EA2-8338-1A128093FEA9}"/>
    <cellStyle name="Normal 10 2 3 2 3 2 2" xfId="9593" xr:uid="{E00DF191-016E-42B1-BC2A-FE364AE418B8}"/>
    <cellStyle name="Normal 10 2 3 2 3 2 2 2" xfId="9594" xr:uid="{6D36505F-9046-4796-89A7-F7ECBDC83348}"/>
    <cellStyle name="Normal 10 2 3 2 3 2 2 2 2" xfId="9595" xr:uid="{C6E779B5-06B5-4575-8B60-D877F8329338}"/>
    <cellStyle name="Normal 10 2 3 2 3 2 2 2 2 2" xfId="9596" xr:uid="{DBAD70A5-17D2-4C40-A1B1-E624AB979FF7}"/>
    <cellStyle name="Normal 10 2 3 2 3 2 2 2 2 2 2" xfId="9597" xr:uid="{506E1374-8C44-4B05-AA56-F1848A4D390A}"/>
    <cellStyle name="Normal 10 2 3 2 3 2 2 2 2 2 2 2" xfId="9598" xr:uid="{CD11CC0E-3319-4E15-9D7F-FB945D0434F6}"/>
    <cellStyle name="Normal 10 2 3 2 3 2 2 2 2 2 3" xfId="9599" xr:uid="{FFE46C5C-A7D3-4DBF-86A2-BD30E901F77B}"/>
    <cellStyle name="Normal 10 2 3 2 3 2 2 2 2 3" xfId="9600" xr:uid="{1081857C-8B55-4D5E-B991-CFDCCF165985}"/>
    <cellStyle name="Normal 10 2 3 2 3 2 2 2 2 3 2" xfId="9601" xr:uid="{7CE7E0FB-A9D6-408F-BE6A-03E4A859E21F}"/>
    <cellStyle name="Normal 10 2 3 2 3 2 2 2 2 4" xfId="9602" xr:uid="{05543AFB-84E9-4563-A6E3-F2B4F07DE522}"/>
    <cellStyle name="Normal 10 2 3 2 3 2 2 2 3" xfId="9603" xr:uid="{7E3EDFE8-6A44-482B-919B-05466AA13B4E}"/>
    <cellStyle name="Normal 10 2 3 2 3 2 2 2 3 2" xfId="9604" xr:uid="{6B7DD133-C245-4D40-A65B-A2383EAB9F68}"/>
    <cellStyle name="Normal 10 2 3 2 3 2 2 2 3 2 2" xfId="9605" xr:uid="{9A17E45A-B0D3-4830-8456-7E0F46529926}"/>
    <cellStyle name="Normal 10 2 3 2 3 2 2 2 3 3" xfId="9606" xr:uid="{AC066CC9-42C3-4AC7-B316-50F97A6EA4BD}"/>
    <cellStyle name="Normal 10 2 3 2 3 2 2 2 4" xfId="9607" xr:uid="{8D86B4A5-8318-4CD2-A1BF-79C0CE6779D4}"/>
    <cellStyle name="Normal 10 2 3 2 3 2 2 2 4 2" xfId="9608" xr:uid="{E861608D-E1B1-42FC-87FA-05322C25D229}"/>
    <cellStyle name="Normal 10 2 3 2 3 2 2 2 5" xfId="9609" xr:uid="{9B74FC90-A7A3-4B93-84B5-E8C5BBF5C499}"/>
    <cellStyle name="Normal 10 2 3 2 3 2 2 3" xfId="9610" xr:uid="{B24632F8-435D-422B-ACCC-D06748938515}"/>
    <cellStyle name="Normal 10 2 3 2 3 2 2 3 2" xfId="9611" xr:uid="{E569D3EC-DE79-4456-94D1-FE2002461D07}"/>
    <cellStyle name="Normal 10 2 3 2 3 2 2 3 2 2" xfId="9612" xr:uid="{2DC6FA8D-55BC-44CC-9850-2C63C1207C5D}"/>
    <cellStyle name="Normal 10 2 3 2 3 2 2 3 2 2 2" xfId="9613" xr:uid="{610492C2-3934-4C3F-9F5C-F79C2E025CD3}"/>
    <cellStyle name="Normal 10 2 3 2 3 2 2 3 2 3" xfId="9614" xr:uid="{9643AE4A-2EE3-4190-A218-B078EA9E2538}"/>
    <cellStyle name="Normal 10 2 3 2 3 2 2 3 3" xfId="9615" xr:uid="{EDFB22A4-A54A-45ED-8DA2-6F0CD5236192}"/>
    <cellStyle name="Normal 10 2 3 2 3 2 2 3 3 2" xfId="9616" xr:uid="{40871B89-87C8-4CC4-86F8-B04149D95C92}"/>
    <cellStyle name="Normal 10 2 3 2 3 2 2 3 4" xfId="9617" xr:uid="{2A1F575D-EE75-4351-94BB-D7F96D8ABD43}"/>
    <cellStyle name="Normal 10 2 3 2 3 2 2 4" xfId="9618" xr:uid="{490F87A2-8698-4CA3-B810-01CFF22B59EE}"/>
    <cellStyle name="Normal 10 2 3 2 3 2 2 4 2" xfId="9619" xr:uid="{7F28F7DF-74EC-4ED7-8794-FDFB7D1A988E}"/>
    <cellStyle name="Normal 10 2 3 2 3 2 2 4 2 2" xfId="9620" xr:uid="{E1F47F6F-5B1F-40DB-9DBF-F91D6C3C6A0F}"/>
    <cellStyle name="Normal 10 2 3 2 3 2 2 4 3" xfId="9621" xr:uid="{1BA31194-ABB6-4CD9-A5CF-A59ED7DB4D45}"/>
    <cellStyle name="Normal 10 2 3 2 3 2 2 5" xfId="9622" xr:uid="{E0496CA6-DC36-4E3E-8545-A6ECED353A25}"/>
    <cellStyle name="Normal 10 2 3 2 3 2 2 5 2" xfId="9623" xr:uid="{2186C19C-58E4-40DF-A365-489FD6ED5C04}"/>
    <cellStyle name="Normal 10 2 3 2 3 2 2 6" xfId="9624" xr:uid="{2A5A3717-8F96-460E-B19F-5B3C03796C13}"/>
    <cellStyle name="Normal 10 2 3 2 3 2 3" xfId="9625" xr:uid="{FDA05463-D9BA-491A-81A9-990D4D1804E5}"/>
    <cellStyle name="Normal 10 2 3 2 3 2 3 2" xfId="9626" xr:uid="{E95DA51E-B879-47C8-9BDC-D27033232FA8}"/>
    <cellStyle name="Normal 10 2 3 2 3 2 3 2 2" xfId="9627" xr:uid="{CF05CDEC-5913-4F2F-A0A3-B90D7A732A9E}"/>
    <cellStyle name="Normal 10 2 3 2 3 2 3 2 2 2" xfId="9628" xr:uid="{CDD0C3DD-25F6-41CE-AEE3-592138281312}"/>
    <cellStyle name="Normal 10 2 3 2 3 2 3 2 2 2 2" xfId="9629" xr:uid="{0D5A9BAA-E565-44AD-AB57-F438F77CC7E8}"/>
    <cellStyle name="Normal 10 2 3 2 3 2 3 2 2 3" xfId="9630" xr:uid="{BED72B78-F5A0-4436-B61A-6052D3672795}"/>
    <cellStyle name="Normal 10 2 3 2 3 2 3 2 3" xfId="9631" xr:uid="{8F4C33D2-6664-4405-9B3D-84115D4E3AAE}"/>
    <cellStyle name="Normal 10 2 3 2 3 2 3 2 3 2" xfId="9632" xr:uid="{427A51DE-EEEE-456B-B7C9-688FBB6C7CC9}"/>
    <cellStyle name="Normal 10 2 3 2 3 2 3 2 4" xfId="9633" xr:uid="{15980E03-FD3D-492A-84EC-1C668B3B1001}"/>
    <cellStyle name="Normal 10 2 3 2 3 2 3 3" xfId="9634" xr:uid="{54B815A9-FC32-4166-8EE3-58E598C09353}"/>
    <cellStyle name="Normal 10 2 3 2 3 2 3 3 2" xfId="9635" xr:uid="{F6550398-0841-4E9E-9245-F8364508AFB4}"/>
    <cellStyle name="Normal 10 2 3 2 3 2 3 3 2 2" xfId="9636" xr:uid="{4BB2065E-139B-4574-A599-224AD92AA0BD}"/>
    <cellStyle name="Normal 10 2 3 2 3 2 3 3 3" xfId="9637" xr:uid="{43525209-4A10-4123-B8C5-68CD65B1E326}"/>
    <cellStyle name="Normal 10 2 3 2 3 2 3 4" xfId="9638" xr:uid="{41B02129-25F0-4A2E-BFCA-7AEC865D0840}"/>
    <cellStyle name="Normal 10 2 3 2 3 2 3 4 2" xfId="9639" xr:uid="{E53E1344-8D85-4460-A982-074E95976ABB}"/>
    <cellStyle name="Normal 10 2 3 2 3 2 3 5" xfId="9640" xr:uid="{1BA29CD8-1DA6-4B0D-980A-B71F2F1DF363}"/>
    <cellStyle name="Normal 10 2 3 2 3 2 4" xfId="9641" xr:uid="{8F52413F-77A5-4D4B-AC31-ADBB326DF050}"/>
    <cellStyle name="Normal 10 2 3 2 3 2 4 2" xfId="9642" xr:uid="{B72D3043-DE53-4F9A-8185-8BEE7887F24C}"/>
    <cellStyle name="Normal 10 2 3 2 3 2 4 2 2" xfId="9643" xr:uid="{D7604E94-E8B0-467F-B686-6C4BF2FFA9FF}"/>
    <cellStyle name="Normal 10 2 3 2 3 2 4 2 2 2" xfId="9644" xr:uid="{A5AF6E60-ECFE-4BBC-AE7E-486F4890AAE5}"/>
    <cellStyle name="Normal 10 2 3 2 3 2 4 2 3" xfId="9645" xr:uid="{6703FA52-6710-4D45-9BB0-FACC432F372B}"/>
    <cellStyle name="Normal 10 2 3 2 3 2 4 3" xfId="9646" xr:uid="{8D2EE61E-5935-44B3-B9A0-84E0A0BB4E58}"/>
    <cellStyle name="Normal 10 2 3 2 3 2 4 3 2" xfId="9647" xr:uid="{DED42FF4-B23A-4539-A9D8-3192C3E83FFD}"/>
    <cellStyle name="Normal 10 2 3 2 3 2 4 4" xfId="9648" xr:uid="{2B4FA6DD-1AF9-439D-8708-9A148882E0D7}"/>
    <cellStyle name="Normal 10 2 3 2 3 2 5" xfId="9649" xr:uid="{855E9FD5-2918-49D5-B011-1FDB7045CC93}"/>
    <cellStyle name="Normal 10 2 3 2 3 2 5 2" xfId="9650" xr:uid="{AFAE48F0-ABC3-4C62-B01C-6A5379A12E7A}"/>
    <cellStyle name="Normal 10 2 3 2 3 2 5 2 2" xfId="9651" xr:uid="{0ACA10DE-517D-40BE-919E-15466FFE7BC0}"/>
    <cellStyle name="Normal 10 2 3 2 3 2 5 3" xfId="9652" xr:uid="{4797AAD3-6849-4857-89CF-2775B3303C4D}"/>
    <cellStyle name="Normal 10 2 3 2 3 2 6" xfId="9653" xr:uid="{ADC527D1-0D07-4402-B359-EDB700D6600F}"/>
    <cellStyle name="Normal 10 2 3 2 3 2 6 2" xfId="9654" xr:uid="{BF449289-D16E-4B2A-B89E-5208A13D864E}"/>
    <cellStyle name="Normal 10 2 3 2 3 2 7" xfId="9655" xr:uid="{0999BEF5-012A-493E-9FCE-28D9F4B296EA}"/>
    <cellStyle name="Normal 10 2 3 2 3 3" xfId="9656" xr:uid="{749C8A07-CE67-4AE6-8952-3D98F216C754}"/>
    <cellStyle name="Normal 10 2 3 2 3 3 2" xfId="9657" xr:uid="{D3D8686C-19AA-42B2-9ADA-FB96DCB4DA35}"/>
    <cellStyle name="Normal 10 2 3 2 3 3 2 2" xfId="9658" xr:uid="{3E86761F-1DE6-4368-9E59-9735AA2D8805}"/>
    <cellStyle name="Normal 10 2 3 2 3 3 2 2 2" xfId="9659" xr:uid="{4690F611-0211-41BE-9E43-D3263CA0B629}"/>
    <cellStyle name="Normal 10 2 3 2 3 3 2 2 2 2" xfId="9660" xr:uid="{52DAF022-8DEF-432B-BCD6-1F854B017E10}"/>
    <cellStyle name="Normal 10 2 3 2 3 3 2 2 2 2 2" xfId="9661" xr:uid="{707693DF-777C-4B6B-B22B-D7AA1DD7ABDE}"/>
    <cellStyle name="Normal 10 2 3 2 3 3 2 2 2 3" xfId="9662" xr:uid="{915C4595-83BF-470D-BE28-95E47950C0B2}"/>
    <cellStyle name="Normal 10 2 3 2 3 3 2 2 3" xfId="9663" xr:uid="{BA2A6435-9AF0-4586-890D-9DF5B960B93B}"/>
    <cellStyle name="Normal 10 2 3 2 3 3 2 2 3 2" xfId="9664" xr:uid="{74FC8508-F82F-476E-A18B-BF92AD9B8DBD}"/>
    <cellStyle name="Normal 10 2 3 2 3 3 2 2 4" xfId="9665" xr:uid="{E7079BB3-BA63-457A-969C-2C9A4459B089}"/>
    <cellStyle name="Normal 10 2 3 2 3 3 2 3" xfId="9666" xr:uid="{03EFDF5B-E881-4C1F-A0AA-53BBB06CE265}"/>
    <cellStyle name="Normal 10 2 3 2 3 3 2 3 2" xfId="9667" xr:uid="{5195B9A8-E7F4-4AFE-9201-A750459489EA}"/>
    <cellStyle name="Normal 10 2 3 2 3 3 2 3 2 2" xfId="9668" xr:uid="{B0E7C4C4-BD1E-425A-877A-26A2CDA24673}"/>
    <cellStyle name="Normal 10 2 3 2 3 3 2 3 3" xfId="9669" xr:uid="{7ADBC790-4305-4D1D-824F-D47D4E5B2EE4}"/>
    <cellStyle name="Normal 10 2 3 2 3 3 2 4" xfId="9670" xr:uid="{E5CC92D1-F78C-4BCE-88FC-0050D674413B}"/>
    <cellStyle name="Normal 10 2 3 2 3 3 2 4 2" xfId="9671" xr:uid="{794C4A43-8F54-4CAE-9653-E7814876D026}"/>
    <cellStyle name="Normal 10 2 3 2 3 3 2 5" xfId="9672" xr:uid="{13D04E16-DAD7-47F1-887D-3915C65DC4D1}"/>
    <cellStyle name="Normal 10 2 3 2 3 3 3" xfId="9673" xr:uid="{2D51D8C6-A8DB-4D03-8E5A-BA8F0591B7EC}"/>
    <cellStyle name="Normal 10 2 3 2 3 3 3 2" xfId="9674" xr:uid="{7FB24E8B-6C59-4A04-98F1-421273361871}"/>
    <cellStyle name="Normal 10 2 3 2 3 3 3 2 2" xfId="9675" xr:uid="{F8C8913F-6075-40CE-9E47-60D730178B09}"/>
    <cellStyle name="Normal 10 2 3 2 3 3 3 2 2 2" xfId="9676" xr:uid="{76C3848D-3A8F-426B-B2D7-96E966DDA65A}"/>
    <cellStyle name="Normal 10 2 3 2 3 3 3 2 3" xfId="9677" xr:uid="{43DD6871-CE43-4EF3-89E4-E3F0FDCC501C}"/>
    <cellStyle name="Normal 10 2 3 2 3 3 3 3" xfId="9678" xr:uid="{42624CEE-9003-46D7-B930-AE0F0797E89A}"/>
    <cellStyle name="Normal 10 2 3 2 3 3 3 3 2" xfId="9679" xr:uid="{0EFF6F21-E386-467B-A02B-26FF507FF559}"/>
    <cellStyle name="Normal 10 2 3 2 3 3 3 4" xfId="9680" xr:uid="{85023DFC-7421-42E8-B3C5-9F3CADCE2BA1}"/>
    <cellStyle name="Normal 10 2 3 2 3 3 4" xfId="9681" xr:uid="{8C5346E2-41CD-4C16-AB72-F1AD1155790C}"/>
    <cellStyle name="Normal 10 2 3 2 3 3 4 2" xfId="9682" xr:uid="{598912CE-7075-48E4-886A-EE22C6A05866}"/>
    <cellStyle name="Normal 10 2 3 2 3 3 4 2 2" xfId="9683" xr:uid="{AFF672EF-A7BE-4245-A961-2AC5C957F7CE}"/>
    <cellStyle name="Normal 10 2 3 2 3 3 4 3" xfId="9684" xr:uid="{B4DBCC9D-5DC3-4463-93BA-C40C0D5E54A2}"/>
    <cellStyle name="Normal 10 2 3 2 3 3 5" xfId="9685" xr:uid="{12DDD10B-29D6-4FF4-A7CB-3581984B2708}"/>
    <cellStyle name="Normal 10 2 3 2 3 3 5 2" xfId="9686" xr:uid="{BEB895EC-F976-4488-8072-C79CCB72DF3D}"/>
    <cellStyle name="Normal 10 2 3 2 3 3 6" xfId="9687" xr:uid="{FC71897A-7AD3-42A2-A55B-2430EB751669}"/>
    <cellStyle name="Normal 10 2 3 2 3 4" xfId="9688" xr:uid="{E699AEA6-0FB1-4DCF-A58B-64DC268C579E}"/>
    <cellStyle name="Normal 10 2 3 2 3 4 2" xfId="9689" xr:uid="{0F5C5B0F-8E7B-4A33-B2CE-A09503A3832D}"/>
    <cellStyle name="Normal 10 2 3 2 3 4 2 2" xfId="9690" xr:uid="{4F5DA29B-3EB6-4EAF-B1BD-790682F2D22E}"/>
    <cellStyle name="Normal 10 2 3 2 3 4 2 2 2" xfId="9691" xr:uid="{C288322A-BE59-43C0-AB67-BAB1033BCA21}"/>
    <cellStyle name="Normal 10 2 3 2 3 4 2 2 2 2" xfId="9692" xr:uid="{3EB058BB-004F-4E69-BC66-ECD3F6005484}"/>
    <cellStyle name="Normal 10 2 3 2 3 4 2 2 3" xfId="9693" xr:uid="{24BFA33F-39DE-4C96-AC71-949D04A54145}"/>
    <cellStyle name="Normal 10 2 3 2 3 4 2 3" xfId="9694" xr:uid="{454E6199-4FAF-4FE8-8A2A-2E5E95CAA4E3}"/>
    <cellStyle name="Normal 10 2 3 2 3 4 2 3 2" xfId="9695" xr:uid="{68CB509F-721E-4B8F-8187-EA2CAF42090C}"/>
    <cellStyle name="Normal 10 2 3 2 3 4 2 4" xfId="9696" xr:uid="{F7389AB1-97A8-461E-9846-B855541324DB}"/>
    <cellStyle name="Normal 10 2 3 2 3 4 3" xfId="9697" xr:uid="{E33D844F-B9F4-4624-99E6-677732575550}"/>
    <cellStyle name="Normal 10 2 3 2 3 4 3 2" xfId="9698" xr:uid="{B38A84F7-95A1-41ED-B8FA-613E92F84D98}"/>
    <cellStyle name="Normal 10 2 3 2 3 4 3 2 2" xfId="9699" xr:uid="{FE33E096-8984-439F-9891-96CF9C5E3474}"/>
    <cellStyle name="Normal 10 2 3 2 3 4 3 3" xfId="9700" xr:uid="{D4CCC0D7-12B5-47F0-AB2F-668612F86328}"/>
    <cellStyle name="Normal 10 2 3 2 3 4 4" xfId="9701" xr:uid="{CA7CE7FB-BA0A-4A70-89B8-BC9C2CCED12B}"/>
    <cellStyle name="Normal 10 2 3 2 3 4 4 2" xfId="9702" xr:uid="{91DBF30A-AB41-45F4-94BC-49FD4C4CA796}"/>
    <cellStyle name="Normal 10 2 3 2 3 4 5" xfId="9703" xr:uid="{74ACF6DC-DB5E-4D89-8F54-84AF7BAB60B7}"/>
    <cellStyle name="Normal 10 2 3 2 3 5" xfId="9704" xr:uid="{C3AEA58D-BE04-47B6-8C6B-F356CDD73860}"/>
    <cellStyle name="Normal 10 2 3 2 3 5 2" xfId="9705" xr:uid="{12C1B49C-6D39-4F17-8C5D-0D557F3E5453}"/>
    <cellStyle name="Normal 10 2 3 2 3 5 2 2" xfId="9706" xr:uid="{B9634FEB-A76E-4A9D-ABAA-EFF4614C744C}"/>
    <cellStyle name="Normal 10 2 3 2 3 5 2 2 2" xfId="9707" xr:uid="{A79CECD8-8059-4D25-9C3A-CD330B916844}"/>
    <cellStyle name="Normal 10 2 3 2 3 5 2 3" xfId="9708" xr:uid="{1023B000-AF04-4B1B-8F64-7FE7192A166C}"/>
    <cellStyle name="Normal 10 2 3 2 3 5 3" xfId="9709" xr:uid="{B1A33203-2660-425F-BF68-B4762A8F08ED}"/>
    <cellStyle name="Normal 10 2 3 2 3 5 3 2" xfId="9710" xr:uid="{A3495079-6ADF-469C-B641-4A2CED0B3BD6}"/>
    <cellStyle name="Normal 10 2 3 2 3 5 4" xfId="9711" xr:uid="{21CC07E6-CE0B-4D7F-8234-972758608AAE}"/>
    <cellStyle name="Normal 10 2 3 2 3 6" xfId="9712" xr:uid="{96B3EAEC-FF55-44E0-9DBD-4D437F2429EB}"/>
    <cellStyle name="Normal 10 2 3 2 3 6 2" xfId="9713" xr:uid="{FBE4AD39-CB52-4A8C-AAD8-EA314C5715F3}"/>
    <cellStyle name="Normal 10 2 3 2 3 6 2 2" xfId="9714" xr:uid="{A1F7ED0B-C87A-4D74-94FB-8167C75FA0D8}"/>
    <cellStyle name="Normal 10 2 3 2 3 6 3" xfId="9715" xr:uid="{2165FA24-BF9D-499A-81AF-048CD6F7234F}"/>
    <cellStyle name="Normal 10 2 3 2 3 7" xfId="9716" xr:uid="{C76017E7-00DC-4202-9986-9DF8C67C9095}"/>
    <cellStyle name="Normal 10 2 3 2 3 7 2" xfId="9717" xr:uid="{01FDA405-9CE3-46A5-8327-AC8A25E34F84}"/>
    <cellStyle name="Normal 10 2 3 2 3 8" xfId="9718" xr:uid="{8B955EAD-D274-490E-ABDF-675B95C8B6D7}"/>
    <cellStyle name="Normal 10 2 3 2 3 9" xfId="9591" xr:uid="{958FE4EB-6E85-40B0-AC39-F3807C2F7EA8}"/>
    <cellStyle name="Normal 10 2 3 2 4" xfId="9719" xr:uid="{0DF49CF7-2A7E-43AD-B27B-2601284EC871}"/>
    <cellStyle name="Normal 10 2 3 2 4 2" xfId="9720" xr:uid="{708CA2C1-E36C-47D2-AEF4-82900D20445E}"/>
    <cellStyle name="Normal 10 2 3 2 4 2 2" xfId="9721" xr:uid="{522CF59B-E748-4407-90C2-35817579DDA7}"/>
    <cellStyle name="Normal 10 2 3 2 4 2 2 2" xfId="9722" xr:uid="{0DF63BAE-95A2-4836-A462-585FE379CD17}"/>
    <cellStyle name="Normal 10 2 3 2 4 2 2 2 2" xfId="9723" xr:uid="{6CA1AAC5-8999-4826-BE9A-26FFB479D4A7}"/>
    <cellStyle name="Normal 10 2 3 2 4 2 2 2 2 2" xfId="9724" xr:uid="{DCA35C44-E27B-4975-A54D-4857F89FF061}"/>
    <cellStyle name="Normal 10 2 3 2 4 2 2 2 2 2 2" xfId="9725" xr:uid="{AF90E144-14A3-495D-BA0D-DF7ADECC7FED}"/>
    <cellStyle name="Normal 10 2 3 2 4 2 2 2 2 3" xfId="9726" xr:uid="{9771E06A-BCDD-40DA-8BF6-E2F794A67CCB}"/>
    <cellStyle name="Normal 10 2 3 2 4 2 2 2 3" xfId="9727" xr:uid="{81125131-4C08-4748-A150-D5E35EA9F362}"/>
    <cellStyle name="Normal 10 2 3 2 4 2 2 2 3 2" xfId="9728" xr:uid="{DBD90E9C-BD0D-485E-A39B-2C43A549F361}"/>
    <cellStyle name="Normal 10 2 3 2 4 2 2 2 4" xfId="9729" xr:uid="{C6358712-5E40-4E65-9059-4CCFFEDF4088}"/>
    <cellStyle name="Normal 10 2 3 2 4 2 2 3" xfId="9730" xr:uid="{BF014CB4-2922-4E6B-9755-47396BAC59DC}"/>
    <cellStyle name="Normal 10 2 3 2 4 2 2 3 2" xfId="9731" xr:uid="{FF946C6C-05EE-4406-A994-DF3C66893732}"/>
    <cellStyle name="Normal 10 2 3 2 4 2 2 3 2 2" xfId="9732" xr:uid="{D15F981A-DDA4-44AA-BDBA-8DD3B9FDC8C3}"/>
    <cellStyle name="Normal 10 2 3 2 4 2 2 3 3" xfId="9733" xr:uid="{E821BEB4-E55B-423F-89DF-3D165038F4DC}"/>
    <cellStyle name="Normal 10 2 3 2 4 2 2 4" xfId="9734" xr:uid="{92B5C2B5-0546-46D2-B2C3-A5FD0282AAE6}"/>
    <cellStyle name="Normal 10 2 3 2 4 2 2 4 2" xfId="9735" xr:uid="{CED503EC-5567-4C5E-BD12-3200B708E0AF}"/>
    <cellStyle name="Normal 10 2 3 2 4 2 2 5" xfId="9736" xr:uid="{6DC39369-0766-43A0-BB0E-B5C2C4EF816F}"/>
    <cellStyle name="Normal 10 2 3 2 4 2 3" xfId="9737" xr:uid="{A8E4A094-8C56-4EE5-A628-8700F5DEA53F}"/>
    <cellStyle name="Normal 10 2 3 2 4 2 3 2" xfId="9738" xr:uid="{62F0C716-CDF6-4244-A38B-9B4C3B0769A7}"/>
    <cellStyle name="Normal 10 2 3 2 4 2 3 2 2" xfId="9739" xr:uid="{10F74F99-FA26-4AFF-B9DE-F08B0A0B69C7}"/>
    <cellStyle name="Normal 10 2 3 2 4 2 3 2 2 2" xfId="9740" xr:uid="{EE165C99-84E3-4E94-B378-40B2E399FA95}"/>
    <cellStyle name="Normal 10 2 3 2 4 2 3 2 3" xfId="9741" xr:uid="{4305EF39-8D1E-4152-9304-AD2AA672D1C7}"/>
    <cellStyle name="Normal 10 2 3 2 4 2 3 3" xfId="9742" xr:uid="{2433C0CD-03D4-4A46-84DF-60E3CDC910A3}"/>
    <cellStyle name="Normal 10 2 3 2 4 2 3 3 2" xfId="9743" xr:uid="{495940C2-56A7-4487-906D-1FD90AD33D90}"/>
    <cellStyle name="Normal 10 2 3 2 4 2 3 4" xfId="9744" xr:uid="{7753503A-14F6-4631-B30C-B90352CDE176}"/>
    <cellStyle name="Normal 10 2 3 2 4 2 4" xfId="9745" xr:uid="{873AA26A-4665-43D4-94F8-19D127858DE1}"/>
    <cellStyle name="Normal 10 2 3 2 4 2 4 2" xfId="9746" xr:uid="{F8F476BC-39C2-4480-88DB-A88C2FD7051A}"/>
    <cellStyle name="Normal 10 2 3 2 4 2 4 2 2" xfId="9747" xr:uid="{2D5AF624-1F6B-414E-B9A8-526771BA5A89}"/>
    <cellStyle name="Normal 10 2 3 2 4 2 4 3" xfId="9748" xr:uid="{CF927F02-0DDC-440C-A461-79D56CD6A710}"/>
    <cellStyle name="Normal 10 2 3 2 4 2 5" xfId="9749" xr:uid="{EAE294A6-3132-4D03-8917-4444D680FE82}"/>
    <cellStyle name="Normal 10 2 3 2 4 2 5 2" xfId="9750" xr:uid="{A15488A0-BF74-4E77-ABCC-7536D3B6199E}"/>
    <cellStyle name="Normal 10 2 3 2 4 2 6" xfId="9751" xr:uid="{9D9ABDCB-0A93-44DF-8D3D-838A18406C54}"/>
    <cellStyle name="Normal 10 2 3 2 4 3" xfId="9752" xr:uid="{3B00F2A1-84B4-4C71-98D0-4B4827DA2AA3}"/>
    <cellStyle name="Normal 10 2 3 2 4 3 2" xfId="9753" xr:uid="{ACC3005B-B8AE-4900-9543-4D623DF73225}"/>
    <cellStyle name="Normal 10 2 3 2 4 3 2 2" xfId="9754" xr:uid="{9AA6C5A4-9E27-42AC-B4A0-4600A7A862E1}"/>
    <cellStyle name="Normal 10 2 3 2 4 3 2 2 2" xfId="9755" xr:uid="{6D7D1702-2435-4B92-9AF9-AB89A80B893C}"/>
    <cellStyle name="Normal 10 2 3 2 4 3 2 2 2 2" xfId="9756" xr:uid="{7B271525-29A0-4E40-BB43-982D9E46EDBA}"/>
    <cellStyle name="Normal 10 2 3 2 4 3 2 2 3" xfId="9757" xr:uid="{A85F92B1-8D61-4563-B519-E4DEDE9898AD}"/>
    <cellStyle name="Normal 10 2 3 2 4 3 2 3" xfId="9758" xr:uid="{83438069-1F46-4B58-8026-BF7AAF36C836}"/>
    <cellStyle name="Normal 10 2 3 2 4 3 2 3 2" xfId="9759" xr:uid="{97E737A5-42E4-42CF-9A01-9A00BE619769}"/>
    <cellStyle name="Normal 10 2 3 2 4 3 2 4" xfId="9760" xr:uid="{297F5881-43AE-4A10-8B8B-701EEE112B94}"/>
    <cellStyle name="Normal 10 2 3 2 4 3 3" xfId="9761" xr:uid="{991B4866-10E7-4E4F-ACB3-E27E8038FAF6}"/>
    <cellStyle name="Normal 10 2 3 2 4 3 3 2" xfId="9762" xr:uid="{204204D7-014D-45B4-BE25-28E70B370372}"/>
    <cellStyle name="Normal 10 2 3 2 4 3 3 2 2" xfId="9763" xr:uid="{00930E9A-11E8-4581-86F2-5414FA33C554}"/>
    <cellStyle name="Normal 10 2 3 2 4 3 3 3" xfId="9764" xr:uid="{CA337F8C-77BF-4879-B63D-4FA0C3502FF5}"/>
    <cellStyle name="Normal 10 2 3 2 4 3 4" xfId="9765" xr:uid="{34A64806-4A5B-4324-AEEF-EE25104ACAAE}"/>
    <cellStyle name="Normal 10 2 3 2 4 3 4 2" xfId="9766" xr:uid="{FD117F35-4597-407F-93D5-743946F5DCD9}"/>
    <cellStyle name="Normal 10 2 3 2 4 3 5" xfId="9767" xr:uid="{7B60C113-5C41-4C9B-9496-C6CB3F08ED7A}"/>
    <cellStyle name="Normal 10 2 3 2 4 4" xfId="9768" xr:uid="{6B4C5CB9-0996-4306-B2DE-F32DD33B2FD0}"/>
    <cellStyle name="Normal 10 2 3 2 4 4 2" xfId="9769" xr:uid="{1B40638C-EA15-4FBB-8393-3D851E19D448}"/>
    <cellStyle name="Normal 10 2 3 2 4 4 2 2" xfId="9770" xr:uid="{6723217B-C114-426C-9DDF-ED1206618A6E}"/>
    <cellStyle name="Normal 10 2 3 2 4 4 2 2 2" xfId="9771" xr:uid="{A7C0DB85-A246-4CA3-A734-D1B05A448AEA}"/>
    <cellStyle name="Normal 10 2 3 2 4 4 2 3" xfId="9772" xr:uid="{B55078B4-9E91-441A-83E6-073BB8EC6AAA}"/>
    <cellStyle name="Normal 10 2 3 2 4 4 3" xfId="9773" xr:uid="{36CB56AC-C344-45E3-8537-55A77E460D7B}"/>
    <cellStyle name="Normal 10 2 3 2 4 4 3 2" xfId="9774" xr:uid="{92915B84-1F8A-46BC-881B-90C56ED27114}"/>
    <cellStyle name="Normal 10 2 3 2 4 4 4" xfId="9775" xr:uid="{D98BF2BF-F907-4CEA-88C2-0430C2A1733F}"/>
    <cellStyle name="Normal 10 2 3 2 4 5" xfId="9776" xr:uid="{DB2A6705-6BAD-427F-A131-D9FD56D59526}"/>
    <cellStyle name="Normal 10 2 3 2 4 5 2" xfId="9777" xr:uid="{62D418E0-D1DF-44AA-B9D7-4E22A57841E1}"/>
    <cellStyle name="Normal 10 2 3 2 4 5 2 2" xfId="9778" xr:uid="{A05795AD-3278-4B46-B35E-B5C90DFA0F9A}"/>
    <cellStyle name="Normal 10 2 3 2 4 5 3" xfId="9779" xr:uid="{25F5D2EB-A71F-477A-A291-4EACBF686940}"/>
    <cellStyle name="Normal 10 2 3 2 4 6" xfId="9780" xr:uid="{F0A89EBB-5D4A-4085-B6F8-D8C9E841EB43}"/>
    <cellStyle name="Normal 10 2 3 2 4 6 2" xfId="9781" xr:uid="{8B41AA18-A108-4FA0-8A71-D028DEE8C8E9}"/>
    <cellStyle name="Normal 10 2 3 2 4 7" xfId="9782" xr:uid="{E413C759-B550-4BEB-9728-9D7EB327E272}"/>
    <cellStyle name="Normal 10 2 3 2 5" xfId="9783" xr:uid="{82BA0B09-1C47-44A0-A97E-396320DB746E}"/>
    <cellStyle name="Normal 10 2 3 2 5 2" xfId="9784" xr:uid="{64EB8703-C606-4D27-8B56-142B703A7A88}"/>
    <cellStyle name="Normal 10 2 3 2 5 2 2" xfId="9785" xr:uid="{F7ABC8B8-B6E0-4220-86C0-F6FB16673295}"/>
    <cellStyle name="Normal 10 2 3 2 5 2 2 2" xfId="9786" xr:uid="{3BD808FD-F7F2-4F61-88B5-253E5F4FD4DB}"/>
    <cellStyle name="Normal 10 2 3 2 5 2 2 2 2" xfId="9787" xr:uid="{824F1B91-0D7D-4591-A074-98E761FF0AE9}"/>
    <cellStyle name="Normal 10 2 3 2 5 2 2 2 2 2" xfId="9788" xr:uid="{5C13F1DE-122C-4293-A931-0EC985B76E7B}"/>
    <cellStyle name="Normal 10 2 3 2 5 2 2 2 3" xfId="9789" xr:uid="{425A807B-E947-48FA-9B9A-F045927293DD}"/>
    <cellStyle name="Normal 10 2 3 2 5 2 2 3" xfId="9790" xr:uid="{CA619151-B032-4110-BCF9-9610B5DC70C8}"/>
    <cellStyle name="Normal 10 2 3 2 5 2 2 3 2" xfId="9791" xr:uid="{8F178F4D-C1E8-4868-B1ED-D5ACA3AD7D5B}"/>
    <cellStyle name="Normal 10 2 3 2 5 2 2 4" xfId="9792" xr:uid="{E6B77682-68FC-4B29-865B-C349EE2982BC}"/>
    <cellStyle name="Normal 10 2 3 2 5 2 3" xfId="9793" xr:uid="{D67BA2AB-54E1-442C-9967-1C0E7C9E0289}"/>
    <cellStyle name="Normal 10 2 3 2 5 2 3 2" xfId="9794" xr:uid="{A12B438B-4472-4461-967C-9FC53807DF17}"/>
    <cellStyle name="Normal 10 2 3 2 5 2 3 2 2" xfId="9795" xr:uid="{9B12E225-033D-44BC-868E-710FE884A8D3}"/>
    <cellStyle name="Normal 10 2 3 2 5 2 3 3" xfId="9796" xr:uid="{305C5EF1-B6D7-434C-87DE-8FCC6E17A920}"/>
    <cellStyle name="Normal 10 2 3 2 5 2 4" xfId="9797" xr:uid="{487DB0E7-B225-4327-B378-8D94858FF2A3}"/>
    <cellStyle name="Normal 10 2 3 2 5 2 4 2" xfId="9798" xr:uid="{7BB14848-F36E-44A6-B760-FBF5B6A38CFA}"/>
    <cellStyle name="Normal 10 2 3 2 5 2 5" xfId="9799" xr:uid="{C3201625-3DDD-4987-B013-F24808B1B58C}"/>
    <cellStyle name="Normal 10 2 3 2 5 3" xfId="9800" xr:uid="{23E9F703-3FEF-4C96-B8F4-368A06AA3D54}"/>
    <cellStyle name="Normal 10 2 3 2 5 3 2" xfId="9801" xr:uid="{799D09EE-5CE1-41E4-8A8B-220AFE54144D}"/>
    <cellStyle name="Normal 10 2 3 2 5 3 2 2" xfId="9802" xr:uid="{1A309E4E-8374-43C6-8031-E16853BA136B}"/>
    <cellStyle name="Normal 10 2 3 2 5 3 2 2 2" xfId="9803" xr:uid="{A98BAF8A-91B0-42C3-9941-0B1D2724BC00}"/>
    <cellStyle name="Normal 10 2 3 2 5 3 2 3" xfId="9804" xr:uid="{D5612AA5-14B1-4CC0-B8E4-A7267C68734D}"/>
    <cellStyle name="Normal 10 2 3 2 5 3 3" xfId="9805" xr:uid="{EE39395A-6034-4A19-BA94-9C293AB7886A}"/>
    <cellStyle name="Normal 10 2 3 2 5 3 3 2" xfId="9806" xr:uid="{00B565E3-A81F-4BB3-9779-ABC93D7DF067}"/>
    <cellStyle name="Normal 10 2 3 2 5 3 4" xfId="9807" xr:uid="{4D0AA1E5-11D9-418F-BCF7-967E031D0EC6}"/>
    <cellStyle name="Normal 10 2 3 2 5 4" xfId="9808" xr:uid="{5127E8AA-D518-44A4-8D6D-EA8998A9741C}"/>
    <cellStyle name="Normal 10 2 3 2 5 4 2" xfId="9809" xr:uid="{55548684-83FF-4A75-9D34-129BEAE2AE5C}"/>
    <cellStyle name="Normal 10 2 3 2 5 4 2 2" xfId="9810" xr:uid="{0614CB11-FE0D-482A-93C5-95C101DA8519}"/>
    <cellStyle name="Normal 10 2 3 2 5 4 3" xfId="9811" xr:uid="{54757110-526D-4BF6-8AC9-898426C48EC4}"/>
    <cellStyle name="Normal 10 2 3 2 5 5" xfId="9812" xr:uid="{F86C8B76-3F77-4F0D-8D56-FD19524267FA}"/>
    <cellStyle name="Normal 10 2 3 2 5 5 2" xfId="9813" xr:uid="{45187B8B-8DAD-4967-B5B2-73E713874555}"/>
    <cellStyle name="Normal 10 2 3 2 5 6" xfId="9814" xr:uid="{00D6DEC7-60AA-4374-B67A-496C4478C76F}"/>
    <cellStyle name="Normal 10 2 3 2 6" xfId="9815" xr:uid="{2760C6AE-5EC9-459A-982E-1BFDB478F438}"/>
    <cellStyle name="Normal 10 2 3 2 6 2" xfId="9816" xr:uid="{2BDF14AC-1443-4B9C-AA0F-8105E64D8581}"/>
    <cellStyle name="Normal 10 2 3 2 6 2 2" xfId="9817" xr:uid="{3DB7DC52-AD7E-4E0E-B0A0-2189648864B4}"/>
    <cellStyle name="Normal 10 2 3 2 6 2 2 2" xfId="9818" xr:uid="{1A8FCAB6-1230-4354-A656-5E0C42F0EB5B}"/>
    <cellStyle name="Normal 10 2 3 2 6 2 2 2 2" xfId="9819" xr:uid="{57940F73-6A53-4C0A-8792-1CDBD9B53777}"/>
    <cellStyle name="Normal 10 2 3 2 6 2 2 3" xfId="9820" xr:uid="{5F46F8B3-8387-4ABB-9523-91A082C18788}"/>
    <cellStyle name="Normal 10 2 3 2 6 2 3" xfId="9821" xr:uid="{10B97596-5CEC-4582-952F-99399955C5EA}"/>
    <cellStyle name="Normal 10 2 3 2 6 2 3 2" xfId="9822" xr:uid="{D46C205D-2E07-4965-A739-0E61933C373E}"/>
    <cellStyle name="Normal 10 2 3 2 6 2 4" xfId="9823" xr:uid="{540553D7-6563-44A2-8B0F-BF49D7155544}"/>
    <cellStyle name="Normal 10 2 3 2 6 3" xfId="9824" xr:uid="{783C457A-D7F3-478C-8524-E15D76204EA6}"/>
    <cellStyle name="Normal 10 2 3 2 6 3 2" xfId="9825" xr:uid="{B2BC3607-BB2B-49DC-A066-F26F3C0A3D56}"/>
    <cellStyle name="Normal 10 2 3 2 6 3 2 2" xfId="9826" xr:uid="{6CF551B7-8612-4A50-8DB9-53C58BB30A8F}"/>
    <cellStyle name="Normal 10 2 3 2 6 3 3" xfId="9827" xr:uid="{ACAE4067-0648-4BFE-8971-1C16928F719F}"/>
    <cellStyle name="Normal 10 2 3 2 6 4" xfId="9828" xr:uid="{F10FE4C6-A82D-484E-9751-E6F39962FC3C}"/>
    <cellStyle name="Normal 10 2 3 2 6 4 2" xfId="9829" xr:uid="{10C9C5A9-66C3-4688-9438-CE962F4A0BBB}"/>
    <cellStyle name="Normal 10 2 3 2 6 5" xfId="9830" xr:uid="{76DD05EC-E529-4DCE-A33D-36AB36E350A3}"/>
    <cellStyle name="Normal 10 2 3 2 7" xfId="9831" xr:uid="{A8948E25-A524-40FC-A71F-FF173FA26862}"/>
    <cellStyle name="Normal 10 2 3 2 7 2" xfId="9832" xr:uid="{351922C0-03EB-4554-B740-DB57A027F9B6}"/>
    <cellStyle name="Normal 10 2 3 2 7 2 2" xfId="9833" xr:uid="{74F4D780-0AC0-47BF-A7B4-96053F18C98F}"/>
    <cellStyle name="Normal 10 2 3 2 7 2 2 2" xfId="9834" xr:uid="{80153F8F-3E08-43FE-BCBA-D728CDDABDBA}"/>
    <cellStyle name="Normal 10 2 3 2 7 2 3" xfId="9835" xr:uid="{F3C28C84-4398-4E10-8059-843F10187B71}"/>
    <cellStyle name="Normal 10 2 3 2 7 3" xfId="9836" xr:uid="{AA1A07CF-58D8-4EC1-AF0B-A36B9C61E0CA}"/>
    <cellStyle name="Normal 10 2 3 2 7 3 2" xfId="9837" xr:uid="{2676F2E3-7D3C-4E62-8130-4A71857383C5}"/>
    <cellStyle name="Normal 10 2 3 2 7 4" xfId="9838" xr:uid="{2C2CB766-8385-4128-8034-A8AC9EC96CEC}"/>
    <cellStyle name="Normal 10 2 3 2 8" xfId="9839" xr:uid="{27B93F92-3034-4E08-BC02-26F05F060A33}"/>
    <cellStyle name="Normal 10 2 3 2 8 2" xfId="9840" xr:uid="{66E0286B-86FC-405B-AE41-91D4A1D9CF9E}"/>
    <cellStyle name="Normal 10 2 3 2 8 2 2" xfId="9841" xr:uid="{D9535387-5C8B-45A2-94AD-12F2B5B1AB2D}"/>
    <cellStyle name="Normal 10 2 3 2 8 3" xfId="9842" xr:uid="{68B5750A-D155-4A97-9E76-0A1C88F3ACCF}"/>
    <cellStyle name="Normal 10 2 3 2 9" xfId="9843" xr:uid="{C0D4E634-96D3-4A45-90EC-1A92D32163FA}"/>
    <cellStyle name="Normal 10 2 3 2 9 2" xfId="9844" xr:uid="{BDEFE999-EAD2-4FFB-B481-3527E902A81C}"/>
    <cellStyle name="Normal 10 2 3 3" xfId="242" xr:uid="{40BAE210-4A3F-4E6B-B3E1-9E1920980397}"/>
    <cellStyle name="Normal 10 2 3 3 10" xfId="9845" xr:uid="{A0B532E0-AAE5-4A22-980A-B2E31CA60BE7}"/>
    <cellStyle name="Normal 10 2 3 3 11" xfId="551" xr:uid="{633999B5-AFDA-4317-B303-81A1DA0715C9}"/>
    <cellStyle name="Normal 10 2 3 3 2" xfId="319" xr:uid="{9D3FE248-F52B-4240-AE4B-3C58243AC9BD}"/>
    <cellStyle name="Normal 10 2 3 3 2 10" xfId="9846" xr:uid="{9A9D5726-A8B2-4002-AD54-A0D88C5CBD94}"/>
    <cellStyle name="Normal 10 2 3 3 2 2" xfId="9847" xr:uid="{F8364CAC-60EF-4C42-968B-E9A8C14902C5}"/>
    <cellStyle name="Normal 10 2 3 3 2 2 2" xfId="9848" xr:uid="{5E9AECE2-2258-488A-8636-59B847E6EFAB}"/>
    <cellStyle name="Normal 10 2 3 3 2 2 2 2" xfId="9849" xr:uid="{185CF3DB-33A1-4AE0-BC5F-85884CBBDAFF}"/>
    <cellStyle name="Normal 10 2 3 3 2 2 2 2 2" xfId="9850" xr:uid="{D5865345-99D1-4B31-8D66-4494DA0455B6}"/>
    <cellStyle name="Normal 10 2 3 3 2 2 2 2 2 2" xfId="9851" xr:uid="{5184BB19-7D63-4F29-86B9-77FEAADB3DD9}"/>
    <cellStyle name="Normal 10 2 3 3 2 2 2 2 2 2 2" xfId="9852" xr:uid="{E34B4797-C571-4104-AF13-EA57BC5FB824}"/>
    <cellStyle name="Normal 10 2 3 3 2 2 2 2 2 2 2 2" xfId="9853" xr:uid="{6CA22798-8F04-4668-9C2F-306B5C065DE9}"/>
    <cellStyle name="Normal 10 2 3 3 2 2 2 2 2 2 2 2 2" xfId="9854" xr:uid="{B884ED2F-B6C7-43B0-9BBC-F6415D67EB09}"/>
    <cellStyle name="Normal 10 2 3 3 2 2 2 2 2 2 2 3" xfId="9855" xr:uid="{410CA714-CCD5-4102-8D4B-DA530BE8CFF2}"/>
    <cellStyle name="Normal 10 2 3 3 2 2 2 2 2 2 3" xfId="9856" xr:uid="{548D2A9E-E8E9-4F31-861C-1044501E433E}"/>
    <cellStyle name="Normal 10 2 3 3 2 2 2 2 2 2 3 2" xfId="9857" xr:uid="{E47F9BC4-9848-43FE-98EE-320C895E8B2B}"/>
    <cellStyle name="Normal 10 2 3 3 2 2 2 2 2 2 4" xfId="9858" xr:uid="{1489DC17-F037-4505-9089-8ABACD4D73DD}"/>
    <cellStyle name="Normal 10 2 3 3 2 2 2 2 2 3" xfId="9859" xr:uid="{321B4384-383F-47B2-87FB-57CD6C260CF2}"/>
    <cellStyle name="Normal 10 2 3 3 2 2 2 2 2 3 2" xfId="9860" xr:uid="{AE7ADF94-B44E-4250-90E7-E53E27FBD58A}"/>
    <cellStyle name="Normal 10 2 3 3 2 2 2 2 2 3 2 2" xfId="9861" xr:uid="{03AA9830-EAC5-435C-985C-EC308E3AB556}"/>
    <cellStyle name="Normal 10 2 3 3 2 2 2 2 2 3 3" xfId="9862" xr:uid="{0E8F8B70-47A4-4A71-9551-08EBF214C30E}"/>
    <cellStyle name="Normal 10 2 3 3 2 2 2 2 2 4" xfId="9863" xr:uid="{2A94255C-F38A-4B1F-9CDC-A706D2D41D35}"/>
    <cellStyle name="Normal 10 2 3 3 2 2 2 2 2 4 2" xfId="9864" xr:uid="{16FE1780-66D3-4C80-8170-6271AD36FE0C}"/>
    <cellStyle name="Normal 10 2 3 3 2 2 2 2 2 5" xfId="9865" xr:uid="{B282D41E-D79C-4D40-AA2F-3F414CA3B441}"/>
    <cellStyle name="Normal 10 2 3 3 2 2 2 2 3" xfId="9866" xr:uid="{DC60F4D5-5B2F-40DB-8FF9-34346D3841D3}"/>
    <cellStyle name="Normal 10 2 3 3 2 2 2 2 3 2" xfId="9867" xr:uid="{D90F7C7F-8E0C-4BE5-8C39-4FE64232677B}"/>
    <cellStyle name="Normal 10 2 3 3 2 2 2 2 3 2 2" xfId="9868" xr:uid="{D142AC96-D482-4E16-8713-203265B5F8F8}"/>
    <cellStyle name="Normal 10 2 3 3 2 2 2 2 3 2 2 2" xfId="9869" xr:uid="{6F1F8F68-FE68-4554-A825-23F8472E1300}"/>
    <cellStyle name="Normal 10 2 3 3 2 2 2 2 3 2 3" xfId="9870" xr:uid="{630C0DB7-04F3-4851-A99A-05B0A95E6452}"/>
    <cellStyle name="Normal 10 2 3 3 2 2 2 2 3 3" xfId="9871" xr:uid="{E92FE24F-8CDB-44D7-A626-5F6B389A69B8}"/>
    <cellStyle name="Normal 10 2 3 3 2 2 2 2 3 3 2" xfId="9872" xr:uid="{D4834042-CCE1-4428-84B9-2D224D6A7F2B}"/>
    <cellStyle name="Normal 10 2 3 3 2 2 2 2 3 4" xfId="9873" xr:uid="{7FAEA663-3EE3-47C9-B133-6FD2B222D1B0}"/>
    <cellStyle name="Normal 10 2 3 3 2 2 2 2 4" xfId="9874" xr:uid="{3C7AF267-07C3-4F4F-9590-1AF68E8A4FCE}"/>
    <cellStyle name="Normal 10 2 3 3 2 2 2 2 4 2" xfId="9875" xr:uid="{17688031-DF3F-47D3-BBD3-DE7D8DAF1923}"/>
    <cellStyle name="Normal 10 2 3 3 2 2 2 2 4 2 2" xfId="9876" xr:uid="{4B80F562-B1CB-4616-B0FC-239036D21849}"/>
    <cellStyle name="Normal 10 2 3 3 2 2 2 2 4 3" xfId="9877" xr:uid="{89700511-1356-4E83-A38E-77B114E6AD6B}"/>
    <cellStyle name="Normal 10 2 3 3 2 2 2 2 5" xfId="9878" xr:uid="{E8CD9001-C90F-4340-893D-98CE3CE63D84}"/>
    <cellStyle name="Normal 10 2 3 3 2 2 2 2 5 2" xfId="9879" xr:uid="{069B7ED7-B147-4159-B6D3-BA008702DA31}"/>
    <cellStyle name="Normal 10 2 3 3 2 2 2 2 6" xfId="9880" xr:uid="{B1087D92-B3EE-491A-8DBB-30B044C7E5AE}"/>
    <cellStyle name="Normal 10 2 3 3 2 2 2 3" xfId="9881" xr:uid="{6D71EB4D-5F2C-4432-A81F-D862DD624060}"/>
    <cellStyle name="Normal 10 2 3 3 2 2 2 3 2" xfId="9882" xr:uid="{BAAA12F8-D28F-47AB-BD57-44563B7B2FE3}"/>
    <cellStyle name="Normal 10 2 3 3 2 2 2 3 2 2" xfId="9883" xr:uid="{89C6ED27-883A-4D2E-B024-EB717A927304}"/>
    <cellStyle name="Normal 10 2 3 3 2 2 2 3 2 2 2" xfId="9884" xr:uid="{EDB1B288-3EDC-413F-90DA-6AE32518C083}"/>
    <cellStyle name="Normal 10 2 3 3 2 2 2 3 2 2 2 2" xfId="9885" xr:uid="{E813503E-53FB-4E6A-9E3E-B69DFD613443}"/>
    <cellStyle name="Normal 10 2 3 3 2 2 2 3 2 2 3" xfId="9886" xr:uid="{3221FB08-14FD-498C-A701-9E15489F2411}"/>
    <cellStyle name="Normal 10 2 3 3 2 2 2 3 2 3" xfId="9887" xr:uid="{0D6CE940-CA17-47AF-B7DC-185000F66D9C}"/>
    <cellStyle name="Normal 10 2 3 3 2 2 2 3 2 3 2" xfId="9888" xr:uid="{53D7E4E3-728A-48C1-B0FC-10D6020BC614}"/>
    <cellStyle name="Normal 10 2 3 3 2 2 2 3 2 4" xfId="9889" xr:uid="{17BCEC60-B56B-4B55-A6D1-1DBDFCCBDD1F}"/>
    <cellStyle name="Normal 10 2 3 3 2 2 2 3 3" xfId="9890" xr:uid="{F5B83D32-7A0E-46BE-97BE-2A06243C7B28}"/>
    <cellStyle name="Normal 10 2 3 3 2 2 2 3 3 2" xfId="9891" xr:uid="{36521A57-4088-403F-9891-34AF22177E03}"/>
    <cellStyle name="Normal 10 2 3 3 2 2 2 3 3 2 2" xfId="9892" xr:uid="{AFB162DE-B414-4728-A143-DF91EB33DA1A}"/>
    <cellStyle name="Normal 10 2 3 3 2 2 2 3 3 3" xfId="9893" xr:uid="{21C071D6-7B76-428B-88EB-E290A3B0726C}"/>
    <cellStyle name="Normal 10 2 3 3 2 2 2 3 4" xfId="9894" xr:uid="{04A0D551-0A24-4CF8-8EB6-FEEA8277AED6}"/>
    <cellStyle name="Normal 10 2 3 3 2 2 2 3 4 2" xfId="9895" xr:uid="{8317E828-4C6B-462E-BED3-A76D597CD893}"/>
    <cellStyle name="Normal 10 2 3 3 2 2 2 3 5" xfId="9896" xr:uid="{FE8C712F-D21E-4304-99C4-8B5A48315D6A}"/>
    <cellStyle name="Normal 10 2 3 3 2 2 2 4" xfId="9897" xr:uid="{4C7C9AB2-ADD0-4A18-8482-EAB0798A4A6B}"/>
    <cellStyle name="Normal 10 2 3 3 2 2 2 4 2" xfId="9898" xr:uid="{2FCF8E73-CCC3-4544-AC79-DBF5230FE9DB}"/>
    <cellStyle name="Normal 10 2 3 3 2 2 2 4 2 2" xfId="9899" xr:uid="{66E20F1C-AF5B-47EF-A6FF-343C740FE47C}"/>
    <cellStyle name="Normal 10 2 3 3 2 2 2 4 2 2 2" xfId="9900" xr:uid="{14CFE6F8-58FC-43F8-8065-415906ED982B}"/>
    <cellStyle name="Normal 10 2 3 3 2 2 2 4 2 3" xfId="9901" xr:uid="{693AD1B6-08F5-4021-8AD8-C6B0AA3EB281}"/>
    <cellStyle name="Normal 10 2 3 3 2 2 2 4 3" xfId="9902" xr:uid="{408D9D78-FBF6-4F6A-B2A7-81615B0FEC9E}"/>
    <cellStyle name="Normal 10 2 3 3 2 2 2 4 3 2" xfId="9903" xr:uid="{C207E4C0-31B7-460C-8F33-812589D32EF5}"/>
    <cellStyle name="Normal 10 2 3 3 2 2 2 4 4" xfId="9904" xr:uid="{1E225293-4769-49C5-A72E-CE0B77E1E0E1}"/>
    <cellStyle name="Normal 10 2 3 3 2 2 2 5" xfId="9905" xr:uid="{C32552EF-A868-4848-A853-DACC366ADD70}"/>
    <cellStyle name="Normal 10 2 3 3 2 2 2 5 2" xfId="9906" xr:uid="{FA28F81F-0BBC-45E9-8A69-BAD64A70EF1B}"/>
    <cellStyle name="Normal 10 2 3 3 2 2 2 5 2 2" xfId="9907" xr:uid="{B3B7007E-A8BB-466E-A3C9-9E7A62F4AE9D}"/>
    <cellStyle name="Normal 10 2 3 3 2 2 2 5 3" xfId="9908" xr:uid="{A17E0DF4-CFEB-4CEF-8F38-2AA99C77AAE8}"/>
    <cellStyle name="Normal 10 2 3 3 2 2 2 6" xfId="9909" xr:uid="{6F0E8038-9630-4EA4-B67E-21C036E3BC46}"/>
    <cellStyle name="Normal 10 2 3 3 2 2 2 6 2" xfId="9910" xr:uid="{F2E4606B-BD42-4D92-919A-9741B9C495E5}"/>
    <cellStyle name="Normal 10 2 3 3 2 2 2 7" xfId="9911" xr:uid="{7D630FCB-74A9-4BB1-820B-1CE9EC086D7D}"/>
    <cellStyle name="Normal 10 2 3 3 2 2 3" xfId="9912" xr:uid="{6DB99D44-ABC4-455E-B43A-45313EA333DD}"/>
    <cellStyle name="Normal 10 2 3 3 2 2 3 2" xfId="9913" xr:uid="{071A3A73-21EF-4510-B391-3E85904ED606}"/>
    <cellStyle name="Normal 10 2 3 3 2 2 3 2 2" xfId="9914" xr:uid="{B32F110E-B60D-447B-9DE3-6CB0EF93A4D0}"/>
    <cellStyle name="Normal 10 2 3 3 2 2 3 2 2 2" xfId="9915" xr:uid="{7414277E-934E-4790-8C7D-B94AA3510BCA}"/>
    <cellStyle name="Normal 10 2 3 3 2 2 3 2 2 2 2" xfId="9916" xr:uid="{AB077935-2F6A-44CA-BE16-F70E42EE49A7}"/>
    <cellStyle name="Normal 10 2 3 3 2 2 3 2 2 2 2 2" xfId="9917" xr:uid="{0AB3C2C5-2AC1-4FA9-9758-D8B2E65F36BD}"/>
    <cellStyle name="Normal 10 2 3 3 2 2 3 2 2 2 3" xfId="9918" xr:uid="{B43C5BCB-4DC3-40DC-AF36-9BF7E7B4B75D}"/>
    <cellStyle name="Normal 10 2 3 3 2 2 3 2 2 3" xfId="9919" xr:uid="{A1D542EA-0C11-46C2-88E0-BC6186CB576D}"/>
    <cellStyle name="Normal 10 2 3 3 2 2 3 2 2 3 2" xfId="9920" xr:uid="{8CDA87CC-C97A-431F-9395-5680811B2674}"/>
    <cellStyle name="Normal 10 2 3 3 2 2 3 2 2 4" xfId="9921" xr:uid="{C6AA746C-4CF6-4398-AE8F-F22B8F28DF17}"/>
    <cellStyle name="Normal 10 2 3 3 2 2 3 2 3" xfId="9922" xr:uid="{0F477C76-042D-4E23-844E-BEA4B34DFA0E}"/>
    <cellStyle name="Normal 10 2 3 3 2 2 3 2 3 2" xfId="9923" xr:uid="{531A26BF-1093-49DD-B075-5AA8CF177081}"/>
    <cellStyle name="Normal 10 2 3 3 2 2 3 2 3 2 2" xfId="9924" xr:uid="{02FE1683-3B37-48B1-AB1F-1704FB0989C6}"/>
    <cellStyle name="Normal 10 2 3 3 2 2 3 2 3 3" xfId="9925" xr:uid="{4F7D98C0-62F8-4A2B-830D-9E64E5E71FFA}"/>
    <cellStyle name="Normal 10 2 3 3 2 2 3 2 4" xfId="9926" xr:uid="{E7A60083-67AF-433E-9309-C39E0579DD07}"/>
    <cellStyle name="Normal 10 2 3 3 2 2 3 2 4 2" xfId="9927" xr:uid="{F30591E3-2F87-41EC-B248-02DA5D9CBA2F}"/>
    <cellStyle name="Normal 10 2 3 3 2 2 3 2 5" xfId="9928" xr:uid="{E6ED7091-FAB3-4C57-A929-F6D43BFEF828}"/>
    <cellStyle name="Normal 10 2 3 3 2 2 3 3" xfId="9929" xr:uid="{226FBF4B-762B-417E-8D07-A5ECBC20F12B}"/>
    <cellStyle name="Normal 10 2 3 3 2 2 3 3 2" xfId="9930" xr:uid="{2AAAE5A9-7F49-4073-93F8-1AEAD36767BD}"/>
    <cellStyle name="Normal 10 2 3 3 2 2 3 3 2 2" xfId="9931" xr:uid="{6482705C-2C2A-4B01-BAB1-A34723C4CCD3}"/>
    <cellStyle name="Normal 10 2 3 3 2 2 3 3 2 2 2" xfId="9932" xr:uid="{E51DB4BD-64DE-4C6B-BF29-51B2A4C15EED}"/>
    <cellStyle name="Normal 10 2 3 3 2 2 3 3 2 3" xfId="9933" xr:uid="{B8B13ED4-2415-41E1-892C-58B2695C00F8}"/>
    <cellStyle name="Normal 10 2 3 3 2 2 3 3 3" xfId="9934" xr:uid="{F342B02D-2A93-436C-B584-14CA154F36AC}"/>
    <cellStyle name="Normal 10 2 3 3 2 2 3 3 3 2" xfId="9935" xr:uid="{9C7888D7-0E11-4BE4-AC55-1101EF5C0F27}"/>
    <cellStyle name="Normal 10 2 3 3 2 2 3 3 4" xfId="9936" xr:uid="{9EC64853-D965-4F9C-8AD4-50D94A00E1E5}"/>
    <cellStyle name="Normal 10 2 3 3 2 2 3 4" xfId="9937" xr:uid="{9EDD3109-44FF-4A46-837B-A73C5DEA3934}"/>
    <cellStyle name="Normal 10 2 3 3 2 2 3 4 2" xfId="9938" xr:uid="{8324D06B-79B9-4850-916F-EFDA3E004101}"/>
    <cellStyle name="Normal 10 2 3 3 2 2 3 4 2 2" xfId="9939" xr:uid="{E7482AFC-BA67-44B6-8A53-602E887221BA}"/>
    <cellStyle name="Normal 10 2 3 3 2 2 3 4 3" xfId="9940" xr:uid="{88303CE9-3EFE-421C-BB13-199C152F7FC3}"/>
    <cellStyle name="Normal 10 2 3 3 2 2 3 5" xfId="9941" xr:uid="{A475AC04-EE20-4E97-8A8C-C85878C48FD0}"/>
    <cellStyle name="Normal 10 2 3 3 2 2 3 5 2" xfId="9942" xr:uid="{E9D0A6E0-6BFB-493A-B18A-A713BC11443A}"/>
    <cellStyle name="Normal 10 2 3 3 2 2 3 6" xfId="9943" xr:uid="{963E2D59-CC49-463F-842C-E3B89EAB87F3}"/>
    <cellStyle name="Normal 10 2 3 3 2 2 4" xfId="9944" xr:uid="{5B5327B2-966F-42F6-8685-8393712963DB}"/>
    <cellStyle name="Normal 10 2 3 3 2 2 4 2" xfId="9945" xr:uid="{A54BC150-66FC-49C7-A9DF-C5C40C1D5B8B}"/>
    <cellStyle name="Normal 10 2 3 3 2 2 4 2 2" xfId="9946" xr:uid="{65699180-5A4E-460B-8BA2-2D0A0B52CDA1}"/>
    <cellStyle name="Normal 10 2 3 3 2 2 4 2 2 2" xfId="9947" xr:uid="{9548EBCC-750B-4BF5-B256-937D05C26722}"/>
    <cellStyle name="Normal 10 2 3 3 2 2 4 2 2 2 2" xfId="9948" xr:uid="{2FB9D753-0A6B-416C-B493-D8CD2E421165}"/>
    <cellStyle name="Normal 10 2 3 3 2 2 4 2 2 3" xfId="9949" xr:uid="{1E525163-6EAB-47CF-BCA8-25E44033A21F}"/>
    <cellStyle name="Normal 10 2 3 3 2 2 4 2 3" xfId="9950" xr:uid="{1C91EC2E-9673-48AA-B47F-FBA9E5D99E6B}"/>
    <cellStyle name="Normal 10 2 3 3 2 2 4 2 3 2" xfId="9951" xr:uid="{C38DBB29-AF2F-4047-ACBE-8736A9A9DEAC}"/>
    <cellStyle name="Normal 10 2 3 3 2 2 4 2 4" xfId="9952" xr:uid="{5B7CA197-0CCC-4BC0-9C54-39805E039853}"/>
    <cellStyle name="Normal 10 2 3 3 2 2 4 3" xfId="9953" xr:uid="{F100A2A9-0BAE-4981-BAEB-58BF04F0E0E2}"/>
    <cellStyle name="Normal 10 2 3 3 2 2 4 3 2" xfId="9954" xr:uid="{C34BECC8-A3C3-452B-8DA7-15EE8C0A5B78}"/>
    <cellStyle name="Normal 10 2 3 3 2 2 4 3 2 2" xfId="9955" xr:uid="{AF011EE8-EFA6-456E-9058-011DB9DA627C}"/>
    <cellStyle name="Normal 10 2 3 3 2 2 4 3 3" xfId="9956" xr:uid="{B11B5000-6946-4B27-91C8-8622C71E84DE}"/>
    <cellStyle name="Normal 10 2 3 3 2 2 4 4" xfId="9957" xr:uid="{6F0E6E63-9631-498A-9879-B9B34B36DE98}"/>
    <cellStyle name="Normal 10 2 3 3 2 2 4 4 2" xfId="9958" xr:uid="{F1787BE6-3863-429E-8514-128FAA768F02}"/>
    <cellStyle name="Normal 10 2 3 3 2 2 4 5" xfId="9959" xr:uid="{C997DDE0-C507-4DD7-80E0-52EC573E92AC}"/>
    <cellStyle name="Normal 10 2 3 3 2 2 5" xfId="9960" xr:uid="{932520C6-F9FE-4BD1-9C40-8CC0DC36EDA6}"/>
    <cellStyle name="Normal 10 2 3 3 2 2 5 2" xfId="9961" xr:uid="{85E24D6C-9976-4A09-B5BF-8166F2C43406}"/>
    <cellStyle name="Normal 10 2 3 3 2 2 5 2 2" xfId="9962" xr:uid="{65280065-4BC6-4CD6-B133-AB08FDE6B5FB}"/>
    <cellStyle name="Normal 10 2 3 3 2 2 5 2 2 2" xfId="9963" xr:uid="{C982209D-8A0A-4303-8739-563BCDBB43B7}"/>
    <cellStyle name="Normal 10 2 3 3 2 2 5 2 3" xfId="9964" xr:uid="{38A70D2A-5939-4BD4-9F9C-D3846F3EAAC8}"/>
    <cellStyle name="Normal 10 2 3 3 2 2 5 3" xfId="9965" xr:uid="{D67D7E6A-78C6-4648-B633-2F216F1AC90B}"/>
    <cellStyle name="Normal 10 2 3 3 2 2 5 3 2" xfId="9966" xr:uid="{DF345FFA-3DD5-4CA8-9A84-E70888A3B571}"/>
    <cellStyle name="Normal 10 2 3 3 2 2 5 4" xfId="9967" xr:uid="{A5AE6A19-42FC-4ACC-81B2-A6CD24A9B55F}"/>
    <cellStyle name="Normal 10 2 3 3 2 2 6" xfId="9968" xr:uid="{47200F41-165A-493B-87C6-222A91CB6E1A}"/>
    <cellStyle name="Normal 10 2 3 3 2 2 6 2" xfId="9969" xr:uid="{DF0567E0-9761-4395-B979-5E0AC1F0A019}"/>
    <cellStyle name="Normal 10 2 3 3 2 2 6 2 2" xfId="9970" xr:uid="{4BEB104E-8C9A-4796-94FF-63697F25A8B7}"/>
    <cellStyle name="Normal 10 2 3 3 2 2 6 3" xfId="9971" xr:uid="{D99F924B-376B-4413-BB50-7E03154F2F84}"/>
    <cellStyle name="Normal 10 2 3 3 2 2 7" xfId="9972" xr:uid="{32E4C388-0106-46E6-B712-F82C52729171}"/>
    <cellStyle name="Normal 10 2 3 3 2 2 7 2" xfId="9973" xr:uid="{296548A9-26D5-45C7-AE8C-F79A01A2C7CA}"/>
    <cellStyle name="Normal 10 2 3 3 2 2 8" xfId="9974" xr:uid="{EBC2DF13-1455-4739-A3ED-8A0C867206A3}"/>
    <cellStyle name="Normal 10 2 3 3 2 3" xfId="9975" xr:uid="{5B9D1472-95FB-4D85-8A7B-D40177C837AB}"/>
    <cellStyle name="Normal 10 2 3 3 2 3 2" xfId="9976" xr:uid="{01421921-311D-4FE5-A8EF-A9BEABFB10B3}"/>
    <cellStyle name="Normal 10 2 3 3 2 3 2 2" xfId="9977" xr:uid="{5642BCF2-FAEA-4B65-BD4F-385A84CF545A}"/>
    <cellStyle name="Normal 10 2 3 3 2 3 2 2 2" xfId="9978" xr:uid="{00038417-1036-4B05-AE31-17E5CAB7B7EA}"/>
    <cellStyle name="Normal 10 2 3 3 2 3 2 2 2 2" xfId="9979" xr:uid="{17F2E546-9A3E-4401-A8E8-35F196425443}"/>
    <cellStyle name="Normal 10 2 3 3 2 3 2 2 2 2 2" xfId="9980" xr:uid="{498F7496-5013-4E3B-8254-DEEA526E5CE9}"/>
    <cellStyle name="Normal 10 2 3 3 2 3 2 2 2 2 2 2" xfId="9981" xr:uid="{31A7ECC8-62FF-4108-9675-5D3C863A0D73}"/>
    <cellStyle name="Normal 10 2 3 3 2 3 2 2 2 2 3" xfId="9982" xr:uid="{77C61C14-109C-4DA3-88E4-47943BF1FD88}"/>
    <cellStyle name="Normal 10 2 3 3 2 3 2 2 2 3" xfId="9983" xr:uid="{79C3D609-B0EB-461D-A8F7-4C8E2B3163F2}"/>
    <cellStyle name="Normal 10 2 3 3 2 3 2 2 2 3 2" xfId="9984" xr:uid="{E956B72D-6707-4981-9DF4-635D58FC2AF8}"/>
    <cellStyle name="Normal 10 2 3 3 2 3 2 2 2 4" xfId="9985" xr:uid="{39F28323-F74B-4A36-997A-73EA47927604}"/>
    <cellStyle name="Normal 10 2 3 3 2 3 2 2 3" xfId="9986" xr:uid="{F322DE05-664D-4C73-8BC7-CD853E06432D}"/>
    <cellStyle name="Normal 10 2 3 3 2 3 2 2 3 2" xfId="9987" xr:uid="{AF4773E6-3BD5-4EC8-AE49-D59DB89B7332}"/>
    <cellStyle name="Normal 10 2 3 3 2 3 2 2 3 2 2" xfId="9988" xr:uid="{E956E890-044D-405A-9E99-8B42A233162D}"/>
    <cellStyle name="Normal 10 2 3 3 2 3 2 2 3 3" xfId="9989" xr:uid="{D0EA4903-86AB-406A-9C59-88547F406E7D}"/>
    <cellStyle name="Normal 10 2 3 3 2 3 2 2 4" xfId="9990" xr:uid="{953BBA4C-7E93-4948-894E-06E1DE16F01C}"/>
    <cellStyle name="Normal 10 2 3 3 2 3 2 2 4 2" xfId="9991" xr:uid="{6E25BBA9-2692-4539-8D88-B0CC90C2C236}"/>
    <cellStyle name="Normal 10 2 3 3 2 3 2 2 5" xfId="9992" xr:uid="{6441F883-236B-4468-A247-520EB09C2B46}"/>
    <cellStyle name="Normal 10 2 3 3 2 3 2 3" xfId="9993" xr:uid="{1552C835-001C-411B-8DBB-71B45DBB146D}"/>
    <cellStyle name="Normal 10 2 3 3 2 3 2 3 2" xfId="9994" xr:uid="{DCD03C80-53FD-4D9D-8BAC-0DD0CE4824F2}"/>
    <cellStyle name="Normal 10 2 3 3 2 3 2 3 2 2" xfId="9995" xr:uid="{7E079A18-5589-4890-B20F-5F95E674296A}"/>
    <cellStyle name="Normal 10 2 3 3 2 3 2 3 2 2 2" xfId="9996" xr:uid="{C2699144-93F4-4BF0-ABDC-AE3FD8886E9B}"/>
    <cellStyle name="Normal 10 2 3 3 2 3 2 3 2 3" xfId="9997" xr:uid="{948E6B50-E7FD-4F80-A07E-724B501E61AD}"/>
    <cellStyle name="Normal 10 2 3 3 2 3 2 3 3" xfId="9998" xr:uid="{C3CFB308-A517-463D-88D9-EA18A449A787}"/>
    <cellStyle name="Normal 10 2 3 3 2 3 2 3 3 2" xfId="9999" xr:uid="{1E152CF4-68F6-4A45-9435-4FC97893499B}"/>
    <cellStyle name="Normal 10 2 3 3 2 3 2 3 4" xfId="10000" xr:uid="{F04205AB-2272-463A-B698-E11AFBC5130D}"/>
    <cellStyle name="Normal 10 2 3 3 2 3 2 4" xfId="10001" xr:uid="{87EFA323-6EF7-458B-826D-61D69C8229A9}"/>
    <cellStyle name="Normal 10 2 3 3 2 3 2 4 2" xfId="10002" xr:uid="{C16270B9-FF71-4A25-AB2B-438BF60EC655}"/>
    <cellStyle name="Normal 10 2 3 3 2 3 2 4 2 2" xfId="10003" xr:uid="{9BFCFC79-C186-438A-9429-EC46D101604C}"/>
    <cellStyle name="Normal 10 2 3 3 2 3 2 4 3" xfId="10004" xr:uid="{00A61571-B895-40DD-9CBF-DC3719172EE3}"/>
    <cellStyle name="Normal 10 2 3 3 2 3 2 5" xfId="10005" xr:uid="{DF5C3D4D-6EA9-4892-8AB8-30AC4EA42EA8}"/>
    <cellStyle name="Normal 10 2 3 3 2 3 2 5 2" xfId="10006" xr:uid="{0539940E-07EF-4A31-8FFB-474B113A6B1C}"/>
    <cellStyle name="Normal 10 2 3 3 2 3 2 6" xfId="10007" xr:uid="{8B60D3A0-5C68-44EE-AA87-669ECAB19FD9}"/>
    <cellStyle name="Normal 10 2 3 3 2 3 3" xfId="10008" xr:uid="{5EC3506B-82E4-4C70-A47E-2EA2F3C69FD5}"/>
    <cellStyle name="Normal 10 2 3 3 2 3 3 2" xfId="10009" xr:uid="{662B8F0B-F3EB-4678-8355-A8B7FAAED040}"/>
    <cellStyle name="Normal 10 2 3 3 2 3 3 2 2" xfId="10010" xr:uid="{52199C32-DA57-469E-8656-8CD825F2DE0C}"/>
    <cellStyle name="Normal 10 2 3 3 2 3 3 2 2 2" xfId="10011" xr:uid="{A6579432-28BA-4390-B5E7-5673C53A2950}"/>
    <cellStyle name="Normal 10 2 3 3 2 3 3 2 2 2 2" xfId="10012" xr:uid="{17A00D64-33DE-46CF-B226-2F64EA5D77E7}"/>
    <cellStyle name="Normal 10 2 3 3 2 3 3 2 2 3" xfId="10013" xr:uid="{3131974F-CCC5-4ECF-9F61-73B2A6CDAB3A}"/>
    <cellStyle name="Normal 10 2 3 3 2 3 3 2 3" xfId="10014" xr:uid="{64BBB6E6-9743-45D0-A714-D8F792C5A3E9}"/>
    <cellStyle name="Normal 10 2 3 3 2 3 3 2 3 2" xfId="10015" xr:uid="{DE731F8D-2412-49C3-8D64-2AA0DB776BE6}"/>
    <cellStyle name="Normal 10 2 3 3 2 3 3 2 4" xfId="10016" xr:uid="{D7B3940D-E456-431B-AB4D-7E42474AF236}"/>
    <cellStyle name="Normal 10 2 3 3 2 3 3 3" xfId="10017" xr:uid="{642008C9-C0AA-4798-9462-A6071D54C6A6}"/>
    <cellStyle name="Normal 10 2 3 3 2 3 3 3 2" xfId="10018" xr:uid="{6080FEFB-78BB-467E-84B8-AD55B1B238BC}"/>
    <cellStyle name="Normal 10 2 3 3 2 3 3 3 2 2" xfId="10019" xr:uid="{706DA7BD-E0D7-4DB5-8255-CF1C6637A578}"/>
    <cellStyle name="Normal 10 2 3 3 2 3 3 3 3" xfId="10020" xr:uid="{4FF6CB90-D32C-42E2-8867-6D700D709627}"/>
    <cellStyle name="Normal 10 2 3 3 2 3 3 4" xfId="10021" xr:uid="{8DD725A7-27EC-4943-B076-A0BC13781DB1}"/>
    <cellStyle name="Normal 10 2 3 3 2 3 3 4 2" xfId="10022" xr:uid="{D9285A22-B9CA-4ADF-AB34-FDBE7480FC36}"/>
    <cellStyle name="Normal 10 2 3 3 2 3 3 5" xfId="10023" xr:uid="{61299C1E-9949-4E44-9242-FFAA3FD20576}"/>
    <cellStyle name="Normal 10 2 3 3 2 3 4" xfId="10024" xr:uid="{725B128B-6CFF-4C01-85CA-6DB1BA5FA6F7}"/>
    <cellStyle name="Normal 10 2 3 3 2 3 4 2" xfId="10025" xr:uid="{66912F7E-F478-4882-9CE4-36119E6182E1}"/>
    <cellStyle name="Normal 10 2 3 3 2 3 4 2 2" xfId="10026" xr:uid="{3C43766F-D369-44B8-9D6C-DE16DA231B78}"/>
    <cellStyle name="Normal 10 2 3 3 2 3 4 2 2 2" xfId="10027" xr:uid="{1F11134B-0D8D-4D1A-9E68-13E59202D14A}"/>
    <cellStyle name="Normal 10 2 3 3 2 3 4 2 3" xfId="10028" xr:uid="{8603B3DE-68EC-48BA-9603-EA52744414CB}"/>
    <cellStyle name="Normal 10 2 3 3 2 3 4 3" xfId="10029" xr:uid="{AEE24AD7-D3D0-4D4F-96DF-59DFC60E929B}"/>
    <cellStyle name="Normal 10 2 3 3 2 3 4 3 2" xfId="10030" xr:uid="{317F1239-F85A-4B00-9089-A4D393C19E8F}"/>
    <cellStyle name="Normal 10 2 3 3 2 3 4 4" xfId="10031" xr:uid="{9F275B48-D2AF-4410-8305-EDA668C1C1AA}"/>
    <cellStyle name="Normal 10 2 3 3 2 3 5" xfId="10032" xr:uid="{F521A692-FA51-4169-BE4A-0687C7086D3F}"/>
    <cellStyle name="Normal 10 2 3 3 2 3 5 2" xfId="10033" xr:uid="{5F1FE43D-9218-4247-A9F4-EF328B708DB6}"/>
    <cellStyle name="Normal 10 2 3 3 2 3 5 2 2" xfId="10034" xr:uid="{8EAFC713-D0D3-4D55-9C70-36B82C505D22}"/>
    <cellStyle name="Normal 10 2 3 3 2 3 5 3" xfId="10035" xr:uid="{A9ED921C-6819-4F8B-87A8-D2E4755C9B7C}"/>
    <cellStyle name="Normal 10 2 3 3 2 3 6" xfId="10036" xr:uid="{6ADA0E91-DD01-4216-8DDB-AB0F2751207B}"/>
    <cellStyle name="Normal 10 2 3 3 2 3 6 2" xfId="10037" xr:uid="{D035CAAD-26C4-4F8A-8DB4-0577A771C381}"/>
    <cellStyle name="Normal 10 2 3 3 2 3 7" xfId="10038" xr:uid="{DA36E8A2-1246-4665-A7B0-5202C30648B9}"/>
    <cellStyle name="Normal 10 2 3 3 2 4" xfId="10039" xr:uid="{D7EF2780-4539-4495-AE95-A403B8A684A7}"/>
    <cellStyle name="Normal 10 2 3 3 2 4 2" xfId="10040" xr:uid="{470510B0-F0B1-42F5-A361-1AFE1546F2CE}"/>
    <cellStyle name="Normal 10 2 3 3 2 4 2 2" xfId="10041" xr:uid="{3440D485-BEA2-45FE-97F3-A885FF91B0E3}"/>
    <cellStyle name="Normal 10 2 3 3 2 4 2 2 2" xfId="10042" xr:uid="{03AF9DA0-F518-412A-9E01-73FED730FF8D}"/>
    <cellStyle name="Normal 10 2 3 3 2 4 2 2 2 2" xfId="10043" xr:uid="{6DF250E2-6D84-4FC5-8D73-784BC9E3D008}"/>
    <cellStyle name="Normal 10 2 3 3 2 4 2 2 2 2 2" xfId="10044" xr:uid="{B8233C66-53B9-4D48-BCD8-BD2B09772050}"/>
    <cellStyle name="Normal 10 2 3 3 2 4 2 2 2 3" xfId="10045" xr:uid="{3B7C03D0-2DAA-43BE-8164-F35C98BF71FD}"/>
    <cellStyle name="Normal 10 2 3 3 2 4 2 2 3" xfId="10046" xr:uid="{805B986B-12A5-4A39-97FC-E19F7A50F8F5}"/>
    <cellStyle name="Normal 10 2 3 3 2 4 2 2 3 2" xfId="10047" xr:uid="{47C9BAF2-1653-4122-97B5-748F2C86C12E}"/>
    <cellStyle name="Normal 10 2 3 3 2 4 2 2 4" xfId="10048" xr:uid="{5B5A4DB2-952D-4C24-BC56-A508CF68C225}"/>
    <cellStyle name="Normal 10 2 3 3 2 4 2 3" xfId="10049" xr:uid="{B0FE93D2-D29E-4F17-B6B0-6AD8A4FA6856}"/>
    <cellStyle name="Normal 10 2 3 3 2 4 2 3 2" xfId="10050" xr:uid="{2D7453E5-6E25-432D-8D62-DD036F57D5E5}"/>
    <cellStyle name="Normal 10 2 3 3 2 4 2 3 2 2" xfId="10051" xr:uid="{509D5191-6569-4E30-989F-992E1809E07C}"/>
    <cellStyle name="Normal 10 2 3 3 2 4 2 3 3" xfId="10052" xr:uid="{B2111ADB-2314-4011-B117-6294FF4CB9E0}"/>
    <cellStyle name="Normal 10 2 3 3 2 4 2 4" xfId="10053" xr:uid="{6FE541A0-8EEB-400B-A198-ACE6C761822B}"/>
    <cellStyle name="Normal 10 2 3 3 2 4 2 4 2" xfId="10054" xr:uid="{84771821-A0F9-4B91-A481-1005B935AB9A}"/>
    <cellStyle name="Normal 10 2 3 3 2 4 2 5" xfId="10055" xr:uid="{2B21F34F-746A-4D32-906F-FA20036A7FE3}"/>
    <cellStyle name="Normal 10 2 3 3 2 4 3" xfId="10056" xr:uid="{E0B56C8C-9634-4131-A88D-3F93C8F9EC00}"/>
    <cellStyle name="Normal 10 2 3 3 2 4 3 2" xfId="10057" xr:uid="{26C786DB-6BF0-41F1-92A1-A39C7C44D888}"/>
    <cellStyle name="Normal 10 2 3 3 2 4 3 2 2" xfId="10058" xr:uid="{337167A7-69BC-4C33-B88D-85A11F06A0CB}"/>
    <cellStyle name="Normal 10 2 3 3 2 4 3 2 2 2" xfId="10059" xr:uid="{CBB3E114-2FCE-4011-95AF-88EAE34F78DD}"/>
    <cellStyle name="Normal 10 2 3 3 2 4 3 2 3" xfId="10060" xr:uid="{D359FD4E-B012-4AAE-AF82-5CA222A3F738}"/>
    <cellStyle name="Normal 10 2 3 3 2 4 3 3" xfId="10061" xr:uid="{AE3E25AB-66E6-4C1C-B864-C905678BD834}"/>
    <cellStyle name="Normal 10 2 3 3 2 4 3 3 2" xfId="10062" xr:uid="{000F03BE-BFFD-44C4-AF94-0AE75FD85BC7}"/>
    <cellStyle name="Normal 10 2 3 3 2 4 3 4" xfId="10063" xr:uid="{D7BAC80B-D771-459A-B523-704CD12FDEB8}"/>
    <cellStyle name="Normal 10 2 3 3 2 4 4" xfId="10064" xr:uid="{94FB59F4-CAE0-494D-AEBD-37FECE375E32}"/>
    <cellStyle name="Normal 10 2 3 3 2 4 4 2" xfId="10065" xr:uid="{0703A70F-9EE5-46C0-8B13-F0F4F8DE61F9}"/>
    <cellStyle name="Normal 10 2 3 3 2 4 4 2 2" xfId="10066" xr:uid="{86D06FA6-42DE-4CA4-AF8E-D8E0D99793C9}"/>
    <cellStyle name="Normal 10 2 3 3 2 4 4 3" xfId="10067" xr:uid="{FA3CBD99-B2C2-44F6-BE11-F8A2AF7170E4}"/>
    <cellStyle name="Normal 10 2 3 3 2 4 5" xfId="10068" xr:uid="{854C82D8-8613-483E-9FDF-0D5EDE8C4E33}"/>
    <cellStyle name="Normal 10 2 3 3 2 4 5 2" xfId="10069" xr:uid="{50F4A312-67A0-47CF-9303-D6CF086253AA}"/>
    <cellStyle name="Normal 10 2 3 3 2 4 6" xfId="10070" xr:uid="{15C214CF-0192-4EFC-941E-BC25C577F1D2}"/>
    <cellStyle name="Normal 10 2 3 3 2 5" xfId="10071" xr:uid="{4638CF95-A2CD-4A1C-8903-D52DE912EA17}"/>
    <cellStyle name="Normal 10 2 3 3 2 5 2" xfId="10072" xr:uid="{AFFBFA7A-0FDB-4758-AE7D-D128ED7D50E2}"/>
    <cellStyle name="Normal 10 2 3 3 2 5 2 2" xfId="10073" xr:uid="{C92A63DE-B346-476C-9C2B-258C69D3B610}"/>
    <cellStyle name="Normal 10 2 3 3 2 5 2 2 2" xfId="10074" xr:uid="{612F3474-4997-41FD-A745-B6A857EC877C}"/>
    <cellStyle name="Normal 10 2 3 3 2 5 2 2 2 2" xfId="10075" xr:uid="{BDD558F8-CAC9-4820-A354-B9C1D4D5C5E1}"/>
    <cellStyle name="Normal 10 2 3 3 2 5 2 2 3" xfId="10076" xr:uid="{07A88B86-CEF4-4EB9-8419-C4BF2E86E379}"/>
    <cellStyle name="Normal 10 2 3 3 2 5 2 3" xfId="10077" xr:uid="{5C66BE6C-1B7D-427B-AA92-34451883F08D}"/>
    <cellStyle name="Normal 10 2 3 3 2 5 2 3 2" xfId="10078" xr:uid="{1AA679AD-E354-40C1-A988-1F54CA98FB98}"/>
    <cellStyle name="Normal 10 2 3 3 2 5 2 4" xfId="10079" xr:uid="{CEC5CEE9-557C-4444-BA78-2F74ED6E3579}"/>
    <cellStyle name="Normal 10 2 3 3 2 5 3" xfId="10080" xr:uid="{2A756FBF-0647-4EEF-8D4E-AD025A090C08}"/>
    <cellStyle name="Normal 10 2 3 3 2 5 3 2" xfId="10081" xr:uid="{0E4DE3D8-276B-4FBC-A6F4-96BD51C789DD}"/>
    <cellStyle name="Normal 10 2 3 3 2 5 3 2 2" xfId="10082" xr:uid="{936CB9B5-DBF7-458F-BEE2-036A4BDDAC46}"/>
    <cellStyle name="Normal 10 2 3 3 2 5 3 3" xfId="10083" xr:uid="{30CF8533-8C37-4656-B7DE-222717C524A4}"/>
    <cellStyle name="Normal 10 2 3 3 2 5 4" xfId="10084" xr:uid="{01F8E74F-8935-483A-B049-50720BF4FEB7}"/>
    <cellStyle name="Normal 10 2 3 3 2 5 4 2" xfId="10085" xr:uid="{6D21BB4F-9E6B-47B9-BA18-2BA2C38DDE30}"/>
    <cellStyle name="Normal 10 2 3 3 2 5 5" xfId="10086" xr:uid="{6E8D2B3D-B6B9-4006-B7A1-B2633D660517}"/>
    <cellStyle name="Normal 10 2 3 3 2 6" xfId="10087" xr:uid="{E67F4CA5-C5CF-4733-99A2-8900A66F51B7}"/>
    <cellStyle name="Normal 10 2 3 3 2 6 2" xfId="10088" xr:uid="{B4A022E2-A96F-48AC-9429-774E8DE8FF64}"/>
    <cellStyle name="Normal 10 2 3 3 2 6 2 2" xfId="10089" xr:uid="{04C0E431-4B72-46D2-BB78-1985A461EEBA}"/>
    <cellStyle name="Normal 10 2 3 3 2 6 2 2 2" xfId="10090" xr:uid="{6D9701AB-B08E-498A-B4CE-DC96D934C333}"/>
    <cellStyle name="Normal 10 2 3 3 2 6 2 3" xfId="10091" xr:uid="{D9C27218-7AA7-4349-AE36-735275785A32}"/>
    <cellStyle name="Normal 10 2 3 3 2 6 3" xfId="10092" xr:uid="{20F87762-FD17-40DE-928D-2C805F7A56BE}"/>
    <cellStyle name="Normal 10 2 3 3 2 6 3 2" xfId="10093" xr:uid="{6314FB24-8984-4DC6-9464-2B9B18CEA929}"/>
    <cellStyle name="Normal 10 2 3 3 2 6 4" xfId="10094" xr:uid="{EFCEB92F-F7AC-42A5-8E0B-44A8A1263A66}"/>
    <cellStyle name="Normal 10 2 3 3 2 7" xfId="10095" xr:uid="{506B597F-3BED-4E19-80B7-B8B3EBB9A1C6}"/>
    <cellStyle name="Normal 10 2 3 3 2 7 2" xfId="10096" xr:uid="{6CF41FDF-4670-4CFD-A501-845D5F3512F5}"/>
    <cellStyle name="Normal 10 2 3 3 2 7 2 2" xfId="10097" xr:uid="{A8AD452C-2ECC-4813-B8BA-7E9C9151E24B}"/>
    <cellStyle name="Normal 10 2 3 3 2 7 3" xfId="10098" xr:uid="{0486B540-6851-4128-B3F6-F390D524CED7}"/>
    <cellStyle name="Normal 10 2 3 3 2 8" xfId="10099" xr:uid="{811AE16A-5685-4666-A8CC-FB9F5F957E85}"/>
    <cellStyle name="Normal 10 2 3 3 2 8 2" xfId="10100" xr:uid="{CD404B7A-1CAA-48C7-9359-BFB0818DB132}"/>
    <cellStyle name="Normal 10 2 3 3 2 9" xfId="10101" xr:uid="{20DC58DA-0092-4077-8D85-50D24AE5F747}"/>
    <cellStyle name="Normal 10 2 3 3 3" xfId="477" xr:uid="{99F48439-3DB5-4053-9816-54539BCEAC37}"/>
    <cellStyle name="Normal 10 2 3 3 3 2" xfId="10103" xr:uid="{4313E28E-DC04-4D7A-9D25-38F562B0B7A1}"/>
    <cellStyle name="Normal 10 2 3 3 3 2 2" xfId="10104" xr:uid="{0CFC9510-366F-45C9-B72B-BCA8E804EE44}"/>
    <cellStyle name="Normal 10 2 3 3 3 2 2 2" xfId="10105" xr:uid="{D40F1D59-7601-453A-A2D3-B9DC6C6281D0}"/>
    <cellStyle name="Normal 10 2 3 3 3 2 2 2 2" xfId="10106" xr:uid="{D370CFD7-E42E-4F6A-91E5-A09F796FA422}"/>
    <cellStyle name="Normal 10 2 3 3 3 2 2 2 2 2" xfId="10107" xr:uid="{8EB68983-B05E-4938-B27A-714CFA3B9E49}"/>
    <cellStyle name="Normal 10 2 3 3 3 2 2 2 2 2 2" xfId="10108" xr:uid="{80F759FB-E183-4FC0-8132-82A5F014D9AA}"/>
    <cellStyle name="Normal 10 2 3 3 3 2 2 2 2 2 2 2" xfId="10109" xr:uid="{64EDD2EF-9F25-4AD3-ABA1-38319604485D}"/>
    <cellStyle name="Normal 10 2 3 3 3 2 2 2 2 2 3" xfId="10110" xr:uid="{D0C53A3B-4F90-4BFE-97BA-98E451C33FBB}"/>
    <cellStyle name="Normal 10 2 3 3 3 2 2 2 2 3" xfId="10111" xr:uid="{03A6D0B5-3DCE-4B83-A311-4CA3D499C2A0}"/>
    <cellStyle name="Normal 10 2 3 3 3 2 2 2 2 3 2" xfId="10112" xr:uid="{6D3F00A3-0907-4222-A1B5-DD0BD68440FB}"/>
    <cellStyle name="Normal 10 2 3 3 3 2 2 2 2 4" xfId="10113" xr:uid="{41FB9BD6-34B7-4150-9B30-FB1AD064612E}"/>
    <cellStyle name="Normal 10 2 3 3 3 2 2 2 3" xfId="10114" xr:uid="{F1E7943D-3350-44FD-8C52-024EB9189F17}"/>
    <cellStyle name="Normal 10 2 3 3 3 2 2 2 3 2" xfId="10115" xr:uid="{6047A7BB-E0F2-4BAC-9DE3-C6FE0AD1B294}"/>
    <cellStyle name="Normal 10 2 3 3 3 2 2 2 3 2 2" xfId="10116" xr:uid="{AE1A781C-E314-4963-AA94-D171B201CDB8}"/>
    <cellStyle name="Normal 10 2 3 3 3 2 2 2 3 3" xfId="10117" xr:uid="{7A70C95B-3F97-4CC8-A314-BE844F970518}"/>
    <cellStyle name="Normal 10 2 3 3 3 2 2 2 4" xfId="10118" xr:uid="{F41E340E-964F-4B43-9D13-7A6921311512}"/>
    <cellStyle name="Normal 10 2 3 3 3 2 2 2 4 2" xfId="10119" xr:uid="{F834B3DB-69D9-4655-9C97-4E6ED8C0E6D9}"/>
    <cellStyle name="Normal 10 2 3 3 3 2 2 2 5" xfId="10120" xr:uid="{D85D6385-82AA-4103-80E4-775CD8704B7E}"/>
    <cellStyle name="Normal 10 2 3 3 3 2 2 3" xfId="10121" xr:uid="{57FF25E2-D7B2-4297-9575-CA15B4B31A07}"/>
    <cellStyle name="Normal 10 2 3 3 3 2 2 3 2" xfId="10122" xr:uid="{B213BC67-6FC7-4D9D-9216-7FF05876FF2A}"/>
    <cellStyle name="Normal 10 2 3 3 3 2 2 3 2 2" xfId="10123" xr:uid="{F0817286-87C1-4EEA-8283-03CE3FCF6653}"/>
    <cellStyle name="Normal 10 2 3 3 3 2 2 3 2 2 2" xfId="10124" xr:uid="{3814DE89-675E-4B05-AE23-943D37C3D15E}"/>
    <cellStyle name="Normal 10 2 3 3 3 2 2 3 2 3" xfId="10125" xr:uid="{AAFBD290-C4B1-42A1-A16E-38F571A3A6FF}"/>
    <cellStyle name="Normal 10 2 3 3 3 2 2 3 3" xfId="10126" xr:uid="{225A9EBC-6EB3-46CE-8510-571B678D6447}"/>
    <cellStyle name="Normal 10 2 3 3 3 2 2 3 3 2" xfId="10127" xr:uid="{94023C5A-8C4C-4EEF-B979-CFF04AE632F1}"/>
    <cellStyle name="Normal 10 2 3 3 3 2 2 3 4" xfId="10128" xr:uid="{066C6EB4-751D-4880-9CB5-6D241F3322A5}"/>
    <cellStyle name="Normal 10 2 3 3 3 2 2 4" xfId="10129" xr:uid="{71DD8A01-94A0-4333-968C-8D3055D053F2}"/>
    <cellStyle name="Normal 10 2 3 3 3 2 2 4 2" xfId="10130" xr:uid="{F15D3C3D-2698-4DA7-ABC8-426709DA83EF}"/>
    <cellStyle name="Normal 10 2 3 3 3 2 2 4 2 2" xfId="10131" xr:uid="{D6E1CCA2-C2A3-4A9C-BAAA-D2EF3636BC68}"/>
    <cellStyle name="Normal 10 2 3 3 3 2 2 4 3" xfId="10132" xr:uid="{6ECA7414-E6DB-4A06-BED2-13DC5F4C7385}"/>
    <cellStyle name="Normal 10 2 3 3 3 2 2 5" xfId="10133" xr:uid="{2D847764-BCBA-4BB6-925D-6DBEC2E857CA}"/>
    <cellStyle name="Normal 10 2 3 3 3 2 2 5 2" xfId="10134" xr:uid="{F979709B-C330-44DA-9275-F7722B2E9E5A}"/>
    <cellStyle name="Normal 10 2 3 3 3 2 2 6" xfId="10135" xr:uid="{786272F1-FA71-4DAE-BE94-0AA97331B57F}"/>
    <cellStyle name="Normal 10 2 3 3 3 2 3" xfId="10136" xr:uid="{3670D26F-506C-45B8-B55F-4EE69B5988FA}"/>
    <cellStyle name="Normal 10 2 3 3 3 2 3 2" xfId="10137" xr:uid="{3ACC3B31-C4F8-485D-839D-DE753B6D2675}"/>
    <cellStyle name="Normal 10 2 3 3 3 2 3 2 2" xfId="10138" xr:uid="{A6B93C8C-BF1D-4F1B-BCEA-498FB04759F3}"/>
    <cellStyle name="Normal 10 2 3 3 3 2 3 2 2 2" xfId="10139" xr:uid="{CF4494EC-30B3-4ED9-BACE-D19857C9AA6E}"/>
    <cellStyle name="Normal 10 2 3 3 3 2 3 2 2 2 2" xfId="10140" xr:uid="{2F9A609F-698B-49C6-BE79-748AA44F1A03}"/>
    <cellStyle name="Normal 10 2 3 3 3 2 3 2 2 3" xfId="10141" xr:uid="{B5B78174-9FCC-44DA-9CBA-51DB8D71BC0F}"/>
    <cellStyle name="Normal 10 2 3 3 3 2 3 2 3" xfId="10142" xr:uid="{0079C581-4BAE-4C26-A4CA-7634804AC37C}"/>
    <cellStyle name="Normal 10 2 3 3 3 2 3 2 3 2" xfId="10143" xr:uid="{A8542FFE-7267-45EF-AD61-B504939FA23B}"/>
    <cellStyle name="Normal 10 2 3 3 3 2 3 2 4" xfId="10144" xr:uid="{EAB5D7C0-DFAA-477E-9FD3-B6E7D581EBBE}"/>
    <cellStyle name="Normal 10 2 3 3 3 2 3 3" xfId="10145" xr:uid="{13BA3222-9CB7-4F8B-9067-D2C36D241B18}"/>
    <cellStyle name="Normal 10 2 3 3 3 2 3 3 2" xfId="10146" xr:uid="{213A4B00-5925-4C87-8500-2581366299D7}"/>
    <cellStyle name="Normal 10 2 3 3 3 2 3 3 2 2" xfId="10147" xr:uid="{C1C388BA-4BA7-4133-9DD5-2ECA238272E3}"/>
    <cellStyle name="Normal 10 2 3 3 3 2 3 3 3" xfId="10148" xr:uid="{B3E145E6-DCD3-45D7-AB6A-1FB2B4557D81}"/>
    <cellStyle name="Normal 10 2 3 3 3 2 3 4" xfId="10149" xr:uid="{819ECEED-6F92-4D43-BAE0-EA05578ABACA}"/>
    <cellStyle name="Normal 10 2 3 3 3 2 3 4 2" xfId="10150" xr:uid="{CAE87A70-7432-4305-B2D0-EF555960FC02}"/>
    <cellStyle name="Normal 10 2 3 3 3 2 3 5" xfId="10151" xr:uid="{592031AE-9553-4C74-A496-2BCDCFB47F5C}"/>
    <cellStyle name="Normal 10 2 3 3 3 2 4" xfId="10152" xr:uid="{4272ECFF-BC01-440F-B5CD-54386149E058}"/>
    <cellStyle name="Normal 10 2 3 3 3 2 4 2" xfId="10153" xr:uid="{1E3A8934-F274-4942-831B-93F986132D39}"/>
    <cellStyle name="Normal 10 2 3 3 3 2 4 2 2" xfId="10154" xr:uid="{55FBFEB5-7FAE-4400-B776-0DBE9C70416D}"/>
    <cellStyle name="Normal 10 2 3 3 3 2 4 2 2 2" xfId="10155" xr:uid="{6F90D9C0-1E3D-4B08-A17C-C540B7F68F89}"/>
    <cellStyle name="Normal 10 2 3 3 3 2 4 2 3" xfId="10156" xr:uid="{76F6A644-24A4-459A-A63E-DC9303FA72E5}"/>
    <cellStyle name="Normal 10 2 3 3 3 2 4 3" xfId="10157" xr:uid="{FC14A188-4285-42C5-AA59-EE9492EC4C5D}"/>
    <cellStyle name="Normal 10 2 3 3 3 2 4 3 2" xfId="10158" xr:uid="{CFE8CBA5-25BF-4853-8937-F03DA67DE897}"/>
    <cellStyle name="Normal 10 2 3 3 3 2 4 4" xfId="10159" xr:uid="{B15773ED-1746-4429-8BAE-636D98F28349}"/>
    <cellStyle name="Normal 10 2 3 3 3 2 5" xfId="10160" xr:uid="{9BD84A23-AAE1-4A63-A3DE-ADF91CB241E0}"/>
    <cellStyle name="Normal 10 2 3 3 3 2 5 2" xfId="10161" xr:uid="{37DF911B-E6BC-4982-8BD1-EC91A3FC48EF}"/>
    <cellStyle name="Normal 10 2 3 3 3 2 5 2 2" xfId="10162" xr:uid="{4014F860-244F-449D-A5A3-ECECDA1DFDC8}"/>
    <cellStyle name="Normal 10 2 3 3 3 2 5 3" xfId="10163" xr:uid="{3BE7E986-2639-4306-8933-2B91E2CF0953}"/>
    <cellStyle name="Normal 10 2 3 3 3 2 6" xfId="10164" xr:uid="{82DB8FB8-1739-437A-B5CC-7FEB66E76EB2}"/>
    <cellStyle name="Normal 10 2 3 3 3 2 6 2" xfId="10165" xr:uid="{166B3E2F-7A26-4BDE-BF8E-530B093FF148}"/>
    <cellStyle name="Normal 10 2 3 3 3 2 7" xfId="10166" xr:uid="{DE471597-293D-423B-A8C0-ADE2D7F2E0B1}"/>
    <cellStyle name="Normal 10 2 3 3 3 3" xfId="10167" xr:uid="{D5C5130B-BDC9-41F7-8073-5BDB3A979615}"/>
    <cellStyle name="Normal 10 2 3 3 3 3 2" xfId="10168" xr:uid="{6337106F-0EFA-49E5-87B5-4D02292F502C}"/>
    <cellStyle name="Normal 10 2 3 3 3 3 2 2" xfId="10169" xr:uid="{98DF958C-730E-4AE9-818E-0620D6EF2C27}"/>
    <cellStyle name="Normal 10 2 3 3 3 3 2 2 2" xfId="10170" xr:uid="{AF01939D-A99D-4C47-9C3C-DEF1EF1AEB41}"/>
    <cellStyle name="Normal 10 2 3 3 3 3 2 2 2 2" xfId="10171" xr:uid="{E50F0BE3-4F4E-4E59-9C93-2DAE1B4F0728}"/>
    <cellStyle name="Normal 10 2 3 3 3 3 2 2 2 2 2" xfId="10172" xr:uid="{88221F55-7657-4375-AC54-029011B0F6B2}"/>
    <cellStyle name="Normal 10 2 3 3 3 3 2 2 2 3" xfId="10173" xr:uid="{E3EA45E9-0923-4118-879B-35A4F1F418E8}"/>
    <cellStyle name="Normal 10 2 3 3 3 3 2 2 3" xfId="10174" xr:uid="{C085328E-A195-4DB3-9561-568C6BCDE81C}"/>
    <cellStyle name="Normal 10 2 3 3 3 3 2 2 3 2" xfId="10175" xr:uid="{26F06749-A7CC-4428-8656-8E686337BC37}"/>
    <cellStyle name="Normal 10 2 3 3 3 3 2 2 4" xfId="10176" xr:uid="{87F3BDFE-7479-40B1-946E-70694FF01AB0}"/>
    <cellStyle name="Normal 10 2 3 3 3 3 2 3" xfId="10177" xr:uid="{7478DA9A-26ED-45DC-B023-A7CBFA5707BF}"/>
    <cellStyle name="Normal 10 2 3 3 3 3 2 3 2" xfId="10178" xr:uid="{CA5ACAA7-0F6A-43EA-B229-38A102FFC2C6}"/>
    <cellStyle name="Normal 10 2 3 3 3 3 2 3 2 2" xfId="10179" xr:uid="{9311A63E-E530-4351-B964-5A830D78C257}"/>
    <cellStyle name="Normal 10 2 3 3 3 3 2 3 3" xfId="10180" xr:uid="{B58EE976-E3E5-4141-8B4A-A87C2FCB46A2}"/>
    <cellStyle name="Normal 10 2 3 3 3 3 2 4" xfId="10181" xr:uid="{473BF4F0-DFDE-4C2D-94D3-C71B61CF4B8F}"/>
    <cellStyle name="Normal 10 2 3 3 3 3 2 4 2" xfId="10182" xr:uid="{9A66B0AE-A015-4771-ACDF-EE6970AAFF04}"/>
    <cellStyle name="Normal 10 2 3 3 3 3 2 5" xfId="10183" xr:uid="{173C91B9-38D0-4C1E-BBED-C880F7BDC62F}"/>
    <cellStyle name="Normal 10 2 3 3 3 3 3" xfId="10184" xr:uid="{586FFDEF-1E78-45C5-9661-E7604D15F958}"/>
    <cellStyle name="Normal 10 2 3 3 3 3 3 2" xfId="10185" xr:uid="{A692DD1B-35D4-44F0-A65B-A9364F630BEA}"/>
    <cellStyle name="Normal 10 2 3 3 3 3 3 2 2" xfId="10186" xr:uid="{FB940E9C-4901-4CF4-9CC2-069D1FEC647E}"/>
    <cellStyle name="Normal 10 2 3 3 3 3 3 2 2 2" xfId="10187" xr:uid="{FAA775C5-2B67-4F33-A95A-B3AD1F10B69E}"/>
    <cellStyle name="Normal 10 2 3 3 3 3 3 2 3" xfId="10188" xr:uid="{A565F5E9-B3A2-4EA9-88E4-FF2E598A5368}"/>
    <cellStyle name="Normal 10 2 3 3 3 3 3 3" xfId="10189" xr:uid="{68F7B603-C636-4307-9719-FEB331367E97}"/>
    <cellStyle name="Normal 10 2 3 3 3 3 3 3 2" xfId="10190" xr:uid="{68E02779-D0C6-4484-8686-F90E321DEE75}"/>
    <cellStyle name="Normal 10 2 3 3 3 3 3 4" xfId="10191" xr:uid="{6FB25917-0A81-41A8-95CB-B1D1B92EB0C8}"/>
    <cellStyle name="Normal 10 2 3 3 3 3 4" xfId="10192" xr:uid="{F31AD86D-3C65-4A79-B652-4072075E5100}"/>
    <cellStyle name="Normal 10 2 3 3 3 3 4 2" xfId="10193" xr:uid="{A09EA452-3C5B-4769-AE18-7B1D8D556E85}"/>
    <cellStyle name="Normal 10 2 3 3 3 3 4 2 2" xfId="10194" xr:uid="{0F5345DB-7524-472E-A55A-D16C8124195C}"/>
    <cellStyle name="Normal 10 2 3 3 3 3 4 3" xfId="10195" xr:uid="{473C6F3D-B071-46FB-95D4-20C7E5AA6487}"/>
    <cellStyle name="Normal 10 2 3 3 3 3 5" xfId="10196" xr:uid="{16E9CCC5-36DF-4A38-B5F9-7E47CAA1D994}"/>
    <cellStyle name="Normal 10 2 3 3 3 3 5 2" xfId="10197" xr:uid="{0EA8E4D1-5A26-409E-BED5-61CC8CABEE4A}"/>
    <cellStyle name="Normal 10 2 3 3 3 3 6" xfId="10198" xr:uid="{5E1F9011-BDB5-409E-9259-9B41124E0604}"/>
    <cellStyle name="Normal 10 2 3 3 3 4" xfId="10199" xr:uid="{5521BF53-76AF-456E-AA58-E77A2CDEDA91}"/>
    <cellStyle name="Normal 10 2 3 3 3 4 2" xfId="10200" xr:uid="{2BF2AB39-9354-4750-B66A-B3B5E04133B0}"/>
    <cellStyle name="Normal 10 2 3 3 3 4 2 2" xfId="10201" xr:uid="{7512F753-092C-4A8E-8BF0-65946DC700D0}"/>
    <cellStyle name="Normal 10 2 3 3 3 4 2 2 2" xfId="10202" xr:uid="{D7345FEC-0C63-44BC-966B-145F2ADF07C9}"/>
    <cellStyle name="Normal 10 2 3 3 3 4 2 2 2 2" xfId="10203" xr:uid="{10E2C8AB-0349-417A-8EF2-1E8A91E7C55A}"/>
    <cellStyle name="Normal 10 2 3 3 3 4 2 2 3" xfId="10204" xr:uid="{E7B7FA42-3BFC-40D3-A426-BE766A827734}"/>
    <cellStyle name="Normal 10 2 3 3 3 4 2 3" xfId="10205" xr:uid="{E75EBFEE-D191-4647-832D-56478CEA9A5C}"/>
    <cellStyle name="Normal 10 2 3 3 3 4 2 3 2" xfId="10206" xr:uid="{F5236861-C514-4543-88BA-8A83387475A8}"/>
    <cellStyle name="Normal 10 2 3 3 3 4 2 4" xfId="10207" xr:uid="{D47B46E9-EABC-4337-A19F-B7FF63DE8016}"/>
    <cellStyle name="Normal 10 2 3 3 3 4 3" xfId="10208" xr:uid="{5391614D-5DA7-4C59-9001-A8F196292041}"/>
    <cellStyle name="Normal 10 2 3 3 3 4 3 2" xfId="10209" xr:uid="{17F64A36-4A3E-4DC1-85DD-00F5667C5326}"/>
    <cellStyle name="Normal 10 2 3 3 3 4 3 2 2" xfId="10210" xr:uid="{83E54E67-7D26-4042-BA93-9A887F55EE9A}"/>
    <cellStyle name="Normal 10 2 3 3 3 4 3 3" xfId="10211" xr:uid="{15480AED-99B8-44F6-8A34-7B3BB588E4EF}"/>
    <cellStyle name="Normal 10 2 3 3 3 4 4" xfId="10212" xr:uid="{6A20D412-7083-4985-81E4-70EE0735DB03}"/>
    <cellStyle name="Normal 10 2 3 3 3 4 4 2" xfId="10213" xr:uid="{732D591A-C42F-4374-81F3-E9B7B9E62709}"/>
    <cellStyle name="Normal 10 2 3 3 3 4 5" xfId="10214" xr:uid="{A259DE6D-BC4B-4855-9599-D2AA37018209}"/>
    <cellStyle name="Normal 10 2 3 3 3 5" xfId="10215" xr:uid="{CD84EEC8-93B5-48CF-976B-4BAF655E124E}"/>
    <cellStyle name="Normal 10 2 3 3 3 5 2" xfId="10216" xr:uid="{155DF033-40C6-40E3-B852-F7F473465F6F}"/>
    <cellStyle name="Normal 10 2 3 3 3 5 2 2" xfId="10217" xr:uid="{1DFFB541-15E9-46AA-9BCF-B1825DA54E28}"/>
    <cellStyle name="Normal 10 2 3 3 3 5 2 2 2" xfId="10218" xr:uid="{2272A76F-8A1C-430A-BE2E-372D2DD43B2F}"/>
    <cellStyle name="Normal 10 2 3 3 3 5 2 3" xfId="10219" xr:uid="{A0109C60-325F-4810-88AD-72135A6D6FFD}"/>
    <cellStyle name="Normal 10 2 3 3 3 5 3" xfId="10220" xr:uid="{E3F99D6F-1030-4A95-B534-003F4C4BBD1E}"/>
    <cellStyle name="Normal 10 2 3 3 3 5 3 2" xfId="10221" xr:uid="{46BD2E7E-67AE-4CF2-87C2-C1B3774D1A09}"/>
    <cellStyle name="Normal 10 2 3 3 3 5 4" xfId="10222" xr:uid="{FC1F0E80-ACB5-4827-920E-5F55B1202BAC}"/>
    <cellStyle name="Normal 10 2 3 3 3 6" xfId="10223" xr:uid="{37DA9501-3781-4A29-8EDA-CC2974D613C8}"/>
    <cellStyle name="Normal 10 2 3 3 3 6 2" xfId="10224" xr:uid="{CB68ED4D-126A-4F1A-ADD5-4DC1DE4B4497}"/>
    <cellStyle name="Normal 10 2 3 3 3 6 2 2" xfId="10225" xr:uid="{4AACAFA7-DCEF-4380-AAA2-FB426E0049C5}"/>
    <cellStyle name="Normal 10 2 3 3 3 6 3" xfId="10226" xr:uid="{8695390A-946E-42A1-955B-B8C2C2C0A523}"/>
    <cellStyle name="Normal 10 2 3 3 3 7" xfId="10227" xr:uid="{3EF2D812-AB5B-4F72-B6D0-A60D8EF55445}"/>
    <cellStyle name="Normal 10 2 3 3 3 7 2" xfId="10228" xr:uid="{0219749F-C823-4E23-83D4-5CB0AE8EC16C}"/>
    <cellStyle name="Normal 10 2 3 3 3 8" xfId="10229" xr:uid="{6B372D05-7BAD-45C7-9D07-6B14307DBA97}"/>
    <cellStyle name="Normal 10 2 3 3 3 9" xfId="10102" xr:uid="{75C437BC-8243-4171-8523-D77B491927FC}"/>
    <cellStyle name="Normal 10 2 3 3 4" xfId="10230" xr:uid="{34A362F7-D3E4-49B4-9530-A1374F639C38}"/>
    <cellStyle name="Normal 10 2 3 3 4 2" xfId="10231" xr:uid="{AB42A7BC-D81B-4E9E-A284-F08E17ED63EF}"/>
    <cellStyle name="Normal 10 2 3 3 4 2 2" xfId="10232" xr:uid="{2D1CDD30-7E56-44EF-AC52-0C39916230C9}"/>
    <cellStyle name="Normal 10 2 3 3 4 2 2 2" xfId="10233" xr:uid="{FF603A8B-83EB-4216-A65F-AD661C4792FF}"/>
    <cellStyle name="Normal 10 2 3 3 4 2 2 2 2" xfId="10234" xr:uid="{D1CBED34-55CE-46F8-8095-978A30510EA2}"/>
    <cellStyle name="Normal 10 2 3 3 4 2 2 2 2 2" xfId="10235" xr:uid="{0D05FA5E-6AAF-4B56-BBD4-3EFF46DB939E}"/>
    <cellStyle name="Normal 10 2 3 3 4 2 2 2 2 2 2" xfId="10236" xr:uid="{72CF72B8-DF57-4F91-93E1-8CF518E18B1B}"/>
    <cellStyle name="Normal 10 2 3 3 4 2 2 2 2 3" xfId="10237" xr:uid="{A4923C52-063E-4964-B2F5-A3B104AA5747}"/>
    <cellStyle name="Normal 10 2 3 3 4 2 2 2 3" xfId="10238" xr:uid="{774C164C-2B1B-4ABF-B0C0-7BC7C145EDFC}"/>
    <cellStyle name="Normal 10 2 3 3 4 2 2 2 3 2" xfId="10239" xr:uid="{674FD164-D416-4DC8-8FCC-671D56AE4ECF}"/>
    <cellStyle name="Normal 10 2 3 3 4 2 2 2 4" xfId="10240" xr:uid="{7803E313-C568-47A5-84A3-A42045999D33}"/>
    <cellStyle name="Normal 10 2 3 3 4 2 2 3" xfId="10241" xr:uid="{3A2DAEB9-DD4E-45C6-81F3-76FA23BCE832}"/>
    <cellStyle name="Normal 10 2 3 3 4 2 2 3 2" xfId="10242" xr:uid="{5E319BD2-2A20-4A99-8B7C-969C1D556291}"/>
    <cellStyle name="Normal 10 2 3 3 4 2 2 3 2 2" xfId="10243" xr:uid="{F3B100E2-0325-43AB-8D06-D544ABCD4828}"/>
    <cellStyle name="Normal 10 2 3 3 4 2 2 3 3" xfId="10244" xr:uid="{D764BFD1-84AF-469C-BB73-CD86171823B5}"/>
    <cellStyle name="Normal 10 2 3 3 4 2 2 4" xfId="10245" xr:uid="{7F879927-874B-47E6-96CF-A15CF6EF1BB9}"/>
    <cellStyle name="Normal 10 2 3 3 4 2 2 4 2" xfId="10246" xr:uid="{E0F2E85D-6018-423E-B373-DA49137E87A4}"/>
    <cellStyle name="Normal 10 2 3 3 4 2 2 5" xfId="10247" xr:uid="{6899BEE4-7B91-45A6-B5C7-01E4A07751EC}"/>
    <cellStyle name="Normal 10 2 3 3 4 2 3" xfId="10248" xr:uid="{481B1CD0-8C06-490F-9029-FFDB3F995F4F}"/>
    <cellStyle name="Normal 10 2 3 3 4 2 3 2" xfId="10249" xr:uid="{27979C05-63ED-4517-86A4-71AA0D289B04}"/>
    <cellStyle name="Normal 10 2 3 3 4 2 3 2 2" xfId="10250" xr:uid="{CABA92C1-CEF5-4E4B-BB0F-9AF3AD49F96A}"/>
    <cellStyle name="Normal 10 2 3 3 4 2 3 2 2 2" xfId="10251" xr:uid="{96DE94DB-A8C1-46E7-BAC2-132A12BBDC68}"/>
    <cellStyle name="Normal 10 2 3 3 4 2 3 2 3" xfId="10252" xr:uid="{B720A1C7-6250-4A05-848E-75607B61F0F6}"/>
    <cellStyle name="Normal 10 2 3 3 4 2 3 3" xfId="10253" xr:uid="{40B7B2D1-FC2E-4751-8906-834D1C9067F6}"/>
    <cellStyle name="Normal 10 2 3 3 4 2 3 3 2" xfId="10254" xr:uid="{11AEC7C3-C0B8-4DFD-9564-A9A2ABA9C941}"/>
    <cellStyle name="Normal 10 2 3 3 4 2 3 4" xfId="10255" xr:uid="{4CB67490-C658-4246-BA42-FD534D31A3DE}"/>
    <cellStyle name="Normal 10 2 3 3 4 2 4" xfId="10256" xr:uid="{D0CD9866-E37E-44FD-BC21-C233CF34FA19}"/>
    <cellStyle name="Normal 10 2 3 3 4 2 4 2" xfId="10257" xr:uid="{54FC72D0-660E-43A9-A52C-1C4BF575FA4A}"/>
    <cellStyle name="Normal 10 2 3 3 4 2 4 2 2" xfId="10258" xr:uid="{B0D6A161-607E-4E54-8697-5DA887D0CEAE}"/>
    <cellStyle name="Normal 10 2 3 3 4 2 4 3" xfId="10259" xr:uid="{EE3CC701-7F94-4C0E-9193-F1BB64E6E704}"/>
    <cellStyle name="Normal 10 2 3 3 4 2 5" xfId="10260" xr:uid="{B76E3D8B-2FDF-4AFD-9D53-69E875FB85ED}"/>
    <cellStyle name="Normal 10 2 3 3 4 2 5 2" xfId="10261" xr:uid="{1E898E8E-D223-4D89-8870-B9A4BAE5B619}"/>
    <cellStyle name="Normal 10 2 3 3 4 2 6" xfId="10262" xr:uid="{3BD37AEA-61C6-4E10-B342-334B12A1EC58}"/>
    <cellStyle name="Normal 10 2 3 3 4 3" xfId="10263" xr:uid="{3FE13742-5E94-4E2C-AFBB-ACE16A80345A}"/>
    <cellStyle name="Normal 10 2 3 3 4 3 2" xfId="10264" xr:uid="{AD288422-0C65-44C2-A28C-D280741CB42B}"/>
    <cellStyle name="Normal 10 2 3 3 4 3 2 2" xfId="10265" xr:uid="{EC86E5D0-BE39-48A8-ADA6-186ADC3578DD}"/>
    <cellStyle name="Normal 10 2 3 3 4 3 2 2 2" xfId="10266" xr:uid="{EB8C6169-6C19-48F3-83E6-87B5C5A60692}"/>
    <cellStyle name="Normal 10 2 3 3 4 3 2 2 2 2" xfId="10267" xr:uid="{0DED9FB3-8921-4CB4-973D-C881C0CC5957}"/>
    <cellStyle name="Normal 10 2 3 3 4 3 2 2 3" xfId="10268" xr:uid="{14A2D92C-DF82-4832-B95A-FD29087E6FEF}"/>
    <cellStyle name="Normal 10 2 3 3 4 3 2 3" xfId="10269" xr:uid="{4143687D-FA2B-4690-8C0F-931E8CFAB336}"/>
    <cellStyle name="Normal 10 2 3 3 4 3 2 3 2" xfId="10270" xr:uid="{4626AC08-E06D-44B1-B545-B54846BDC11C}"/>
    <cellStyle name="Normal 10 2 3 3 4 3 2 4" xfId="10271" xr:uid="{0405FA7E-F3F4-448A-82CB-426E64B9F5B8}"/>
    <cellStyle name="Normal 10 2 3 3 4 3 3" xfId="10272" xr:uid="{785421C5-CA14-45B7-AB6B-27E47104E710}"/>
    <cellStyle name="Normal 10 2 3 3 4 3 3 2" xfId="10273" xr:uid="{58D9829E-FA37-44EE-9C98-DDB7DD69F26A}"/>
    <cellStyle name="Normal 10 2 3 3 4 3 3 2 2" xfId="10274" xr:uid="{9E0D379D-6ACB-4F5D-8CFC-6CC59370C416}"/>
    <cellStyle name="Normal 10 2 3 3 4 3 3 3" xfId="10275" xr:uid="{2D5558EB-BFC0-4116-AC5F-1490BACDD9FF}"/>
    <cellStyle name="Normal 10 2 3 3 4 3 4" xfId="10276" xr:uid="{5E924A0C-5C9E-43D3-BFC6-503437AB8C9B}"/>
    <cellStyle name="Normal 10 2 3 3 4 3 4 2" xfId="10277" xr:uid="{0F1E8188-C39F-4FD1-A6E7-1BD071F6C949}"/>
    <cellStyle name="Normal 10 2 3 3 4 3 5" xfId="10278" xr:uid="{611B8464-0F63-4784-B911-636B17CF8377}"/>
    <cellStyle name="Normal 10 2 3 3 4 4" xfId="10279" xr:uid="{324FFD6C-0A17-4AD2-A330-0CED61E45EAB}"/>
    <cellStyle name="Normal 10 2 3 3 4 4 2" xfId="10280" xr:uid="{6A22FCF1-1DFD-407F-BDEE-F34C6E2146BA}"/>
    <cellStyle name="Normal 10 2 3 3 4 4 2 2" xfId="10281" xr:uid="{5DE907B4-8C50-4B01-9A8C-F3F4E90AD81B}"/>
    <cellStyle name="Normal 10 2 3 3 4 4 2 2 2" xfId="10282" xr:uid="{40FE2A6A-9230-4CA2-B840-6AE10DCA95DC}"/>
    <cellStyle name="Normal 10 2 3 3 4 4 2 3" xfId="10283" xr:uid="{BE12A247-CFDB-4C29-A564-DF0255EFBB19}"/>
    <cellStyle name="Normal 10 2 3 3 4 4 3" xfId="10284" xr:uid="{6F1F1180-5033-4FFD-BFBB-AF113342E6CB}"/>
    <cellStyle name="Normal 10 2 3 3 4 4 3 2" xfId="10285" xr:uid="{49727CE9-6CDE-4A36-BB55-65941009B242}"/>
    <cellStyle name="Normal 10 2 3 3 4 4 4" xfId="10286" xr:uid="{DF65460B-671C-4C28-940B-EBBAA2B64946}"/>
    <cellStyle name="Normal 10 2 3 3 4 5" xfId="10287" xr:uid="{AD475DD3-4D47-4454-B0FC-430BB6D51847}"/>
    <cellStyle name="Normal 10 2 3 3 4 5 2" xfId="10288" xr:uid="{C42B8ABC-2B52-46CB-BAF1-EF4F37A0ECD3}"/>
    <cellStyle name="Normal 10 2 3 3 4 5 2 2" xfId="10289" xr:uid="{04ED1D5F-5CD9-47B1-A9FF-FC50CE50AFF5}"/>
    <cellStyle name="Normal 10 2 3 3 4 5 3" xfId="10290" xr:uid="{7C837767-0BB0-4311-973A-E88EA27F7035}"/>
    <cellStyle name="Normal 10 2 3 3 4 6" xfId="10291" xr:uid="{416AB504-FDB5-4967-839C-B5F1A4A0C523}"/>
    <cellStyle name="Normal 10 2 3 3 4 6 2" xfId="10292" xr:uid="{468ACA1E-1A81-4AA9-9A50-38523F45B868}"/>
    <cellStyle name="Normal 10 2 3 3 4 7" xfId="10293" xr:uid="{3F649013-7F09-41A0-8703-37C3E5441AB2}"/>
    <cellStyle name="Normal 10 2 3 3 5" xfId="10294" xr:uid="{64B75FB2-1390-4609-B501-F7BFFE3F4C23}"/>
    <cellStyle name="Normal 10 2 3 3 5 2" xfId="10295" xr:uid="{839669D7-4477-44B1-A192-DF78C02C9D1A}"/>
    <cellStyle name="Normal 10 2 3 3 5 2 2" xfId="10296" xr:uid="{A3ACAAEB-237B-4236-9392-84B667397219}"/>
    <cellStyle name="Normal 10 2 3 3 5 2 2 2" xfId="10297" xr:uid="{2068E02D-B500-4A9A-A2DD-BCECB494E595}"/>
    <cellStyle name="Normal 10 2 3 3 5 2 2 2 2" xfId="10298" xr:uid="{815A7E9D-01E6-45B1-BAED-4BA867920F3A}"/>
    <cellStyle name="Normal 10 2 3 3 5 2 2 2 2 2" xfId="10299" xr:uid="{113AD859-9BC6-46B4-9C7C-6E3F8BD126B4}"/>
    <cellStyle name="Normal 10 2 3 3 5 2 2 2 3" xfId="10300" xr:uid="{0404338E-0B14-48C6-965B-2FD7D786467C}"/>
    <cellStyle name="Normal 10 2 3 3 5 2 2 3" xfId="10301" xr:uid="{0D10C2D8-21C4-444B-BEF1-86B2DC77EBC2}"/>
    <cellStyle name="Normal 10 2 3 3 5 2 2 3 2" xfId="10302" xr:uid="{C1AF62AE-698D-4A5C-A35F-9B9834A3E9AC}"/>
    <cellStyle name="Normal 10 2 3 3 5 2 2 4" xfId="10303" xr:uid="{67F0A73A-C363-46B1-AB57-B2B2F74D9E50}"/>
    <cellStyle name="Normal 10 2 3 3 5 2 3" xfId="10304" xr:uid="{CD753A6D-D311-4EF6-99F2-CBCE658905BD}"/>
    <cellStyle name="Normal 10 2 3 3 5 2 3 2" xfId="10305" xr:uid="{FF02E6DC-6CAD-4627-9F74-2FF02AB399D5}"/>
    <cellStyle name="Normal 10 2 3 3 5 2 3 2 2" xfId="10306" xr:uid="{CAF05A91-7F2C-40D2-9BCE-C36AAF4A78F3}"/>
    <cellStyle name="Normal 10 2 3 3 5 2 3 3" xfId="10307" xr:uid="{92AF3EF7-D04C-4D3C-A96C-696DFC579E1E}"/>
    <cellStyle name="Normal 10 2 3 3 5 2 4" xfId="10308" xr:uid="{E7945957-7835-4597-A537-F7E5E5FE2120}"/>
    <cellStyle name="Normal 10 2 3 3 5 2 4 2" xfId="10309" xr:uid="{55C66E99-1FCB-40D5-AD4C-5EC5393BB9B7}"/>
    <cellStyle name="Normal 10 2 3 3 5 2 5" xfId="10310" xr:uid="{06A087B2-6AA1-46E2-8BD0-E41CC3F16C8C}"/>
    <cellStyle name="Normal 10 2 3 3 5 3" xfId="10311" xr:uid="{D57236D4-EC3A-46D6-A4D5-42313622A83E}"/>
    <cellStyle name="Normal 10 2 3 3 5 3 2" xfId="10312" xr:uid="{C4B7B842-BE0A-4EEB-B812-998DE82ADC47}"/>
    <cellStyle name="Normal 10 2 3 3 5 3 2 2" xfId="10313" xr:uid="{532C4CCD-97AE-4331-825E-44CBA2218B60}"/>
    <cellStyle name="Normal 10 2 3 3 5 3 2 2 2" xfId="10314" xr:uid="{38F064BB-FAA2-4581-B1D7-7399B181A935}"/>
    <cellStyle name="Normal 10 2 3 3 5 3 2 3" xfId="10315" xr:uid="{DF32D260-FD86-43EF-A9B3-B55C4771C8E6}"/>
    <cellStyle name="Normal 10 2 3 3 5 3 3" xfId="10316" xr:uid="{4E1B2704-3498-40D1-B3D8-7DED87033DBC}"/>
    <cellStyle name="Normal 10 2 3 3 5 3 3 2" xfId="10317" xr:uid="{3AEA81A1-8B67-4462-88EF-72896A65EF1C}"/>
    <cellStyle name="Normal 10 2 3 3 5 3 4" xfId="10318" xr:uid="{EFF4CFFE-3429-46E5-85F8-2D7FB53F7D3C}"/>
    <cellStyle name="Normal 10 2 3 3 5 4" xfId="10319" xr:uid="{4673FA47-056D-45C4-90B2-8614A49F285E}"/>
    <cellStyle name="Normal 10 2 3 3 5 4 2" xfId="10320" xr:uid="{6F5B3C8C-91E5-42F6-B5F7-3D0C44A2B905}"/>
    <cellStyle name="Normal 10 2 3 3 5 4 2 2" xfId="10321" xr:uid="{3FEEC268-9835-4B66-B1A3-045B17AEF413}"/>
    <cellStyle name="Normal 10 2 3 3 5 4 3" xfId="10322" xr:uid="{81D5BD24-1739-47DA-A87A-055C841A2040}"/>
    <cellStyle name="Normal 10 2 3 3 5 5" xfId="10323" xr:uid="{21F4EEC5-2C13-41BC-90EE-174B9B19730A}"/>
    <cellStyle name="Normal 10 2 3 3 5 5 2" xfId="10324" xr:uid="{6C324524-95E7-4169-965C-6AE1F5F1CD51}"/>
    <cellStyle name="Normal 10 2 3 3 5 6" xfId="10325" xr:uid="{45E4251F-FC1F-4E5A-AF4A-201807F81152}"/>
    <cellStyle name="Normal 10 2 3 3 6" xfId="10326" xr:uid="{EE7AF52C-C2CA-4740-A4A8-20525D544020}"/>
    <cellStyle name="Normal 10 2 3 3 6 2" xfId="10327" xr:uid="{A9F9A47F-94C0-4901-8BA4-17CAF1F2C2CE}"/>
    <cellStyle name="Normal 10 2 3 3 6 2 2" xfId="10328" xr:uid="{645F1B13-A481-4FA1-B3BD-021232875727}"/>
    <cellStyle name="Normal 10 2 3 3 6 2 2 2" xfId="10329" xr:uid="{EC9BCDC1-2BE7-4A91-A8B1-B7A10C2C53F7}"/>
    <cellStyle name="Normal 10 2 3 3 6 2 2 2 2" xfId="10330" xr:uid="{2E1D4496-F7CE-4B9F-A2D0-EDB2FF1682BF}"/>
    <cellStyle name="Normal 10 2 3 3 6 2 2 3" xfId="10331" xr:uid="{7EC6BE28-B320-4E52-BB9F-0B7CF2304874}"/>
    <cellStyle name="Normal 10 2 3 3 6 2 3" xfId="10332" xr:uid="{FC2777D2-7085-45B5-8228-2F86961205ED}"/>
    <cellStyle name="Normal 10 2 3 3 6 2 3 2" xfId="10333" xr:uid="{5005D7FC-0E2A-4236-B8A2-4516682CEEAB}"/>
    <cellStyle name="Normal 10 2 3 3 6 2 4" xfId="10334" xr:uid="{C218ECA0-C76F-4136-AD79-81D105E8E612}"/>
    <cellStyle name="Normal 10 2 3 3 6 3" xfId="10335" xr:uid="{502CBA36-D378-4B96-949E-291EBFA2FD90}"/>
    <cellStyle name="Normal 10 2 3 3 6 3 2" xfId="10336" xr:uid="{ADCA05AA-836F-4532-95F8-4044A861E109}"/>
    <cellStyle name="Normal 10 2 3 3 6 3 2 2" xfId="10337" xr:uid="{FD77D572-1830-469F-9498-A069CAE0AD94}"/>
    <cellStyle name="Normal 10 2 3 3 6 3 3" xfId="10338" xr:uid="{0E6E97F1-E868-419B-BD5F-A3755249B846}"/>
    <cellStyle name="Normal 10 2 3 3 6 4" xfId="10339" xr:uid="{3979E63C-E2FB-41EF-92B9-B540A300EF26}"/>
    <cellStyle name="Normal 10 2 3 3 6 4 2" xfId="10340" xr:uid="{C2DAF5C4-5391-43A8-9EE1-E195EF2448F8}"/>
    <cellStyle name="Normal 10 2 3 3 6 5" xfId="10341" xr:uid="{A8ED9520-32B1-490B-9EBD-2C7CD78E2B56}"/>
    <cellStyle name="Normal 10 2 3 3 7" xfId="10342" xr:uid="{73F939C4-29C3-424C-8AD5-7B3652D427E1}"/>
    <cellStyle name="Normal 10 2 3 3 7 2" xfId="10343" xr:uid="{6E8816C8-CA65-45FB-AC79-E13B2B9BC4BC}"/>
    <cellStyle name="Normal 10 2 3 3 7 2 2" xfId="10344" xr:uid="{6C373EA2-8D53-4050-BEEA-3FAAC75E691B}"/>
    <cellStyle name="Normal 10 2 3 3 7 2 2 2" xfId="10345" xr:uid="{C3B714CC-6035-48E9-80DC-41315E4A9EC0}"/>
    <cellStyle name="Normal 10 2 3 3 7 2 3" xfId="10346" xr:uid="{776D1A6A-26C2-448D-AA3A-6A69E98DD86C}"/>
    <cellStyle name="Normal 10 2 3 3 7 3" xfId="10347" xr:uid="{40F56F04-74CB-4034-A8D4-08DB27EF5D4D}"/>
    <cellStyle name="Normal 10 2 3 3 7 3 2" xfId="10348" xr:uid="{ADD272F4-63B2-444E-AB13-DBB5765ED6DE}"/>
    <cellStyle name="Normal 10 2 3 3 7 4" xfId="10349" xr:uid="{C69AB855-CD27-4555-836C-20E97A98BC12}"/>
    <cellStyle name="Normal 10 2 3 3 8" xfId="10350" xr:uid="{A4DDFD63-29FB-4C9E-9423-2B50BEBFEA58}"/>
    <cellStyle name="Normal 10 2 3 3 8 2" xfId="10351" xr:uid="{3E4BC593-F174-48F6-B5EB-27DD3EC288AF}"/>
    <cellStyle name="Normal 10 2 3 3 8 2 2" xfId="10352" xr:uid="{C7523ECD-B45A-40B1-A3FF-17AE9DC87062}"/>
    <cellStyle name="Normal 10 2 3 3 8 3" xfId="10353" xr:uid="{0ABA8CE0-F9A3-473E-99F2-D8BFE7105938}"/>
    <cellStyle name="Normal 10 2 3 3 9" xfId="10354" xr:uid="{E8A39721-AA6A-47FF-A4D4-1501C6BAD57A}"/>
    <cellStyle name="Normal 10 2 3 3 9 2" xfId="10355" xr:uid="{6358868C-5050-4F5D-99B1-FC0DEA55BD14}"/>
    <cellStyle name="Normal 10 2 3 4" xfId="258" xr:uid="{0CB7CB1B-748D-44FC-BC9B-A5AA5DB0870F}"/>
    <cellStyle name="Normal 10 2 3 4 10" xfId="10356" xr:uid="{DF7D70CD-1170-4D5B-B3ED-7D88DA4D946E}"/>
    <cellStyle name="Normal 10 2 3 4 11" xfId="552" xr:uid="{6AE5858A-77BD-491E-B6C7-F96096E270D4}"/>
    <cellStyle name="Normal 10 2 3 4 2" xfId="320" xr:uid="{EF722B5A-66F2-4018-9B9E-306B92DC3CF3}"/>
    <cellStyle name="Normal 10 2 3 4 2 10" xfId="10357" xr:uid="{BF93A20B-0927-4069-9278-62581931A1B8}"/>
    <cellStyle name="Normal 10 2 3 4 2 2" xfId="10358" xr:uid="{CB41CCA7-63FD-4CB7-AE85-6869D31C9DF9}"/>
    <cellStyle name="Normal 10 2 3 4 2 2 2" xfId="10359" xr:uid="{ADE09174-189E-414E-B4E7-4334F576BB81}"/>
    <cellStyle name="Normal 10 2 3 4 2 2 2 2" xfId="10360" xr:uid="{B2DABD24-D5AA-4612-A491-9290E6D3EE19}"/>
    <cellStyle name="Normal 10 2 3 4 2 2 2 2 2" xfId="10361" xr:uid="{2DD93A37-896F-4598-ACAE-56C3AE549B71}"/>
    <cellStyle name="Normal 10 2 3 4 2 2 2 2 2 2" xfId="10362" xr:uid="{A9524C1E-EAB4-4D2D-92AE-3F4F8996E794}"/>
    <cellStyle name="Normal 10 2 3 4 2 2 2 2 2 2 2" xfId="10363" xr:uid="{AD47E26E-F470-453A-9EEC-09D9C62513BD}"/>
    <cellStyle name="Normal 10 2 3 4 2 2 2 2 2 2 2 2" xfId="10364" xr:uid="{230ED8DE-2837-480F-9BB8-9778BA9DC9E6}"/>
    <cellStyle name="Normal 10 2 3 4 2 2 2 2 2 2 2 2 2" xfId="10365" xr:uid="{5B56245E-2D65-4194-8896-47AC71F93CF2}"/>
    <cellStyle name="Normal 10 2 3 4 2 2 2 2 2 2 2 3" xfId="10366" xr:uid="{FD1D83AF-946C-4672-A8D7-6465F5ED7368}"/>
    <cellStyle name="Normal 10 2 3 4 2 2 2 2 2 2 3" xfId="10367" xr:uid="{04895FCF-F122-4AE9-BD58-8A0109ED3538}"/>
    <cellStyle name="Normal 10 2 3 4 2 2 2 2 2 2 3 2" xfId="10368" xr:uid="{06E47846-BEDB-4C59-AC9B-658F5A4296E7}"/>
    <cellStyle name="Normal 10 2 3 4 2 2 2 2 2 2 4" xfId="10369" xr:uid="{F9A28029-2E85-4E90-819E-CFFD15CC7198}"/>
    <cellStyle name="Normal 10 2 3 4 2 2 2 2 2 3" xfId="10370" xr:uid="{268C97D5-3153-42A0-9536-25912BE42852}"/>
    <cellStyle name="Normal 10 2 3 4 2 2 2 2 2 3 2" xfId="10371" xr:uid="{047FCA46-2527-4A80-87B1-29A68151EBCD}"/>
    <cellStyle name="Normal 10 2 3 4 2 2 2 2 2 3 2 2" xfId="10372" xr:uid="{B58A1A69-B72C-45D4-89BD-645D8C3BAA31}"/>
    <cellStyle name="Normal 10 2 3 4 2 2 2 2 2 3 3" xfId="10373" xr:uid="{2C0850AF-1A2C-44F2-8584-3E95F399767A}"/>
    <cellStyle name="Normal 10 2 3 4 2 2 2 2 2 4" xfId="10374" xr:uid="{04BE8DB4-1FFE-4E7E-A192-60DB2FFD7B63}"/>
    <cellStyle name="Normal 10 2 3 4 2 2 2 2 2 4 2" xfId="10375" xr:uid="{A9FE80ED-3D46-4B79-9F48-A48FFD192894}"/>
    <cellStyle name="Normal 10 2 3 4 2 2 2 2 2 5" xfId="10376" xr:uid="{FC4D4EE6-7AF8-464F-A894-3C9249A845ED}"/>
    <cellStyle name="Normal 10 2 3 4 2 2 2 2 3" xfId="10377" xr:uid="{068BC164-E387-4D80-9F2E-188AE8DA7CC0}"/>
    <cellStyle name="Normal 10 2 3 4 2 2 2 2 3 2" xfId="10378" xr:uid="{E00A6616-57AA-4C1C-91A2-55DD0070BCB9}"/>
    <cellStyle name="Normal 10 2 3 4 2 2 2 2 3 2 2" xfId="10379" xr:uid="{FA265883-3E65-4D84-8F9F-B0EC49A3FB9A}"/>
    <cellStyle name="Normal 10 2 3 4 2 2 2 2 3 2 2 2" xfId="10380" xr:uid="{413365A9-BD8F-4A35-AA43-1C921255249D}"/>
    <cellStyle name="Normal 10 2 3 4 2 2 2 2 3 2 3" xfId="10381" xr:uid="{725D8E8A-7A77-461F-B246-466F08CCF961}"/>
    <cellStyle name="Normal 10 2 3 4 2 2 2 2 3 3" xfId="10382" xr:uid="{FFCB9880-D5E7-4FAA-80F4-E8F9F31A6D7B}"/>
    <cellStyle name="Normal 10 2 3 4 2 2 2 2 3 3 2" xfId="10383" xr:uid="{767C0E59-0646-4C29-BE86-975A399CCE7C}"/>
    <cellStyle name="Normal 10 2 3 4 2 2 2 2 3 4" xfId="10384" xr:uid="{1C00AC14-C631-4E67-AAD5-C16181490A6C}"/>
    <cellStyle name="Normal 10 2 3 4 2 2 2 2 4" xfId="10385" xr:uid="{76CF9FFF-4F72-4193-88D1-83C419626AA7}"/>
    <cellStyle name="Normal 10 2 3 4 2 2 2 2 4 2" xfId="10386" xr:uid="{C2281113-96BA-4986-88A0-8179E92F0CDF}"/>
    <cellStyle name="Normal 10 2 3 4 2 2 2 2 4 2 2" xfId="10387" xr:uid="{84BFE558-0BDF-4276-BE3C-2D784937D191}"/>
    <cellStyle name="Normal 10 2 3 4 2 2 2 2 4 3" xfId="10388" xr:uid="{16A4B8DB-4C95-47F8-B51D-87FDEA08A6B7}"/>
    <cellStyle name="Normal 10 2 3 4 2 2 2 2 5" xfId="10389" xr:uid="{24517586-7205-420A-891C-53C066637289}"/>
    <cellStyle name="Normal 10 2 3 4 2 2 2 2 5 2" xfId="10390" xr:uid="{3EF573C0-74CB-40FB-8DE5-13EB897A0743}"/>
    <cellStyle name="Normal 10 2 3 4 2 2 2 2 6" xfId="10391" xr:uid="{ECE52699-ACFD-4661-8578-E889FD3C1978}"/>
    <cellStyle name="Normal 10 2 3 4 2 2 2 3" xfId="10392" xr:uid="{D8E13B5B-5AD3-4CBA-9BD4-6084B2629C86}"/>
    <cellStyle name="Normal 10 2 3 4 2 2 2 3 2" xfId="10393" xr:uid="{A321AD88-DBD7-48B1-A743-F9B24EAAB66F}"/>
    <cellStyle name="Normal 10 2 3 4 2 2 2 3 2 2" xfId="10394" xr:uid="{5FF792E1-EFF6-4CD3-B6AC-D7CF4D7A3BF2}"/>
    <cellStyle name="Normal 10 2 3 4 2 2 2 3 2 2 2" xfId="10395" xr:uid="{DAFC886C-2045-42DB-A3EB-8BC3B97A48D9}"/>
    <cellStyle name="Normal 10 2 3 4 2 2 2 3 2 2 2 2" xfId="10396" xr:uid="{98A9910C-9778-4133-BAFD-26FF42CC65A7}"/>
    <cellStyle name="Normal 10 2 3 4 2 2 2 3 2 2 3" xfId="10397" xr:uid="{2F31B906-8C8D-406A-AC32-7EB6710E620C}"/>
    <cellStyle name="Normal 10 2 3 4 2 2 2 3 2 3" xfId="10398" xr:uid="{63796837-5306-4FE9-A45C-3B6FC87AD591}"/>
    <cellStyle name="Normal 10 2 3 4 2 2 2 3 2 3 2" xfId="10399" xr:uid="{4649ED59-8D1B-4EB3-B851-B814CE704611}"/>
    <cellStyle name="Normal 10 2 3 4 2 2 2 3 2 4" xfId="10400" xr:uid="{5E8AF71F-287E-4623-852C-A47DF6DAFF16}"/>
    <cellStyle name="Normal 10 2 3 4 2 2 2 3 3" xfId="10401" xr:uid="{4DBD95D6-E714-4E0B-A6C6-0F33D17AD00C}"/>
    <cellStyle name="Normal 10 2 3 4 2 2 2 3 3 2" xfId="10402" xr:uid="{C8DEDE33-1434-4984-8762-FD7338680454}"/>
    <cellStyle name="Normal 10 2 3 4 2 2 2 3 3 2 2" xfId="10403" xr:uid="{2CCBBD84-1950-4D63-A54B-9D163E21FF86}"/>
    <cellStyle name="Normal 10 2 3 4 2 2 2 3 3 3" xfId="10404" xr:uid="{B4CE906B-154D-4DD5-ADDB-7CAEDDD3110F}"/>
    <cellStyle name="Normal 10 2 3 4 2 2 2 3 4" xfId="10405" xr:uid="{8B90AA04-E305-4298-A468-356D0E9C60F5}"/>
    <cellStyle name="Normal 10 2 3 4 2 2 2 3 4 2" xfId="10406" xr:uid="{C065D7B2-34D8-4C47-9915-B6E1784E596A}"/>
    <cellStyle name="Normal 10 2 3 4 2 2 2 3 5" xfId="10407" xr:uid="{5201A80F-0F75-4839-A75C-077523B2161A}"/>
    <cellStyle name="Normal 10 2 3 4 2 2 2 4" xfId="10408" xr:uid="{E9FC3870-EA81-49D6-A3A4-3DE81EAE8EE7}"/>
    <cellStyle name="Normal 10 2 3 4 2 2 2 4 2" xfId="10409" xr:uid="{FFB6E594-16DA-4E7D-BAC7-84E414CE6F27}"/>
    <cellStyle name="Normal 10 2 3 4 2 2 2 4 2 2" xfId="10410" xr:uid="{EB2B5E92-0F5C-4633-A3C1-D70BDEF30C1C}"/>
    <cellStyle name="Normal 10 2 3 4 2 2 2 4 2 2 2" xfId="10411" xr:uid="{A24AAA1A-FA12-41B2-8871-6A1252E1987A}"/>
    <cellStyle name="Normal 10 2 3 4 2 2 2 4 2 3" xfId="10412" xr:uid="{D41D1997-452C-4133-9F22-27E30B036F70}"/>
    <cellStyle name="Normal 10 2 3 4 2 2 2 4 3" xfId="10413" xr:uid="{A1BE471C-17B1-4196-B00E-018176EE561A}"/>
    <cellStyle name="Normal 10 2 3 4 2 2 2 4 3 2" xfId="10414" xr:uid="{150D9AAD-B18A-4769-A087-23B5AA63837A}"/>
    <cellStyle name="Normal 10 2 3 4 2 2 2 4 4" xfId="10415" xr:uid="{9DF8EEFF-602B-4F14-80E9-F75C9B5860E1}"/>
    <cellStyle name="Normal 10 2 3 4 2 2 2 5" xfId="10416" xr:uid="{3B2B4F43-4C59-4613-A8F8-CA453596D169}"/>
    <cellStyle name="Normal 10 2 3 4 2 2 2 5 2" xfId="10417" xr:uid="{167A9CC3-FDF9-413B-B2F0-4F3C7FD86B1E}"/>
    <cellStyle name="Normal 10 2 3 4 2 2 2 5 2 2" xfId="10418" xr:uid="{78856103-BEA4-40EF-B884-F45FF7E47BD6}"/>
    <cellStyle name="Normal 10 2 3 4 2 2 2 5 3" xfId="10419" xr:uid="{A07BFE99-1550-43AA-B745-2D7BF8BB1E51}"/>
    <cellStyle name="Normal 10 2 3 4 2 2 2 6" xfId="10420" xr:uid="{DEB13498-28E2-4FD3-84B1-BBA3BE73457F}"/>
    <cellStyle name="Normal 10 2 3 4 2 2 2 6 2" xfId="10421" xr:uid="{0159D38D-8C14-4595-8CE8-20E9D371E7FC}"/>
    <cellStyle name="Normal 10 2 3 4 2 2 2 7" xfId="10422" xr:uid="{BCAE5B51-D9E0-43A0-BC71-7F52C3A42B51}"/>
    <cellStyle name="Normal 10 2 3 4 2 2 3" xfId="10423" xr:uid="{3622F59B-33ED-4E2C-8178-9D7D6B3B3499}"/>
    <cellStyle name="Normal 10 2 3 4 2 2 3 2" xfId="10424" xr:uid="{962CDD2C-FC3B-4891-9137-F9EACE2F6772}"/>
    <cellStyle name="Normal 10 2 3 4 2 2 3 2 2" xfId="10425" xr:uid="{66FAE114-7408-4A82-91FF-F5415BA49CAA}"/>
    <cellStyle name="Normal 10 2 3 4 2 2 3 2 2 2" xfId="10426" xr:uid="{B5BFB0A0-86D0-4071-82DD-4510D12C00A2}"/>
    <cellStyle name="Normal 10 2 3 4 2 2 3 2 2 2 2" xfId="10427" xr:uid="{368F5D09-8507-43AC-B14F-7A7D6FB0F484}"/>
    <cellStyle name="Normal 10 2 3 4 2 2 3 2 2 2 2 2" xfId="10428" xr:uid="{60A126C0-4445-428D-B2F3-10CC64747456}"/>
    <cellStyle name="Normal 10 2 3 4 2 2 3 2 2 2 3" xfId="10429" xr:uid="{196A12CA-EB83-4195-BEE9-8253EB86DA34}"/>
    <cellStyle name="Normal 10 2 3 4 2 2 3 2 2 3" xfId="10430" xr:uid="{40F03024-C289-4DBE-9455-B0AE464B849F}"/>
    <cellStyle name="Normal 10 2 3 4 2 2 3 2 2 3 2" xfId="10431" xr:uid="{B550408C-2CD4-4E19-8567-78F3F3014A0A}"/>
    <cellStyle name="Normal 10 2 3 4 2 2 3 2 2 4" xfId="10432" xr:uid="{C08AA09C-B59F-4302-9AA1-77D79B87B54C}"/>
    <cellStyle name="Normal 10 2 3 4 2 2 3 2 3" xfId="10433" xr:uid="{A3F9C8BF-940E-42A2-8C4A-8F41527E8DEA}"/>
    <cellStyle name="Normal 10 2 3 4 2 2 3 2 3 2" xfId="10434" xr:uid="{50DF6D78-763B-4AA3-9229-235070C49F2A}"/>
    <cellStyle name="Normal 10 2 3 4 2 2 3 2 3 2 2" xfId="10435" xr:uid="{F0DFD04E-18FD-41BE-BDB6-129ADC11C99F}"/>
    <cellStyle name="Normal 10 2 3 4 2 2 3 2 3 3" xfId="10436" xr:uid="{8059EAB8-1D01-4985-9FB3-7F16AEAE84EF}"/>
    <cellStyle name="Normal 10 2 3 4 2 2 3 2 4" xfId="10437" xr:uid="{553085A4-08BE-4B3D-B30B-B4655D88E98E}"/>
    <cellStyle name="Normal 10 2 3 4 2 2 3 2 4 2" xfId="10438" xr:uid="{5D174786-EC6F-4814-89F4-D93F8ED6D2DD}"/>
    <cellStyle name="Normal 10 2 3 4 2 2 3 2 5" xfId="10439" xr:uid="{67CF7ED1-FA30-47D9-99D7-4C25A0AD0DE0}"/>
    <cellStyle name="Normal 10 2 3 4 2 2 3 3" xfId="10440" xr:uid="{CB067E51-5F21-496F-A950-8E80296C9861}"/>
    <cellStyle name="Normal 10 2 3 4 2 2 3 3 2" xfId="10441" xr:uid="{29A6A0CB-A4D0-4EA0-8F71-173CEB38BE06}"/>
    <cellStyle name="Normal 10 2 3 4 2 2 3 3 2 2" xfId="10442" xr:uid="{A352F149-97F7-445C-B42C-823084FDD7D2}"/>
    <cellStyle name="Normal 10 2 3 4 2 2 3 3 2 2 2" xfId="10443" xr:uid="{2D9E1198-13FB-418E-8B9A-8BCB90199289}"/>
    <cellStyle name="Normal 10 2 3 4 2 2 3 3 2 3" xfId="10444" xr:uid="{4A8F4DC3-BD89-4170-9330-16DA1F4DE47A}"/>
    <cellStyle name="Normal 10 2 3 4 2 2 3 3 3" xfId="10445" xr:uid="{E3CA1DF1-64A6-4B49-A2E4-89C50441BB0A}"/>
    <cellStyle name="Normal 10 2 3 4 2 2 3 3 3 2" xfId="10446" xr:uid="{03A6CB6C-BAA8-473A-A2E3-2ED8B520042C}"/>
    <cellStyle name="Normal 10 2 3 4 2 2 3 3 4" xfId="10447" xr:uid="{5709F2A3-A0A4-4E64-AB23-297DF3ED512F}"/>
    <cellStyle name="Normal 10 2 3 4 2 2 3 4" xfId="10448" xr:uid="{56F6FD13-61AC-46EE-B457-5A95B1B1B012}"/>
    <cellStyle name="Normal 10 2 3 4 2 2 3 4 2" xfId="10449" xr:uid="{ADC9FE2A-8F45-435A-BD53-7808472300B1}"/>
    <cellStyle name="Normal 10 2 3 4 2 2 3 4 2 2" xfId="10450" xr:uid="{AF00E51C-8D5E-4A44-BB8A-7B7E071CBBFB}"/>
    <cellStyle name="Normal 10 2 3 4 2 2 3 4 3" xfId="10451" xr:uid="{5488A12D-B81F-4021-B8A4-2A1EA9729F22}"/>
    <cellStyle name="Normal 10 2 3 4 2 2 3 5" xfId="10452" xr:uid="{6D0E562D-D80E-4742-8590-7A95F06733B3}"/>
    <cellStyle name="Normal 10 2 3 4 2 2 3 5 2" xfId="10453" xr:uid="{5076500F-9B9C-47A3-88F3-7FEDCEE59EE4}"/>
    <cellStyle name="Normal 10 2 3 4 2 2 3 6" xfId="10454" xr:uid="{F4C448D6-190D-4D16-BD47-301FA98465B0}"/>
    <cellStyle name="Normal 10 2 3 4 2 2 4" xfId="10455" xr:uid="{2E3427B6-FEF0-499F-8DC4-9F1766F1D391}"/>
    <cellStyle name="Normal 10 2 3 4 2 2 4 2" xfId="10456" xr:uid="{769AF439-2ED5-4A14-A75D-A30545213D5D}"/>
    <cellStyle name="Normal 10 2 3 4 2 2 4 2 2" xfId="10457" xr:uid="{4D171E19-6F30-4786-A3A9-29B41DA005C9}"/>
    <cellStyle name="Normal 10 2 3 4 2 2 4 2 2 2" xfId="10458" xr:uid="{D7FADBD5-80C5-491B-907E-F623C9A5B334}"/>
    <cellStyle name="Normal 10 2 3 4 2 2 4 2 2 2 2" xfId="10459" xr:uid="{A30C4B4F-73FC-47DA-8D86-40EA995F2F7E}"/>
    <cellStyle name="Normal 10 2 3 4 2 2 4 2 2 3" xfId="10460" xr:uid="{6414692B-2E88-4CFC-BABF-B00D4B875CC8}"/>
    <cellStyle name="Normal 10 2 3 4 2 2 4 2 3" xfId="10461" xr:uid="{326B3F6E-0A37-4B0E-A125-C89A4437C52F}"/>
    <cellStyle name="Normal 10 2 3 4 2 2 4 2 3 2" xfId="10462" xr:uid="{4F8DA618-D58C-4496-9094-CC249BA7D86C}"/>
    <cellStyle name="Normal 10 2 3 4 2 2 4 2 4" xfId="10463" xr:uid="{5523B448-324A-4BE4-B3DB-44E1AA6DBA18}"/>
    <cellStyle name="Normal 10 2 3 4 2 2 4 3" xfId="10464" xr:uid="{2892857C-0EE3-4EFB-B814-5DD8B97F9682}"/>
    <cellStyle name="Normal 10 2 3 4 2 2 4 3 2" xfId="10465" xr:uid="{CC9FD61D-751F-46B6-913E-A67D3D72E14A}"/>
    <cellStyle name="Normal 10 2 3 4 2 2 4 3 2 2" xfId="10466" xr:uid="{780645B2-A8E7-4671-AE2F-341E09683045}"/>
    <cellStyle name="Normal 10 2 3 4 2 2 4 3 3" xfId="10467" xr:uid="{6D6327F8-FE73-4A13-A757-2423E480E3F9}"/>
    <cellStyle name="Normal 10 2 3 4 2 2 4 4" xfId="10468" xr:uid="{B79448B7-D5AB-4AB2-959B-BF3E36CF5B4B}"/>
    <cellStyle name="Normal 10 2 3 4 2 2 4 4 2" xfId="10469" xr:uid="{EF932460-99D5-437F-A110-DACDE4949FAE}"/>
    <cellStyle name="Normal 10 2 3 4 2 2 4 5" xfId="10470" xr:uid="{87DB99AC-74AB-4F26-8033-3958035D323E}"/>
    <cellStyle name="Normal 10 2 3 4 2 2 5" xfId="10471" xr:uid="{FC9BC9A0-598B-4C5C-A4B9-8D3A7E7F7948}"/>
    <cellStyle name="Normal 10 2 3 4 2 2 5 2" xfId="10472" xr:uid="{56B80F80-387E-422A-879A-6548A9FEC28A}"/>
    <cellStyle name="Normal 10 2 3 4 2 2 5 2 2" xfId="10473" xr:uid="{570F5C0F-B48D-4518-B0C6-63A31A7A97BF}"/>
    <cellStyle name="Normal 10 2 3 4 2 2 5 2 2 2" xfId="10474" xr:uid="{14EF6EFA-4001-4919-95A0-14ED99275236}"/>
    <cellStyle name="Normal 10 2 3 4 2 2 5 2 3" xfId="10475" xr:uid="{6BAC093B-324A-4218-8DF9-49EB9CD39DED}"/>
    <cellStyle name="Normal 10 2 3 4 2 2 5 3" xfId="10476" xr:uid="{F1F2489E-16DA-4CB7-A988-34F7B4078D8B}"/>
    <cellStyle name="Normal 10 2 3 4 2 2 5 3 2" xfId="10477" xr:uid="{047D8FC1-DDB2-4827-B456-797EF391EE7F}"/>
    <cellStyle name="Normal 10 2 3 4 2 2 5 4" xfId="10478" xr:uid="{D5795B51-A4AE-4BB4-B094-858594860369}"/>
    <cellStyle name="Normal 10 2 3 4 2 2 6" xfId="10479" xr:uid="{64C9219D-5C53-41EA-98BB-BD9DAD8A956E}"/>
    <cellStyle name="Normal 10 2 3 4 2 2 6 2" xfId="10480" xr:uid="{6D27A4A7-6D55-40B1-BB10-52FB00E6CB2E}"/>
    <cellStyle name="Normal 10 2 3 4 2 2 6 2 2" xfId="10481" xr:uid="{3BCE4A92-547E-4874-B3E0-48B9BF6A6ED3}"/>
    <cellStyle name="Normal 10 2 3 4 2 2 6 3" xfId="10482" xr:uid="{419D7890-84A1-4926-850F-207B922452BA}"/>
    <cellStyle name="Normal 10 2 3 4 2 2 7" xfId="10483" xr:uid="{8C1F63A4-7CB5-4837-ADF4-204785D4B4F2}"/>
    <cellStyle name="Normal 10 2 3 4 2 2 7 2" xfId="10484" xr:uid="{F548D5E5-1440-4A2E-A2C4-B0AA78D6E811}"/>
    <cellStyle name="Normal 10 2 3 4 2 2 8" xfId="10485" xr:uid="{16B0C798-9156-44DB-BA19-EEB7A0759762}"/>
    <cellStyle name="Normal 10 2 3 4 2 3" xfId="10486" xr:uid="{AAB6CF01-EC4D-4FC7-946F-66146894097C}"/>
    <cellStyle name="Normal 10 2 3 4 2 3 2" xfId="10487" xr:uid="{B1B57DEB-5668-411B-AAF6-785435EA070B}"/>
    <cellStyle name="Normal 10 2 3 4 2 3 2 2" xfId="10488" xr:uid="{6EE5E688-5A13-4705-B386-7531781A62F9}"/>
    <cellStyle name="Normal 10 2 3 4 2 3 2 2 2" xfId="10489" xr:uid="{A3A8C4EA-93AC-4B0C-B5F2-4E4FD668FE54}"/>
    <cellStyle name="Normal 10 2 3 4 2 3 2 2 2 2" xfId="10490" xr:uid="{288C99A8-6D5F-40F6-84F2-690E9C3CAD10}"/>
    <cellStyle name="Normal 10 2 3 4 2 3 2 2 2 2 2" xfId="10491" xr:uid="{19E9568A-33E3-43E7-A7F5-D5E962DFAA92}"/>
    <cellStyle name="Normal 10 2 3 4 2 3 2 2 2 2 2 2" xfId="10492" xr:uid="{147828D0-E1EA-44CD-89C4-D29963D8D39E}"/>
    <cellStyle name="Normal 10 2 3 4 2 3 2 2 2 2 3" xfId="10493" xr:uid="{E1E1BB84-5F86-404B-8952-7475D98509D0}"/>
    <cellStyle name="Normal 10 2 3 4 2 3 2 2 2 3" xfId="10494" xr:uid="{B2A856E0-3149-46E3-8229-C75DB1A393AA}"/>
    <cellStyle name="Normal 10 2 3 4 2 3 2 2 2 3 2" xfId="10495" xr:uid="{A93C2496-61FF-4A48-912F-8D0EBAAA3383}"/>
    <cellStyle name="Normal 10 2 3 4 2 3 2 2 2 4" xfId="10496" xr:uid="{35EB9FF5-327D-4CD1-A90B-23CE7A493AF2}"/>
    <cellStyle name="Normal 10 2 3 4 2 3 2 2 3" xfId="10497" xr:uid="{C03B6CAD-0173-42E7-8A57-5B30B6C52AE5}"/>
    <cellStyle name="Normal 10 2 3 4 2 3 2 2 3 2" xfId="10498" xr:uid="{7B927AAE-3AB2-4D03-AA2B-D9A4183D4601}"/>
    <cellStyle name="Normal 10 2 3 4 2 3 2 2 3 2 2" xfId="10499" xr:uid="{D8E0FAA8-0F65-4741-83C9-00B05636297F}"/>
    <cellStyle name="Normal 10 2 3 4 2 3 2 2 3 3" xfId="10500" xr:uid="{073ADC8D-A444-430D-B6B1-EA12B5701A0B}"/>
    <cellStyle name="Normal 10 2 3 4 2 3 2 2 4" xfId="10501" xr:uid="{15D190AA-DC12-408A-88B4-665B09AD3191}"/>
    <cellStyle name="Normal 10 2 3 4 2 3 2 2 4 2" xfId="10502" xr:uid="{99D12DD2-D4BC-4AD3-8879-D5C22C5227D9}"/>
    <cellStyle name="Normal 10 2 3 4 2 3 2 2 5" xfId="10503" xr:uid="{239468C0-99B4-4E24-BAE6-09AB9C977DC2}"/>
    <cellStyle name="Normal 10 2 3 4 2 3 2 3" xfId="10504" xr:uid="{EA3E8DCE-4403-4529-BFCC-D3EBAB2499C8}"/>
    <cellStyle name="Normal 10 2 3 4 2 3 2 3 2" xfId="10505" xr:uid="{C35E6B86-E357-4560-A7BA-0162EDFCFFBF}"/>
    <cellStyle name="Normal 10 2 3 4 2 3 2 3 2 2" xfId="10506" xr:uid="{9052A441-985B-4C0C-80F4-791715EB01A0}"/>
    <cellStyle name="Normal 10 2 3 4 2 3 2 3 2 2 2" xfId="10507" xr:uid="{70991766-99D0-4B48-A8E4-8E7292D039F5}"/>
    <cellStyle name="Normal 10 2 3 4 2 3 2 3 2 3" xfId="10508" xr:uid="{AB22BAC1-9660-4605-BD8E-9ED73DB9A61E}"/>
    <cellStyle name="Normal 10 2 3 4 2 3 2 3 3" xfId="10509" xr:uid="{1AC0F5ED-73D4-4ADB-B238-271B46564ADC}"/>
    <cellStyle name="Normal 10 2 3 4 2 3 2 3 3 2" xfId="10510" xr:uid="{EC3C1430-0CB4-4533-8C5E-95D7504A4943}"/>
    <cellStyle name="Normal 10 2 3 4 2 3 2 3 4" xfId="10511" xr:uid="{759A0309-8B94-441D-8627-A4D651322A88}"/>
    <cellStyle name="Normal 10 2 3 4 2 3 2 4" xfId="10512" xr:uid="{AA5B2A05-3FE7-43C0-8335-82AC2ECF13C8}"/>
    <cellStyle name="Normal 10 2 3 4 2 3 2 4 2" xfId="10513" xr:uid="{086366A6-46B6-4EFB-B20D-91DB824A83C1}"/>
    <cellStyle name="Normal 10 2 3 4 2 3 2 4 2 2" xfId="10514" xr:uid="{628AAA2F-2ABE-4C47-97CD-46814BE91E80}"/>
    <cellStyle name="Normal 10 2 3 4 2 3 2 4 3" xfId="10515" xr:uid="{E52E0C08-9D55-4372-99C8-D9C0F6078FB4}"/>
    <cellStyle name="Normal 10 2 3 4 2 3 2 5" xfId="10516" xr:uid="{DCDF6478-F89B-4E81-96B6-9D5B755206FE}"/>
    <cellStyle name="Normal 10 2 3 4 2 3 2 5 2" xfId="10517" xr:uid="{2BA4FDF0-4C98-4D7C-BE3A-E28B38766F8C}"/>
    <cellStyle name="Normal 10 2 3 4 2 3 2 6" xfId="10518" xr:uid="{072C6733-4B35-4EEC-AF90-2824826A0961}"/>
    <cellStyle name="Normal 10 2 3 4 2 3 3" xfId="10519" xr:uid="{2AEF0A35-6600-4718-BC21-DCE755B80F1C}"/>
    <cellStyle name="Normal 10 2 3 4 2 3 3 2" xfId="10520" xr:uid="{01F37FCE-BBB9-4378-87BC-CD5EA3A4172D}"/>
    <cellStyle name="Normal 10 2 3 4 2 3 3 2 2" xfId="10521" xr:uid="{36E28CB2-F368-4821-9F21-50A80C5D72BB}"/>
    <cellStyle name="Normal 10 2 3 4 2 3 3 2 2 2" xfId="10522" xr:uid="{9AE8EF20-7DE5-4F1B-B7B1-A3FB19C043B6}"/>
    <cellStyle name="Normal 10 2 3 4 2 3 3 2 2 2 2" xfId="10523" xr:uid="{9898722A-A9F4-4B3F-A1BD-42A061DA0154}"/>
    <cellStyle name="Normal 10 2 3 4 2 3 3 2 2 3" xfId="10524" xr:uid="{7F993ABA-0FF8-42BD-9544-C7AD5BCFFB90}"/>
    <cellStyle name="Normal 10 2 3 4 2 3 3 2 3" xfId="10525" xr:uid="{96785601-26A9-45E4-9AA1-CBBDDF80E70C}"/>
    <cellStyle name="Normal 10 2 3 4 2 3 3 2 3 2" xfId="10526" xr:uid="{ECA53A8C-D9C8-418C-A17E-A666F3767E7B}"/>
    <cellStyle name="Normal 10 2 3 4 2 3 3 2 4" xfId="10527" xr:uid="{2D91F7BD-07A0-4B5A-9EDA-89C517AE55CB}"/>
    <cellStyle name="Normal 10 2 3 4 2 3 3 3" xfId="10528" xr:uid="{A70B52D9-BBFC-418F-8FBA-DCF4341319B2}"/>
    <cellStyle name="Normal 10 2 3 4 2 3 3 3 2" xfId="10529" xr:uid="{CD21F6E0-1055-45C7-A104-267C63205B0C}"/>
    <cellStyle name="Normal 10 2 3 4 2 3 3 3 2 2" xfId="10530" xr:uid="{C0BD6396-B12B-4789-885D-433279BD2A8F}"/>
    <cellStyle name="Normal 10 2 3 4 2 3 3 3 3" xfId="10531" xr:uid="{0118A00B-4A01-43C0-9022-A7C015B8D0D0}"/>
    <cellStyle name="Normal 10 2 3 4 2 3 3 4" xfId="10532" xr:uid="{28F48DCD-E28D-4898-A7DB-67128B08E271}"/>
    <cellStyle name="Normal 10 2 3 4 2 3 3 4 2" xfId="10533" xr:uid="{BA2B6AAA-9AEE-4AD0-98D6-6CD43370DE85}"/>
    <cellStyle name="Normal 10 2 3 4 2 3 3 5" xfId="10534" xr:uid="{993ADF49-D8BD-4E1C-8839-B518CD06BFF6}"/>
    <cellStyle name="Normal 10 2 3 4 2 3 4" xfId="10535" xr:uid="{B66A12EA-48EC-4042-BF60-E3D287822E57}"/>
    <cellStyle name="Normal 10 2 3 4 2 3 4 2" xfId="10536" xr:uid="{C846B234-CD5E-458A-9B77-000449147C8B}"/>
    <cellStyle name="Normal 10 2 3 4 2 3 4 2 2" xfId="10537" xr:uid="{8753A688-1368-4633-BD61-BD8B45D565BA}"/>
    <cellStyle name="Normal 10 2 3 4 2 3 4 2 2 2" xfId="10538" xr:uid="{C07E63D1-2430-48F4-ADC5-9FEA85356F0F}"/>
    <cellStyle name="Normal 10 2 3 4 2 3 4 2 3" xfId="10539" xr:uid="{370A718D-509D-45BA-AD0F-F502EBC1E88B}"/>
    <cellStyle name="Normal 10 2 3 4 2 3 4 3" xfId="10540" xr:uid="{BC40D7D3-5DA6-4EEA-885F-4A03C9F98568}"/>
    <cellStyle name="Normal 10 2 3 4 2 3 4 3 2" xfId="10541" xr:uid="{F07F1314-01D8-443F-9324-5CE6240B50FA}"/>
    <cellStyle name="Normal 10 2 3 4 2 3 4 4" xfId="10542" xr:uid="{FA8493EA-FC39-43EF-842C-7BC99B814ABA}"/>
    <cellStyle name="Normal 10 2 3 4 2 3 5" xfId="10543" xr:uid="{AE6B1008-52ED-4F3E-9BC0-6CABA6ADBBD7}"/>
    <cellStyle name="Normal 10 2 3 4 2 3 5 2" xfId="10544" xr:uid="{9ACFDE71-40A0-417B-AEEB-A7610F14903C}"/>
    <cellStyle name="Normal 10 2 3 4 2 3 5 2 2" xfId="10545" xr:uid="{D57D2062-7B81-4B0A-8F80-72B7EC10F503}"/>
    <cellStyle name="Normal 10 2 3 4 2 3 5 3" xfId="10546" xr:uid="{53B8E774-731A-4186-A426-49693A3CFD19}"/>
    <cellStyle name="Normal 10 2 3 4 2 3 6" xfId="10547" xr:uid="{5BAA8293-1C84-4FA2-9669-0F9CB5EF0A72}"/>
    <cellStyle name="Normal 10 2 3 4 2 3 6 2" xfId="10548" xr:uid="{091BFD09-C052-49D1-9525-F7D2346CAB47}"/>
    <cellStyle name="Normal 10 2 3 4 2 3 7" xfId="10549" xr:uid="{4A089C0D-4FBF-43DF-AF77-18603AF4E299}"/>
    <cellStyle name="Normal 10 2 3 4 2 4" xfId="10550" xr:uid="{E59EE59C-4136-4419-8BE5-AFA7708DF3E8}"/>
    <cellStyle name="Normal 10 2 3 4 2 4 2" xfId="10551" xr:uid="{CC6EFB97-9A9D-4B44-8444-CAEC79B8E894}"/>
    <cellStyle name="Normal 10 2 3 4 2 4 2 2" xfId="10552" xr:uid="{79BA7CFE-824A-4B93-A9C5-8C256CC30976}"/>
    <cellStyle name="Normal 10 2 3 4 2 4 2 2 2" xfId="10553" xr:uid="{7E9BE7F4-AEBB-4519-A910-21E038DC0A74}"/>
    <cellStyle name="Normal 10 2 3 4 2 4 2 2 2 2" xfId="10554" xr:uid="{CB2B83DC-F62A-450A-8402-580EBAFA22A4}"/>
    <cellStyle name="Normal 10 2 3 4 2 4 2 2 2 2 2" xfId="10555" xr:uid="{AC66831D-6C68-4ED5-ADFB-9A50FF8834A9}"/>
    <cellStyle name="Normal 10 2 3 4 2 4 2 2 2 3" xfId="10556" xr:uid="{0DA34D60-4034-4D2C-AEDF-206B9C5298FC}"/>
    <cellStyle name="Normal 10 2 3 4 2 4 2 2 3" xfId="10557" xr:uid="{2109BE36-A745-428B-9DF6-2D8928944F1D}"/>
    <cellStyle name="Normal 10 2 3 4 2 4 2 2 3 2" xfId="10558" xr:uid="{87090B7A-7B96-4DCA-AC73-4FBEFBD5A650}"/>
    <cellStyle name="Normal 10 2 3 4 2 4 2 2 4" xfId="10559" xr:uid="{ABD7A8F2-4AA4-4ACB-A85B-080D2DB554E2}"/>
    <cellStyle name="Normal 10 2 3 4 2 4 2 3" xfId="10560" xr:uid="{FDCB768D-5327-4429-91FA-1D5FC70A0C95}"/>
    <cellStyle name="Normal 10 2 3 4 2 4 2 3 2" xfId="10561" xr:uid="{4C4448D7-311B-4B58-A143-F899E7316C77}"/>
    <cellStyle name="Normal 10 2 3 4 2 4 2 3 2 2" xfId="10562" xr:uid="{5E59CE43-F274-4E82-AF60-B01BD3AB8DD1}"/>
    <cellStyle name="Normal 10 2 3 4 2 4 2 3 3" xfId="10563" xr:uid="{FB7C0286-A54D-4844-810B-AE65ABAE3CA1}"/>
    <cellStyle name="Normal 10 2 3 4 2 4 2 4" xfId="10564" xr:uid="{C384F835-22B6-480E-8BB9-37D74F5941E6}"/>
    <cellStyle name="Normal 10 2 3 4 2 4 2 4 2" xfId="10565" xr:uid="{4D736047-1E02-4174-B519-482290D64E73}"/>
    <cellStyle name="Normal 10 2 3 4 2 4 2 5" xfId="10566" xr:uid="{6A47B25F-D486-45D8-B3B7-32F41E3E351E}"/>
    <cellStyle name="Normal 10 2 3 4 2 4 3" xfId="10567" xr:uid="{557481D8-E9A4-4F81-84B8-D757DE00A9C5}"/>
    <cellStyle name="Normal 10 2 3 4 2 4 3 2" xfId="10568" xr:uid="{6F6072C2-4F2A-4885-8C88-4AD59105ECBD}"/>
    <cellStyle name="Normal 10 2 3 4 2 4 3 2 2" xfId="10569" xr:uid="{2ABE3F00-DC15-43A4-B068-3BE354027C90}"/>
    <cellStyle name="Normal 10 2 3 4 2 4 3 2 2 2" xfId="10570" xr:uid="{1FB25096-8FF3-4F7D-AD7D-0D3DFD82A165}"/>
    <cellStyle name="Normal 10 2 3 4 2 4 3 2 3" xfId="10571" xr:uid="{B88EF0AC-4D2D-4A59-AEB0-D4AC84E08B80}"/>
    <cellStyle name="Normal 10 2 3 4 2 4 3 3" xfId="10572" xr:uid="{C4A09964-6BF3-433D-8363-9E8AF9E63752}"/>
    <cellStyle name="Normal 10 2 3 4 2 4 3 3 2" xfId="10573" xr:uid="{AC593DD9-5449-4E14-B9BE-5428F6F5343E}"/>
    <cellStyle name="Normal 10 2 3 4 2 4 3 4" xfId="10574" xr:uid="{316B3539-D998-42E6-8F4E-6902061F1DCE}"/>
    <cellStyle name="Normal 10 2 3 4 2 4 4" xfId="10575" xr:uid="{88285258-7D45-4D75-9916-C719D76EDA2B}"/>
    <cellStyle name="Normal 10 2 3 4 2 4 4 2" xfId="10576" xr:uid="{3EF88768-BEE5-4242-B79C-1EF3D8C9E065}"/>
    <cellStyle name="Normal 10 2 3 4 2 4 4 2 2" xfId="10577" xr:uid="{2DF910D2-2E27-4A85-BDB1-47A7CA3432E6}"/>
    <cellStyle name="Normal 10 2 3 4 2 4 4 3" xfId="10578" xr:uid="{153757C5-0776-40BA-948A-99885CAF676E}"/>
    <cellStyle name="Normal 10 2 3 4 2 4 5" xfId="10579" xr:uid="{1BCA4FEB-93D4-4652-9F77-824B47FE52EF}"/>
    <cellStyle name="Normal 10 2 3 4 2 4 5 2" xfId="10580" xr:uid="{4FD73EA1-93C8-4C5B-BE15-E6148D825A23}"/>
    <cellStyle name="Normal 10 2 3 4 2 4 6" xfId="10581" xr:uid="{489245E3-1283-461F-8065-77133F4B9424}"/>
    <cellStyle name="Normal 10 2 3 4 2 5" xfId="10582" xr:uid="{2A827830-30A2-4296-8CF5-39CAEC5483F4}"/>
    <cellStyle name="Normal 10 2 3 4 2 5 2" xfId="10583" xr:uid="{FB5DF244-D074-4429-BFBA-E49281A7D443}"/>
    <cellStyle name="Normal 10 2 3 4 2 5 2 2" xfId="10584" xr:uid="{0D1757C8-9E89-4DD0-8394-A293219C61ED}"/>
    <cellStyle name="Normal 10 2 3 4 2 5 2 2 2" xfId="10585" xr:uid="{FC18E6B7-1325-4A21-840D-00B4D18C068B}"/>
    <cellStyle name="Normal 10 2 3 4 2 5 2 2 2 2" xfId="10586" xr:uid="{DE8E5450-3D4A-4B0F-9C94-EAF8A1BBD04B}"/>
    <cellStyle name="Normal 10 2 3 4 2 5 2 2 3" xfId="10587" xr:uid="{8094616E-C006-43B5-B475-B9E2B39407D6}"/>
    <cellStyle name="Normal 10 2 3 4 2 5 2 3" xfId="10588" xr:uid="{D562D797-D8E3-4D8D-A28F-29EFAA5ED26B}"/>
    <cellStyle name="Normal 10 2 3 4 2 5 2 3 2" xfId="10589" xr:uid="{331A12C2-A6DD-4542-B8A6-A8CE6B796901}"/>
    <cellStyle name="Normal 10 2 3 4 2 5 2 4" xfId="10590" xr:uid="{BEEA751A-0EF6-46A2-AE45-40FE89D4B77F}"/>
    <cellStyle name="Normal 10 2 3 4 2 5 3" xfId="10591" xr:uid="{57FB0771-F1C8-4CD2-B932-FC2A09212F40}"/>
    <cellStyle name="Normal 10 2 3 4 2 5 3 2" xfId="10592" xr:uid="{4FF4AFBE-22DF-456A-97AC-10A436912898}"/>
    <cellStyle name="Normal 10 2 3 4 2 5 3 2 2" xfId="10593" xr:uid="{2DC9F1D2-F9F3-4A4A-9532-1B4A585CA13B}"/>
    <cellStyle name="Normal 10 2 3 4 2 5 3 3" xfId="10594" xr:uid="{C1546317-1918-45DD-81CC-BBB17832BAC6}"/>
    <cellStyle name="Normal 10 2 3 4 2 5 4" xfId="10595" xr:uid="{8FAFC3BB-D5E5-4362-9F9A-7D3135320C75}"/>
    <cellStyle name="Normal 10 2 3 4 2 5 4 2" xfId="10596" xr:uid="{A92DE24A-D529-4660-A183-B6EE09EE3005}"/>
    <cellStyle name="Normal 10 2 3 4 2 5 5" xfId="10597" xr:uid="{7979B03E-ABEA-418E-8FDF-E8A033804E64}"/>
    <cellStyle name="Normal 10 2 3 4 2 6" xfId="10598" xr:uid="{DDE49836-5E9F-4ED6-B8C5-EABF7AFA4F9C}"/>
    <cellStyle name="Normal 10 2 3 4 2 6 2" xfId="10599" xr:uid="{835CA56E-88D6-40BB-B195-0E887A32F4B9}"/>
    <cellStyle name="Normal 10 2 3 4 2 6 2 2" xfId="10600" xr:uid="{ACD2E642-0327-4981-BE25-702FDDEFAC86}"/>
    <cellStyle name="Normal 10 2 3 4 2 6 2 2 2" xfId="10601" xr:uid="{2C8FF51F-982E-432D-AF0A-45D8A746335C}"/>
    <cellStyle name="Normal 10 2 3 4 2 6 2 3" xfId="10602" xr:uid="{5B60014D-EF4F-4873-B98C-02E8EA62F89D}"/>
    <cellStyle name="Normal 10 2 3 4 2 6 3" xfId="10603" xr:uid="{7FDE08F2-0D3B-4DD5-9256-14D3531F1F32}"/>
    <cellStyle name="Normal 10 2 3 4 2 6 3 2" xfId="10604" xr:uid="{3C2A6BDC-C675-4F1B-B942-83DDE92E8B02}"/>
    <cellStyle name="Normal 10 2 3 4 2 6 4" xfId="10605" xr:uid="{8F2D4065-B4BC-4E31-BA95-4B4B792EC17A}"/>
    <cellStyle name="Normal 10 2 3 4 2 7" xfId="10606" xr:uid="{9A44DB40-D5BF-4D00-A162-4C18DE265BCD}"/>
    <cellStyle name="Normal 10 2 3 4 2 7 2" xfId="10607" xr:uid="{1C41AC4B-49E4-4036-9071-0E29E3E3CEC4}"/>
    <cellStyle name="Normal 10 2 3 4 2 7 2 2" xfId="10608" xr:uid="{DF850B16-D024-4D8B-A35B-D92DB3CC6679}"/>
    <cellStyle name="Normal 10 2 3 4 2 7 3" xfId="10609" xr:uid="{4A201610-A04D-4B1B-A4C3-D8873ECC9B98}"/>
    <cellStyle name="Normal 10 2 3 4 2 8" xfId="10610" xr:uid="{AF366447-3056-490A-87D5-19D97B6BA09B}"/>
    <cellStyle name="Normal 10 2 3 4 2 8 2" xfId="10611" xr:uid="{74274E45-2767-4E26-B7BD-960BABE71D40}"/>
    <cellStyle name="Normal 10 2 3 4 2 9" xfId="10612" xr:uid="{4B198528-F580-4884-9B4E-F04DB6EBA368}"/>
    <cellStyle name="Normal 10 2 3 4 3" xfId="493" xr:uid="{167E5C25-F9D7-4C61-9AA2-42F66889750E}"/>
    <cellStyle name="Normal 10 2 3 4 3 2" xfId="10614" xr:uid="{9558D9DD-8848-4BC9-80A3-CA0E588768DA}"/>
    <cellStyle name="Normal 10 2 3 4 3 2 2" xfId="10615" xr:uid="{57EF0030-5BF9-42B0-A503-FF1D4C407836}"/>
    <cellStyle name="Normal 10 2 3 4 3 2 2 2" xfId="10616" xr:uid="{FF109B25-881D-4D7E-B608-4BAEE423E198}"/>
    <cellStyle name="Normal 10 2 3 4 3 2 2 2 2" xfId="10617" xr:uid="{69DB9DC5-01EC-42FB-8146-C1304EB68D39}"/>
    <cellStyle name="Normal 10 2 3 4 3 2 2 2 2 2" xfId="10618" xr:uid="{0E7BB7AE-CC3D-4B0C-91CB-3068AABEAA8F}"/>
    <cellStyle name="Normal 10 2 3 4 3 2 2 2 2 2 2" xfId="10619" xr:uid="{90CA95E3-24DE-47CA-9B45-B2315047C692}"/>
    <cellStyle name="Normal 10 2 3 4 3 2 2 2 2 2 2 2" xfId="10620" xr:uid="{E7B051A5-6CDB-4744-9DF4-99348969C2DA}"/>
    <cellStyle name="Normal 10 2 3 4 3 2 2 2 2 2 3" xfId="10621" xr:uid="{BB112EBF-E1BB-4F1E-BBA1-7848E57F44A7}"/>
    <cellStyle name="Normal 10 2 3 4 3 2 2 2 2 3" xfId="10622" xr:uid="{F8F17BA1-28CD-452C-A2EB-E6965072FD15}"/>
    <cellStyle name="Normal 10 2 3 4 3 2 2 2 2 3 2" xfId="10623" xr:uid="{59CC5AB6-48F4-4A17-B9E2-57F0C68634EB}"/>
    <cellStyle name="Normal 10 2 3 4 3 2 2 2 2 4" xfId="10624" xr:uid="{602F14A4-F586-4E49-8DAB-F84AE1FFFE2C}"/>
    <cellStyle name="Normal 10 2 3 4 3 2 2 2 3" xfId="10625" xr:uid="{713F3683-CFB8-4C79-B361-121AF843BA42}"/>
    <cellStyle name="Normal 10 2 3 4 3 2 2 2 3 2" xfId="10626" xr:uid="{F53E14D6-ACFD-4C36-8F99-EAD3802E040B}"/>
    <cellStyle name="Normal 10 2 3 4 3 2 2 2 3 2 2" xfId="10627" xr:uid="{BCCA5E73-C3E8-4CBC-837A-43F18E2C088B}"/>
    <cellStyle name="Normal 10 2 3 4 3 2 2 2 3 3" xfId="10628" xr:uid="{F8F26C24-794C-41AC-B95B-218B48C4205E}"/>
    <cellStyle name="Normal 10 2 3 4 3 2 2 2 4" xfId="10629" xr:uid="{D99EADA8-CF61-4770-B28B-E28875D36231}"/>
    <cellStyle name="Normal 10 2 3 4 3 2 2 2 4 2" xfId="10630" xr:uid="{12359CB7-6054-4D26-B5F2-381C84555C64}"/>
    <cellStyle name="Normal 10 2 3 4 3 2 2 2 5" xfId="10631" xr:uid="{AB908C75-6DC2-4561-B84E-3ABBEBFBD778}"/>
    <cellStyle name="Normal 10 2 3 4 3 2 2 3" xfId="10632" xr:uid="{B0382CD8-AA49-4869-A9B8-1570423370E8}"/>
    <cellStyle name="Normal 10 2 3 4 3 2 2 3 2" xfId="10633" xr:uid="{4C86BFF1-CCE5-4BFF-A315-C066329E01B8}"/>
    <cellStyle name="Normal 10 2 3 4 3 2 2 3 2 2" xfId="10634" xr:uid="{464709CA-7A83-4733-9CF1-4987E1F3558F}"/>
    <cellStyle name="Normal 10 2 3 4 3 2 2 3 2 2 2" xfId="10635" xr:uid="{4E193B03-E418-4483-B41F-B4D5262334CB}"/>
    <cellStyle name="Normal 10 2 3 4 3 2 2 3 2 3" xfId="10636" xr:uid="{71EE7FC3-A483-4656-AD3D-C83E4A817D71}"/>
    <cellStyle name="Normal 10 2 3 4 3 2 2 3 3" xfId="10637" xr:uid="{9176451F-0192-4493-9F8A-A46D2CDAE6B6}"/>
    <cellStyle name="Normal 10 2 3 4 3 2 2 3 3 2" xfId="10638" xr:uid="{A7F0FDB2-3B35-4692-9E8E-313BBB7F0F3F}"/>
    <cellStyle name="Normal 10 2 3 4 3 2 2 3 4" xfId="10639" xr:uid="{A2244B7D-8BA9-474F-8C70-7726527613D9}"/>
    <cellStyle name="Normal 10 2 3 4 3 2 2 4" xfId="10640" xr:uid="{415FECB1-B498-4FDC-90D2-13C0214CB032}"/>
    <cellStyle name="Normal 10 2 3 4 3 2 2 4 2" xfId="10641" xr:uid="{BA99DF3F-5682-46AC-A198-4AC7C2D5CE41}"/>
    <cellStyle name="Normal 10 2 3 4 3 2 2 4 2 2" xfId="10642" xr:uid="{97C56098-6B61-492A-A31B-E41934D5EC9A}"/>
    <cellStyle name="Normal 10 2 3 4 3 2 2 4 3" xfId="10643" xr:uid="{9019B6FA-3FE6-4CF6-AB4B-C7257E85BD1F}"/>
    <cellStyle name="Normal 10 2 3 4 3 2 2 5" xfId="10644" xr:uid="{B75F7E10-7ED6-41BC-8F9D-2B08FFE10F44}"/>
    <cellStyle name="Normal 10 2 3 4 3 2 2 5 2" xfId="10645" xr:uid="{B8EC2394-3C0E-47FE-ABE0-A084788C778D}"/>
    <cellStyle name="Normal 10 2 3 4 3 2 2 6" xfId="10646" xr:uid="{845497FF-414A-4B29-9A33-D16008FF073D}"/>
    <cellStyle name="Normal 10 2 3 4 3 2 3" xfId="10647" xr:uid="{329A9C01-4278-4CAD-8BD0-D58F16DB1D8C}"/>
    <cellStyle name="Normal 10 2 3 4 3 2 3 2" xfId="10648" xr:uid="{D5A3495D-4E2F-4BAF-BECE-5D58E80D1431}"/>
    <cellStyle name="Normal 10 2 3 4 3 2 3 2 2" xfId="10649" xr:uid="{F74F11A3-4722-44FE-80DE-A387161A156C}"/>
    <cellStyle name="Normal 10 2 3 4 3 2 3 2 2 2" xfId="10650" xr:uid="{14ECB5B0-98BF-44B4-95C4-041B8F486DEA}"/>
    <cellStyle name="Normal 10 2 3 4 3 2 3 2 2 2 2" xfId="10651" xr:uid="{BB5BC512-4019-430D-9741-7B77F764D38E}"/>
    <cellStyle name="Normal 10 2 3 4 3 2 3 2 2 3" xfId="10652" xr:uid="{5ACD16CD-A759-4650-B94A-4B53D94ADC5E}"/>
    <cellStyle name="Normal 10 2 3 4 3 2 3 2 3" xfId="10653" xr:uid="{58A40C25-7E4D-4366-A9CE-BBF73ED296F0}"/>
    <cellStyle name="Normal 10 2 3 4 3 2 3 2 3 2" xfId="10654" xr:uid="{7960E9F3-BDD5-4885-A94A-8DC37D2B11F5}"/>
    <cellStyle name="Normal 10 2 3 4 3 2 3 2 4" xfId="10655" xr:uid="{C08886A7-AC58-475E-B3F0-FA324E9C0522}"/>
    <cellStyle name="Normal 10 2 3 4 3 2 3 3" xfId="10656" xr:uid="{A7550EA0-FDF6-4ECA-8D3D-AE87EAD5AA91}"/>
    <cellStyle name="Normal 10 2 3 4 3 2 3 3 2" xfId="10657" xr:uid="{07EB1698-FC1C-4BDE-9058-0F34AAB866C8}"/>
    <cellStyle name="Normal 10 2 3 4 3 2 3 3 2 2" xfId="10658" xr:uid="{271E52D3-214C-4B5E-B83A-A1545432DEBB}"/>
    <cellStyle name="Normal 10 2 3 4 3 2 3 3 3" xfId="10659" xr:uid="{5A8A79C4-A8CF-42E9-9B9C-5F588E26D13D}"/>
    <cellStyle name="Normal 10 2 3 4 3 2 3 4" xfId="10660" xr:uid="{F01BD182-E40F-4C78-9F01-49F87F0C530C}"/>
    <cellStyle name="Normal 10 2 3 4 3 2 3 4 2" xfId="10661" xr:uid="{8B253364-794C-414B-BEF9-59CEB4FFDC16}"/>
    <cellStyle name="Normal 10 2 3 4 3 2 3 5" xfId="10662" xr:uid="{04BF3668-B9B1-4A57-AE33-5186843C6C29}"/>
    <cellStyle name="Normal 10 2 3 4 3 2 4" xfId="10663" xr:uid="{66EFB69C-F502-4195-98A2-4B91A4A82F55}"/>
    <cellStyle name="Normal 10 2 3 4 3 2 4 2" xfId="10664" xr:uid="{CAC6BAB6-53C4-4CD7-B975-31FF8AD924F0}"/>
    <cellStyle name="Normal 10 2 3 4 3 2 4 2 2" xfId="10665" xr:uid="{F17818BB-A6F4-4063-A085-08DAE830D772}"/>
    <cellStyle name="Normal 10 2 3 4 3 2 4 2 2 2" xfId="10666" xr:uid="{AB244059-7659-4733-922C-52068F5056C8}"/>
    <cellStyle name="Normal 10 2 3 4 3 2 4 2 3" xfId="10667" xr:uid="{A3FFE351-67EA-458F-BDAE-D8E694832063}"/>
    <cellStyle name="Normal 10 2 3 4 3 2 4 3" xfId="10668" xr:uid="{786867F4-5318-4803-9C57-424A394BAC59}"/>
    <cellStyle name="Normal 10 2 3 4 3 2 4 3 2" xfId="10669" xr:uid="{C9019BDB-05B4-4E4B-8728-8B1F4B429D3E}"/>
    <cellStyle name="Normal 10 2 3 4 3 2 4 4" xfId="10670" xr:uid="{17AE0E42-DE81-4A56-A245-622B4AEB929A}"/>
    <cellStyle name="Normal 10 2 3 4 3 2 5" xfId="10671" xr:uid="{286B13D3-F25E-4F24-86D4-748F2DFB6311}"/>
    <cellStyle name="Normal 10 2 3 4 3 2 5 2" xfId="10672" xr:uid="{66B68057-6479-4D68-9043-A21676053BA8}"/>
    <cellStyle name="Normal 10 2 3 4 3 2 5 2 2" xfId="10673" xr:uid="{3A5AAB4A-546D-485B-BEE7-56B37BE56B34}"/>
    <cellStyle name="Normal 10 2 3 4 3 2 5 3" xfId="10674" xr:uid="{348365E8-7C0D-4520-A4B2-4107449419F3}"/>
    <cellStyle name="Normal 10 2 3 4 3 2 6" xfId="10675" xr:uid="{E1C7578C-022A-405B-96DF-1CA1705C3BC3}"/>
    <cellStyle name="Normal 10 2 3 4 3 2 6 2" xfId="10676" xr:uid="{82BFB233-4440-4D16-8234-82D9DD337230}"/>
    <cellStyle name="Normal 10 2 3 4 3 2 7" xfId="10677" xr:uid="{A9650332-3132-4C66-8CE6-7C05B6BF2520}"/>
    <cellStyle name="Normal 10 2 3 4 3 3" xfId="10678" xr:uid="{EBC5EB4E-41BD-418B-B5C8-3BCE9F3D50C0}"/>
    <cellStyle name="Normal 10 2 3 4 3 3 2" xfId="10679" xr:uid="{4DB26B6D-5E85-4C37-8FC9-FFBF7BD07ED3}"/>
    <cellStyle name="Normal 10 2 3 4 3 3 2 2" xfId="10680" xr:uid="{2DD5AA8A-0866-48F8-8159-4A750300169B}"/>
    <cellStyle name="Normal 10 2 3 4 3 3 2 2 2" xfId="10681" xr:uid="{82258B1E-CB7A-4A6C-A20D-4FAADB0E0690}"/>
    <cellStyle name="Normal 10 2 3 4 3 3 2 2 2 2" xfId="10682" xr:uid="{97A97856-CF8A-45D4-A912-E9AA07903E2E}"/>
    <cellStyle name="Normal 10 2 3 4 3 3 2 2 2 2 2" xfId="10683" xr:uid="{B51EA19F-B1B4-4696-ADE6-1D35E47C0AC0}"/>
    <cellStyle name="Normal 10 2 3 4 3 3 2 2 2 3" xfId="10684" xr:uid="{25E10624-CA28-4998-89AF-67F43051AEC6}"/>
    <cellStyle name="Normal 10 2 3 4 3 3 2 2 3" xfId="10685" xr:uid="{730CF99F-803E-4037-9000-588363B62EC3}"/>
    <cellStyle name="Normal 10 2 3 4 3 3 2 2 3 2" xfId="10686" xr:uid="{B4C970FF-0C6C-49DB-8551-6A03FE20A825}"/>
    <cellStyle name="Normal 10 2 3 4 3 3 2 2 4" xfId="10687" xr:uid="{D956296E-C759-4ECD-9BA9-2FA9AD621B43}"/>
    <cellStyle name="Normal 10 2 3 4 3 3 2 3" xfId="10688" xr:uid="{5881C08F-D1C7-48F8-BC99-59D9013AA37D}"/>
    <cellStyle name="Normal 10 2 3 4 3 3 2 3 2" xfId="10689" xr:uid="{9ED9645B-9177-4498-AA77-A5E05786E22B}"/>
    <cellStyle name="Normal 10 2 3 4 3 3 2 3 2 2" xfId="10690" xr:uid="{5182B3A0-B312-4BC9-8B66-BD37F8C8844C}"/>
    <cellStyle name="Normal 10 2 3 4 3 3 2 3 3" xfId="10691" xr:uid="{A8444583-9A4F-42B1-9CD2-70744B5A88CA}"/>
    <cellStyle name="Normal 10 2 3 4 3 3 2 4" xfId="10692" xr:uid="{367BDB95-EC3F-45F4-86B0-8C6D24149C08}"/>
    <cellStyle name="Normal 10 2 3 4 3 3 2 4 2" xfId="10693" xr:uid="{74F7CB1B-D955-4ADA-940D-8CE199EDC093}"/>
    <cellStyle name="Normal 10 2 3 4 3 3 2 5" xfId="10694" xr:uid="{60A06EDB-C047-43EC-9A25-A8FAEDF6A6A7}"/>
    <cellStyle name="Normal 10 2 3 4 3 3 3" xfId="10695" xr:uid="{6532C42F-DD71-4CC4-B3AC-ECA598D1836C}"/>
    <cellStyle name="Normal 10 2 3 4 3 3 3 2" xfId="10696" xr:uid="{50B01B78-E2D7-4A02-9792-A76F925BD3EF}"/>
    <cellStyle name="Normal 10 2 3 4 3 3 3 2 2" xfId="10697" xr:uid="{4D3857CE-DFEE-4BD0-A255-EE8EED740DEC}"/>
    <cellStyle name="Normal 10 2 3 4 3 3 3 2 2 2" xfId="10698" xr:uid="{10E7CDE6-9C87-4F15-B53C-FFBB0CAB474C}"/>
    <cellStyle name="Normal 10 2 3 4 3 3 3 2 3" xfId="10699" xr:uid="{B6AB9C57-240B-4657-A9B6-7085CC45DE67}"/>
    <cellStyle name="Normal 10 2 3 4 3 3 3 3" xfId="10700" xr:uid="{B10507E5-05BB-4F31-9EAE-DDEA517A4031}"/>
    <cellStyle name="Normal 10 2 3 4 3 3 3 3 2" xfId="10701" xr:uid="{722543A0-7084-4691-A2E6-77C14199F813}"/>
    <cellStyle name="Normal 10 2 3 4 3 3 3 4" xfId="10702" xr:uid="{D23D1051-B45B-465D-8DEB-67F60EFD5F1D}"/>
    <cellStyle name="Normal 10 2 3 4 3 3 4" xfId="10703" xr:uid="{5177EDC0-6C4B-43EF-8EC0-74F934A7AF4F}"/>
    <cellStyle name="Normal 10 2 3 4 3 3 4 2" xfId="10704" xr:uid="{57FEF591-B20B-4313-A229-5E84561FE472}"/>
    <cellStyle name="Normal 10 2 3 4 3 3 4 2 2" xfId="10705" xr:uid="{1753A80B-D2F8-49E9-BFA3-91B838100D24}"/>
    <cellStyle name="Normal 10 2 3 4 3 3 4 3" xfId="10706" xr:uid="{4347783C-8E26-47DF-8D79-317D9D6A898E}"/>
    <cellStyle name="Normal 10 2 3 4 3 3 5" xfId="10707" xr:uid="{2AE2C055-21C0-4CE4-8AF9-741A521C56D9}"/>
    <cellStyle name="Normal 10 2 3 4 3 3 5 2" xfId="10708" xr:uid="{E5F712CF-9897-456B-BC4E-F89F7AA23A94}"/>
    <cellStyle name="Normal 10 2 3 4 3 3 6" xfId="10709" xr:uid="{AEE434CD-1DD6-4A61-A21D-43BF504572E6}"/>
    <cellStyle name="Normal 10 2 3 4 3 4" xfId="10710" xr:uid="{5862A223-E1FC-4B7E-B1CC-4B4E8591E654}"/>
    <cellStyle name="Normal 10 2 3 4 3 4 2" xfId="10711" xr:uid="{C35E5EEA-6D5F-4506-93CE-5155454A9B62}"/>
    <cellStyle name="Normal 10 2 3 4 3 4 2 2" xfId="10712" xr:uid="{ACD6EC77-6198-4AAA-9FF5-4D316723BA2D}"/>
    <cellStyle name="Normal 10 2 3 4 3 4 2 2 2" xfId="10713" xr:uid="{331C5A5B-070F-449E-B33E-26AFB9E5E04F}"/>
    <cellStyle name="Normal 10 2 3 4 3 4 2 2 2 2" xfId="10714" xr:uid="{654E1373-ADFB-4121-A929-AE7D8A18E588}"/>
    <cellStyle name="Normal 10 2 3 4 3 4 2 2 3" xfId="10715" xr:uid="{12B6983B-20A3-4B77-B389-3BDB986DFE1B}"/>
    <cellStyle name="Normal 10 2 3 4 3 4 2 3" xfId="10716" xr:uid="{85F00A22-DCFB-42B6-9976-AF383FD4174E}"/>
    <cellStyle name="Normal 10 2 3 4 3 4 2 3 2" xfId="10717" xr:uid="{9F133F76-1BA0-4DFC-8B1D-F1FDD26E28B5}"/>
    <cellStyle name="Normal 10 2 3 4 3 4 2 4" xfId="10718" xr:uid="{4131D12E-49B2-4C1A-B92F-304BC5908CD1}"/>
    <cellStyle name="Normal 10 2 3 4 3 4 3" xfId="10719" xr:uid="{3EB52169-8807-4982-B08D-EE453699C632}"/>
    <cellStyle name="Normal 10 2 3 4 3 4 3 2" xfId="10720" xr:uid="{5FFE2D06-A7A2-49D4-BD3D-EC624A850A93}"/>
    <cellStyle name="Normal 10 2 3 4 3 4 3 2 2" xfId="10721" xr:uid="{C6EAF1EC-4A05-46F8-8C2A-833B33EECC5A}"/>
    <cellStyle name="Normal 10 2 3 4 3 4 3 3" xfId="10722" xr:uid="{460E6B6D-BF75-440D-B24C-AE53AF8546FF}"/>
    <cellStyle name="Normal 10 2 3 4 3 4 4" xfId="10723" xr:uid="{CDBDF16F-8873-4CC7-AD7C-C3F4D5ED3FF1}"/>
    <cellStyle name="Normal 10 2 3 4 3 4 4 2" xfId="10724" xr:uid="{80A544D8-E478-4C7A-90DB-A7C58E7189BF}"/>
    <cellStyle name="Normal 10 2 3 4 3 4 5" xfId="10725" xr:uid="{76B804B8-C95E-4AE5-8141-D2D95993C42F}"/>
    <cellStyle name="Normal 10 2 3 4 3 5" xfId="10726" xr:uid="{1E0A1EA3-0A3B-4B84-8F00-FB0B9635E748}"/>
    <cellStyle name="Normal 10 2 3 4 3 5 2" xfId="10727" xr:uid="{39DD105B-5182-41E0-ADF1-999068AD2593}"/>
    <cellStyle name="Normal 10 2 3 4 3 5 2 2" xfId="10728" xr:uid="{95098C90-03DB-4828-9225-2AC1B589DECA}"/>
    <cellStyle name="Normal 10 2 3 4 3 5 2 2 2" xfId="10729" xr:uid="{116E6FCB-EEDE-42FE-9EEF-51B942F20611}"/>
    <cellStyle name="Normal 10 2 3 4 3 5 2 3" xfId="10730" xr:uid="{CCFBCCDC-753C-467E-9541-ECEFF5699E99}"/>
    <cellStyle name="Normal 10 2 3 4 3 5 3" xfId="10731" xr:uid="{339A761C-049C-4ADF-B6B1-76781E4D4000}"/>
    <cellStyle name="Normal 10 2 3 4 3 5 3 2" xfId="10732" xr:uid="{F139BFC5-C84F-4849-B3C4-DF6AF504ABAD}"/>
    <cellStyle name="Normal 10 2 3 4 3 5 4" xfId="10733" xr:uid="{EC59FA0C-2583-4C48-8981-2F4F1F03F1C7}"/>
    <cellStyle name="Normal 10 2 3 4 3 6" xfId="10734" xr:uid="{23CA9653-4BF8-4883-B7C2-EE1E03FBFB69}"/>
    <cellStyle name="Normal 10 2 3 4 3 6 2" xfId="10735" xr:uid="{0A87B997-13F7-4DB2-9DBC-BD4AA0C8AC5C}"/>
    <cellStyle name="Normal 10 2 3 4 3 6 2 2" xfId="10736" xr:uid="{A523CFFA-9C1B-4B11-B30F-D74BF9F95F99}"/>
    <cellStyle name="Normal 10 2 3 4 3 6 3" xfId="10737" xr:uid="{16229C28-3807-4395-B1B2-6136BAEEE437}"/>
    <cellStyle name="Normal 10 2 3 4 3 7" xfId="10738" xr:uid="{54E82346-5C19-4D54-B743-DE7D03B442E1}"/>
    <cellStyle name="Normal 10 2 3 4 3 7 2" xfId="10739" xr:uid="{C16A0576-8889-40A5-8AF3-FAD74856492B}"/>
    <cellStyle name="Normal 10 2 3 4 3 8" xfId="10740" xr:uid="{2EB9B33C-CFCE-48CC-A897-F7248029DC36}"/>
    <cellStyle name="Normal 10 2 3 4 3 9" xfId="10613" xr:uid="{A0285616-CA4C-42B9-BC84-957A6E0C4361}"/>
    <cellStyle name="Normal 10 2 3 4 4" xfId="10741" xr:uid="{51EBE62E-A6F5-4A31-8664-7BDA8D39486C}"/>
    <cellStyle name="Normal 10 2 3 4 4 2" xfId="10742" xr:uid="{9DD90AB0-0845-4804-958D-9BCEB20F90E9}"/>
    <cellStyle name="Normal 10 2 3 4 4 2 2" xfId="10743" xr:uid="{E16A532B-4B6A-41FF-B636-2BAA7559179D}"/>
    <cellStyle name="Normal 10 2 3 4 4 2 2 2" xfId="10744" xr:uid="{CFEC7D75-10F5-474F-B6B2-964A52039E8E}"/>
    <cellStyle name="Normal 10 2 3 4 4 2 2 2 2" xfId="10745" xr:uid="{5B627B86-9ED0-4D43-A9AD-EB5F4E702D8C}"/>
    <cellStyle name="Normal 10 2 3 4 4 2 2 2 2 2" xfId="10746" xr:uid="{6171B03B-25F4-4521-B719-B31E9CF1A1A2}"/>
    <cellStyle name="Normal 10 2 3 4 4 2 2 2 2 2 2" xfId="10747" xr:uid="{87A5A9AE-7ABD-46E7-920E-002C2BC0B554}"/>
    <cellStyle name="Normal 10 2 3 4 4 2 2 2 2 3" xfId="10748" xr:uid="{1E56997E-1C88-4261-9F71-1B89C3F79D4D}"/>
    <cellStyle name="Normal 10 2 3 4 4 2 2 2 3" xfId="10749" xr:uid="{378AF2A6-A4D5-4DA4-AD68-91DF9F0719BD}"/>
    <cellStyle name="Normal 10 2 3 4 4 2 2 2 3 2" xfId="10750" xr:uid="{6EC9D953-BDA9-47BE-8A4F-7434E39A6344}"/>
    <cellStyle name="Normal 10 2 3 4 4 2 2 2 4" xfId="10751" xr:uid="{852CBA43-1EE7-4962-8458-28C78495F682}"/>
    <cellStyle name="Normal 10 2 3 4 4 2 2 3" xfId="10752" xr:uid="{2D388307-8A25-436E-B053-C6659931F2B4}"/>
    <cellStyle name="Normal 10 2 3 4 4 2 2 3 2" xfId="10753" xr:uid="{173E9337-2EBA-4B65-BE96-059025DC624B}"/>
    <cellStyle name="Normal 10 2 3 4 4 2 2 3 2 2" xfId="10754" xr:uid="{81069F83-8270-43C2-B9C7-3203AE1767C2}"/>
    <cellStyle name="Normal 10 2 3 4 4 2 2 3 3" xfId="10755" xr:uid="{DFDACFAA-813C-436C-9E4C-3FDC2B2DF16B}"/>
    <cellStyle name="Normal 10 2 3 4 4 2 2 4" xfId="10756" xr:uid="{8E53A6C9-2A79-46CC-96A5-193C385C26B2}"/>
    <cellStyle name="Normal 10 2 3 4 4 2 2 4 2" xfId="10757" xr:uid="{0C5AD911-FBAF-4428-872C-825AA1538757}"/>
    <cellStyle name="Normal 10 2 3 4 4 2 2 5" xfId="10758" xr:uid="{3FC9F916-AA49-44FD-AAC2-FF4471456088}"/>
    <cellStyle name="Normal 10 2 3 4 4 2 3" xfId="10759" xr:uid="{80A4FC35-A293-4C07-B558-E4E36D21BE11}"/>
    <cellStyle name="Normal 10 2 3 4 4 2 3 2" xfId="10760" xr:uid="{12A17296-6C7E-4498-B1AC-5A8FD97BA173}"/>
    <cellStyle name="Normal 10 2 3 4 4 2 3 2 2" xfId="10761" xr:uid="{33938A47-5F5B-46D4-8FF2-5F66B3981A07}"/>
    <cellStyle name="Normal 10 2 3 4 4 2 3 2 2 2" xfId="10762" xr:uid="{DDC8D2F0-DEC0-4BA9-8AB1-13DCDE2C9AC2}"/>
    <cellStyle name="Normal 10 2 3 4 4 2 3 2 3" xfId="10763" xr:uid="{EA708E70-B5CE-4CD1-B7CB-DB344A369DEA}"/>
    <cellStyle name="Normal 10 2 3 4 4 2 3 3" xfId="10764" xr:uid="{F162AE7A-4477-42A7-8E36-7EAA72267CF7}"/>
    <cellStyle name="Normal 10 2 3 4 4 2 3 3 2" xfId="10765" xr:uid="{56D079EE-5114-49D0-927B-3D6AEBF80F0A}"/>
    <cellStyle name="Normal 10 2 3 4 4 2 3 4" xfId="10766" xr:uid="{1D1A9296-7873-430A-B545-A0C287FA1DD3}"/>
    <cellStyle name="Normal 10 2 3 4 4 2 4" xfId="10767" xr:uid="{CF46414E-14C0-4AD1-A8DE-C6E06D8F8958}"/>
    <cellStyle name="Normal 10 2 3 4 4 2 4 2" xfId="10768" xr:uid="{C7C7DD00-52B7-4C1D-962B-500FB2AA28EA}"/>
    <cellStyle name="Normal 10 2 3 4 4 2 4 2 2" xfId="10769" xr:uid="{29885595-E0EE-4C07-AEA0-C95080AE3A83}"/>
    <cellStyle name="Normal 10 2 3 4 4 2 4 3" xfId="10770" xr:uid="{BD7E8A60-7974-4D1A-9F8C-C3CBC7DFD061}"/>
    <cellStyle name="Normal 10 2 3 4 4 2 5" xfId="10771" xr:uid="{F5D8F7BF-1853-4BE7-A1B3-1E12FBD7F3B7}"/>
    <cellStyle name="Normal 10 2 3 4 4 2 5 2" xfId="10772" xr:uid="{1F4D2EEE-B2E6-4103-9718-CE6A187F9C9A}"/>
    <cellStyle name="Normal 10 2 3 4 4 2 6" xfId="10773" xr:uid="{A09179BA-8291-439B-ADDC-390BC44FCE27}"/>
    <cellStyle name="Normal 10 2 3 4 4 3" xfId="10774" xr:uid="{F246D41E-7B89-45BC-B96E-854BB001F4AE}"/>
    <cellStyle name="Normal 10 2 3 4 4 3 2" xfId="10775" xr:uid="{4954C813-DD9C-4D39-862F-884DFD0158D0}"/>
    <cellStyle name="Normal 10 2 3 4 4 3 2 2" xfId="10776" xr:uid="{F90A63D2-29B0-462E-8E6E-97BE7BABE452}"/>
    <cellStyle name="Normal 10 2 3 4 4 3 2 2 2" xfId="10777" xr:uid="{D6C10C83-4377-490F-AB66-CE9D4F8BBCEE}"/>
    <cellStyle name="Normal 10 2 3 4 4 3 2 2 2 2" xfId="10778" xr:uid="{7EBB661A-9566-4B0B-BB13-ECD96DBAA903}"/>
    <cellStyle name="Normal 10 2 3 4 4 3 2 2 3" xfId="10779" xr:uid="{C7C2C3CE-2699-4261-A3D5-F3133E613DE5}"/>
    <cellStyle name="Normal 10 2 3 4 4 3 2 3" xfId="10780" xr:uid="{6A462DBD-4D2A-4801-ABE0-8BE23619DCE4}"/>
    <cellStyle name="Normal 10 2 3 4 4 3 2 3 2" xfId="10781" xr:uid="{0EBAA97A-DBCF-4153-A4D8-CFAB01F508DB}"/>
    <cellStyle name="Normal 10 2 3 4 4 3 2 4" xfId="10782" xr:uid="{867AE91A-1E3C-462E-92FE-F9C1000441B8}"/>
    <cellStyle name="Normal 10 2 3 4 4 3 3" xfId="10783" xr:uid="{F16C0A4E-F7E6-4F74-BAF2-4993A0A544FD}"/>
    <cellStyle name="Normal 10 2 3 4 4 3 3 2" xfId="10784" xr:uid="{8FFBF1C1-9A00-4C87-B91C-83DE70835FCD}"/>
    <cellStyle name="Normal 10 2 3 4 4 3 3 2 2" xfId="10785" xr:uid="{E47C5D0C-DE5B-4641-A79D-7454670DB38F}"/>
    <cellStyle name="Normal 10 2 3 4 4 3 3 3" xfId="10786" xr:uid="{86A969BD-C2C0-4D55-91C3-DEA71AC6885C}"/>
    <cellStyle name="Normal 10 2 3 4 4 3 4" xfId="10787" xr:uid="{09A07C3D-9C95-4E96-8362-F3121C39F5EB}"/>
    <cellStyle name="Normal 10 2 3 4 4 3 4 2" xfId="10788" xr:uid="{B33D4E09-0608-4752-A1F2-BCDC0A8D3646}"/>
    <cellStyle name="Normal 10 2 3 4 4 3 5" xfId="10789" xr:uid="{33352141-C2CA-4FE0-9C26-3C7162FA2E2E}"/>
    <cellStyle name="Normal 10 2 3 4 4 4" xfId="10790" xr:uid="{35FC2051-C238-4526-8917-3A1DDE8694EF}"/>
    <cellStyle name="Normal 10 2 3 4 4 4 2" xfId="10791" xr:uid="{8E8F1968-203F-4F98-9EFC-FFC9E8582C06}"/>
    <cellStyle name="Normal 10 2 3 4 4 4 2 2" xfId="10792" xr:uid="{C8740BED-6040-4118-B4B8-1ABCB37E837B}"/>
    <cellStyle name="Normal 10 2 3 4 4 4 2 2 2" xfId="10793" xr:uid="{271C0016-8FD7-4AB0-9D2E-A7F6DFBB291A}"/>
    <cellStyle name="Normal 10 2 3 4 4 4 2 3" xfId="10794" xr:uid="{642CBF47-724F-4B21-93AB-E08F8542BA5F}"/>
    <cellStyle name="Normal 10 2 3 4 4 4 3" xfId="10795" xr:uid="{8C5E8BD6-35F3-4039-9A87-C4DFBF5555EB}"/>
    <cellStyle name="Normal 10 2 3 4 4 4 3 2" xfId="10796" xr:uid="{3EFFFF40-F419-4EB7-A10B-C34776621163}"/>
    <cellStyle name="Normal 10 2 3 4 4 4 4" xfId="10797" xr:uid="{13327C38-0CF8-4E01-8DE3-860C7A99F450}"/>
    <cellStyle name="Normal 10 2 3 4 4 5" xfId="10798" xr:uid="{6CB9D5DE-2236-45EC-A19A-1953D427C72A}"/>
    <cellStyle name="Normal 10 2 3 4 4 5 2" xfId="10799" xr:uid="{D58E330D-C371-49FB-860A-9C9E5C27C40B}"/>
    <cellStyle name="Normal 10 2 3 4 4 5 2 2" xfId="10800" xr:uid="{1E3368E6-6295-4E82-8D41-5A2FD0B6E480}"/>
    <cellStyle name="Normal 10 2 3 4 4 5 3" xfId="10801" xr:uid="{0C8B5486-8C93-4183-A306-155360471821}"/>
    <cellStyle name="Normal 10 2 3 4 4 6" xfId="10802" xr:uid="{0F9829A9-0C5F-44E3-A478-EC1029BAD27A}"/>
    <cellStyle name="Normal 10 2 3 4 4 6 2" xfId="10803" xr:uid="{9C0893A0-A72F-4F95-BEBA-8C20FD73B41A}"/>
    <cellStyle name="Normal 10 2 3 4 4 7" xfId="10804" xr:uid="{C557674E-9814-4D94-833E-E17AAEF42D53}"/>
    <cellStyle name="Normal 10 2 3 4 5" xfId="10805" xr:uid="{018DC267-4A0F-46A1-936C-0E731FA1B39B}"/>
    <cellStyle name="Normal 10 2 3 4 5 2" xfId="10806" xr:uid="{1D2D67AF-B5BA-49AF-9D5A-47ADDEEB65ED}"/>
    <cellStyle name="Normal 10 2 3 4 5 2 2" xfId="10807" xr:uid="{F4C992BF-721F-4376-BC6E-EB1D6C20931E}"/>
    <cellStyle name="Normal 10 2 3 4 5 2 2 2" xfId="10808" xr:uid="{C34B176C-1C2F-4497-80D8-CA99FCF3A4E5}"/>
    <cellStyle name="Normal 10 2 3 4 5 2 2 2 2" xfId="10809" xr:uid="{DB55E8C4-760E-4D56-ADFE-4B4C3B800960}"/>
    <cellStyle name="Normal 10 2 3 4 5 2 2 2 2 2" xfId="10810" xr:uid="{2739AF38-7900-4590-8903-E0872E3DBFA5}"/>
    <cellStyle name="Normal 10 2 3 4 5 2 2 2 3" xfId="10811" xr:uid="{8976E1A7-8F15-41F3-A371-ED3D7755C6AE}"/>
    <cellStyle name="Normal 10 2 3 4 5 2 2 3" xfId="10812" xr:uid="{59F9F779-5269-4B31-9C06-1A259DC7B161}"/>
    <cellStyle name="Normal 10 2 3 4 5 2 2 3 2" xfId="10813" xr:uid="{4AC876B9-7663-4880-9D77-FA449B031567}"/>
    <cellStyle name="Normal 10 2 3 4 5 2 2 4" xfId="10814" xr:uid="{7DC6604B-8732-4D73-A084-2D15867182C6}"/>
    <cellStyle name="Normal 10 2 3 4 5 2 3" xfId="10815" xr:uid="{B494F757-EE27-47CA-AC65-BA438B20786F}"/>
    <cellStyle name="Normal 10 2 3 4 5 2 3 2" xfId="10816" xr:uid="{F5F2B12F-FD40-4DA7-88FA-1ED1F38A9841}"/>
    <cellStyle name="Normal 10 2 3 4 5 2 3 2 2" xfId="10817" xr:uid="{FC9E16AC-3BE7-4198-A378-483C56FC5883}"/>
    <cellStyle name="Normal 10 2 3 4 5 2 3 3" xfId="10818" xr:uid="{9FFC57F5-6C00-4434-A075-DED6772F97EC}"/>
    <cellStyle name="Normal 10 2 3 4 5 2 4" xfId="10819" xr:uid="{CC4A5164-D312-44CD-8F37-F0617DBC066D}"/>
    <cellStyle name="Normal 10 2 3 4 5 2 4 2" xfId="10820" xr:uid="{A1D5F72A-24DE-4064-BD0F-52A195DC9D56}"/>
    <cellStyle name="Normal 10 2 3 4 5 2 5" xfId="10821" xr:uid="{656EA1B2-AE1C-47B3-9D47-AA6903531BDD}"/>
    <cellStyle name="Normal 10 2 3 4 5 3" xfId="10822" xr:uid="{4C1422C9-9AD2-4513-8060-9ED55FEA9BCD}"/>
    <cellStyle name="Normal 10 2 3 4 5 3 2" xfId="10823" xr:uid="{B6AE2179-B792-4E27-AA84-1AA426A00957}"/>
    <cellStyle name="Normal 10 2 3 4 5 3 2 2" xfId="10824" xr:uid="{545BC932-1105-4825-B43D-CF4D2BE18118}"/>
    <cellStyle name="Normal 10 2 3 4 5 3 2 2 2" xfId="10825" xr:uid="{E710E675-7F9D-4DA1-80D8-8ECAE1BE15E9}"/>
    <cellStyle name="Normal 10 2 3 4 5 3 2 3" xfId="10826" xr:uid="{A1F8D70D-3A95-4392-A439-8EFCC84CFDA4}"/>
    <cellStyle name="Normal 10 2 3 4 5 3 3" xfId="10827" xr:uid="{D1887404-52ED-48C7-9438-DC360D1AF7FC}"/>
    <cellStyle name="Normal 10 2 3 4 5 3 3 2" xfId="10828" xr:uid="{46B57988-580F-4642-A0C4-488E2483236A}"/>
    <cellStyle name="Normal 10 2 3 4 5 3 4" xfId="10829" xr:uid="{D8C54C6E-92E2-4D04-A0AA-098B7C496B8F}"/>
    <cellStyle name="Normal 10 2 3 4 5 4" xfId="10830" xr:uid="{192B0435-8B75-4F10-B9D9-891886723574}"/>
    <cellStyle name="Normal 10 2 3 4 5 4 2" xfId="10831" xr:uid="{6FF2ACC1-8626-4735-8441-28663EEAA5EA}"/>
    <cellStyle name="Normal 10 2 3 4 5 4 2 2" xfId="10832" xr:uid="{3A12189D-DD1A-48B0-9A9D-EE56195D488C}"/>
    <cellStyle name="Normal 10 2 3 4 5 4 3" xfId="10833" xr:uid="{F3611E6B-142E-4259-B005-358AE60800E4}"/>
    <cellStyle name="Normal 10 2 3 4 5 5" xfId="10834" xr:uid="{A20B7EEE-F9F9-46A2-84AF-5F8558D03B63}"/>
    <cellStyle name="Normal 10 2 3 4 5 5 2" xfId="10835" xr:uid="{C7015880-8F75-415C-89B0-D59D3DFAD58A}"/>
    <cellStyle name="Normal 10 2 3 4 5 6" xfId="10836" xr:uid="{C2BA3CA4-E19B-4A55-9277-F7772B5E5C0B}"/>
    <cellStyle name="Normal 10 2 3 4 6" xfId="10837" xr:uid="{AB2D2E81-44FE-434D-87E2-1722D4AA3CB1}"/>
    <cellStyle name="Normal 10 2 3 4 6 2" xfId="10838" xr:uid="{C4DA2D80-E80D-434E-B486-D1C32D0EB82D}"/>
    <cellStyle name="Normal 10 2 3 4 6 2 2" xfId="10839" xr:uid="{37AC6476-1175-4061-AF94-43712234AE6B}"/>
    <cellStyle name="Normal 10 2 3 4 6 2 2 2" xfId="10840" xr:uid="{8A335312-41D1-4395-86A5-80ECB42295B2}"/>
    <cellStyle name="Normal 10 2 3 4 6 2 2 2 2" xfId="10841" xr:uid="{1BDA4F1E-A65C-4BA0-9FE1-6CCE1B5049B8}"/>
    <cellStyle name="Normal 10 2 3 4 6 2 2 3" xfId="10842" xr:uid="{2D2B68B4-BFC6-44B8-AD84-AB824DE3E7AD}"/>
    <cellStyle name="Normal 10 2 3 4 6 2 3" xfId="10843" xr:uid="{6892F0D6-6C67-4541-AE31-033CFF8269C7}"/>
    <cellStyle name="Normal 10 2 3 4 6 2 3 2" xfId="10844" xr:uid="{A7CDF075-B7F2-490D-B575-B59F2382B506}"/>
    <cellStyle name="Normal 10 2 3 4 6 2 4" xfId="10845" xr:uid="{10C82075-34CC-437F-9747-D83B06AD82F7}"/>
    <cellStyle name="Normal 10 2 3 4 6 3" xfId="10846" xr:uid="{D88AEF14-EA70-4220-A544-229AA38C0019}"/>
    <cellStyle name="Normal 10 2 3 4 6 3 2" xfId="10847" xr:uid="{9ACEEB4F-91C4-4017-AF55-E7463E7B23A1}"/>
    <cellStyle name="Normal 10 2 3 4 6 3 2 2" xfId="10848" xr:uid="{D3B63757-4C2C-4489-983F-B929159D56E4}"/>
    <cellStyle name="Normal 10 2 3 4 6 3 3" xfId="10849" xr:uid="{02A0C127-E3CD-4D30-958E-8C958D6E0DFE}"/>
    <cellStyle name="Normal 10 2 3 4 6 4" xfId="10850" xr:uid="{BFA6B363-AE02-4C66-9292-12ACCE6D85BA}"/>
    <cellStyle name="Normal 10 2 3 4 6 4 2" xfId="10851" xr:uid="{F4984237-7AE0-459E-B47E-E9B3E4740148}"/>
    <cellStyle name="Normal 10 2 3 4 6 5" xfId="10852" xr:uid="{2CD7EBDF-4218-4466-9B03-DA138BB71D9F}"/>
    <cellStyle name="Normal 10 2 3 4 7" xfId="10853" xr:uid="{04F8BFF8-0810-4030-8867-0297D99F25CD}"/>
    <cellStyle name="Normal 10 2 3 4 7 2" xfId="10854" xr:uid="{AB1D1EA5-C982-4023-B905-BF208C7139A4}"/>
    <cellStyle name="Normal 10 2 3 4 7 2 2" xfId="10855" xr:uid="{51F8AC82-57DA-4C55-81D4-B851B2357589}"/>
    <cellStyle name="Normal 10 2 3 4 7 2 2 2" xfId="10856" xr:uid="{DCBE427D-32A6-4A5F-A359-75C4553754ED}"/>
    <cellStyle name="Normal 10 2 3 4 7 2 3" xfId="10857" xr:uid="{DE947EB0-2521-4EB4-A535-4153023F8153}"/>
    <cellStyle name="Normal 10 2 3 4 7 3" xfId="10858" xr:uid="{2B11AF5F-1FD0-4B60-A5E9-6939C4B94EB7}"/>
    <cellStyle name="Normal 10 2 3 4 7 3 2" xfId="10859" xr:uid="{3D6D8ADD-3471-49FD-907E-C15B1AF49C65}"/>
    <cellStyle name="Normal 10 2 3 4 7 4" xfId="10860" xr:uid="{831401D6-8157-4769-A3E2-42E6027BBF6A}"/>
    <cellStyle name="Normal 10 2 3 4 8" xfId="10861" xr:uid="{5A4193D6-DBBB-4AC1-BB4C-8E64F16BADD2}"/>
    <cellStyle name="Normal 10 2 3 4 8 2" xfId="10862" xr:uid="{8EEDF7CE-AB5A-4C79-A8F5-A963F13440AD}"/>
    <cellStyle name="Normal 10 2 3 4 8 2 2" xfId="10863" xr:uid="{5316CA64-FC68-4423-B9C6-18B56B032041}"/>
    <cellStyle name="Normal 10 2 3 4 8 3" xfId="10864" xr:uid="{6DB498BA-52B7-49E3-A882-06BEC9782D7F}"/>
    <cellStyle name="Normal 10 2 3 4 9" xfId="10865" xr:uid="{08C80597-FF15-4951-A52B-CE64FD36FAD8}"/>
    <cellStyle name="Normal 10 2 3 4 9 2" xfId="10866" xr:uid="{2032B803-F386-46E5-93DA-BB12ABA1FAF1}"/>
    <cellStyle name="Normal 10 2 3 5" xfId="274" xr:uid="{8F7FCD91-DC9D-4CAB-B2A9-CD4117B2FE8B}"/>
    <cellStyle name="Normal 10 2 3 5 10" xfId="10867" xr:uid="{A6DEF4D1-9152-4AF9-AA41-431691E442D0}"/>
    <cellStyle name="Normal 10 2 3 5 11" xfId="553" xr:uid="{86A9995D-EC69-43B4-B859-A95CCC58F493}"/>
    <cellStyle name="Normal 10 2 3 5 2" xfId="321" xr:uid="{6A810FC1-68C2-48A1-9231-AE9076D6F919}"/>
    <cellStyle name="Normal 10 2 3 5 2 10" xfId="10868" xr:uid="{BC9DBBCD-AD14-415C-935D-04AF89C632E8}"/>
    <cellStyle name="Normal 10 2 3 5 2 2" xfId="10869" xr:uid="{96973482-4C02-4FCA-81F7-004ECFE6CCBB}"/>
    <cellStyle name="Normal 10 2 3 5 2 2 2" xfId="10870" xr:uid="{D444D192-0387-40B8-96EA-1861210152C7}"/>
    <cellStyle name="Normal 10 2 3 5 2 2 2 2" xfId="10871" xr:uid="{B4D38FD7-3C19-4A6B-84BC-D05CB6B6354E}"/>
    <cellStyle name="Normal 10 2 3 5 2 2 2 2 2" xfId="10872" xr:uid="{50A65ABA-1FE8-4039-910E-C588C5309EE1}"/>
    <cellStyle name="Normal 10 2 3 5 2 2 2 2 2 2" xfId="10873" xr:uid="{CFC783E4-A21C-44FD-9593-FD98114A8065}"/>
    <cellStyle name="Normal 10 2 3 5 2 2 2 2 2 2 2" xfId="10874" xr:uid="{4A30FC88-CCCA-490D-A801-EC8FDD46F6E3}"/>
    <cellStyle name="Normal 10 2 3 5 2 2 2 2 2 2 2 2" xfId="10875" xr:uid="{069FE934-5F4C-461D-8970-5FEA48E51EA2}"/>
    <cellStyle name="Normal 10 2 3 5 2 2 2 2 2 2 2 2 2" xfId="10876" xr:uid="{BB3FA33D-9F36-4E26-9197-B362231B5163}"/>
    <cellStyle name="Normal 10 2 3 5 2 2 2 2 2 2 2 3" xfId="10877" xr:uid="{1499EB91-D831-497F-A9D5-EF2E35A0AE67}"/>
    <cellStyle name="Normal 10 2 3 5 2 2 2 2 2 2 3" xfId="10878" xr:uid="{1B714EA7-8762-4607-A866-F1F0FCA59B18}"/>
    <cellStyle name="Normal 10 2 3 5 2 2 2 2 2 2 3 2" xfId="10879" xr:uid="{7218A99A-5B2E-442A-8FAF-BF7FAB7EDEB1}"/>
    <cellStyle name="Normal 10 2 3 5 2 2 2 2 2 2 4" xfId="10880" xr:uid="{41C736B8-1C4F-4190-90B0-7BDDD699FF13}"/>
    <cellStyle name="Normal 10 2 3 5 2 2 2 2 2 3" xfId="10881" xr:uid="{E316D1D3-B8DD-471D-BE6F-9276A6C2C9AE}"/>
    <cellStyle name="Normal 10 2 3 5 2 2 2 2 2 3 2" xfId="10882" xr:uid="{EA6F64A2-A881-4B00-86FB-94909FAEB721}"/>
    <cellStyle name="Normal 10 2 3 5 2 2 2 2 2 3 2 2" xfId="10883" xr:uid="{A80F5251-FDA5-42BC-A49E-E1E4BD0A849D}"/>
    <cellStyle name="Normal 10 2 3 5 2 2 2 2 2 3 3" xfId="10884" xr:uid="{6292828D-1FCA-4208-B1EE-693057EE6B61}"/>
    <cellStyle name="Normal 10 2 3 5 2 2 2 2 2 4" xfId="10885" xr:uid="{EF68CD61-F441-49B8-A6EB-B8D412A9A18B}"/>
    <cellStyle name="Normal 10 2 3 5 2 2 2 2 2 4 2" xfId="10886" xr:uid="{898D4703-4544-44ED-8C1B-A15E98B65719}"/>
    <cellStyle name="Normal 10 2 3 5 2 2 2 2 2 5" xfId="10887" xr:uid="{FE0E4351-7E09-4157-B585-857D335C7B86}"/>
    <cellStyle name="Normal 10 2 3 5 2 2 2 2 3" xfId="10888" xr:uid="{1692B7DA-FF81-4025-99E2-4DB25479545D}"/>
    <cellStyle name="Normal 10 2 3 5 2 2 2 2 3 2" xfId="10889" xr:uid="{B0484DD2-6C73-49A8-B0D7-4AE0C1C4332C}"/>
    <cellStyle name="Normal 10 2 3 5 2 2 2 2 3 2 2" xfId="10890" xr:uid="{A1265A0D-9B9F-488B-A7B6-92BE97E3B20E}"/>
    <cellStyle name="Normal 10 2 3 5 2 2 2 2 3 2 2 2" xfId="10891" xr:uid="{39AECAC1-FE74-43FE-8EA3-A7E8F90E9404}"/>
    <cellStyle name="Normal 10 2 3 5 2 2 2 2 3 2 3" xfId="10892" xr:uid="{6D7CB556-5F7D-4303-83C1-F8BBA6255282}"/>
    <cellStyle name="Normal 10 2 3 5 2 2 2 2 3 3" xfId="10893" xr:uid="{D402281A-E9CB-4A80-B904-CF5F4CE1A8D2}"/>
    <cellStyle name="Normal 10 2 3 5 2 2 2 2 3 3 2" xfId="10894" xr:uid="{872398AB-A528-462D-9B24-A7DD2F3888DC}"/>
    <cellStyle name="Normal 10 2 3 5 2 2 2 2 3 4" xfId="10895" xr:uid="{511C8F9A-06CC-4B1B-BAB3-BE7BD865CBBA}"/>
    <cellStyle name="Normal 10 2 3 5 2 2 2 2 4" xfId="10896" xr:uid="{CD25C275-D7F2-4187-9C04-EF8F73798228}"/>
    <cellStyle name="Normal 10 2 3 5 2 2 2 2 4 2" xfId="10897" xr:uid="{EAD2A4A5-9814-4186-8C62-F3ABF317A9B3}"/>
    <cellStyle name="Normal 10 2 3 5 2 2 2 2 4 2 2" xfId="10898" xr:uid="{6A30F25D-6C0B-4808-9BA6-0E9C3BCF10C4}"/>
    <cellStyle name="Normal 10 2 3 5 2 2 2 2 4 3" xfId="10899" xr:uid="{BF4DE7A3-341B-4A6C-8ACF-1E949C931D0C}"/>
    <cellStyle name="Normal 10 2 3 5 2 2 2 2 5" xfId="10900" xr:uid="{2F242317-D76A-4256-8488-86001823FBC0}"/>
    <cellStyle name="Normal 10 2 3 5 2 2 2 2 5 2" xfId="10901" xr:uid="{5D4FD52D-B930-48CF-AC45-2BE928568D1C}"/>
    <cellStyle name="Normal 10 2 3 5 2 2 2 2 6" xfId="10902" xr:uid="{1A3C65CF-AE97-43EE-9E95-1F6B174F7EFE}"/>
    <cellStyle name="Normal 10 2 3 5 2 2 2 3" xfId="10903" xr:uid="{972A4971-C04C-46A1-A729-148245EA25FB}"/>
    <cellStyle name="Normal 10 2 3 5 2 2 2 3 2" xfId="10904" xr:uid="{5F336967-0FAB-4BC4-9465-AE354B503BA9}"/>
    <cellStyle name="Normal 10 2 3 5 2 2 2 3 2 2" xfId="10905" xr:uid="{4D992A09-0258-45C9-9588-4C62CCD337B3}"/>
    <cellStyle name="Normal 10 2 3 5 2 2 2 3 2 2 2" xfId="10906" xr:uid="{BC2806BA-D5C0-4113-BCBB-C561EC86A08A}"/>
    <cellStyle name="Normal 10 2 3 5 2 2 2 3 2 2 2 2" xfId="10907" xr:uid="{9F58CF43-FF24-4B84-B2DE-A349C48AE322}"/>
    <cellStyle name="Normal 10 2 3 5 2 2 2 3 2 2 3" xfId="10908" xr:uid="{6FA60DA6-4C69-491F-BAC1-F422AC097EDC}"/>
    <cellStyle name="Normal 10 2 3 5 2 2 2 3 2 3" xfId="10909" xr:uid="{5496F2C9-1C3E-463F-B56D-347EB17D3F84}"/>
    <cellStyle name="Normal 10 2 3 5 2 2 2 3 2 3 2" xfId="10910" xr:uid="{C73BF606-53CB-420B-ACE3-281ABE7CD03A}"/>
    <cellStyle name="Normal 10 2 3 5 2 2 2 3 2 4" xfId="10911" xr:uid="{1436F605-34F9-43A2-AF8E-1F3CA1EBF325}"/>
    <cellStyle name="Normal 10 2 3 5 2 2 2 3 3" xfId="10912" xr:uid="{289FCA92-901B-40C7-B888-E0F0D2F8877C}"/>
    <cellStyle name="Normal 10 2 3 5 2 2 2 3 3 2" xfId="10913" xr:uid="{F8106ED6-9476-4CC9-9AB8-6924C5B81FCF}"/>
    <cellStyle name="Normal 10 2 3 5 2 2 2 3 3 2 2" xfId="10914" xr:uid="{79CC168F-9850-4900-8A59-D59B9E328CF1}"/>
    <cellStyle name="Normal 10 2 3 5 2 2 2 3 3 3" xfId="10915" xr:uid="{5E9262EE-B20E-492E-B650-69524D0DA1F6}"/>
    <cellStyle name="Normal 10 2 3 5 2 2 2 3 4" xfId="10916" xr:uid="{6D02188B-60A1-48DE-89CC-AA2C0DE58B2F}"/>
    <cellStyle name="Normal 10 2 3 5 2 2 2 3 4 2" xfId="10917" xr:uid="{414C17B3-941C-4557-9E4B-841847CB6642}"/>
    <cellStyle name="Normal 10 2 3 5 2 2 2 3 5" xfId="10918" xr:uid="{F4D9CF9D-D2C2-4E3F-A3DC-C7F82B8CBC71}"/>
    <cellStyle name="Normal 10 2 3 5 2 2 2 4" xfId="10919" xr:uid="{1693B278-6890-4A82-B8D9-C06752F6EC24}"/>
    <cellStyle name="Normal 10 2 3 5 2 2 2 4 2" xfId="10920" xr:uid="{A6CA8DEC-8FD2-4E9A-BF9D-D4158D7EBBAA}"/>
    <cellStyle name="Normal 10 2 3 5 2 2 2 4 2 2" xfId="10921" xr:uid="{0C4B4EB6-B45E-4414-A268-A0A630FBB3F1}"/>
    <cellStyle name="Normal 10 2 3 5 2 2 2 4 2 2 2" xfId="10922" xr:uid="{08EA96C1-E4B4-45A9-97BB-EBAE0167CF4D}"/>
    <cellStyle name="Normal 10 2 3 5 2 2 2 4 2 3" xfId="10923" xr:uid="{36F63470-0BD9-4031-BCFA-05CF04BD5468}"/>
    <cellStyle name="Normal 10 2 3 5 2 2 2 4 3" xfId="10924" xr:uid="{2FCBD85D-CA70-495C-8DA7-0983391119BF}"/>
    <cellStyle name="Normal 10 2 3 5 2 2 2 4 3 2" xfId="10925" xr:uid="{CF8A11B8-7FED-4CBF-9D89-C46304A3A2FE}"/>
    <cellStyle name="Normal 10 2 3 5 2 2 2 4 4" xfId="10926" xr:uid="{3B40E181-C191-4B6F-9915-5015B8AA6A5B}"/>
    <cellStyle name="Normal 10 2 3 5 2 2 2 5" xfId="10927" xr:uid="{AD5E4E66-90E4-462B-ADFE-2F33B074FC04}"/>
    <cellStyle name="Normal 10 2 3 5 2 2 2 5 2" xfId="10928" xr:uid="{14470889-B377-4FE9-9F9D-03C336682BDA}"/>
    <cellStyle name="Normal 10 2 3 5 2 2 2 5 2 2" xfId="10929" xr:uid="{886090AB-4D08-4B34-A6D3-D0EE6C4E1B5C}"/>
    <cellStyle name="Normal 10 2 3 5 2 2 2 5 3" xfId="10930" xr:uid="{17B8A8B5-C415-410F-BE92-34D3C197817F}"/>
    <cellStyle name="Normal 10 2 3 5 2 2 2 6" xfId="10931" xr:uid="{976C2090-BCB0-4520-92F4-90ACFA45CDA1}"/>
    <cellStyle name="Normal 10 2 3 5 2 2 2 6 2" xfId="10932" xr:uid="{3DB3C776-CF05-49C2-B337-FC2EABBDB6EB}"/>
    <cellStyle name="Normal 10 2 3 5 2 2 2 7" xfId="10933" xr:uid="{FB0328D8-C313-43E9-8364-F4BBB286D0F3}"/>
    <cellStyle name="Normal 10 2 3 5 2 2 3" xfId="10934" xr:uid="{4BF4FD9D-299B-4185-A3E9-8F0D45FCE7AF}"/>
    <cellStyle name="Normal 10 2 3 5 2 2 3 2" xfId="10935" xr:uid="{94A72460-599A-44BB-A16C-912A2438D58A}"/>
    <cellStyle name="Normal 10 2 3 5 2 2 3 2 2" xfId="10936" xr:uid="{7E6A2C0B-F575-4117-847A-040AADE9E8E6}"/>
    <cellStyle name="Normal 10 2 3 5 2 2 3 2 2 2" xfId="10937" xr:uid="{E5B0B4A0-7409-42F9-9A6C-4020378A5059}"/>
    <cellStyle name="Normal 10 2 3 5 2 2 3 2 2 2 2" xfId="10938" xr:uid="{A77EC8EF-564E-4CA7-8A32-A3E725CEDAAF}"/>
    <cellStyle name="Normal 10 2 3 5 2 2 3 2 2 2 2 2" xfId="10939" xr:uid="{81112744-C47F-4967-8CE9-D4A6A7414C20}"/>
    <cellStyle name="Normal 10 2 3 5 2 2 3 2 2 2 3" xfId="10940" xr:uid="{6E5E9780-9A75-4B2B-B0E2-354393FE6CB9}"/>
    <cellStyle name="Normal 10 2 3 5 2 2 3 2 2 3" xfId="10941" xr:uid="{49553B47-4011-4606-8FAA-619796F36D37}"/>
    <cellStyle name="Normal 10 2 3 5 2 2 3 2 2 3 2" xfId="10942" xr:uid="{D7C4B2C1-B1F4-43A8-8293-81D943B438B0}"/>
    <cellStyle name="Normal 10 2 3 5 2 2 3 2 2 4" xfId="10943" xr:uid="{9A0CC855-BAA4-4716-B5AA-FC4FE34E4AB5}"/>
    <cellStyle name="Normal 10 2 3 5 2 2 3 2 3" xfId="10944" xr:uid="{5F6A2705-EDFA-406C-BD41-7200E1282DB3}"/>
    <cellStyle name="Normal 10 2 3 5 2 2 3 2 3 2" xfId="10945" xr:uid="{6040D80A-7222-40C0-9126-C1C90A6EF645}"/>
    <cellStyle name="Normal 10 2 3 5 2 2 3 2 3 2 2" xfId="10946" xr:uid="{1CB52DB1-0DC5-4AC5-9045-4B05C43DCDBA}"/>
    <cellStyle name="Normal 10 2 3 5 2 2 3 2 3 3" xfId="10947" xr:uid="{4B7DE677-FD3B-42D8-9BB1-CD6E1BA0D890}"/>
    <cellStyle name="Normal 10 2 3 5 2 2 3 2 4" xfId="10948" xr:uid="{327536B8-C9F2-4DAF-BB8C-BDFDAD409149}"/>
    <cellStyle name="Normal 10 2 3 5 2 2 3 2 4 2" xfId="10949" xr:uid="{9652E058-E82C-4095-9B62-E629673C228B}"/>
    <cellStyle name="Normal 10 2 3 5 2 2 3 2 5" xfId="10950" xr:uid="{BFAF3992-A53F-4A14-B0A9-D3349AA4067E}"/>
    <cellStyle name="Normal 10 2 3 5 2 2 3 3" xfId="10951" xr:uid="{739E3FD8-3FDB-474F-A5BC-25AB4E65965A}"/>
    <cellStyle name="Normal 10 2 3 5 2 2 3 3 2" xfId="10952" xr:uid="{390ADD9E-9E77-4C20-824F-35F6631E63EF}"/>
    <cellStyle name="Normal 10 2 3 5 2 2 3 3 2 2" xfId="10953" xr:uid="{9984A61F-98D7-4A4B-8647-EEC9D0F910D1}"/>
    <cellStyle name="Normal 10 2 3 5 2 2 3 3 2 2 2" xfId="10954" xr:uid="{2D869B76-45FC-48F3-BE78-7AE79A369521}"/>
    <cellStyle name="Normal 10 2 3 5 2 2 3 3 2 3" xfId="10955" xr:uid="{D45D5EA1-EF0B-4C0D-BD26-C8986478B81F}"/>
    <cellStyle name="Normal 10 2 3 5 2 2 3 3 3" xfId="10956" xr:uid="{C2D7A3F5-84BB-49FE-B6CB-C196B8E6701A}"/>
    <cellStyle name="Normal 10 2 3 5 2 2 3 3 3 2" xfId="10957" xr:uid="{BD38D388-410C-4BED-A72A-18F794D08F21}"/>
    <cellStyle name="Normal 10 2 3 5 2 2 3 3 4" xfId="10958" xr:uid="{6276EBC6-8D68-42FB-92FC-BAD2F67CB6B4}"/>
    <cellStyle name="Normal 10 2 3 5 2 2 3 4" xfId="10959" xr:uid="{9D7986B9-2496-42D8-AC22-CC3214EBC869}"/>
    <cellStyle name="Normal 10 2 3 5 2 2 3 4 2" xfId="10960" xr:uid="{64C0F5D6-E586-4F1E-B91B-80B8EA2F7E4B}"/>
    <cellStyle name="Normal 10 2 3 5 2 2 3 4 2 2" xfId="10961" xr:uid="{B9E5DA04-0A65-4376-AF8B-68DF916C7C09}"/>
    <cellStyle name="Normal 10 2 3 5 2 2 3 4 3" xfId="10962" xr:uid="{AE8BDA41-A3F3-4AB2-B6EC-80690148224A}"/>
    <cellStyle name="Normal 10 2 3 5 2 2 3 5" xfId="10963" xr:uid="{84F1ABF3-8B50-42BB-96B1-D6F5190B64BD}"/>
    <cellStyle name="Normal 10 2 3 5 2 2 3 5 2" xfId="10964" xr:uid="{BF6B222B-BA15-4E91-A932-05908838ABD5}"/>
    <cellStyle name="Normal 10 2 3 5 2 2 3 6" xfId="10965" xr:uid="{DB814BFF-8E70-4814-8245-5B8A93FD9534}"/>
    <cellStyle name="Normal 10 2 3 5 2 2 4" xfId="10966" xr:uid="{06EDF4CB-3140-4F75-8D69-E8E3EB378F2D}"/>
    <cellStyle name="Normal 10 2 3 5 2 2 4 2" xfId="10967" xr:uid="{8E43BAEF-1395-4D2A-91EE-0EC4F6BDB814}"/>
    <cellStyle name="Normal 10 2 3 5 2 2 4 2 2" xfId="10968" xr:uid="{DAC93AD3-C41F-461E-A62D-F24B813B22FA}"/>
    <cellStyle name="Normal 10 2 3 5 2 2 4 2 2 2" xfId="10969" xr:uid="{3953D32A-ABC4-4FAD-88EB-1D1B9257BA56}"/>
    <cellStyle name="Normal 10 2 3 5 2 2 4 2 2 2 2" xfId="10970" xr:uid="{E3C28BD2-0231-4B5A-9426-8BA680E77763}"/>
    <cellStyle name="Normal 10 2 3 5 2 2 4 2 2 3" xfId="10971" xr:uid="{334D361A-358A-429D-B04E-A4B660BE0CE2}"/>
    <cellStyle name="Normal 10 2 3 5 2 2 4 2 3" xfId="10972" xr:uid="{E2C36F15-845A-42D6-A79F-609812897C3A}"/>
    <cellStyle name="Normal 10 2 3 5 2 2 4 2 3 2" xfId="10973" xr:uid="{9A0C406C-DB6D-4209-AAB1-B83FFBDB2A03}"/>
    <cellStyle name="Normal 10 2 3 5 2 2 4 2 4" xfId="10974" xr:uid="{A6FB930A-1810-4558-934C-6CD7BF8B1B1E}"/>
    <cellStyle name="Normal 10 2 3 5 2 2 4 3" xfId="10975" xr:uid="{BA551E96-7683-4B91-952E-F8D141A62B3C}"/>
    <cellStyle name="Normal 10 2 3 5 2 2 4 3 2" xfId="10976" xr:uid="{17BC8260-F5D6-4229-9747-32424AD29358}"/>
    <cellStyle name="Normal 10 2 3 5 2 2 4 3 2 2" xfId="10977" xr:uid="{E8E33966-34F3-48CE-BCC8-50218C48E4BD}"/>
    <cellStyle name="Normal 10 2 3 5 2 2 4 3 3" xfId="10978" xr:uid="{7DBA198A-78B3-4F9D-A73A-3485BE63BAB2}"/>
    <cellStyle name="Normal 10 2 3 5 2 2 4 4" xfId="10979" xr:uid="{6B94ABDB-3900-4E1E-B86F-87C81CFB1DD4}"/>
    <cellStyle name="Normal 10 2 3 5 2 2 4 4 2" xfId="10980" xr:uid="{49CDED75-6D92-4C16-98EA-93C7ACCAFEF7}"/>
    <cellStyle name="Normal 10 2 3 5 2 2 4 5" xfId="10981" xr:uid="{483B8BE7-9F21-497F-B49D-BEBF3776FCE6}"/>
    <cellStyle name="Normal 10 2 3 5 2 2 5" xfId="10982" xr:uid="{86F44AA7-5468-4620-8867-F4BEAC9DC980}"/>
    <cellStyle name="Normal 10 2 3 5 2 2 5 2" xfId="10983" xr:uid="{4D2868EE-AFFE-4D5A-825E-63BEC7CEEBC2}"/>
    <cellStyle name="Normal 10 2 3 5 2 2 5 2 2" xfId="10984" xr:uid="{F29A4A64-6176-4A36-9CE2-DB44685ADCCE}"/>
    <cellStyle name="Normal 10 2 3 5 2 2 5 2 2 2" xfId="10985" xr:uid="{7885714F-CB3A-4BAD-ABE1-0E8EECF5C037}"/>
    <cellStyle name="Normal 10 2 3 5 2 2 5 2 3" xfId="10986" xr:uid="{4454C47E-2C4B-4D4D-996D-64389E990031}"/>
    <cellStyle name="Normal 10 2 3 5 2 2 5 3" xfId="10987" xr:uid="{D4069A79-3293-4302-8CC9-5BBEF04DD526}"/>
    <cellStyle name="Normal 10 2 3 5 2 2 5 3 2" xfId="10988" xr:uid="{B2714B74-4AF5-420B-8C97-11229266B5A1}"/>
    <cellStyle name="Normal 10 2 3 5 2 2 5 4" xfId="10989" xr:uid="{F8E98C9F-AA5E-4028-B1D1-03429E16A104}"/>
    <cellStyle name="Normal 10 2 3 5 2 2 6" xfId="10990" xr:uid="{E36FDF69-14EC-48EE-86FD-399F49992398}"/>
    <cellStyle name="Normal 10 2 3 5 2 2 6 2" xfId="10991" xr:uid="{EBAFE25D-4860-4CF1-91BF-00BAB56941CC}"/>
    <cellStyle name="Normal 10 2 3 5 2 2 6 2 2" xfId="10992" xr:uid="{1D45381E-80FD-478E-AB19-97B6DD48D53F}"/>
    <cellStyle name="Normal 10 2 3 5 2 2 6 3" xfId="10993" xr:uid="{12DC10A3-6B5A-459D-8544-1EE842F9A723}"/>
    <cellStyle name="Normal 10 2 3 5 2 2 7" xfId="10994" xr:uid="{44F26730-CED7-40D7-B53C-91A6D3F839F3}"/>
    <cellStyle name="Normal 10 2 3 5 2 2 7 2" xfId="10995" xr:uid="{4EE731F5-6DD5-4914-8FAC-133762C8F0D8}"/>
    <cellStyle name="Normal 10 2 3 5 2 2 8" xfId="10996" xr:uid="{4CEBFFE8-523B-4234-82A9-E38A542C3C50}"/>
    <cellStyle name="Normal 10 2 3 5 2 3" xfId="10997" xr:uid="{579E7F9A-E7CF-4FFD-B95A-3ABD5B938F83}"/>
    <cellStyle name="Normal 10 2 3 5 2 3 2" xfId="10998" xr:uid="{0E7E2E74-0E14-43BF-9F13-2595E08DF0D0}"/>
    <cellStyle name="Normal 10 2 3 5 2 3 2 2" xfId="10999" xr:uid="{0224B959-67D8-4A1F-9F05-3458E4AD38F5}"/>
    <cellStyle name="Normal 10 2 3 5 2 3 2 2 2" xfId="11000" xr:uid="{9C48D78C-2832-4F7D-9DE7-B1048D43B220}"/>
    <cellStyle name="Normal 10 2 3 5 2 3 2 2 2 2" xfId="11001" xr:uid="{4EA521B0-7637-4D16-87BF-DD3D5E20E324}"/>
    <cellStyle name="Normal 10 2 3 5 2 3 2 2 2 2 2" xfId="11002" xr:uid="{6EF75570-0A21-46EE-9829-CAC96969AA90}"/>
    <cellStyle name="Normal 10 2 3 5 2 3 2 2 2 2 2 2" xfId="11003" xr:uid="{E2810468-D900-4B45-8240-5871EB3B1248}"/>
    <cellStyle name="Normal 10 2 3 5 2 3 2 2 2 2 3" xfId="11004" xr:uid="{23E29858-2923-4FEA-B146-F77DF0B4FF31}"/>
    <cellStyle name="Normal 10 2 3 5 2 3 2 2 2 3" xfId="11005" xr:uid="{56573A76-05D0-4633-99FF-E9C641F4FC7B}"/>
    <cellStyle name="Normal 10 2 3 5 2 3 2 2 2 3 2" xfId="11006" xr:uid="{FC019CC0-D90B-4D5F-9B50-BEBE5BA1CABE}"/>
    <cellStyle name="Normal 10 2 3 5 2 3 2 2 2 4" xfId="11007" xr:uid="{28EB055F-2273-4283-A9E6-BB78C8394B27}"/>
    <cellStyle name="Normal 10 2 3 5 2 3 2 2 3" xfId="11008" xr:uid="{83ABF91D-3F29-4E9F-8BDC-07B2044D32B9}"/>
    <cellStyle name="Normal 10 2 3 5 2 3 2 2 3 2" xfId="11009" xr:uid="{B7A15832-0F57-4B6A-95A7-E0EEE2F5BFDD}"/>
    <cellStyle name="Normal 10 2 3 5 2 3 2 2 3 2 2" xfId="11010" xr:uid="{79B36770-3B0E-42D1-8492-8A00D4E5224D}"/>
    <cellStyle name="Normal 10 2 3 5 2 3 2 2 3 3" xfId="11011" xr:uid="{45DBE65D-0392-4A9A-9734-6DF34F9D52D4}"/>
    <cellStyle name="Normal 10 2 3 5 2 3 2 2 4" xfId="11012" xr:uid="{B7C643AA-5486-4434-BB97-FDF8AD59B747}"/>
    <cellStyle name="Normal 10 2 3 5 2 3 2 2 4 2" xfId="11013" xr:uid="{53850499-9BDB-422E-81B9-F2087E10C5A2}"/>
    <cellStyle name="Normal 10 2 3 5 2 3 2 2 5" xfId="11014" xr:uid="{7057D512-8B5F-4C65-A287-97C08E4314DB}"/>
    <cellStyle name="Normal 10 2 3 5 2 3 2 3" xfId="11015" xr:uid="{AB9E2A05-61CA-41A3-B4A1-5CF060A29D5F}"/>
    <cellStyle name="Normal 10 2 3 5 2 3 2 3 2" xfId="11016" xr:uid="{16E1D827-D6F5-4ACC-8F3E-6A75B27E9F52}"/>
    <cellStyle name="Normal 10 2 3 5 2 3 2 3 2 2" xfId="11017" xr:uid="{587571DD-3D2E-4527-8752-8C8F710B7FC4}"/>
    <cellStyle name="Normal 10 2 3 5 2 3 2 3 2 2 2" xfId="11018" xr:uid="{E69E3675-0E44-43A8-A8DD-4F30C76811D4}"/>
    <cellStyle name="Normal 10 2 3 5 2 3 2 3 2 3" xfId="11019" xr:uid="{50398B9B-FD42-46D4-AB87-D215637FA337}"/>
    <cellStyle name="Normal 10 2 3 5 2 3 2 3 3" xfId="11020" xr:uid="{2C93252A-1299-4B42-A0D2-A26CCB8A9D28}"/>
    <cellStyle name="Normal 10 2 3 5 2 3 2 3 3 2" xfId="11021" xr:uid="{288568EC-CD39-4682-AB6D-5167E76F3E97}"/>
    <cellStyle name="Normal 10 2 3 5 2 3 2 3 4" xfId="11022" xr:uid="{E96BAB1F-F646-4B1B-A844-CCEEA70FDF78}"/>
    <cellStyle name="Normal 10 2 3 5 2 3 2 4" xfId="11023" xr:uid="{D94EF49A-734E-4338-AFD1-CE0D0B3F0A9D}"/>
    <cellStyle name="Normal 10 2 3 5 2 3 2 4 2" xfId="11024" xr:uid="{7DC96F4E-FE76-489C-8A59-4CE63582D785}"/>
    <cellStyle name="Normal 10 2 3 5 2 3 2 4 2 2" xfId="11025" xr:uid="{FA5B4E5D-1882-4B61-A391-94D463EA5E6B}"/>
    <cellStyle name="Normal 10 2 3 5 2 3 2 4 3" xfId="11026" xr:uid="{D94E9B64-F273-445D-9DB8-A3BE123604A2}"/>
    <cellStyle name="Normal 10 2 3 5 2 3 2 5" xfId="11027" xr:uid="{47A60B33-461D-452E-8688-336EABC3A73E}"/>
    <cellStyle name="Normal 10 2 3 5 2 3 2 5 2" xfId="11028" xr:uid="{FCC0F36C-A989-4FD9-AABF-44D27E768DE4}"/>
    <cellStyle name="Normal 10 2 3 5 2 3 2 6" xfId="11029" xr:uid="{D196B97E-36C7-4710-836F-2F987119F62F}"/>
    <cellStyle name="Normal 10 2 3 5 2 3 3" xfId="11030" xr:uid="{B2EA23A3-A56D-41B2-9BFC-AF8F500187CC}"/>
    <cellStyle name="Normal 10 2 3 5 2 3 3 2" xfId="11031" xr:uid="{0F35282F-293F-485B-A416-8E6D11314282}"/>
    <cellStyle name="Normal 10 2 3 5 2 3 3 2 2" xfId="11032" xr:uid="{4EF77ED7-3DDF-4919-A866-E72309896F00}"/>
    <cellStyle name="Normal 10 2 3 5 2 3 3 2 2 2" xfId="11033" xr:uid="{5DF2DAD2-77A7-462C-9FB3-1F0EC6D44DCA}"/>
    <cellStyle name="Normal 10 2 3 5 2 3 3 2 2 2 2" xfId="11034" xr:uid="{26063ADB-C89C-4E56-AB82-42FB17EE68E5}"/>
    <cellStyle name="Normal 10 2 3 5 2 3 3 2 2 3" xfId="11035" xr:uid="{C96237FE-75DE-426E-93A6-B12725A2B594}"/>
    <cellStyle name="Normal 10 2 3 5 2 3 3 2 3" xfId="11036" xr:uid="{5EE211FE-EEF2-4495-841A-297FC6D88A1A}"/>
    <cellStyle name="Normal 10 2 3 5 2 3 3 2 3 2" xfId="11037" xr:uid="{C47A423F-BA33-4E9A-A104-7E6D06201918}"/>
    <cellStyle name="Normal 10 2 3 5 2 3 3 2 4" xfId="11038" xr:uid="{E88E9EB0-01FB-46BF-9510-6F45500FD226}"/>
    <cellStyle name="Normal 10 2 3 5 2 3 3 3" xfId="11039" xr:uid="{AA3AF404-3C5A-46D2-8A6B-8093D55ECDE4}"/>
    <cellStyle name="Normal 10 2 3 5 2 3 3 3 2" xfId="11040" xr:uid="{09683527-985E-4BE3-8AF2-6A264F6B12B1}"/>
    <cellStyle name="Normal 10 2 3 5 2 3 3 3 2 2" xfId="11041" xr:uid="{F7415C01-6376-4720-8D67-31EE1E8E3691}"/>
    <cellStyle name="Normal 10 2 3 5 2 3 3 3 3" xfId="11042" xr:uid="{5CE447A1-5F2C-4799-A2B9-0E5F9D87B65B}"/>
    <cellStyle name="Normal 10 2 3 5 2 3 3 4" xfId="11043" xr:uid="{9B28DC8D-7167-40DF-9F8A-B410C1E531FC}"/>
    <cellStyle name="Normal 10 2 3 5 2 3 3 4 2" xfId="11044" xr:uid="{19130A7E-A881-475A-97CE-2C887B88739C}"/>
    <cellStyle name="Normal 10 2 3 5 2 3 3 5" xfId="11045" xr:uid="{54615B9F-B5E4-425F-A38B-F6A81C7BBD52}"/>
    <cellStyle name="Normal 10 2 3 5 2 3 4" xfId="11046" xr:uid="{3C69A714-3D4D-40FA-82F1-0A5E9662E8B7}"/>
    <cellStyle name="Normal 10 2 3 5 2 3 4 2" xfId="11047" xr:uid="{0BD1D90F-93A0-46B2-A3D0-CC09882A7F53}"/>
    <cellStyle name="Normal 10 2 3 5 2 3 4 2 2" xfId="11048" xr:uid="{98975A82-A978-40B0-B00F-9D83F15FD79F}"/>
    <cellStyle name="Normal 10 2 3 5 2 3 4 2 2 2" xfId="11049" xr:uid="{3D2AFEF9-740F-4EB2-93F9-247C169734F0}"/>
    <cellStyle name="Normal 10 2 3 5 2 3 4 2 3" xfId="11050" xr:uid="{C35E77B3-2D46-444D-B2D7-AAE62C4BB830}"/>
    <cellStyle name="Normal 10 2 3 5 2 3 4 3" xfId="11051" xr:uid="{D304FC67-E2B2-4D4D-B712-780D7377CCA3}"/>
    <cellStyle name="Normal 10 2 3 5 2 3 4 3 2" xfId="11052" xr:uid="{D850DF41-4CC9-4AAB-B657-A4839F72A284}"/>
    <cellStyle name="Normal 10 2 3 5 2 3 4 4" xfId="11053" xr:uid="{49F01E38-6677-409B-8063-1DAD714584D4}"/>
    <cellStyle name="Normal 10 2 3 5 2 3 5" xfId="11054" xr:uid="{006B79EA-6A4C-4252-90B0-E78427F422F0}"/>
    <cellStyle name="Normal 10 2 3 5 2 3 5 2" xfId="11055" xr:uid="{533EDA29-0F2E-4D6A-A2C2-91CC5ABE30B4}"/>
    <cellStyle name="Normal 10 2 3 5 2 3 5 2 2" xfId="11056" xr:uid="{8C4A72B1-A2E4-4EE1-84A9-71B26DCD86A6}"/>
    <cellStyle name="Normal 10 2 3 5 2 3 5 3" xfId="11057" xr:uid="{E3093802-3B3E-495F-86C0-12AB6F67AE62}"/>
    <cellStyle name="Normal 10 2 3 5 2 3 6" xfId="11058" xr:uid="{6DA15E7B-C560-48E5-B44B-08668998568A}"/>
    <cellStyle name="Normal 10 2 3 5 2 3 6 2" xfId="11059" xr:uid="{EF3D8EF2-7AA0-4C07-B53E-EAFDB642A383}"/>
    <cellStyle name="Normal 10 2 3 5 2 3 7" xfId="11060" xr:uid="{9F3987B9-6299-412B-9F22-7C9E183CED6C}"/>
    <cellStyle name="Normal 10 2 3 5 2 4" xfId="11061" xr:uid="{55B4B394-763F-487F-9AA8-86D1526E33D0}"/>
    <cellStyle name="Normal 10 2 3 5 2 4 2" xfId="11062" xr:uid="{9D69810F-61D5-4E96-A7F2-62612B1A55E5}"/>
    <cellStyle name="Normal 10 2 3 5 2 4 2 2" xfId="11063" xr:uid="{D1B28752-CE48-4B73-AFD1-6CB755852702}"/>
    <cellStyle name="Normal 10 2 3 5 2 4 2 2 2" xfId="11064" xr:uid="{CABCC84F-1B58-419D-B0A0-61EA22AD82CA}"/>
    <cellStyle name="Normal 10 2 3 5 2 4 2 2 2 2" xfId="11065" xr:uid="{FDB6DF77-984E-454F-A8C3-EB06E9222C28}"/>
    <cellStyle name="Normal 10 2 3 5 2 4 2 2 2 2 2" xfId="11066" xr:uid="{EF6DDBD5-7B4E-456B-A965-6A549F9865A3}"/>
    <cellStyle name="Normal 10 2 3 5 2 4 2 2 2 3" xfId="11067" xr:uid="{41AE5C77-E8BA-45A6-B980-E58C38DC6BF5}"/>
    <cellStyle name="Normal 10 2 3 5 2 4 2 2 3" xfId="11068" xr:uid="{D46A7F64-5DE7-415E-9852-83F1592B8B40}"/>
    <cellStyle name="Normal 10 2 3 5 2 4 2 2 3 2" xfId="11069" xr:uid="{C60F5B4A-B9A1-4540-8B24-F95E6088934B}"/>
    <cellStyle name="Normal 10 2 3 5 2 4 2 2 4" xfId="11070" xr:uid="{65DAD829-575A-436E-B139-F1565AAE1300}"/>
    <cellStyle name="Normal 10 2 3 5 2 4 2 3" xfId="11071" xr:uid="{BC375D39-D3BB-4A70-9F5C-BA9DCA9A89D0}"/>
    <cellStyle name="Normal 10 2 3 5 2 4 2 3 2" xfId="11072" xr:uid="{75D3DC49-F173-4457-B240-E48ECCD8BE33}"/>
    <cellStyle name="Normal 10 2 3 5 2 4 2 3 2 2" xfId="11073" xr:uid="{0487D14B-F8FA-4EF8-A321-6E10EC09D372}"/>
    <cellStyle name="Normal 10 2 3 5 2 4 2 3 3" xfId="11074" xr:uid="{7A0DDA4D-3D8B-4E6C-BD86-FFFBCB028E53}"/>
    <cellStyle name="Normal 10 2 3 5 2 4 2 4" xfId="11075" xr:uid="{30BB8B52-3E45-4A09-81B6-800536EDA1BB}"/>
    <cellStyle name="Normal 10 2 3 5 2 4 2 4 2" xfId="11076" xr:uid="{E00EA153-BC6D-42EF-8A3F-563BE840D54F}"/>
    <cellStyle name="Normal 10 2 3 5 2 4 2 5" xfId="11077" xr:uid="{14C8BF4A-E732-4803-BE56-5FFC4C18B34A}"/>
    <cellStyle name="Normal 10 2 3 5 2 4 3" xfId="11078" xr:uid="{E9FD35AF-F2ED-4BFC-8FE1-414B18C5D0C8}"/>
    <cellStyle name="Normal 10 2 3 5 2 4 3 2" xfId="11079" xr:uid="{8782CB0E-E43A-4146-9B81-79734B3F2F53}"/>
    <cellStyle name="Normal 10 2 3 5 2 4 3 2 2" xfId="11080" xr:uid="{FE89C6EA-1916-4048-8E0A-2657811AAB9E}"/>
    <cellStyle name="Normal 10 2 3 5 2 4 3 2 2 2" xfId="11081" xr:uid="{916A8C82-2C1B-4122-8170-E0286A55B4C2}"/>
    <cellStyle name="Normal 10 2 3 5 2 4 3 2 3" xfId="11082" xr:uid="{2E2AD7FB-EA27-4654-9566-A5B18F8879C2}"/>
    <cellStyle name="Normal 10 2 3 5 2 4 3 3" xfId="11083" xr:uid="{E12C834B-D512-4C0B-9C96-C582A0756689}"/>
    <cellStyle name="Normal 10 2 3 5 2 4 3 3 2" xfId="11084" xr:uid="{646DB6F1-DB8F-495A-A7E4-B00DC2237D82}"/>
    <cellStyle name="Normal 10 2 3 5 2 4 3 4" xfId="11085" xr:uid="{411613E3-F62B-464D-A6C6-E1AAC6CE4433}"/>
    <cellStyle name="Normal 10 2 3 5 2 4 4" xfId="11086" xr:uid="{C0F549C2-25CE-4F97-87F1-040510BB0DF4}"/>
    <cellStyle name="Normal 10 2 3 5 2 4 4 2" xfId="11087" xr:uid="{861E450D-74BB-4874-929A-A88542998FCC}"/>
    <cellStyle name="Normal 10 2 3 5 2 4 4 2 2" xfId="11088" xr:uid="{E6AA3A9F-019B-4BD8-81F6-9CF9994EDD2C}"/>
    <cellStyle name="Normal 10 2 3 5 2 4 4 3" xfId="11089" xr:uid="{A1CBCD2F-E8A2-47E3-AC99-E88928F87677}"/>
    <cellStyle name="Normal 10 2 3 5 2 4 5" xfId="11090" xr:uid="{365FA695-0F8A-4E7C-A4ED-8F79129764E4}"/>
    <cellStyle name="Normal 10 2 3 5 2 4 5 2" xfId="11091" xr:uid="{8B9E036B-335D-4A29-AD93-87131123B996}"/>
    <cellStyle name="Normal 10 2 3 5 2 4 6" xfId="11092" xr:uid="{00649E20-BC03-47ED-ABD8-FCAA2FC988D9}"/>
    <cellStyle name="Normal 10 2 3 5 2 5" xfId="11093" xr:uid="{EAE78905-C7C4-4FAD-8111-70AD40649AB6}"/>
    <cellStyle name="Normal 10 2 3 5 2 5 2" xfId="11094" xr:uid="{B507A54A-39E5-47D1-9C9C-364F075D54C1}"/>
    <cellStyle name="Normal 10 2 3 5 2 5 2 2" xfId="11095" xr:uid="{2720D0EA-8173-427C-982B-D0F86C384CD2}"/>
    <cellStyle name="Normal 10 2 3 5 2 5 2 2 2" xfId="11096" xr:uid="{F8375BA6-7B99-4B61-852A-EE5F2772F6B9}"/>
    <cellStyle name="Normal 10 2 3 5 2 5 2 2 2 2" xfId="11097" xr:uid="{FA7791FD-4A9B-4E8D-99BF-8C960045F54A}"/>
    <cellStyle name="Normal 10 2 3 5 2 5 2 2 3" xfId="11098" xr:uid="{19E42CE5-9072-44CA-B85F-CAADC3219359}"/>
    <cellStyle name="Normal 10 2 3 5 2 5 2 3" xfId="11099" xr:uid="{0A297004-8672-493E-BF39-BA12546E46A6}"/>
    <cellStyle name="Normal 10 2 3 5 2 5 2 3 2" xfId="11100" xr:uid="{DCBD6959-C7DA-4B41-AF39-B32293680E3E}"/>
    <cellStyle name="Normal 10 2 3 5 2 5 2 4" xfId="11101" xr:uid="{FE3D184E-0217-477D-A190-75E50AC9EAB3}"/>
    <cellStyle name="Normal 10 2 3 5 2 5 3" xfId="11102" xr:uid="{9FD6022E-522C-44E0-91AA-4C6C6921AD20}"/>
    <cellStyle name="Normal 10 2 3 5 2 5 3 2" xfId="11103" xr:uid="{7AB7B6DF-BD9E-4B90-A5FF-CD5B6221360F}"/>
    <cellStyle name="Normal 10 2 3 5 2 5 3 2 2" xfId="11104" xr:uid="{D090DB3B-AA9F-44C4-9FCA-C96B324FD30E}"/>
    <cellStyle name="Normal 10 2 3 5 2 5 3 3" xfId="11105" xr:uid="{D0CC0B55-5825-45B6-AEEB-1757F8D58EFC}"/>
    <cellStyle name="Normal 10 2 3 5 2 5 4" xfId="11106" xr:uid="{C6CA84CE-E6DF-43EE-A19C-015D2F2D3DED}"/>
    <cellStyle name="Normal 10 2 3 5 2 5 4 2" xfId="11107" xr:uid="{BABD7FCA-43F5-45D4-A3E6-21B789FDA100}"/>
    <cellStyle name="Normal 10 2 3 5 2 5 5" xfId="11108" xr:uid="{35238E62-6DEA-40F9-844D-733AA441C0FF}"/>
    <cellStyle name="Normal 10 2 3 5 2 6" xfId="11109" xr:uid="{038DD0A4-6D7E-4933-8ED2-0B029923CF7E}"/>
    <cellStyle name="Normal 10 2 3 5 2 6 2" xfId="11110" xr:uid="{6D5325AE-13B8-4C61-8B76-04518B4BDEF2}"/>
    <cellStyle name="Normal 10 2 3 5 2 6 2 2" xfId="11111" xr:uid="{BDB0F61D-8D28-4A46-B268-9447086D61D6}"/>
    <cellStyle name="Normal 10 2 3 5 2 6 2 2 2" xfId="11112" xr:uid="{6FF3F841-736E-4638-AC81-C4D3EAF90814}"/>
    <cellStyle name="Normal 10 2 3 5 2 6 2 3" xfId="11113" xr:uid="{1468C708-DDBA-46C1-8C62-B0FA4AD12407}"/>
    <cellStyle name="Normal 10 2 3 5 2 6 3" xfId="11114" xr:uid="{353C1274-A54C-4CB4-9073-B17AA65C0645}"/>
    <cellStyle name="Normal 10 2 3 5 2 6 3 2" xfId="11115" xr:uid="{9A6150DE-6631-41CE-851D-9591F36535E4}"/>
    <cellStyle name="Normal 10 2 3 5 2 6 4" xfId="11116" xr:uid="{1E6D11FB-B698-4989-8F57-C4D95DE2BD6A}"/>
    <cellStyle name="Normal 10 2 3 5 2 7" xfId="11117" xr:uid="{D8A9B7EB-61D2-43E5-8EC5-2990CECBE5E3}"/>
    <cellStyle name="Normal 10 2 3 5 2 7 2" xfId="11118" xr:uid="{692EBF03-A011-453F-B98E-08C990B7E119}"/>
    <cellStyle name="Normal 10 2 3 5 2 7 2 2" xfId="11119" xr:uid="{EF7BC2B8-EED6-480F-A0E3-D3EE2C939810}"/>
    <cellStyle name="Normal 10 2 3 5 2 7 3" xfId="11120" xr:uid="{79F79C18-DAD2-4F26-B176-9645267C532B}"/>
    <cellStyle name="Normal 10 2 3 5 2 8" xfId="11121" xr:uid="{A59023A9-44E6-4070-B8FC-1B73B2E8320C}"/>
    <cellStyle name="Normal 10 2 3 5 2 8 2" xfId="11122" xr:uid="{621ECC19-4B79-4F28-8FE5-2A215CD084CF}"/>
    <cellStyle name="Normal 10 2 3 5 2 9" xfId="11123" xr:uid="{A59F65E4-C4E0-40DB-8200-1D6054ED3EA1}"/>
    <cellStyle name="Normal 10 2 3 5 3" xfId="509" xr:uid="{D9C19178-FFDD-4FA1-88E9-AF7FF349C559}"/>
    <cellStyle name="Normal 10 2 3 5 3 2" xfId="11125" xr:uid="{9190BB34-5202-4381-BCDD-E5BBBF820984}"/>
    <cellStyle name="Normal 10 2 3 5 3 2 2" xfId="11126" xr:uid="{3E817F7E-3AFA-4CAC-BA98-296C2E0849FC}"/>
    <cellStyle name="Normal 10 2 3 5 3 2 2 2" xfId="11127" xr:uid="{FB0275A8-736E-4800-83A4-D35BCDA7F8AB}"/>
    <cellStyle name="Normal 10 2 3 5 3 2 2 2 2" xfId="11128" xr:uid="{2C1DC3D1-3260-496B-8949-95742CF8A600}"/>
    <cellStyle name="Normal 10 2 3 5 3 2 2 2 2 2" xfId="11129" xr:uid="{8519A097-D537-48A7-9483-D60A9515D917}"/>
    <cellStyle name="Normal 10 2 3 5 3 2 2 2 2 2 2" xfId="11130" xr:uid="{54117BD8-8D65-4942-8DAB-651E7BF0B7AB}"/>
    <cellStyle name="Normal 10 2 3 5 3 2 2 2 2 2 2 2" xfId="11131" xr:uid="{68C7691B-FCD2-4BDC-98E3-6A14AB3A8A27}"/>
    <cellStyle name="Normal 10 2 3 5 3 2 2 2 2 2 3" xfId="11132" xr:uid="{1142C34D-E639-4D9B-A946-2FA830CB46F6}"/>
    <cellStyle name="Normal 10 2 3 5 3 2 2 2 2 3" xfId="11133" xr:uid="{510302E6-5A32-4357-8B29-BCBB1848B15D}"/>
    <cellStyle name="Normal 10 2 3 5 3 2 2 2 2 3 2" xfId="11134" xr:uid="{76F2C889-043E-4EBE-9DE9-FFF14E655AA5}"/>
    <cellStyle name="Normal 10 2 3 5 3 2 2 2 2 4" xfId="11135" xr:uid="{0E9B8DEC-33C5-4646-BA0E-9BD0AB879236}"/>
    <cellStyle name="Normal 10 2 3 5 3 2 2 2 3" xfId="11136" xr:uid="{322A982B-F995-4E9F-B3A1-687F602B5F88}"/>
    <cellStyle name="Normal 10 2 3 5 3 2 2 2 3 2" xfId="11137" xr:uid="{12ABEA1D-591B-4764-9997-9CFEEFDB8AC1}"/>
    <cellStyle name="Normal 10 2 3 5 3 2 2 2 3 2 2" xfId="11138" xr:uid="{BDD42B68-8146-4195-942E-E4E894582B25}"/>
    <cellStyle name="Normal 10 2 3 5 3 2 2 2 3 3" xfId="11139" xr:uid="{363C0B48-CD61-4EA3-A10F-EB91FD46003C}"/>
    <cellStyle name="Normal 10 2 3 5 3 2 2 2 4" xfId="11140" xr:uid="{2CB082B0-823B-4584-8952-0878B1D7138F}"/>
    <cellStyle name="Normal 10 2 3 5 3 2 2 2 4 2" xfId="11141" xr:uid="{CD3B63F1-1737-40A7-8E22-F6D4FA0D15E9}"/>
    <cellStyle name="Normal 10 2 3 5 3 2 2 2 5" xfId="11142" xr:uid="{21D12517-2B9C-4334-87A4-1131EAFF3007}"/>
    <cellStyle name="Normal 10 2 3 5 3 2 2 3" xfId="11143" xr:uid="{2688DE0C-2AE1-4315-8085-ADC0883F03DA}"/>
    <cellStyle name="Normal 10 2 3 5 3 2 2 3 2" xfId="11144" xr:uid="{6B60A742-29BE-4FCD-BA72-0933666597E7}"/>
    <cellStyle name="Normal 10 2 3 5 3 2 2 3 2 2" xfId="11145" xr:uid="{9AF23360-18F3-4BEA-9647-6872F26D49B5}"/>
    <cellStyle name="Normal 10 2 3 5 3 2 2 3 2 2 2" xfId="11146" xr:uid="{438E2B92-8C4D-4A9B-B22F-8F20F4C818A8}"/>
    <cellStyle name="Normal 10 2 3 5 3 2 2 3 2 3" xfId="11147" xr:uid="{FA56AE3B-DB5D-4C50-9C81-8F56D0A2375E}"/>
    <cellStyle name="Normal 10 2 3 5 3 2 2 3 3" xfId="11148" xr:uid="{3698AC1C-8350-4FD3-BB4A-06702CEA9419}"/>
    <cellStyle name="Normal 10 2 3 5 3 2 2 3 3 2" xfId="11149" xr:uid="{7AD9CCC3-6AFA-440E-BD75-24DA6C503925}"/>
    <cellStyle name="Normal 10 2 3 5 3 2 2 3 4" xfId="11150" xr:uid="{3EC7EA52-CD98-4A90-AA04-512CA0CCB92F}"/>
    <cellStyle name="Normal 10 2 3 5 3 2 2 4" xfId="11151" xr:uid="{89659C44-9C33-4F73-B907-363FC26BDE1D}"/>
    <cellStyle name="Normal 10 2 3 5 3 2 2 4 2" xfId="11152" xr:uid="{0DB66724-CD92-4B3C-ACC6-2CB8706507A4}"/>
    <cellStyle name="Normal 10 2 3 5 3 2 2 4 2 2" xfId="11153" xr:uid="{42A84E6A-D413-400B-B63A-59F7420D4278}"/>
    <cellStyle name="Normal 10 2 3 5 3 2 2 4 3" xfId="11154" xr:uid="{148B5B72-8389-46B2-97A4-F50B5D853F3D}"/>
    <cellStyle name="Normal 10 2 3 5 3 2 2 5" xfId="11155" xr:uid="{E0C516C4-EB12-4D69-B5D9-D75AA9D773FA}"/>
    <cellStyle name="Normal 10 2 3 5 3 2 2 5 2" xfId="11156" xr:uid="{1FD1F283-5CF7-4001-969A-4767D40AF42D}"/>
    <cellStyle name="Normal 10 2 3 5 3 2 2 6" xfId="11157" xr:uid="{47AA6AC8-12A6-496B-A288-F37D225782AE}"/>
    <cellStyle name="Normal 10 2 3 5 3 2 3" xfId="11158" xr:uid="{E0768B6D-A8CC-457C-9F31-D1A625E4CA0D}"/>
    <cellStyle name="Normal 10 2 3 5 3 2 3 2" xfId="11159" xr:uid="{76097F13-E4F4-4D42-87D9-1B09B92E03A8}"/>
    <cellStyle name="Normal 10 2 3 5 3 2 3 2 2" xfId="11160" xr:uid="{E907BFBD-A03F-4088-B11E-24DE09E8AC71}"/>
    <cellStyle name="Normal 10 2 3 5 3 2 3 2 2 2" xfId="11161" xr:uid="{5CAC1286-A343-423F-93A8-081D06CE1A48}"/>
    <cellStyle name="Normal 10 2 3 5 3 2 3 2 2 2 2" xfId="11162" xr:uid="{BC92B716-E682-4022-AF6F-F4348139C5CE}"/>
    <cellStyle name="Normal 10 2 3 5 3 2 3 2 2 3" xfId="11163" xr:uid="{F218054D-1CCB-42CA-9D98-31DF13A69212}"/>
    <cellStyle name="Normal 10 2 3 5 3 2 3 2 3" xfId="11164" xr:uid="{014BDC09-3CF0-4838-90FE-BB68B14EF15A}"/>
    <cellStyle name="Normal 10 2 3 5 3 2 3 2 3 2" xfId="11165" xr:uid="{6FF88DD2-68E0-45E3-B3D0-949657B6C10B}"/>
    <cellStyle name="Normal 10 2 3 5 3 2 3 2 4" xfId="11166" xr:uid="{7F876861-DAB8-4F44-8CD9-9C1B43878ABE}"/>
    <cellStyle name="Normal 10 2 3 5 3 2 3 3" xfId="11167" xr:uid="{6E91BF92-D4BB-40E9-9066-EEE07D8F4547}"/>
    <cellStyle name="Normal 10 2 3 5 3 2 3 3 2" xfId="11168" xr:uid="{81049485-E1A4-4604-A317-2B3D997CF681}"/>
    <cellStyle name="Normal 10 2 3 5 3 2 3 3 2 2" xfId="11169" xr:uid="{056EB97C-B038-4A65-8F7F-7BF085B39DD7}"/>
    <cellStyle name="Normal 10 2 3 5 3 2 3 3 3" xfId="11170" xr:uid="{39739DE5-8CDC-4D30-879D-C74C4528C291}"/>
    <cellStyle name="Normal 10 2 3 5 3 2 3 4" xfId="11171" xr:uid="{2730C533-A634-4467-9B38-0481B85C9156}"/>
    <cellStyle name="Normal 10 2 3 5 3 2 3 4 2" xfId="11172" xr:uid="{E650D6A0-877D-40B5-A682-D11F09C2707F}"/>
    <cellStyle name="Normal 10 2 3 5 3 2 3 5" xfId="11173" xr:uid="{BF938051-1477-4247-A1EF-16182E1F6568}"/>
    <cellStyle name="Normal 10 2 3 5 3 2 4" xfId="11174" xr:uid="{AC786BDE-C0D1-4A10-84D0-391E43330412}"/>
    <cellStyle name="Normal 10 2 3 5 3 2 4 2" xfId="11175" xr:uid="{7DBD5D38-8BC2-4D49-8D5C-8F7CD227A110}"/>
    <cellStyle name="Normal 10 2 3 5 3 2 4 2 2" xfId="11176" xr:uid="{DC7E8053-307C-4F1C-92BB-EF7D6B8A3D81}"/>
    <cellStyle name="Normal 10 2 3 5 3 2 4 2 2 2" xfId="11177" xr:uid="{8B6D1191-F7E9-4BBA-9628-8DE8FD707E6F}"/>
    <cellStyle name="Normal 10 2 3 5 3 2 4 2 3" xfId="11178" xr:uid="{6309209E-1DD6-4C07-A717-594BEFFEF830}"/>
    <cellStyle name="Normal 10 2 3 5 3 2 4 3" xfId="11179" xr:uid="{879E8580-473A-40C8-A9A4-0FCAC8D1BDE8}"/>
    <cellStyle name="Normal 10 2 3 5 3 2 4 3 2" xfId="11180" xr:uid="{7F1F9B16-00A7-49EC-97D5-F86387F1C904}"/>
    <cellStyle name="Normal 10 2 3 5 3 2 4 4" xfId="11181" xr:uid="{6862ABC3-6EA6-4E31-9DB2-5E5718DA99D3}"/>
    <cellStyle name="Normal 10 2 3 5 3 2 5" xfId="11182" xr:uid="{3FE6F099-D6CF-4578-925A-9F11E88AB7CC}"/>
    <cellStyle name="Normal 10 2 3 5 3 2 5 2" xfId="11183" xr:uid="{25B208A7-A072-4278-9E29-5463BACC86F4}"/>
    <cellStyle name="Normal 10 2 3 5 3 2 5 2 2" xfId="11184" xr:uid="{34B17FF8-D166-470C-8124-191435BEF2C1}"/>
    <cellStyle name="Normal 10 2 3 5 3 2 5 3" xfId="11185" xr:uid="{B70CFC56-8787-4F4B-A62C-142D76AEE9F1}"/>
    <cellStyle name="Normal 10 2 3 5 3 2 6" xfId="11186" xr:uid="{CE72E1A1-5A58-4F7D-818B-4317BCEBF8FC}"/>
    <cellStyle name="Normal 10 2 3 5 3 2 6 2" xfId="11187" xr:uid="{6CCAEC81-4B42-48B1-97F0-90DD4AE14E31}"/>
    <cellStyle name="Normal 10 2 3 5 3 2 7" xfId="11188" xr:uid="{D968C946-07DA-45EF-A359-CA27E6581860}"/>
    <cellStyle name="Normal 10 2 3 5 3 3" xfId="11189" xr:uid="{A497B3D3-F5A1-400E-9A6C-6B34971ED687}"/>
    <cellStyle name="Normal 10 2 3 5 3 3 2" xfId="11190" xr:uid="{FC514A78-24C4-4E5C-91CD-712EBCD065CB}"/>
    <cellStyle name="Normal 10 2 3 5 3 3 2 2" xfId="11191" xr:uid="{1DE18561-60DE-4710-A924-92A4F43E7FCC}"/>
    <cellStyle name="Normal 10 2 3 5 3 3 2 2 2" xfId="11192" xr:uid="{ABF95A64-CD99-4BEA-BEF2-61CDEEEED25C}"/>
    <cellStyle name="Normal 10 2 3 5 3 3 2 2 2 2" xfId="11193" xr:uid="{EC824951-40E1-429F-8F8D-0EAA1F94850C}"/>
    <cellStyle name="Normal 10 2 3 5 3 3 2 2 2 2 2" xfId="11194" xr:uid="{26428A44-A835-4EE8-9D72-BC3A6F2E7082}"/>
    <cellStyle name="Normal 10 2 3 5 3 3 2 2 2 3" xfId="11195" xr:uid="{DCD746B0-11F9-417B-9DE4-E94CAE0024BE}"/>
    <cellStyle name="Normal 10 2 3 5 3 3 2 2 3" xfId="11196" xr:uid="{D412F63F-B351-4C86-A39A-16AC1673BD6F}"/>
    <cellStyle name="Normal 10 2 3 5 3 3 2 2 3 2" xfId="11197" xr:uid="{2AFFA2AC-6D23-42C7-938E-5F773E4E652D}"/>
    <cellStyle name="Normal 10 2 3 5 3 3 2 2 4" xfId="11198" xr:uid="{EDC4C50E-F799-4FC1-AF05-1297FC300FAC}"/>
    <cellStyle name="Normal 10 2 3 5 3 3 2 3" xfId="11199" xr:uid="{B65CCA4B-0A95-41FA-8263-4ECB42E5FE10}"/>
    <cellStyle name="Normal 10 2 3 5 3 3 2 3 2" xfId="11200" xr:uid="{CE02149F-2254-4CC0-AD88-6DF0446F9068}"/>
    <cellStyle name="Normal 10 2 3 5 3 3 2 3 2 2" xfId="11201" xr:uid="{07B15F59-0569-45A9-A520-692E50240C0B}"/>
    <cellStyle name="Normal 10 2 3 5 3 3 2 3 3" xfId="11202" xr:uid="{EA184F39-8D54-4C5A-BD62-244212E66A1E}"/>
    <cellStyle name="Normal 10 2 3 5 3 3 2 4" xfId="11203" xr:uid="{1695413B-E7C9-411F-9278-07F424CBCE2D}"/>
    <cellStyle name="Normal 10 2 3 5 3 3 2 4 2" xfId="11204" xr:uid="{30594741-CD52-416A-9B43-8B2121063763}"/>
    <cellStyle name="Normal 10 2 3 5 3 3 2 5" xfId="11205" xr:uid="{31BC0D55-E256-47A3-B7AC-2886A21081D5}"/>
    <cellStyle name="Normal 10 2 3 5 3 3 3" xfId="11206" xr:uid="{F9FA02F6-327A-4B5B-8F2B-2D5FA4612A9F}"/>
    <cellStyle name="Normal 10 2 3 5 3 3 3 2" xfId="11207" xr:uid="{11D53EB4-A02F-45E8-AAA6-C5DD15F77593}"/>
    <cellStyle name="Normal 10 2 3 5 3 3 3 2 2" xfId="11208" xr:uid="{0BBAD13B-BB55-4E14-A4D9-B2DA617A6ECB}"/>
    <cellStyle name="Normal 10 2 3 5 3 3 3 2 2 2" xfId="11209" xr:uid="{BB38AC8B-CBA0-4D4C-8F16-89B682CC2E27}"/>
    <cellStyle name="Normal 10 2 3 5 3 3 3 2 3" xfId="11210" xr:uid="{A39E09A5-D456-4AC5-B376-5D8CC299728F}"/>
    <cellStyle name="Normal 10 2 3 5 3 3 3 3" xfId="11211" xr:uid="{854DF40A-8926-4794-924C-B90B90D451D6}"/>
    <cellStyle name="Normal 10 2 3 5 3 3 3 3 2" xfId="11212" xr:uid="{0B71CF4A-C50F-44ED-BA4E-23908AF98D24}"/>
    <cellStyle name="Normal 10 2 3 5 3 3 3 4" xfId="11213" xr:uid="{A4B7C8E9-F18F-4AEA-9718-50CA1C35E9EF}"/>
    <cellStyle name="Normal 10 2 3 5 3 3 4" xfId="11214" xr:uid="{F548EE43-51AF-4F11-AB05-DA84A1A57D82}"/>
    <cellStyle name="Normal 10 2 3 5 3 3 4 2" xfId="11215" xr:uid="{0F8E7A09-2EE8-48EC-BF9B-7DC8FF20A48E}"/>
    <cellStyle name="Normal 10 2 3 5 3 3 4 2 2" xfId="11216" xr:uid="{5D06550A-93D2-470A-9C93-A78DEA6B7C27}"/>
    <cellStyle name="Normal 10 2 3 5 3 3 4 3" xfId="11217" xr:uid="{CE4E3FAD-14C6-41B5-AA09-DF87FABD2485}"/>
    <cellStyle name="Normal 10 2 3 5 3 3 5" xfId="11218" xr:uid="{76334BA4-EFA0-4D39-8C7E-AA38A5FDA3B6}"/>
    <cellStyle name="Normal 10 2 3 5 3 3 5 2" xfId="11219" xr:uid="{0D2E7D1B-2077-4056-A740-21136CF804B2}"/>
    <cellStyle name="Normal 10 2 3 5 3 3 6" xfId="11220" xr:uid="{C6B2860E-BA69-4540-BD7E-83EBBEACD6DD}"/>
    <cellStyle name="Normal 10 2 3 5 3 4" xfId="11221" xr:uid="{FFCC1947-739C-42E0-9D52-C7869CA7E8D7}"/>
    <cellStyle name="Normal 10 2 3 5 3 4 2" xfId="11222" xr:uid="{C51DF473-D279-4135-883B-D4A5BB68A460}"/>
    <cellStyle name="Normal 10 2 3 5 3 4 2 2" xfId="11223" xr:uid="{F468487E-8BA8-4340-A9F1-7D8AD6F80CCB}"/>
    <cellStyle name="Normal 10 2 3 5 3 4 2 2 2" xfId="11224" xr:uid="{4D883683-5B1A-411C-9E5E-8EAE46933D07}"/>
    <cellStyle name="Normal 10 2 3 5 3 4 2 2 2 2" xfId="11225" xr:uid="{68A0FA2D-5E99-4E44-84FB-8F70D1C9D0CD}"/>
    <cellStyle name="Normal 10 2 3 5 3 4 2 2 3" xfId="11226" xr:uid="{97D3DB36-A790-4A29-8DAF-DB87008D7770}"/>
    <cellStyle name="Normal 10 2 3 5 3 4 2 3" xfId="11227" xr:uid="{7C722320-5A7B-4AA4-B9D8-B6FF60665AEB}"/>
    <cellStyle name="Normal 10 2 3 5 3 4 2 3 2" xfId="11228" xr:uid="{18946096-BEC4-479B-A1CB-F43B9308A3E1}"/>
    <cellStyle name="Normal 10 2 3 5 3 4 2 4" xfId="11229" xr:uid="{92D4981F-EF3D-4F94-AAA6-A51CAFF282F2}"/>
    <cellStyle name="Normal 10 2 3 5 3 4 3" xfId="11230" xr:uid="{7E0313FA-B9F4-4AD0-BE9F-07EA9C712B36}"/>
    <cellStyle name="Normal 10 2 3 5 3 4 3 2" xfId="11231" xr:uid="{5DEFB6EC-0510-4E96-A97B-701610202CB1}"/>
    <cellStyle name="Normal 10 2 3 5 3 4 3 2 2" xfId="11232" xr:uid="{0C9B3104-DE9F-43BB-A946-DC4026EED817}"/>
    <cellStyle name="Normal 10 2 3 5 3 4 3 3" xfId="11233" xr:uid="{DFD85C08-7399-42A5-8026-CAE756271C9B}"/>
    <cellStyle name="Normal 10 2 3 5 3 4 4" xfId="11234" xr:uid="{91BFF4E5-9E7C-4E6E-A477-C9D108C96DD5}"/>
    <cellStyle name="Normal 10 2 3 5 3 4 4 2" xfId="11235" xr:uid="{F7CD9DA1-6677-4C49-941C-9D7F0CE26A09}"/>
    <cellStyle name="Normal 10 2 3 5 3 4 5" xfId="11236" xr:uid="{7E225805-8990-47D7-9DF6-F751E64F46D3}"/>
    <cellStyle name="Normal 10 2 3 5 3 5" xfId="11237" xr:uid="{3AF441F7-14E3-4118-8CE1-9F6CE285E551}"/>
    <cellStyle name="Normal 10 2 3 5 3 5 2" xfId="11238" xr:uid="{5382009B-5CDB-4289-9B5D-992168DBA6A7}"/>
    <cellStyle name="Normal 10 2 3 5 3 5 2 2" xfId="11239" xr:uid="{A358CCD9-9FA0-4A77-8207-4643672EBD0D}"/>
    <cellStyle name="Normal 10 2 3 5 3 5 2 2 2" xfId="11240" xr:uid="{30C97E5A-3A84-4D25-9A6F-4672174FF43A}"/>
    <cellStyle name="Normal 10 2 3 5 3 5 2 3" xfId="11241" xr:uid="{4D64A0AA-ED09-4D69-AF39-192CBB4C4E96}"/>
    <cellStyle name="Normal 10 2 3 5 3 5 3" xfId="11242" xr:uid="{37F66359-0793-4A1F-A323-EB4B970C758D}"/>
    <cellStyle name="Normal 10 2 3 5 3 5 3 2" xfId="11243" xr:uid="{EED6560E-414D-417B-8B7A-674B3ADB5F9E}"/>
    <cellStyle name="Normal 10 2 3 5 3 5 4" xfId="11244" xr:uid="{FD569612-48A9-464D-8567-605C0E5E72A7}"/>
    <cellStyle name="Normal 10 2 3 5 3 6" xfId="11245" xr:uid="{66EDE36F-5898-4779-B995-F17BC64D62A6}"/>
    <cellStyle name="Normal 10 2 3 5 3 6 2" xfId="11246" xr:uid="{AD327F6B-261D-4EBA-ACBF-B5FAFCF22A01}"/>
    <cellStyle name="Normal 10 2 3 5 3 6 2 2" xfId="11247" xr:uid="{5158DC75-181F-4234-A458-39E6E4E0673E}"/>
    <cellStyle name="Normal 10 2 3 5 3 6 3" xfId="11248" xr:uid="{B296386A-EA36-4AC6-AA87-8813F5A08C25}"/>
    <cellStyle name="Normal 10 2 3 5 3 7" xfId="11249" xr:uid="{5C30F1C0-17C2-43C4-8BB1-C18C567A6E62}"/>
    <cellStyle name="Normal 10 2 3 5 3 7 2" xfId="11250" xr:uid="{7E8378E8-D13C-470B-91F2-9A2F4082A20F}"/>
    <cellStyle name="Normal 10 2 3 5 3 8" xfId="11251" xr:uid="{5DCBF3B9-E416-4A1F-8F15-8927F10C7991}"/>
    <cellStyle name="Normal 10 2 3 5 3 9" xfId="11124" xr:uid="{10B01701-D0E6-403F-917F-3611C1052100}"/>
    <cellStyle name="Normal 10 2 3 5 4" xfId="11252" xr:uid="{AE7EDE8B-A816-4163-B46C-FBC341A9A0B4}"/>
    <cellStyle name="Normal 10 2 3 5 4 2" xfId="11253" xr:uid="{ADB05CA6-40DC-441F-9529-2A7592F59041}"/>
    <cellStyle name="Normal 10 2 3 5 4 2 2" xfId="11254" xr:uid="{AE44D95C-88B9-4DC3-9C07-81A52290F71D}"/>
    <cellStyle name="Normal 10 2 3 5 4 2 2 2" xfId="11255" xr:uid="{7BBAB462-1EE4-4C17-9BD9-F2A49D2538EB}"/>
    <cellStyle name="Normal 10 2 3 5 4 2 2 2 2" xfId="11256" xr:uid="{0E0FA2B8-553B-4007-BB1B-5BF98E32E671}"/>
    <cellStyle name="Normal 10 2 3 5 4 2 2 2 2 2" xfId="11257" xr:uid="{73B183A1-74B7-4C6A-8BFC-8C2210497549}"/>
    <cellStyle name="Normal 10 2 3 5 4 2 2 2 2 2 2" xfId="11258" xr:uid="{3C35C922-F754-4846-8CE5-8B91C5C748E6}"/>
    <cellStyle name="Normal 10 2 3 5 4 2 2 2 2 3" xfId="11259" xr:uid="{9B18FD56-1E52-44CE-ABAB-DADEEC27A82C}"/>
    <cellStyle name="Normal 10 2 3 5 4 2 2 2 3" xfId="11260" xr:uid="{788059A6-A692-49C6-B503-2FA5C5EE24F0}"/>
    <cellStyle name="Normal 10 2 3 5 4 2 2 2 3 2" xfId="11261" xr:uid="{C67DECF6-CA8D-4C3F-A2ED-2DC4EE9A58DC}"/>
    <cellStyle name="Normal 10 2 3 5 4 2 2 2 4" xfId="11262" xr:uid="{52D6B4D8-C24F-4D57-B980-0633FAA2DE50}"/>
    <cellStyle name="Normal 10 2 3 5 4 2 2 3" xfId="11263" xr:uid="{69EED5AF-8022-4BB9-BFB5-00A8D9E1D5E1}"/>
    <cellStyle name="Normal 10 2 3 5 4 2 2 3 2" xfId="11264" xr:uid="{417A9077-340F-461E-BFB5-7911BF129DFB}"/>
    <cellStyle name="Normal 10 2 3 5 4 2 2 3 2 2" xfId="11265" xr:uid="{687323E5-257C-4088-9C35-C39873222C2B}"/>
    <cellStyle name="Normal 10 2 3 5 4 2 2 3 3" xfId="11266" xr:uid="{13AA7471-56E9-44E6-8D6F-319EF95D4FAE}"/>
    <cellStyle name="Normal 10 2 3 5 4 2 2 4" xfId="11267" xr:uid="{E5B815F2-6688-4291-8C64-7E9D638C85C5}"/>
    <cellStyle name="Normal 10 2 3 5 4 2 2 4 2" xfId="11268" xr:uid="{D5A1C1A6-6E0F-4832-BDC1-107EDFA62667}"/>
    <cellStyle name="Normal 10 2 3 5 4 2 2 5" xfId="11269" xr:uid="{BA72219C-9FD7-4795-AB5D-A4B06B7311AB}"/>
    <cellStyle name="Normal 10 2 3 5 4 2 3" xfId="11270" xr:uid="{72480FE3-E88F-4C44-934B-5E5431BD2BE5}"/>
    <cellStyle name="Normal 10 2 3 5 4 2 3 2" xfId="11271" xr:uid="{7A9CD626-EC3D-4C10-AFEA-F2CD972D6403}"/>
    <cellStyle name="Normal 10 2 3 5 4 2 3 2 2" xfId="11272" xr:uid="{226CCF77-864F-4320-9317-DAC2FA59545C}"/>
    <cellStyle name="Normal 10 2 3 5 4 2 3 2 2 2" xfId="11273" xr:uid="{05394348-33C7-4E1B-8DE8-E0CC8FB5CA69}"/>
    <cellStyle name="Normal 10 2 3 5 4 2 3 2 3" xfId="11274" xr:uid="{120D8A1B-01EB-4881-8E9A-2B5493D18448}"/>
    <cellStyle name="Normal 10 2 3 5 4 2 3 3" xfId="11275" xr:uid="{9FBFDC34-BE88-41C7-82CE-E8FB75347F34}"/>
    <cellStyle name="Normal 10 2 3 5 4 2 3 3 2" xfId="11276" xr:uid="{55846F7F-E732-4E82-9220-DE68DF714D75}"/>
    <cellStyle name="Normal 10 2 3 5 4 2 3 4" xfId="11277" xr:uid="{D42CF58F-91A1-4000-89FD-2ABD273D4642}"/>
    <cellStyle name="Normal 10 2 3 5 4 2 4" xfId="11278" xr:uid="{BB22F10F-2141-4FD1-8CC0-AF634B742E20}"/>
    <cellStyle name="Normal 10 2 3 5 4 2 4 2" xfId="11279" xr:uid="{1E299D93-3258-408D-A4AB-D8E560571965}"/>
    <cellStyle name="Normal 10 2 3 5 4 2 4 2 2" xfId="11280" xr:uid="{19CBC01C-668A-4B40-9042-45E20DFE42DA}"/>
    <cellStyle name="Normal 10 2 3 5 4 2 4 3" xfId="11281" xr:uid="{94177135-7578-43B9-88AE-9281DDA01C59}"/>
    <cellStyle name="Normal 10 2 3 5 4 2 5" xfId="11282" xr:uid="{9DB8A31B-3F04-4116-BBB9-1E1E41486EB6}"/>
    <cellStyle name="Normal 10 2 3 5 4 2 5 2" xfId="11283" xr:uid="{CBA65D69-6194-4896-8528-98ABB7D45834}"/>
    <cellStyle name="Normal 10 2 3 5 4 2 6" xfId="11284" xr:uid="{734BC3D6-C5CE-4593-A8AA-ABE168FFC659}"/>
    <cellStyle name="Normal 10 2 3 5 4 3" xfId="11285" xr:uid="{27895B1C-0D95-4983-9889-07A6FC2600D3}"/>
    <cellStyle name="Normal 10 2 3 5 4 3 2" xfId="11286" xr:uid="{B22DE23B-17F6-44D1-9C2E-2A370EBF006B}"/>
    <cellStyle name="Normal 10 2 3 5 4 3 2 2" xfId="11287" xr:uid="{42210033-AB8A-40D9-81F0-8FEC94CFF35A}"/>
    <cellStyle name="Normal 10 2 3 5 4 3 2 2 2" xfId="11288" xr:uid="{11A209EC-0115-47C8-ADF4-51213F9C747E}"/>
    <cellStyle name="Normal 10 2 3 5 4 3 2 2 2 2" xfId="11289" xr:uid="{EFF5A98E-723F-4DF9-8FAA-EF9D4953E3D1}"/>
    <cellStyle name="Normal 10 2 3 5 4 3 2 2 3" xfId="11290" xr:uid="{8E9F6A3D-A6D8-479B-BCDA-5B795F17FAAB}"/>
    <cellStyle name="Normal 10 2 3 5 4 3 2 3" xfId="11291" xr:uid="{5F0776CA-8CCD-46B1-B238-672A08B79BEF}"/>
    <cellStyle name="Normal 10 2 3 5 4 3 2 3 2" xfId="11292" xr:uid="{A3683A09-7583-4269-BBD9-8E6E554F3EE6}"/>
    <cellStyle name="Normal 10 2 3 5 4 3 2 4" xfId="11293" xr:uid="{9C531697-B905-43F5-B6F3-437B51E7560A}"/>
    <cellStyle name="Normal 10 2 3 5 4 3 3" xfId="11294" xr:uid="{6B8A9C79-4089-4EAC-8AA6-CA04EA2894F8}"/>
    <cellStyle name="Normal 10 2 3 5 4 3 3 2" xfId="11295" xr:uid="{B278445F-B454-42B8-96CB-6A8A7FCD8FCE}"/>
    <cellStyle name="Normal 10 2 3 5 4 3 3 2 2" xfId="11296" xr:uid="{7DBC99FB-F85E-46B6-ACB7-56E336D7FEAF}"/>
    <cellStyle name="Normal 10 2 3 5 4 3 3 3" xfId="11297" xr:uid="{794A023F-5FEF-4FAF-8942-4238596A6344}"/>
    <cellStyle name="Normal 10 2 3 5 4 3 4" xfId="11298" xr:uid="{4C65515D-64BF-4369-B5B4-9165DF9DC7F7}"/>
    <cellStyle name="Normal 10 2 3 5 4 3 4 2" xfId="11299" xr:uid="{9980BACC-92C0-4433-8681-A03A4AA290D1}"/>
    <cellStyle name="Normal 10 2 3 5 4 3 5" xfId="11300" xr:uid="{CDA5B1F0-FFC7-4762-952E-9E0D40145ADC}"/>
    <cellStyle name="Normal 10 2 3 5 4 4" xfId="11301" xr:uid="{4E8CD99D-E1DF-4B29-975B-831C51A1DF67}"/>
    <cellStyle name="Normal 10 2 3 5 4 4 2" xfId="11302" xr:uid="{46CDE5CD-8899-4EC7-A055-1FC7635C0F31}"/>
    <cellStyle name="Normal 10 2 3 5 4 4 2 2" xfId="11303" xr:uid="{370E95E3-7589-42A0-AD82-CE4F2DB4A8B5}"/>
    <cellStyle name="Normal 10 2 3 5 4 4 2 2 2" xfId="11304" xr:uid="{2D48E0E9-8F87-4C03-99B7-5B186BD4D58D}"/>
    <cellStyle name="Normal 10 2 3 5 4 4 2 3" xfId="11305" xr:uid="{43D7AA21-AE5D-4B6A-8603-0BB0E378FCC1}"/>
    <cellStyle name="Normal 10 2 3 5 4 4 3" xfId="11306" xr:uid="{121F7E1C-DA45-4DC8-A5F5-8D6E540033FF}"/>
    <cellStyle name="Normal 10 2 3 5 4 4 3 2" xfId="11307" xr:uid="{8A93050B-78AA-44A0-BA76-565756EF3559}"/>
    <cellStyle name="Normal 10 2 3 5 4 4 4" xfId="11308" xr:uid="{079E0212-C958-4DBE-9B81-66DDD766FFBE}"/>
    <cellStyle name="Normal 10 2 3 5 4 5" xfId="11309" xr:uid="{0CD6011E-31B2-48C9-A3D1-FEB870EAD1C8}"/>
    <cellStyle name="Normal 10 2 3 5 4 5 2" xfId="11310" xr:uid="{41DFCD02-4A01-4125-90E2-254DDB46416D}"/>
    <cellStyle name="Normal 10 2 3 5 4 5 2 2" xfId="11311" xr:uid="{FD710265-98A6-46F8-BF0C-5F3BD5AA62A8}"/>
    <cellStyle name="Normal 10 2 3 5 4 5 3" xfId="11312" xr:uid="{0F36A388-D3D8-48FC-8FFB-C313DDEF347A}"/>
    <cellStyle name="Normal 10 2 3 5 4 6" xfId="11313" xr:uid="{C629D729-38D1-4961-9828-D5D644BB6A8E}"/>
    <cellStyle name="Normal 10 2 3 5 4 6 2" xfId="11314" xr:uid="{3A73B277-5990-42A8-9872-E9FAE01F5BD1}"/>
    <cellStyle name="Normal 10 2 3 5 4 7" xfId="11315" xr:uid="{396DD8F8-B5D6-4D64-B0C6-90D11633DE95}"/>
    <cellStyle name="Normal 10 2 3 5 5" xfId="11316" xr:uid="{57E4D704-1015-453F-AB1C-D3FDA6E0C176}"/>
    <cellStyle name="Normal 10 2 3 5 5 2" xfId="11317" xr:uid="{DA377B86-2CAD-45FE-877B-B22AE96A5A73}"/>
    <cellStyle name="Normal 10 2 3 5 5 2 2" xfId="11318" xr:uid="{CE8C44B6-FE8D-4C04-BC6E-DFCE80980D1A}"/>
    <cellStyle name="Normal 10 2 3 5 5 2 2 2" xfId="11319" xr:uid="{68DB7629-2DA3-4CD4-AF02-D77EF6DED1AA}"/>
    <cellStyle name="Normal 10 2 3 5 5 2 2 2 2" xfId="11320" xr:uid="{41A217CF-0661-4722-9266-28C2E4A14968}"/>
    <cellStyle name="Normal 10 2 3 5 5 2 2 2 2 2" xfId="11321" xr:uid="{040F16CB-3DA3-4CAE-92FE-F6F5DAF58DF2}"/>
    <cellStyle name="Normal 10 2 3 5 5 2 2 2 3" xfId="11322" xr:uid="{D6A3BB7B-A475-4029-AE4C-12B238DD8170}"/>
    <cellStyle name="Normal 10 2 3 5 5 2 2 3" xfId="11323" xr:uid="{ECA12E8E-CEA4-4875-8C21-37A1FEA1AB3E}"/>
    <cellStyle name="Normal 10 2 3 5 5 2 2 3 2" xfId="11324" xr:uid="{9DB511D5-A3FF-450E-B3A8-3EF8978361FC}"/>
    <cellStyle name="Normal 10 2 3 5 5 2 2 4" xfId="11325" xr:uid="{C67763A1-8292-4067-8C5C-5359A26AA1D0}"/>
    <cellStyle name="Normal 10 2 3 5 5 2 3" xfId="11326" xr:uid="{2D402131-A879-495D-9A3C-B31240D44CA6}"/>
    <cellStyle name="Normal 10 2 3 5 5 2 3 2" xfId="11327" xr:uid="{C2D34E08-1036-4369-BB0C-BB44DDE7FBE3}"/>
    <cellStyle name="Normal 10 2 3 5 5 2 3 2 2" xfId="11328" xr:uid="{5060A492-C675-4321-B1A4-BE0E91B19255}"/>
    <cellStyle name="Normal 10 2 3 5 5 2 3 3" xfId="11329" xr:uid="{B6307EF6-2CA8-4E94-BB60-3452AC88D8A8}"/>
    <cellStyle name="Normal 10 2 3 5 5 2 4" xfId="11330" xr:uid="{EE941937-B51B-4CD8-8FAE-DBFC8E2A292F}"/>
    <cellStyle name="Normal 10 2 3 5 5 2 4 2" xfId="11331" xr:uid="{A47FAD89-FE7F-4383-BDFD-5D88DA562146}"/>
    <cellStyle name="Normal 10 2 3 5 5 2 5" xfId="11332" xr:uid="{72BA9217-3541-4324-B1F1-F40E017C3ED0}"/>
    <cellStyle name="Normal 10 2 3 5 5 3" xfId="11333" xr:uid="{77A6098A-F6D4-41A6-BE0D-E85BD5A4CCC1}"/>
    <cellStyle name="Normal 10 2 3 5 5 3 2" xfId="11334" xr:uid="{42F516BD-ACA6-410C-B827-0F8F13056F88}"/>
    <cellStyle name="Normal 10 2 3 5 5 3 2 2" xfId="11335" xr:uid="{1A0447EE-626B-44A3-90B9-FA3DA584296E}"/>
    <cellStyle name="Normal 10 2 3 5 5 3 2 2 2" xfId="11336" xr:uid="{F816A959-C534-4406-BBED-32047AD132AE}"/>
    <cellStyle name="Normal 10 2 3 5 5 3 2 3" xfId="11337" xr:uid="{38943F22-1504-4624-BCA9-E288389A2C53}"/>
    <cellStyle name="Normal 10 2 3 5 5 3 3" xfId="11338" xr:uid="{1B16A81A-E948-4E5A-86F0-441DE8CB7996}"/>
    <cellStyle name="Normal 10 2 3 5 5 3 3 2" xfId="11339" xr:uid="{DA286440-39DA-40AF-8D32-062C837532B0}"/>
    <cellStyle name="Normal 10 2 3 5 5 3 4" xfId="11340" xr:uid="{35A9AAC3-1BFC-400B-BF6B-89B78F1785A6}"/>
    <cellStyle name="Normal 10 2 3 5 5 4" xfId="11341" xr:uid="{1BC4E36F-4A20-4CAD-A9EF-30C2BFFA1162}"/>
    <cellStyle name="Normal 10 2 3 5 5 4 2" xfId="11342" xr:uid="{5E97EDC0-3D37-4579-BDA9-89A7DFB0445F}"/>
    <cellStyle name="Normal 10 2 3 5 5 4 2 2" xfId="11343" xr:uid="{C869774E-4C6F-46A7-AD1A-CFE62F6B1423}"/>
    <cellStyle name="Normal 10 2 3 5 5 4 3" xfId="11344" xr:uid="{B72606CA-F668-4F78-89CA-CD6DB7C3AC4F}"/>
    <cellStyle name="Normal 10 2 3 5 5 5" xfId="11345" xr:uid="{9F014682-4E0D-4A30-A311-AD6A30C6CD8A}"/>
    <cellStyle name="Normal 10 2 3 5 5 5 2" xfId="11346" xr:uid="{67A4070F-AB04-4557-8961-F1CA15E4F047}"/>
    <cellStyle name="Normal 10 2 3 5 5 6" xfId="11347" xr:uid="{799FE587-0362-4AA2-88EB-75645DEE224F}"/>
    <cellStyle name="Normal 10 2 3 5 6" xfId="11348" xr:uid="{7C1B61A7-8538-4B10-B08D-7FF95E97FE80}"/>
    <cellStyle name="Normal 10 2 3 5 6 2" xfId="11349" xr:uid="{165BBF65-1B39-49D2-9EC5-322E3A6E1314}"/>
    <cellStyle name="Normal 10 2 3 5 6 2 2" xfId="11350" xr:uid="{B8A96C9F-47D5-492A-BB17-64A460448712}"/>
    <cellStyle name="Normal 10 2 3 5 6 2 2 2" xfId="11351" xr:uid="{6D5FF924-8DD4-49F7-A6F3-DE31A6EB2851}"/>
    <cellStyle name="Normal 10 2 3 5 6 2 2 2 2" xfId="11352" xr:uid="{36D8116A-3D37-4D5C-BCE1-86B1523501D9}"/>
    <cellStyle name="Normal 10 2 3 5 6 2 2 3" xfId="11353" xr:uid="{3A77DEF2-B700-46A8-94CE-CDC16001CFC7}"/>
    <cellStyle name="Normal 10 2 3 5 6 2 3" xfId="11354" xr:uid="{FD56B834-6050-4A99-AAA8-8780B3E69D0E}"/>
    <cellStyle name="Normal 10 2 3 5 6 2 3 2" xfId="11355" xr:uid="{899ED700-80D6-406E-B09E-8901423E3B69}"/>
    <cellStyle name="Normal 10 2 3 5 6 2 4" xfId="11356" xr:uid="{AD8F4404-EA06-4476-9D5F-8D04C8973DD0}"/>
    <cellStyle name="Normal 10 2 3 5 6 3" xfId="11357" xr:uid="{63BD6210-B594-4E46-8039-688D80F420AE}"/>
    <cellStyle name="Normal 10 2 3 5 6 3 2" xfId="11358" xr:uid="{466C480E-6D30-4FDF-84E0-38117068A8A1}"/>
    <cellStyle name="Normal 10 2 3 5 6 3 2 2" xfId="11359" xr:uid="{E2BC20E7-9466-4207-99F2-5C7E6C3A7BA9}"/>
    <cellStyle name="Normal 10 2 3 5 6 3 3" xfId="11360" xr:uid="{06D90C08-CBED-4194-8228-3376642E2B33}"/>
    <cellStyle name="Normal 10 2 3 5 6 4" xfId="11361" xr:uid="{488F0A33-5031-4AE6-9B0E-61C54A6EF470}"/>
    <cellStyle name="Normal 10 2 3 5 6 4 2" xfId="11362" xr:uid="{074729F1-4BD1-451F-BFB1-39368EDC68FA}"/>
    <cellStyle name="Normal 10 2 3 5 6 5" xfId="11363" xr:uid="{2F073E8A-488C-4252-A2C0-C6EF6B1D8742}"/>
    <cellStyle name="Normal 10 2 3 5 7" xfId="11364" xr:uid="{4A2F522B-5277-4121-A38D-B053EBEB1508}"/>
    <cellStyle name="Normal 10 2 3 5 7 2" xfId="11365" xr:uid="{1B95F40C-951A-4E29-A69C-F5386F7945FC}"/>
    <cellStyle name="Normal 10 2 3 5 7 2 2" xfId="11366" xr:uid="{92FEB2F8-42E8-45A4-B32C-915B617B20C0}"/>
    <cellStyle name="Normal 10 2 3 5 7 2 2 2" xfId="11367" xr:uid="{A5D02331-C761-4C52-81EB-FDB04E349DF5}"/>
    <cellStyle name="Normal 10 2 3 5 7 2 3" xfId="11368" xr:uid="{2702674E-6B7C-400D-91AF-6DF57613801C}"/>
    <cellStyle name="Normal 10 2 3 5 7 3" xfId="11369" xr:uid="{6481858C-74AA-4C90-B675-F683F06B941A}"/>
    <cellStyle name="Normal 10 2 3 5 7 3 2" xfId="11370" xr:uid="{77C4AF4C-9055-4FF2-B8B0-5D2D70199085}"/>
    <cellStyle name="Normal 10 2 3 5 7 4" xfId="11371" xr:uid="{A7C737E0-A6B1-416F-B2D3-ED3AB789BC51}"/>
    <cellStyle name="Normal 10 2 3 5 8" xfId="11372" xr:uid="{D3C6F393-7D1E-4271-A0AE-427B226270D6}"/>
    <cellStyle name="Normal 10 2 3 5 8 2" xfId="11373" xr:uid="{93A00678-A546-4D04-821E-A74C413BA059}"/>
    <cellStyle name="Normal 10 2 3 5 8 2 2" xfId="11374" xr:uid="{FB3DA6DF-ECB5-4B7C-B068-9931D9450AB0}"/>
    <cellStyle name="Normal 10 2 3 5 8 3" xfId="11375" xr:uid="{981CD89C-0433-4BE4-A0DC-D91F71F8731D}"/>
    <cellStyle name="Normal 10 2 3 5 9" xfId="11376" xr:uid="{2F09D6C8-A6A3-4D3A-860E-6793A75D9CD3}"/>
    <cellStyle name="Normal 10 2 3 5 9 2" xfId="11377" xr:uid="{524B8C3A-145C-4D08-8C48-72D3E92183D7}"/>
    <cellStyle name="Normal 10 2 3 6" xfId="317" xr:uid="{C74A863F-BAEC-4FA2-B29C-18C30FC07476}"/>
    <cellStyle name="Normal 10 2 3 6 10" xfId="11378" xr:uid="{7A0C33F6-322F-4170-B02A-5BF352356C12}"/>
    <cellStyle name="Normal 10 2 3 6 2" xfId="11379" xr:uid="{C756C9DA-78DC-46A0-9276-8E5DE1A7E1E9}"/>
    <cellStyle name="Normal 10 2 3 6 2 2" xfId="11380" xr:uid="{A4D7CEF5-0A14-485E-ADEB-3AB316E316E2}"/>
    <cellStyle name="Normal 10 2 3 6 2 2 2" xfId="11381" xr:uid="{374AFCA7-64D1-434E-B852-933B04635CB8}"/>
    <cellStyle name="Normal 10 2 3 6 2 2 2 2" xfId="11382" xr:uid="{6AF473E3-17F7-41C3-A11F-7B082B68502F}"/>
    <cellStyle name="Normal 10 2 3 6 2 2 2 2 2" xfId="11383" xr:uid="{AB855208-3816-4223-B8FC-249188A7BCEA}"/>
    <cellStyle name="Normal 10 2 3 6 2 2 2 2 2 2" xfId="11384" xr:uid="{536E1DBD-E607-410D-B6FB-CAE9860B3AB4}"/>
    <cellStyle name="Normal 10 2 3 6 2 2 2 2 2 2 2" xfId="11385" xr:uid="{798F540B-5639-4AEA-8344-9C1B805B7F1F}"/>
    <cellStyle name="Normal 10 2 3 6 2 2 2 2 2 2 2 2" xfId="11386" xr:uid="{C2F9C05B-4840-46BE-A867-A2A55333CA3E}"/>
    <cellStyle name="Normal 10 2 3 6 2 2 2 2 2 2 3" xfId="11387" xr:uid="{BA39384F-BBD4-41E6-AC96-0201F4F8BFAF}"/>
    <cellStyle name="Normal 10 2 3 6 2 2 2 2 2 3" xfId="11388" xr:uid="{2BFB533E-10A7-431A-BCE5-8CCC521542E0}"/>
    <cellStyle name="Normal 10 2 3 6 2 2 2 2 2 3 2" xfId="11389" xr:uid="{A9E87CC9-C4F1-4A35-9C03-43B5E1640252}"/>
    <cellStyle name="Normal 10 2 3 6 2 2 2 2 2 4" xfId="11390" xr:uid="{4CBD2572-E94C-4020-A70D-081C5F954FB1}"/>
    <cellStyle name="Normal 10 2 3 6 2 2 2 2 3" xfId="11391" xr:uid="{D707C867-F5A3-4D15-BD08-DF5B70F60270}"/>
    <cellStyle name="Normal 10 2 3 6 2 2 2 2 3 2" xfId="11392" xr:uid="{74BBBB09-6D7F-4C6F-8DCE-3355542FC98A}"/>
    <cellStyle name="Normal 10 2 3 6 2 2 2 2 3 2 2" xfId="11393" xr:uid="{9437CB1A-55E0-4114-B2E1-5495F93AA9A8}"/>
    <cellStyle name="Normal 10 2 3 6 2 2 2 2 3 3" xfId="11394" xr:uid="{7FF68EA1-A774-46FF-91FB-FB9B37FB8AAA}"/>
    <cellStyle name="Normal 10 2 3 6 2 2 2 2 4" xfId="11395" xr:uid="{321A10CC-12E8-492A-A32C-68C5ED4E70F1}"/>
    <cellStyle name="Normal 10 2 3 6 2 2 2 2 4 2" xfId="11396" xr:uid="{CCEB8DF8-DADA-4AD3-9D04-8D85BFB7F5CE}"/>
    <cellStyle name="Normal 10 2 3 6 2 2 2 2 5" xfId="11397" xr:uid="{6C10EF4E-23D6-4239-B80D-50EEB5C25D0A}"/>
    <cellStyle name="Normal 10 2 3 6 2 2 2 3" xfId="11398" xr:uid="{84570BD3-987B-4220-A985-BE086105C73E}"/>
    <cellStyle name="Normal 10 2 3 6 2 2 2 3 2" xfId="11399" xr:uid="{C5DC6D9B-643F-4A17-8244-B6F67DFD3F26}"/>
    <cellStyle name="Normal 10 2 3 6 2 2 2 3 2 2" xfId="11400" xr:uid="{80930BF4-D446-4FC6-9EF1-36FE04BBD580}"/>
    <cellStyle name="Normal 10 2 3 6 2 2 2 3 2 2 2" xfId="11401" xr:uid="{657BE991-A0BA-4E87-8914-AE5D0E10D245}"/>
    <cellStyle name="Normal 10 2 3 6 2 2 2 3 2 3" xfId="11402" xr:uid="{2CB12369-A011-410A-BA96-80E88AE4FE96}"/>
    <cellStyle name="Normal 10 2 3 6 2 2 2 3 3" xfId="11403" xr:uid="{7B833B3E-E937-449D-AD49-41C62830C086}"/>
    <cellStyle name="Normal 10 2 3 6 2 2 2 3 3 2" xfId="11404" xr:uid="{3FAB60A0-7F92-4E3D-BB90-D571AB033B92}"/>
    <cellStyle name="Normal 10 2 3 6 2 2 2 3 4" xfId="11405" xr:uid="{C4886ACE-5DC9-4F91-8625-118C7EAF4C0B}"/>
    <cellStyle name="Normal 10 2 3 6 2 2 2 4" xfId="11406" xr:uid="{E9373042-EF19-404B-899A-656D6009B75B}"/>
    <cellStyle name="Normal 10 2 3 6 2 2 2 4 2" xfId="11407" xr:uid="{B952F071-9868-48F6-BE6B-63D4DC18C141}"/>
    <cellStyle name="Normal 10 2 3 6 2 2 2 4 2 2" xfId="11408" xr:uid="{FDA52C93-EF0C-46C8-8400-BAFBD4B259E6}"/>
    <cellStyle name="Normal 10 2 3 6 2 2 2 4 3" xfId="11409" xr:uid="{94A68007-9292-46B8-AC15-80CED29E678A}"/>
    <cellStyle name="Normal 10 2 3 6 2 2 2 5" xfId="11410" xr:uid="{F86EFBD0-753C-4DC3-9B8E-C415C261B6C8}"/>
    <cellStyle name="Normal 10 2 3 6 2 2 2 5 2" xfId="11411" xr:uid="{D130B8DC-1CDF-4998-B37B-4C8DE5843FD3}"/>
    <cellStyle name="Normal 10 2 3 6 2 2 2 6" xfId="11412" xr:uid="{F00F1665-81CF-47B2-87D6-2B59AA43D035}"/>
    <cellStyle name="Normal 10 2 3 6 2 2 3" xfId="11413" xr:uid="{AED36AE8-DBEF-4823-9CDE-0A2DDDA541D3}"/>
    <cellStyle name="Normal 10 2 3 6 2 2 3 2" xfId="11414" xr:uid="{8DE3FE3F-EC68-4227-994D-59D11A19C5F1}"/>
    <cellStyle name="Normal 10 2 3 6 2 2 3 2 2" xfId="11415" xr:uid="{E6E88BB0-D83E-4C04-955E-EDB52FE27BB9}"/>
    <cellStyle name="Normal 10 2 3 6 2 2 3 2 2 2" xfId="11416" xr:uid="{86D85EB8-4945-4FF6-A350-71ADCFDA26F5}"/>
    <cellStyle name="Normal 10 2 3 6 2 2 3 2 2 2 2" xfId="11417" xr:uid="{2DAE6813-1B31-47A6-B58B-25534C750440}"/>
    <cellStyle name="Normal 10 2 3 6 2 2 3 2 2 3" xfId="11418" xr:uid="{B072DACB-0FD2-4917-8F4D-AE619C672702}"/>
    <cellStyle name="Normal 10 2 3 6 2 2 3 2 3" xfId="11419" xr:uid="{ECE05CFE-2BDC-4EFF-A9B9-E4C0AF7A219A}"/>
    <cellStyle name="Normal 10 2 3 6 2 2 3 2 3 2" xfId="11420" xr:uid="{74B3F467-29C6-4D63-8F3F-197B1BB568CA}"/>
    <cellStyle name="Normal 10 2 3 6 2 2 3 2 4" xfId="11421" xr:uid="{4C9EF443-9A5E-4F55-9ECE-A6F3EB6A5C7A}"/>
    <cellStyle name="Normal 10 2 3 6 2 2 3 3" xfId="11422" xr:uid="{719A670C-F11E-4056-AAF6-6B68A9597871}"/>
    <cellStyle name="Normal 10 2 3 6 2 2 3 3 2" xfId="11423" xr:uid="{319CC4C0-0457-4EF2-BA76-55C3DF307BCD}"/>
    <cellStyle name="Normal 10 2 3 6 2 2 3 3 2 2" xfId="11424" xr:uid="{BB98C00C-19BC-48CB-8C2E-99161CA06894}"/>
    <cellStyle name="Normal 10 2 3 6 2 2 3 3 3" xfId="11425" xr:uid="{670113D3-039A-4EB1-BD8F-5752CAC03265}"/>
    <cellStyle name="Normal 10 2 3 6 2 2 3 4" xfId="11426" xr:uid="{D93F7A1A-AC2D-4E50-A763-84BC8BB102E8}"/>
    <cellStyle name="Normal 10 2 3 6 2 2 3 4 2" xfId="11427" xr:uid="{8501C908-E0E9-43D1-A5F8-DBCAABFDD163}"/>
    <cellStyle name="Normal 10 2 3 6 2 2 3 5" xfId="11428" xr:uid="{295A4DC3-73DB-471D-ABC3-2DF3B66C3AB0}"/>
    <cellStyle name="Normal 10 2 3 6 2 2 4" xfId="11429" xr:uid="{8327DFBF-EBA4-4C51-BE38-B7C602CAA13C}"/>
    <cellStyle name="Normal 10 2 3 6 2 2 4 2" xfId="11430" xr:uid="{3DE179D9-BFA5-4E9B-9707-752352ED45DA}"/>
    <cellStyle name="Normal 10 2 3 6 2 2 4 2 2" xfId="11431" xr:uid="{8E320CAD-5BD4-4F6D-9830-5EE36A476260}"/>
    <cellStyle name="Normal 10 2 3 6 2 2 4 2 2 2" xfId="11432" xr:uid="{5C9904E0-F539-472A-BD07-2C4A7C9D3304}"/>
    <cellStyle name="Normal 10 2 3 6 2 2 4 2 3" xfId="11433" xr:uid="{673F7D03-7DB7-4CF3-8CEE-DD05A8C6B4A1}"/>
    <cellStyle name="Normal 10 2 3 6 2 2 4 3" xfId="11434" xr:uid="{FE60D3F1-0428-48EF-A972-9B73B679BFC4}"/>
    <cellStyle name="Normal 10 2 3 6 2 2 4 3 2" xfId="11435" xr:uid="{43B75FD8-B79A-4547-9A09-4AAD67E40A2F}"/>
    <cellStyle name="Normal 10 2 3 6 2 2 4 4" xfId="11436" xr:uid="{5558799D-EAA1-4C97-9267-7BA63B149571}"/>
    <cellStyle name="Normal 10 2 3 6 2 2 5" xfId="11437" xr:uid="{FF50FC66-130E-46E8-9C3E-F9AEAA9F633A}"/>
    <cellStyle name="Normal 10 2 3 6 2 2 5 2" xfId="11438" xr:uid="{7658862C-1DCC-4665-B513-78FFBF666416}"/>
    <cellStyle name="Normal 10 2 3 6 2 2 5 2 2" xfId="11439" xr:uid="{F259A717-7607-4040-8713-D43E32A53CD4}"/>
    <cellStyle name="Normal 10 2 3 6 2 2 5 3" xfId="11440" xr:uid="{D301CD21-F7EB-4400-9A3A-7AE38C11F2B3}"/>
    <cellStyle name="Normal 10 2 3 6 2 2 6" xfId="11441" xr:uid="{E6B4D525-5121-4A18-8270-9657468422C2}"/>
    <cellStyle name="Normal 10 2 3 6 2 2 6 2" xfId="11442" xr:uid="{03C9F218-89FC-44BC-94D5-BCD6595F35E0}"/>
    <cellStyle name="Normal 10 2 3 6 2 2 7" xfId="11443" xr:uid="{8D8567C9-02FC-4824-A456-B8DDD6324C53}"/>
    <cellStyle name="Normal 10 2 3 6 2 3" xfId="11444" xr:uid="{AD026640-0D2D-40C5-89EE-751A2B92ACA5}"/>
    <cellStyle name="Normal 10 2 3 6 2 3 2" xfId="11445" xr:uid="{C8C3EEC5-8B5A-4F78-BE38-1BE2480C25C0}"/>
    <cellStyle name="Normal 10 2 3 6 2 3 2 2" xfId="11446" xr:uid="{6517B979-F598-48EC-A504-355A55DF23A5}"/>
    <cellStyle name="Normal 10 2 3 6 2 3 2 2 2" xfId="11447" xr:uid="{67F3E4F9-15AF-4439-A199-5863EC5C7FB1}"/>
    <cellStyle name="Normal 10 2 3 6 2 3 2 2 2 2" xfId="11448" xr:uid="{BF327197-2AC2-449E-90E9-BC66DA1E18F6}"/>
    <cellStyle name="Normal 10 2 3 6 2 3 2 2 2 2 2" xfId="11449" xr:uid="{759F5CC0-3C0C-4352-B51E-9F078DA094F2}"/>
    <cellStyle name="Normal 10 2 3 6 2 3 2 2 2 3" xfId="11450" xr:uid="{F6E3DBE7-5271-4C8A-A136-69A1FC866692}"/>
    <cellStyle name="Normal 10 2 3 6 2 3 2 2 3" xfId="11451" xr:uid="{FFDF9907-F7D9-4334-A5BF-6E19FDA8D88E}"/>
    <cellStyle name="Normal 10 2 3 6 2 3 2 2 3 2" xfId="11452" xr:uid="{35A5C081-CE57-407C-94AD-A0E77C63248E}"/>
    <cellStyle name="Normal 10 2 3 6 2 3 2 2 4" xfId="11453" xr:uid="{17FD7BA7-A023-4920-84BD-98DB7C2D8B6D}"/>
    <cellStyle name="Normal 10 2 3 6 2 3 2 3" xfId="11454" xr:uid="{894B1838-95D9-4BBA-9238-283CB40F601A}"/>
    <cellStyle name="Normal 10 2 3 6 2 3 2 3 2" xfId="11455" xr:uid="{0FCF1D63-C3E4-41C3-BF4D-ECE29DC2B46F}"/>
    <cellStyle name="Normal 10 2 3 6 2 3 2 3 2 2" xfId="11456" xr:uid="{D7F598A0-25EB-46E7-926B-D816503F7397}"/>
    <cellStyle name="Normal 10 2 3 6 2 3 2 3 3" xfId="11457" xr:uid="{D6DB472D-A59F-445A-9AEA-FB47CE4FA28A}"/>
    <cellStyle name="Normal 10 2 3 6 2 3 2 4" xfId="11458" xr:uid="{AECDA212-9EF3-4628-A549-2A28CE8376CB}"/>
    <cellStyle name="Normal 10 2 3 6 2 3 2 4 2" xfId="11459" xr:uid="{164AACF9-E74F-41EB-9DE6-F37E860B33D0}"/>
    <cellStyle name="Normal 10 2 3 6 2 3 2 5" xfId="11460" xr:uid="{B33B497E-71AD-47D2-AF1C-DAA70D55B231}"/>
    <cellStyle name="Normal 10 2 3 6 2 3 3" xfId="11461" xr:uid="{8115A04A-39E5-4BFA-9179-ADEA70AD823D}"/>
    <cellStyle name="Normal 10 2 3 6 2 3 3 2" xfId="11462" xr:uid="{14F8C479-8C81-4A54-BF1B-7834AB5CE4ED}"/>
    <cellStyle name="Normal 10 2 3 6 2 3 3 2 2" xfId="11463" xr:uid="{0C33425A-A1C7-4355-AF7F-DC88B0D1D9B2}"/>
    <cellStyle name="Normal 10 2 3 6 2 3 3 2 2 2" xfId="11464" xr:uid="{D493C379-3214-44E2-B073-3121080AB282}"/>
    <cellStyle name="Normal 10 2 3 6 2 3 3 2 3" xfId="11465" xr:uid="{F9BD3754-9D9F-4B37-9195-2E7199409130}"/>
    <cellStyle name="Normal 10 2 3 6 2 3 3 3" xfId="11466" xr:uid="{B4F2FDBD-24EE-4F63-9E0E-0787356A76F8}"/>
    <cellStyle name="Normal 10 2 3 6 2 3 3 3 2" xfId="11467" xr:uid="{4191ECBE-3EAD-4A8B-A33D-DF81D937C579}"/>
    <cellStyle name="Normal 10 2 3 6 2 3 3 4" xfId="11468" xr:uid="{1A75C8F7-CC4E-4B09-91EA-25E2664DD58A}"/>
    <cellStyle name="Normal 10 2 3 6 2 3 4" xfId="11469" xr:uid="{C93499B9-7892-47E1-BA05-654836C875B9}"/>
    <cellStyle name="Normal 10 2 3 6 2 3 4 2" xfId="11470" xr:uid="{05ECFFE6-11AC-437C-AD06-9926BD8FA3F5}"/>
    <cellStyle name="Normal 10 2 3 6 2 3 4 2 2" xfId="11471" xr:uid="{7C851EFD-2523-4B14-A6AF-D721C4E13888}"/>
    <cellStyle name="Normal 10 2 3 6 2 3 4 3" xfId="11472" xr:uid="{4F0F200E-C971-4C3F-9F24-2245401B49B2}"/>
    <cellStyle name="Normal 10 2 3 6 2 3 5" xfId="11473" xr:uid="{568E0D39-4737-409F-8AF2-2DD24DDA4899}"/>
    <cellStyle name="Normal 10 2 3 6 2 3 5 2" xfId="11474" xr:uid="{AC6A8F24-E9AA-4756-A107-6F9D536136A8}"/>
    <cellStyle name="Normal 10 2 3 6 2 3 6" xfId="11475" xr:uid="{31A5A85B-E753-44C1-BFCF-564287226625}"/>
    <cellStyle name="Normal 10 2 3 6 2 4" xfId="11476" xr:uid="{8C65EA65-3AC8-4952-9780-6686EF20DF79}"/>
    <cellStyle name="Normal 10 2 3 6 2 4 2" xfId="11477" xr:uid="{F7EA8A98-6417-4214-AB5A-730496CB612C}"/>
    <cellStyle name="Normal 10 2 3 6 2 4 2 2" xfId="11478" xr:uid="{9AF923A6-8009-4BC6-A4C6-1D8F2491033B}"/>
    <cellStyle name="Normal 10 2 3 6 2 4 2 2 2" xfId="11479" xr:uid="{86FDC205-9B00-444F-A3AA-F61497294585}"/>
    <cellStyle name="Normal 10 2 3 6 2 4 2 2 2 2" xfId="11480" xr:uid="{E0625B03-FA5E-4FC6-9837-186B6616A44C}"/>
    <cellStyle name="Normal 10 2 3 6 2 4 2 2 3" xfId="11481" xr:uid="{AD750B1B-5AF6-4589-9A27-52A4176ACC96}"/>
    <cellStyle name="Normal 10 2 3 6 2 4 2 3" xfId="11482" xr:uid="{33C4B02B-4158-4754-A7D9-69426ADA7C18}"/>
    <cellStyle name="Normal 10 2 3 6 2 4 2 3 2" xfId="11483" xr:uid="{97EC98FD-0C82-4BBC-A574-800249F9F492}"/>
    <cellStyle name="Normal 10 2 3 6 2 4 2 4" xfId="11484" xr:uid="{A0F2E3E8-36C9-4BCA-9283-3B84154C2640}"/>
    <cellStyle name="Normal 10 2 3 6 2 4 3" xfId="11485" xr:uid="{B9BB68F1-0173-4AC6-BAC4-AF71BB2C4F29}"/>
    <cellStyle name="Normal 10 2 3 6 2 4 3 2" xfId="11486" xr:uid="{3A4C0CFF-C544-4D23-939E-C3414B1F1AA6}"/>
    <cellStyle name="Normal 10 2 3 6 2 4 3 2 2" xfId="11487" xr:uid="{547AD215-EE9B-4140-AC52-3FD54829792B}"/>
    <cellStyle name="Normal 10 2 3 6 2 4 3 3" xfId="11488" xr:uid="{A6828D65-F8C4-4C2F-BC80-23DDAE4828EC}"/>
    <cellStyle name="Normal 10 2 3 6 2 4 4" xfId="11489" xr:uid="{8D8870FF-A3A9-4B40-BFD1-0F082EB892FC}"/>
    <cellStyle name="Normal 10 2 3 6 2 4 4 2" xfId="11490" xr:uid="{BAD4B5A5-32B3-4E8A-84EF-26EA78FD3FF2}"/>
    <cellStyle name="Normal 10 2 3 6 2 4 5" xfId="11491" xr:uid="{214BEC5F-57F9-44F5-BA2B-5413E96A012A}"/>
    <cellStyle name="Normal 10 2 3 6 2 5" xfId="11492" xr:uid="{FB7CDA91-3A5A-423C-BA4D-A73FB2FE455D}"/>
    <cellStyle name="Normal 10 2 3 6 2 5 2" xfId="11493" xr:uid="{74317508-4B77-40B0-8E89-A271DD632FE5}"/>
    <cellStyle name="Normal 10 2 3 6 2 5 2 2" xfId="11494" xr:uid="{853E8A6D-40FF-4727-81C8-0A237700E0D9}"/>
    <cellStyle name="Normal 10 2 3 6 2 5 2 2 2" xfId="11495" xr:uid="{29C67DAF-C550-48EB-9BFE-E7AEC7E7BCD3}"/>
    <cellStyle name="Normal 10 2 3 6 2 5 2 3" xfId="11496" xr:uid="{0AC0455C-CD03-4C1A-B87D-61DD9122CDE7}"/>
    <cellStyle name="Normal 10 2 3 6 2 5 3" xfId="11497" xr:uid="{56FC21AB-7E45-4FC4-B2AE-B3CCCE4DF030}"/>
    <cellStyle name="Normal 10 2 3 6 2 5 3 2" xfId="11498" xr:uid="{D21A33C4-C929-4608-AC6F-58DFF2D83F22}"/>
    <cellStyle name="Normal 10 2 3 6 2 5 4" xfId="11499" xr:uid="{68F4D412-453F-4221-AC5B-53D974CEF746}"/>
    <cellStyle name="Normal 10 2 3 6 2 6" xfId="11500" xr:uid="{3330E7BA-DE91-4050-AA9D-DD279ABF4AA2}"/>
    <cellStyle name="Normal 10 2 3 6 2 6 2" xfId="11501" xr:uid="{63685C43-CF12-4635-8F73-B55E263F351A}"/>
    <cellStyle name="Normal 10 2 3 6 2 6 2 2" xfId="11502" xr:uid="{68C8ED3C-A3BC-4F0A-8A93-F29C53D05A1C}"/>
    <cellStyle name="Normal 10 2 3 6 2 6 3" xfId="11503" xr:uid="{1DFE5D0C-FA96-47C2-A15D-ED13F8EFC81D}"/>
    <cellStyle name="Normal 10 2 3 6 2 7" xfId="11504" xr:uid="{1503E8EE-02CA-42DD-BE46-EB9A5FD7CD63}"/>
    <cellStyle name="Normal 10 2 3 6 2 7 2" xfId="11505" xr:uid="{82D7E8B4-870A-4CCD-9BE1-77DEE1A6FF4D}"/>
    <cellStyle name="Normal 10 2 3 6 2 8" xfId="11506" xr:uid="{972BFE7C-5F29-4FBA-87E8-66208540A2A5}"/>
    <cellStyle name="Normal 10 2 3 6 3" xfId="11507" xr:uid="{F9C9559D-0DF1-4E7D-BB5A-72936F656576}"/>
    <cellStyle name="Normal 10 2 3 6 3 2" xfId="11508" xr:uid="{93E66A0F-598C-4B0F-8993-453532F551E5}"/>
    <cellStyle name="Normal 10 2 3 6 3 2 2" xfId="11509" xr:uid="{9182A178-21F6-4DD7-BF1C-AF8B89B6ABC8}"/>
    <cellStyle name="Normal 10 2 3 6 3 2 2 2" xfId="11510" xr:uid="{39007539-8228-4F3A-A6FE-F2EE7099466F}"/>
    <cellStyle name="Normal 10 2 3 6 3 2 2 2 2" xfId="11511" xr:uid="{2833E628-F91B-4987-A898-D38466F5EA37}"/>
    <cellStyle name="Normal 10 2 3 6 3 2 2 2 2 2" xfId="11512" xr:uid="{514B096C-648F-40AA-8DFF-93FE18514A30}"/>
    <cellStyle name="Normal 10 2 3 6 3 2 2 2 2 2 2" xfId="11513" xr:uid="{AB7DFA6D-CA95-4B7E-AB2C-3B3DD69FF777}"/>
    <cellStyle name="Normal 10 2 3 6 3 2 2 2 2 3" xfId="11514" xr:uid="{27627E5E-E817-406C-AFA6-F1E5FCAB28D4}"/>
    <cellStyle name="Normal 10 2 3 6 3 2 2 2 3" xfId="11515" xr:uid="{4D95EC77-A249-48BC-853E-D28B07C19D77}"/>
    <cellStyle name="Normal 10 2 3 6 3 2 2 2 3 2" xfId="11516" xr:uid="{3568C102-3539-4702-92C4-5CD773ED3498}"/>
    <cellStyle name="Normal 10 2 3 6 3 2 2 2 4" xfId="11517" xr:uid="{030A89DF-C5D9-4462-A4F6-8EBF23A3F78A}"/>
    <cellStyle name="Normal 10 2 3 6 3 2 2 3" xfId="11518" xr:uid="{8D06C6E5-3EBC-4D10-AFAB-657691939BBC}"/>
    <cellStyle name="Normal 10 2 3 6 3 2 2 3 2" xfId="11519" xr:uid="{5E65C021-2743-480E-BCDE-A50012065124}"/>
    <cellStyle name="Normal 10 2 3 6 3 2 2 3 2 2" xfId="11520" xr:uid="{8C2C45CC-0155-4CF3-828C-02B590CF8345}"/>
    <cellStyle name="Normal 10 2 3 6 3 2 2 3 3" xfId="11521" xr:uid="{C7529219-AAD6-4909-B0E0-CEE54F217C01}"/>
    <cellStyle name="Normal 10 2 3 6 3 2 2 4" xfId="11522" xr:uid="{3F909BAD-EF87-4445-80D6-CDC3E107AA36}"/>
    <cellStyle name="Normal 10 2 3 6 3 2 2 4 2" xfId="11523" xr:uid="{005D1443-72EE-4EFF-9434-B4E653E53628}"/>
    <cellStyle name="Normal 10 2 3 6 3 2 2 5" xfId="11524" xr:uid="{3411FF85-1564-466C-B001-5FF83538EB88}"/>
    <cellStyle name="Normal 10 2 3 6 3 2 3" xfId="11525" xr:uid="{100846E3-CF8E-4B04-A43B-1B20444D0011}"/>
    <cellStyle name="Normal 10 2 3 6 3 2 3 2" xfId="11526" xr:uid="{A5C60874-EF37-4544-A37B-4BC64781EAFD}"/>
    <cellStyle name="Normal 10 2 3 6 3 2 3 2 2" xfId="11527" xr:uid="{22D6A271-8C8A-4D9F-AA86-DC29E53BCB8B}"/>
    <cellStyle name="Normal 10 2 3 6 3 2 3 2 2 2" xfId="11528" xr:uid="{F1A89318-168C-4D9A-9DE7-91A86B36C0C9}"/>
    <cellStyle name="Normal 10 2 3 6 3 2 3 2 3" xfId="11529" xr:uid="{9A300AD0-907D-494D-A6B1-E96E56B807EE}"/>
    <cellStyle name="Normal 10 2 3 6 3 2 3 3" xfId="11530" xr:uid="{234CF179-E02F-4D1F-8F92-3BC1B4EB65B0}"/>
    <cellStyle name="Normal 10 2 3 6 3 2 3 3 2" xfId="11531" xr:uid="{E10B5A67-CB05-4DC2-AFA7-B0858B246E50}"/>
    <cellStyle name="Normal 10 2 3 6 3 2 3 4" xfId="11532" xr:uid="{B497893E-AE55-49B8-BDC8-1263C654C160}"/>
    <cellStyle name="Normal 10 2 3 6 3 2 4" xfId="11533" xr:uid="{FB7BA2D9-0C4B-4B0E-B699-ECECFFBD7AF0}"/>
    <cellStyle name="Normal 10 2 3 6 3 2 4 2" xfId="11534" xr:uid="{884928CD-4A81-4494-A5DF-84D49768485A}"/>
    <cellStyle name="Normal 10 2 3 6 3 2 4 2 2" xfId="11535" xr:uid="{C4C3D74C-F250-4D04-8A3D-05A6846C78D5}"/>
    <cellStyle name="Normal 10 2 3 6 3 2 4 3" xfId="11536" xr:uid="{1AC196E0-0099-4B4F-BCCB-EF8DBAC926DC}"/>
    <cellStyle name="Normal 10 2 3 6 3 2 5" xfId="11537" xr:uid="{CF53A229-2E74-4911-A60B-BBDEF1FE7B6D}"/>
    <cellStyle name="Normal 10 2 3 6 3 2 5 2" xfId="11538" xr:uid="{36DF2F64-FE07-4D6F-921F-45A4E637F6B4}"/>
    <cellStyle name="Normal 10 2 3 6 3 2 6" xfId="11539" xr:uid="{3D559830-A6B4-4DFA-A425-0AD7459DBF93}"/>
    <cellStyle name="Normal 10 2 3 6 3 3" xfId="11540" xr:uid="{E503E793-9AEB-477A-9C8C-DA656D520872}"/>
    <cellStyle name="Normal 10 2 3 6 3 3 2" xfId="11541" xr:uid="{D058867F-0120-4C11-B845-B0E7E5D1F5B4}"/>
    <cellStyle name="Normal 10 2 3 6 3 3 2 2" xfId="11542" xr:uid="{264F6D14-A3CC-4BFB-B50F-1C53EE13BCAA}"/>
    <cellStyle name="Normal 10 2 3 6 3 3 2 2 2" xfId="11543" xr:uid="{B7C36A1E-D252-426B-9F8E-9B2574A9DA8A}"/>
    <cellStyle name="Normal 10 2 3 6 3 3 2 2 2 2" xfId="11544" xr:uid="{B0AC17BD-F059-43A0-87F9-038D71815067}"/>
    <cellStyle name="Normal 10 2 3 6 3 3 2 2 3" xfId="11545" xr:uid="{866B126B-62B7-439B-B98C-1BF53918D2F3}"/>
    <cellStyle name="Normal 10 2 3 6 3 3 2 3" xfId="11546" xr:uid="{03BE3C19-1ADE-43BC-8D01-0FCEC084CAE5}"/>
    <cellStyle name="Normal 10 2 3 6 3 3 2 3 2" xfId="11547" xr:uid="{6BB2756A-C5B4-4B02-9209-C594810EE9F7}"/>
    <cellStyle name="Normal 10 2 3 6 3 3 2 4" xfId="11548" xr:uid="{B1DECA90-88CD-4DFB-8607-C4FF97FE8C99}"/>
    <cellStyle name="Normal 10 2 3 6 3 3 3" xfId="11549" xr:uid="{902819DA-D6E1-4757-AABC-BA2909D3DF40}"/>
    <cellStyle name="Normal 10 2 3 6 3 3 3 2" xfId="11550" xr:uid="{B1736179-28AF-4195-9F8A-4C05A6F88A2A}"/>
    <cellStyle name="Normal 10 2 3 6 3 3 3 2 2" xfId="11551" xr:uid="{EE573B40-48C3-4243-A9A4-2558245EF146}"/>
    <cellStyle name="Normal 10 2 3 6 3 3 3 3" xfId="11552" xr:uid="{BBA85AE5-D1D6-433A-8693-98E112FA0400}"/>
    <cellStyle name="Normal 10 2 3 6 3 3 4" xfId="11553" xr:uid="{06194D7A-994C-4B3E-A9C6-02CFA9E131E4}"/>
    <cellStyle name="Normal 10 2 3 6 3 3 4 2" xfId="11554" xr:uid="{F9D5C24D-1755-4755-B330-AEF43C002DB3}"/>
    <cellStyle name="Normal 10 2 3 6 3 3 5" xfId="11555" xr:uid="{46952894-64D8-4DD3-8AD6-51D4CADE0CF0}"/>
    <cellStyle name="Normal 10 2 3 6 3 4" xfId="11556" xr:uid="{05D15053-BD8E-4C1D-95C6-9176B387B441}"/>
    <cellStyle name="Normal 10 2 3 6 3 4 2" xfId="11557" xr:uid="{E2E77828-4C94-4868-83CE-CC7D85BE8783}"/>
    <cellStyle name="Normal 10 2 3 6 3 4 2 2" xfId="11558" xr:uid="{4F12101C-B97D-4D97-A712-F0C8C9EAE4C9}"/>
    <cellStyle name="Normal 10 2 3 6 3 4 2 2 2" xfId="11559" xr:uid="{DC2F75E2-3037-4AB2-AEE5-70198BBE3A67}"/>
    <cellStyle name="Normal 10 2 3 6 3 4 2 3" xfId="11560" xr:uid="{FE99CFA2-F5E4-47BD-BFC7-3F00580BE649}"/>
    <cellStyle name="Normal 10 2 3 6 3 4 3" xfId="11561" xr:uid="{46FB3BEF-29AF-4E21-9096-469DFE2CDF94}"/>
    <cellStyle name="Normal 10 2 3 6 3 4 3 2" xfId="11562" xr:uid="{D37C1F5E-266C-4EE2-BF61-5678B580E1AD}"/>
    <cellStyle name="Normal 10 2 3 6 3 4 4" xfId="11563" xr:uid="{CA3BB7E5-30C9-4AE5-B968-733696F27602}"/>
    <cellStyle name="Normal 10 2 3 6 3 5" xfId="11564" xr:uid="{BD6D0A12-8F9B-4F58-93FA-E57E427849A7}"/>
    <cellStyle name="Normal 10 2 3 6 3 5 2" xfId="11565" xr:uid="{1FA4E096-CFCC-409D-B01B-5598C1AA7332}"/>
    <cellStyle name="Normal 10 2 3 6 3 5 2 2" xfId="11566" xr:uid="{7F2E8ED7-7246-42A8-867F-C5799C375766}"/>
    <cellStyle name="Normal 10 2 3 6 3 5 3" xfId="11567" xr:uid="{886D2CF1-737F-4AAF-855C-4686454A55BE}"/>
    <cellStyle name="Normal 10 2 3 6 3 6" xfId="11568" xr:uid="{B4724F2F-BAAE-4CA9-B2B7-7AA77F610AFA}"/>
    <cellStyle name="Normal 10 2 3 6 3 6 2" xfId="11569" xr:uid="{39849C0C-31FA-4846-9F5A-A1DAA32899D3}"/>
    <cellStyle name="Normal 10 2 3 6 3 7" xfId="11570" xr:uid="{47A3EAB7-88EB-41C4-959B-B63DFC1CAE1B}"/>
    <cellStyle name="Normal 10 2 3 6 4" xfId="11571" xr:uid="{346AB610-D540-4F80-AF7A-8217FB33AB6A}"/>
    <cellStyle name="Normal 10 2 3 6 4 2" xfId="11572" xr:uid="{61B71574-2561-4163-849F-8EC1A0A73C53}"/>
    <cellStyle name="Normal 10 2 3 6 4 2 2" xfId="11573" xr:uid="{BBDC806E-18D7-4D6C-9CC0-E877C88CC567}"/>
    <cellStyle name="Normal 10 2 3 6 4 2 2 2" xfId="11574" xr:uid="{E22ACDE7-5ECE-46AB-BE5F-FA4891B214FF}"/>
    <cellStyle name="Normal 10 2 3 6 4 2 2 2 2" xfId="11575" xr:uid="{53ADB609-484D-4C61-B321-BF7E6C2B4C2D}"/>
    <cellStyle name="Normal 10 2 3 6 4 2 2 2 2 2" xfId="11576" xr:uid="{6F2DE68C-746D-4C9C-A1B7-6596F330AB4F}"/>
    <cellStyle name="Normal 10 2 3 6 4 2 2 2 3" xfId="11577" xr:uid="{33382315-19E7-4C54-9797-A39C5D364234}"/>
    <cellStyle name="Normal 10 2 3 6 4 2 2 3" xfId="11578" xr:uid="{29F5118B-3E3B-478B-92D3-D209AFC95678}"/>
    <cellStyle name="Normal 10 2 3 6 4 2 2 3 2" xfId="11579" xr:uid="{2A115B57-346B-4D97-A86A-F37592B5F802}"/>
    <cellStyle name="Normal 10 2 3 6 4 2 2 4" xfId="11580" xr:uid="{82C5C150-0A47-4FF5-89E2-E740AC6FC7F2}"/>
    <cellStyle name="Normal 10 2 3 6 4 2 3" xfId="11581" xr:uid="{AA8E960B-E92A-43A9-8FC0-6B4D8444F7D6}"/>
    <cellStyle name="Normal 10 2 3 6 4 2 3 2" xfId="11582" xr:uid="{51839AF5-ED42-499D-9CBF-C683737C2CE0}"/>
    <cellStyle name="Normal 10 2 3 6 4 2 3 2 2" xfId="11583" xr:uid="{6897369D-A119-4D49-9673-A52483B7DDAA}"/>
    <cellStyle name="Normal 10 2 3 6 4 2 3 3" xfId="11584" xr:uid="{A05D1240-4E46-4472-8F24-1EE8F6FA13E2}"/>
    <cellStyle name="Normal 10 2 3 6 4 2 4" xfId="11585" xr:uid="{859ECFF9-50DA-48CD-8E65-25DF93546BEC}"/>
    <cellStyle name="Normal 10 2 3 6 4 2 4 2" xfId="11586" xr:uid="{DC2AB647-1584-4C9B-B030-2740C2F47AE8}"/>
    <cellStyle name="Normal 10 2 3 6 4 2 5" xfId="11587" xr:uid="{F20F1C39-D92C-4C33-A144-273BD1CFF1D4}"/>
    <cellStyle name="Normal 10 2 3 6 4 3" xfId="11588" xr:uid="{2A3B4EAF-11A2-4167-89C1-725A11B6AF1B}"/>
    <cellStyle name="Normal 10 2 3 6 4 3 2" xfId="11589" xr:uid="{C89F5808-87EA-4CCD-8E37-ABB5253E16C3}"/>
    <cellStyle name="Normal 10 2 3 6 4 3 2 2" xfId="11590" xr:uid="{3B5B7F84-D757-48BB-9C39-3BB6FD082EAE}"/>
    <cellStyle name="Normal 10 2 3 6 4 3 2 2 2" xfId="11591" xr:uid="{681096E3-C42B-4388-9C4A-39FECB729C0F}"/>
    <cellStyle name="Normal 10 2 3 6 4 3 2 3" xfId="11592" xr:uid="{88B159D2-9388-4C21-B1F5-472870432389}"/>
    <cellStyle name="Normal 10 2 3 6 4 3 3" xfId="11593" xr:uid="{15B585BC-5F83-4DF4-9720-C8EAA6B4C7CF}"/>
    <cellStyle name="Normal 10 2 3 6 4 3 3 2" xfId="11594" xr:uid="{5069A104-2A71-4B3F-B959-6A60890E9BD8}"/>
    <cellStyle name="Normal 10 2 3 6 4 3 4" xfId="11595" xr:uid="{2F3562E5-82F2-4BE5-BB87-4FF43B46D278}"/>
    <cellStyle name="Normal 10 2 3 6 4 4" xfId="11596" xr:uid="{FA666E17-850B-44F0-94E7-A84CC4CE3016}"/>
    <cellStyle name="Normal 10 2 3 6 4 4 2" xfId="11597" xr:uid="{C1E76BA7-CAAE-47B7-B6E8-564E10C1D241}"/>
    <cellStyle name="Normal 10 2 3 6 4 4 2 2" xfId="11598" xr:uid="{9160772E-53CA-46DB-8BAD-569D1D100A91}"/>
    <cellStyle name="Normal 10 2 3 6 4 4 3" xfId="11599" xr:uid="{536CE28F-AA28-435D-9A10-ACDD996FBF57}"/>
    <cellStyle name="Normal 10 2 3 6 4 5" xfId="11600" xr:uid="{2344352C-1B32-4C51-9B31-344753AE105D}"/>
    <cellStyle name="Normal 10 2 3 6 4 5 2" xfId="11601" xr:uid="{F715CB7E-C4E0-4E12-AD4E-BA797F6FF647}"/>
    <cellStyle name="Normal 10 2 3 6 4 6" xfId="11602" xr:uid="{D71DAE7B-A951-49AB-A635-0F1FCD6D7012}"/>
    <cellStyle name="Normal 10 2 3 6 5" xfId="11603" xr:uid="{6A27765D-7CEE-4C58-AE70-0A5F3FCCC74C}"/>
    <cellStyle name="Normal 10 2 3 6 5 2" xfId="11604" xr:uid="{30DCAC21-BE5D-49B8-91B7-1D2C9BED1278}"/>
    <cellStyle name="Normal 10 2 3 6 5 2 2" xfId="11605" xr:uid="{65DFEFAB-D175-489C-A6C8-43DFFA0CA333}"/>
    <cellStyle name="Normal 10 2 3 6 5 2 2 2" xfId="11606" xr:uid="{24E0C7F2-F9A6-4FB6-B9B5-C84811103ED5}"/>
    <cellStyle name="Normal 10 2 3 6 5 2 2 2 2" xfId="11607" xr:uid="{7E1CE2A4-AB9E-4953-817B-481E5CDF8372}"/>
    <cellStyle name="Normal 10 2 3 6 5 2 2 3" xfId="11608" xr:uid="{289A60F0-A6D5-404A-AE11-75088C1C1E35}"/>
    <cellStyle name="Normal 10 2 3 6 5 2 3" xfId="11609" xr:uid="{CAC58708-5C34-458B-A4DA-88D363DB6561}"/>
    <cellStyle name="Normal 10 2 3 6 5 2 3 2" xfId="11610" xr:uid="{85177665-B46E-42B3-ADB6-5346892989A4}"/>
    <cellStyle name="Normal 10 2 3 6 5 2 4" xfId="11611" xr:uid="{BB524446-1056-4309-AF80-D0192BDBB91B}"/>
    <cellStyle name="Normal 10 2 3 6 5 3" xfId="11612" xr:uid="{90B59BEB-0286-43ED-8AAD-2E9E049A6F7A}"/>
    <cellStyle name="Normal 10 2 3 6 5 3 2" xfId="11613" xr:uid="{3E9F007A-A24D-4ACF-A93F-F0816EF6D7FE}"/>
    <cellStyle name="Normal 10 2 3 6 5 3 2 2" xfId="11614" xr:uid="{EE119B8C-7482-46BF-BB49-3BB784419A79}"/>
    <cellStyle name="Normal 10 2 3 6 5 3 3" xfId="11615" xr:uid="{DE31D4DB-16A0-4F5A-BB2A-B8B206CAC0B2}"/>
    <cellStyle name="Normal 10 2 3 6 5 4" xfId="11616" xr:uid="{5BD5A1C8-8343-4F19-B384-BCEE8A04FD20}"/>
    <cellStyle name="Normal 10 2 3 6 5 4 2" xfId="11617" xr:uid="{4358EDAB-F84C-4E68-B5BB-492D4ACEBA0D}"/>
    <cellStyle name="Normal 10 2 3 6 5 5" xfId="11618" xr:uid="{0CB4E5CE-DCBA-4A7F-B532-CEA9270F1DEA}"/>
    <cellStyle name="Normal 10 2 3 6 6" xfId="11619" xr:uid="{E32B1E28-8A85-43E7-A457-F42C3E8EBF9D}"/>
    <cellStyle name="Normal 10 2 3 6 6 2" xfId="11620" xr:uid="{40C06EDD-B20C-467C-B1B0-BC261325BEDE}"/>
    <cellStyle name="Normal 10 2 3 6 6 2 2" xfId="11621" xr:uid="{93134005-4D3A-49BF-9F2D-F104C0D9E521}"/>
    <cellStyle name="Normal 10 2 3 6 6 2 2 2" xfId="11622" xr:uid="{A7144F4F-2565-457E-9959-C211A2F18758}"/>
    <cellStyle name="Normal 10 2 3 6 6 2 3" xfId="11623" xr:uid="{5D2746B4-F87A-4A1E-8748-A652AC6CF9BE}"/>
    <cellStyle name="Normal 10 2 3 6 6 3" xfId="11624" xr:uid="{19758C1A-B79D-41EE-AB91-FAC13E38684D}"/>
    <cellStyle name="Normal 10 2 3 6 6 3 2" xfId="11625" xr:uid="{D33810BB-74F4-4267-A0E5-1F16B6AD3B1F}"/>
    <cellStyle name="Normal 10 2 3 6 6 4" xfId="11626" xr:uid="{A0ED8859-F6B7-4008-B4A8-9EDD776AD8C9}"/>
    <cellStyle name="Normal 10 2 3 6 7" xfId="11627" xr:uid="{8B38A6E7-501A-4D4C-B785-F9FB232477B0}"/>
    <cellStyle name="Normal 10 2 3 6 7 2" xfId="11628" xr:uid="{F5D4B46A-922C-49A3-A41A-55F6B4B0C1A6}"/>
    <cellStyle name="Normal 10 2 3 6 7 2 2" xfId="11629" xr:uid="{350BAA5D-ACBC-4181-8346-90DAE4548BCE}"/>
    <cellStyle name="Normal 10 2 3 6 7 3" xfId="11630" xr:uid="{262DEF4A-8E6C-4F6D-B72E-7565309BE9A9}"/>
    <cellStyle name="Normal 10 2 3 6 8" xfId="11631" xr:uid="{1ACA4AE2-E7E1-4F7F-AE6F-5EFAEDDA9C5A}"/>
    <cellStyle name="Normal 10 2 3 6 8 2" xfId="11632" xr:uid="{C29F428D-B672-4774-B8CB-5F8ED2469F70}"/>
    <cellStyle name="Normal 10 2 3 6 9" xfId="11633" xr:uid="{FB8F9CFE-6344-464F-BEF1-93A7559AF939}"/>
    <cellStyle name="Normal 10 2 3 7" xfId="445" xr:uid="{5B1C9B4B-F9A4-424D-9BEC-80A744A3C6C3}"/>
    <cellStyle name="Normal 10 2 3 7 2" xfId="11635" xr:uid="{AA0ADABA-2C5C-4362-9711-895849AC4D96}"/>
    <cellStyle name="Normal 10 2 3 7 2 2" xfId="11636" xr:uid="{330C110D-72FB-4383-8E71-6975E53228EB}"/>
    <cellStyle name="Normal 10 2 3 7 2 2 2" xfId="11637" xr:uid="{61165F48-72DB-4EA3-83FF-0F58EFB45E92}"/>
    <cellStyle name="Normal 10 2 3 7 2 2 2 2" xfId="11638" xr:uid="{951AA360-30BE-44C3-B751-DF7116133956}"/>
    <cellStyle name="Normal 10 2 3 7 2 2 2 2 2" xfId="11639" xr:uid="{FEE77C9A-88B2-4E6F-9B94-08FE12E55152}"/>
    <cellStyle name="Normal 10 2 3 7 2 2 2 2 2 2" xfId="11640" xr:uid="{EF364F23-AEEB-4306-8776-CAB4397FD50F}"/>
    <cellStyle name="Normal 10 2 3 7 2 2 2 2 2 2 2" xfId="11641" xr:uid="{4C568360-867B-44CD-BA25-29DE8B82F64A}"/>
    <cellStyle name="Normal 10 2 3 7 2 2 2 2 2 3" xfId="11642" xr:uid="{D41A0423-78AB-4589-A490-57980D78192B}"/>
    <cellStyle name="Normal 10 2 3 7 2 2 2 2 3" xfId="11643" xr:uid="{7470B3C6-F0FC-46A5-8A08-01C739D7FBC2}"/>
    <cellStyle name="Normal 10 2 3 7 2 2 2 2 3 2" xfId="11644" xr:uid="{ECBBE6E6-F3B7-4D16-99B6-4D86D5C90785}"/>
    <cellStyle name="Normal 10 2 3 7 2 2 2 2 4" xfId="11645" xr:uid="{A90D7732-0F6B-4DB8-A4D3-A690BF950DD7}"/>
    <cellStyle name="Normal 10 2 3 7 2 2 2 3" xfId="11646" xr:uid="{ABDC002B-98FA-408F-A5E2-840AF2454B89}"/>
    <cellStyle name="Normal 10 2 3 7 2 2 2 3 2" xfId="11647" xr:uid="{8DE342C5-D92C-4549-8C55-6146FCC5B6C5}"/>
    <cellStyle name="Normal 10 2 3 7 2 2 2 3 2 2" xfId="11648" xr:uid="{FD9304AB-0BB1-4F47-8F06-2D0EB0D164B1}"/>
    <cellStyle name="Normal 10 2 3 7 2 2 2 3 3" xfId="11649" xr:uid="{135D19BA-17F6-4356-99F0-6C46B06D1CA7}"/>
    <cellStyle name="Normal 10 2 3 7 2 2 2 4" xfId="11650" xr:uid="{DFE157DC-6A0B-462D-A4EC-09E7D39DF55A}"/>
    <cellStyle name="Normal 10 2 3 7 2 2 2 4 2" xfId="11651" xr:uid="{F597E875-AF29-4C4E-8306-9D9B267AC35A}"/>
    <cellStyle name="Normal 10 2 3 7 2 2 2 5" xfId="11652" xr:uid="{A0270211-22A9-4909-974A-DD73AE91FE96}"/>
    <cellStyle name="Normal 10 2 3 7 2 2 3" xfId="11653" xr:uid="{6DA590BD-EAD3-4574-B5CF-073AE56D4232}"/>
    <cellStyle name="Normal 10 2 3 7 2 2 3 2" xfId="11654" xr:uid="{13B01325-89FB-4104-86A8-F6755D30DFCE}"/>
    <cellStyle name="Normal 10 2 3 7 2 2 3 2 2" xfId="11655" xr:uid="{EF3EA601-833E-410B-BD28-BA0A1D369AD9}"/>
    <cellStyle name="Normal 10 2 3 7 2 2 3 2 2 2" xfId="11656" xr:uid="{9B475497-3F25-48F6-A458-3CDDCF8390CD}"/>
    <cellStyle name="Normal 10 2 3 7 2 2 3 2 3" xfId="11657" xr:uid="{7C8F04F8-D1D0-4D88-AD0E-2D760EECE724}"/>
    <cellStyle name="Normal 10 2 3 7 2 2 3 3" xfId="11658" xr:uid="{5ABE3B9C-BDA7-4458-B2F2-F3D725E06EFA}"/>
    <cellStyle name="Normal 10 2 3 7 2 2 3 3 2" xfId="11659" xr:uid="{0C2C2758-0D3B-4C15-A07C-B7C47BA816A0}"/>
    <cellStyle name="Normal 10 2 3 7 2 2 3 4" xfId="11660" xr:uid="{B0B9F69A-64ED-40A2-8170-3D347DC30597}"/>
    <cellStyle name="Normal 10 2 3 7 2 2 4" xfId="11661" xr:uid="{17E62CC3-C69C-468F-9AB9-ADA053A2D269}"/>
    <cellStyle name="Normal 10 2 3 7 2 2 4 2" xfId="11662" xr:uid="{FB3F1451-AC31-4439-89E3-F1D82B311E4B}"/>
    <cellStyle name="Normal 10 2 3 7 2 2 4 2 2" xfId="11663" xr:uid="{7D93F86E-DA5F-48CB-B97A-A851A075E72B}"/>
    <cellStyle name="Normal 10 2 3 7 2 2 4 3" xfId="11664" xr:uid="{53BDAD56-4CF0-44A8-A9E9-F101ABF657E2}"/>
    <cellStyle name="Normal 10 2 3 7 2 2 5" xfId="11665" xr:uid="{08DC8B66-768C-46DB-8190-834ABBD2171F}"/>
    <cellStyle name="Normal 10 2 3 7 2 2 5 2" xfId="11666" xr:uid="{69A2599C-7773-4D76-A2F8-B2BF0D2EA760}"/>
    <cellStyle name="Normal 10 2 3 7 2 2 6" xfId="11667" xr:uid="{466ABFD4-A9BE-4AC6-BACF-C1CFFD5537EE}"/>
    <cellStyle name="Normal 10 2 3 7 2 3" xfId="11668" xr:uid="{5C571D30-B46B-410F-AC25-96C70AA425D5}"/>
    <cellStyle name="Normal 10 2 3 7 2 3 2" xfId="11669" xr:uid="{C349B156-ADC4-460C-8994-B2E3F94C278E}"/>
    <cellStyle name="Normal 10 2 3 7 2 3 2 2" xfId="11670" xr:uid="{7E82EF90-A353-4F8F-A4DE-9DC41C463850}"/>
    <cellStyle name="Normal 10 2 3 7 2 3 2 2 2" xfId="11671" xr:uid="{63A0753E-EAC9-4955-821F-B3FEE092F612}"/>
    <cellStyle name="Normal 10 2 3 7 2 3 2 2 2 2" xfId="11672" xr:uid="{F0FD08AB-D324-49B4-835B-77CA196E701F}"/>
    <cellStyle name="Normal 10 2 3 7 2 3 2 2 3" xfId="11673" xr:uid="{08BACFE0-1AFF-47FF-A0F5-27696A5ABCB3}"/>
    <cellStyle name="Normal 10 2 3 7 2 3 2 3" xfId="11674" xr:uid="{AB763ACA-1FF2-4090-932E-5FA6CD127FE7}"/>
    <cellStyle name="Normal 10 2 3 7 2 3 2 3 2" xfId="11675" xr:uid="{D0C69B27-40C7-4ADD-ADC6-927A1B6CC261}"/>
    <cellStyle name="Normal 10 2 3 7 2 3 2 4" xfId="11676" xr:uid="{19191B69-A4D7-489B-92A3-976553D6EBAD}"/>
    <cellStyle name="Normal 10 2 3 7 2 3 3" xfId="11677" xr:uid="{46FA864B-63BB-4C1C-87F6-CA9EC5DE31A4}"/>
    <cellStyle name="Normal 10 2 3 7 2 3 3 2" xfId="11678" xr:uid="{3A3876C9-81DA-43C4-BBEA-9438AC76A736}"/>
    <cellStyle name="Normal 10 2 3 7 2 3 3 2 2" xfId="11679" xr:uid="{4CF0A3D1-FD79-4073-A98E-760A5235CCD9}"/>
    <cellStyle name="Normal 10 2 3 7 2 3 3 3" xfId="11680" xr:uid="{F81958CA-4258-4076-8E6E-A8DE6447853C}"/>
    <cellStyle name="Normal 10 2 3 7 2 3 4" xfId="11681" xr:uid="{B317FC65-ABBA-46BD-A5B9-2B2FDC530549}"/>
    <cellStyle name="Normal 10 2 3 7 2 3 4 2" xfId="11682" xr:uid="{2580C506-7498-4400-90F2-BE88051782AA}"/>
    <cellStyle name="Normal 10 2 3 7 2 3 5" xfId="11683" xr:uid="{0CDA7FBD-AB51-450B-B10B-66FAE1A5936F}"/>
    <cellStyle name="Normal 10 2 3 7 2 4" xfId="11684" xr:uid="{2BDF29D0-BF0A-4E95-A9FA-F4379C65AB56}"/>
    <cellStyle name="Normal 10 2 3 7 2 4 2" xfId="11685" xr:uid="{26A5C2E6-A377-4E1A-B20E-6C0945187046}"/>
    <cellStyle name="Normal 10 2 3 7 2 4 2 2" xfId="11686" xr:uid="{E5097631-D2AA-4F66-8294-7EBF04DEF354}"/>
    <cellStyle name="Normal 10 2 3 7 2 4 2 2 2" xfId="11687" xr:uid="{7C0D144E-273A-4CB8-96E8-1980465225EA}"/>
    <cellStyle name="Normal 10 2 3 7 2 4 2 3" xfId="11688" xr:uid="{3C770A5E-5C93-4ED0-A6DC-1C4654A24C52}"/>
    <cellStyle name="Normal 10 2 3 7 2 4 3" xfId="11689" xr:uid="{FD5301DB-D96A-4285-9215-A67F03E9CB45}"/>
    <cellStyle name="Normal 10 2 3 7 2 4 3 2" xfId="11690" xr:uid="{1D7ABC4E-6A0D-4099-9A64-56A8A002ABFC}"/>
    <cellStyle name="Normal 10 2 3 7 2 4 4" xfId="11691" xr:uid="{0C235016-C0FF-43BB-882B-8D06948983E5}"/>
    <cellStyle name="Normal 10 2 3 7 2 5" xfId="11692" xr:uid="{5B7B9AB6-0D52-42EC-94E9-3D3E4B5AAE1D}"/>
    <cellStyle name="Normal 10 2 3 7 2 5 2" xfId="11693" xr:uid="{99875CC6-8E68-4889-9F63-C57287A3ECB2}"/>
    <cellStyle name="Normal 10 2 3 7 2 5 2 2" xfId="11694" xr:uid="{46A73E8C-B26C-4A5E-A7F0-1CA94257198A}"/>
    <cellStyle name="Normal 10 2 3 7 2 5 3" xfId="11695" xr:uid="{EC2A45F1-393C-41EA-9864-A366CAA48F95}"/>
    <cellStyle name="Normal 10 2 3 7 2 6" xfId="11696" xr:uid="{1A464961-EF4E-46CA-985A-10D6AD2EBC0C}"/>
    <cellStyle name="Normal 10 2 3 7 2 6 2" xfId="11697" xr:uid="{45BB5A7C-7B36-4217-B13C-4B1F35179A8D}"/>
    <cellStyle name="Normal 10 2 3 7 2 7" xfId="11698" xr:uid="{3E3115FD-12C0-48D2-ADD5-8F091EF915F2}"/>
    <cellStyle name="Normal 10 2 3 7 3" xfId="11699" xr:uid="{980F1BC1-98CB-49E4-BCE3-554CB060FF99}"/>
    <cellStyle name="Normal 10 2 3 7 3 2" xfId="11700" xr:uid="{53DD5F3F-D28E-46FE-94C9-D85E663E4907}"/>
    <cellStyle name="Normal 10 2 3 7 3 2 2" xfId="11701" xr:uid="{996BE363-1081-48E0-9581-41FC8FF7AE63}"/>
    <cellStyle name="Normal 10 2 3 7 3 2 2 2" xfId="11702" xr:uid="{03705F3A-38C8-49CE-ACEE-E8531651B641}"/>
    <cellStyle name="Normal 10 2 3 7 3 2 2 2 2" xfId="11703" xr:uid="{59294A82-C573-4917-8BFA-18580BC25539}"/>
    <cellStyle name="Normal 10 2 3 7 3 2 2 2 2 2" xfId="11704" xr:uid="{871AD275-77D6-4F26-B80F-9E4992AB858E}"/>
    <cellStyle name="Normal 10 2 3 7 3 2 2 2 3" xfId="11705" xr:uid="{AF4360B2-ADD3-4F59-89C8-D7DC4BB2CDE6}"/>
    <cellStyle name="Normal 10 2 3 7 3 2 2 3" xfId="11706" xr:uid="{1338AE25-98C6-410F-BB45-A239220213B0}"/>
    <cellStyle name="Normal 10 2 3 7 3 2 2 3 2" xfId="11707" xr:uid="{3B78B8A1-7F0B-47ED-9A71-EA35F876A8D9}"/>
    <cellStyle name="Normal 10 2 3 7 3 2 2 4" xfId="11708" xr:uid="{2976BD5B-6AAD-43A1-A641-8CE1C25342BF}"/>
    <cellStyle name="Normal 10 2 3 7 3 2 3" xfId="11709" xr:uid="{54DD3D9C-6997-4682-9468-0D907DC6942C}"/>
    <cellStyle name="Normal 10 2 3 7 3 2 3 2" xfId="11710" xr:uid="{85705726-9D12-4905-ACEC-345BBF201DF3}"/>
    <cellStyle name="Normal 10 2 3 7 3 2 3 2 2" xfId="11711" xr:uid="{D025B261-48C2-41A3-B92C-171C7737596D}"/>
    <cellStyle name="Normal 10 2 3 7 3 2 3 3" xfId="11712" xr:uid="{7D1D4646-02B6-49B8-BCD5-2CB2C60245AC}"/>
    <cellStyle name="Normal 10 2 3 7 3 2 4" xfId="11713" xr:uid="{13F6DC80-EEB7-4707-8BF7-97208F9BFA21}"/>
    <cellStyle name="Normal 10 2 3 7 3 2 4 2" xfId="11714" xr:uid="{E96F541C-2D45-4E9D-BE20-46BAF53EB186}"/>
    <cellStyle name="Normal 10 2 3 7 3 2 5" xfId="11715" xr:uid="{A29BF699-9D42-4307-90B1-93E6A4CA8E0C}"/>
    <cellStyle name="Normal 10 2 3 7 3 3" xfId="11716" xr:uid="{DB061929-5DBD-4A5C-8CBA-B5BD34299D16}"/>
    <cellStyle name="Normal 10 2 3 7 3 3 2" xfId="11717" xr:uid="{E4FA0C59-5752-4186-BDA8-AA9EA08F80CA}"/>
    <cellStyle name="Normal 10 2 3 7 3 3 2 2" xfId="11718" xr:uid="{DF68D44D-1D88-453D-A5D2-198C41A0D9D9}"/>
    <cellStyle name="Normal 10 2 3 7 3 3 2 2 2" xfId="11719" xr:uid="{5C5275B4-04EA-4940-B8A6-28DFEB80D73E}"/>
    <cellStyle name="Normal 10 2 3 7 3 3 2 3" xfId="11720" xr:uid="{FD0ACD1F-25A0-4876-A599-63FED68DF31F}"/>
    <cellStyle name="Normal 10 2 3 7 3 3 3" xfId="11721" xr:uid="{BC493465-46F1-44B7-BAE4-1E8415689F8D}"/>
    <cellStyle name="Normal 10 2 3 7 3 3 3 2" xfId="11722" xr:uid="{418E4AB8-D7A7-476A-B4E7-0DC2DADE4AFD}"/>
    <cellStyle name="Normal 10 2 3 7 3 3 4" xfId="11723" xr:uid="{2FBA47B8-8FC4-46B7-96F8-31904D038341}"/>
    <cellStyle name="Normal 10 2 3 7 3 4" xfId="11724" xr:uid="{1F1D48B2-CFDF-4DCC-9FB3-B01052B4C63F}"/>
    <cellStyle name="Normal 10 2 3 7 3 4 2" xfId="11725" xr:uid="{15325837-3392-483D-9DE0-74587F2B3A2A}"/>
    <cellStyle name="Normal 10 2 3 7 3 4 2 2" xfId="11726" xr:uid="{8C25184E-F466-4ABE-B31C-11C86083378F}"/>
    <cellStyle name="Normal 10 2 3 7 3 4 3" xfId="11727" xr:uid="{ECC9D631-AFDC-4F3C-9B69-672FD17705C8}"/>
    <cellStyle name="Normal 10 2 3 7 3 5" xfId="11728" xr:uid="{3A50A0C3-952E-4695-99C8-73D5100FAAF5}"/>
    <cellStyle name="Normal 10 2 3 7 3 5 2" xfId="11729" xr:uid="{1FD6BEA0-7AC0-4353-B6A8-28416D302EBD}"/>
    <cellStyle name="Normal 10 2 3 7 3 6" xfId="11730" xr:uid="{D562C39F-C8CB-41D0-B2E9-E7FB745200B3}"/>
    <cellStyle name="Normal 10 2 3 7 4" xfId="11731" xr:uid="{6E433F38-4507-453B-91F3-3080B09E9560}"/>
    <cellStyle name="Normal 10 2 3 7 4 2" xfId="11732" xr:uid="{1A5E1DB1-ABAA-4AB0-91AC-31C2744E7192}"/>
    <cellStyle name="Normal 10 2 3 7 4 2 2" xfId="11733" xr:uid="{FB99C5A7-37D2-4371-9254-1C979D2CF6D5}"/>
    <cellStyle name="Normal 10 2 3 7 4 2 2 2" xfId="11734" xr:uid="{7194DE57-937D-47A5-AEB2-BCF600F02756}"/>
    <cellStyle name="Normal 10 2 3 7 4 2 2 2 2" xfId="11735" xr:uid="{3B99745B-F4F8-4691-BDCD-EAB3B2DE80CA}"/>
    <cellStyle name="Normal 10 2 3 7 4 2 2 3" xfId="11736" xr:uid="{FABE5BAB-1B6B-4E49-900E-32E005128F33}"/>
    <cellStyle name="Normal 10 2 3 7 4 2 3" xfId="11737" xr:uid="{C6345B50-2ED2-417E-87B2-069F7CE64EFD}"/>
    <cellStyle name="Normal 10 2 3 7 4 2 3 2" xfId="11738" xr:uid="{EFC13F55-F46D-4607-8FBF-2A6E32537BFA}"/>
    <cellStyle name="Normal 10 2 3 7 4 2 4" xfId="11739" xr:uid="{3712654F-D69F-4B5F-8647-BB7BAC6CDD0A}"/>
    <cellStyle name="Normal 10 2 3 7 4 3" xfId="11740" xr:uid="{B6BBB03C-7F5C-4EE2-95C4-37BE8B820A58}"/>
    <cellStyle name="Normal 10 2 3 7 4 3 2" xfId="11741" xr:uid="{8CE4338C-5720-416C-9327-048747F99E9C}"/>
    <cellStyle name="Normal 10 2 3 7 4 3 2 2" xfId="11742" xr:uid="{19AFA399-106E-4389-86B5-79B9E2210AF5}"/>
    <cellStyle name="Normal 10 2 3 7 4 3 3" xfId="11743" xr:uid="{BE37D76A-00DA-4A45-AA71-EC35A68243C9}"/>
    <cellStyle name="Normal 10 2 3 7 4 4" xfId="11744" xr:uid="{C417E118-2D13-41EF-BD3D-38A07D791695}"/>
    <cellStyle name="Normal 10 2 3 7 4 4 2" xfId="11745" xr:uid="{E062F906-535D-461C-9B3F-FF4476FBF103}"/>
    <cellStyle name="Normal 10 2 3 7 4 5" xfId="11746" xr:uid="{DE0AE298-2F18-47C6-9B9C-5AA83F3E8B82}"/>
    <cellStyle name="Normal 10 2 3 7 5" xfId="11747" xr:uid="{ACFA4D75-5268-4D62-BC95-5769C857065C}"/>
    <cellStyle name="Normal 10 2 3 7 5 2" xfId="11748" xr:uid="{9DC1EB7B-732A-47E0-BD44-361C9BF5A548}"/>
    <cellStyle name="Normal 10 2 3 7 5 2 2" xfId="11749" xr:uid="{1954214F-459A-42C7-9A37-6BED96E898A6}"/>
    <cellStyle name="Normal 10 2 3 7 5 2 2 2" xfId="11750" xr:uid="{580AD464-C41B-41AF-8B60-5645CD5036FA}"/>
    <cellStyle name="Normal 10 2 3 7 5 2 3" xfId="11751" xr:uid="{89767BD3-94E9-4782-884C-A6D1489D8E82}"/>
    <cellStyle name="Normal 10 2 3 7 5 3" xfId="11752" xr:uid="{8A1FA7A8-DC08-4EC1-B7F2-50DA9D5BEC17}"/>
    <cellStyle name="Normal 10 2 3 7 5 3 2" xfId="11753" xr:uid="{037F8510-9BBB-4450-9367-61A206E06632}"/>
    <cellStyle name="Normal 10 2 3 7 5 4" xfId="11754" xr:uid="{33365B36-759D-4A34-9993-83BFE6D6782E}"/>
    <cellStyle name="Normal 10 2 3 7 6" xfId="11755" xr:uid="{CB137EC2-1E6A-41FC-92EC-35881318B3FA}"/>
    <cellStyle name="Normal 10 2 3 7 6 2" xfId="11756" xr:uid="{B4266C34-DB8B-46A4-98F5-0553C5460D89}"/>
    <cellStyle name="Normal 10 2 3 7 6 2 2" xfId="11757" xr:uid="{CAC7823D-0197-4569-BCA7-BB52948A3F99}"/>
    <cellStyle name="Normal 10 2 3 7 6 3" xfId="11758" xr:uid="{EE311EF3-B817-4131-84A1-0A67BC21B9AA}"/>
    <cellStyle name="Normal 10 2 3 7 7" xfId="11759" xr:uid="{3BA76635-3848-479B-B079-5EDC89B486A9}"/>
    <cellStyle name="Normal 10 2 3 7 7 2" xfId="11760" xr:uid="{6488F1B3-0891-437D-B2D5-859C12649F3E}"/>
    <cellStyle name="Normal 10 2 3 7 8" xfId="11761" xr:uid="{458A1F23-933B-46E5-836A-A5874A2EB65E}"/>
    <cellStyle name="Normal 10 2 3 7 9" xfId="11634" xr:uid="{1CB61020-E008-40D1-9EE4-013377948BAC}"/>
    <cellStyle name="Normal 10 2 3 8" xfId="11762" xr:uid="{2C03187E-2114-4582-BD6A-E0B85C1A732D}"/>
    <cellStyle name="Normal 10 2 3 8 2" xfId="11763" xr:uid="{6ED8FB3A-FE27-49E3-8F60-B56160FBC9BE}"/>
    <cellStyle name="Normal 10 2 3 8 2 2" xfId="11764" xr:uid="{D8E49C84-1B56-4C95-8DB9-63D9196E077F}"/>
    <cellStyle name="Normal 10 2 3 8 2 2 2" xfId="11765" xr:uid="{7A1FF89C-39F9-4EF6-B4D9-B0E7F7799BEE}"/>
    <cellStyle name="Normal 10 2 3 8 2 2 2 2" xfId="11766" xr:uid="{E673FA27-64C9-4814-A39B-BD5199661A94}"/>
    <cellStyle name="Normal 10 2 3 8 2 2 2 2 2" xfId="11767" xr:uid="{7055B2F1-E3FC-4E54-9C78-24C10DCD9DCB}"/>
    <cellStyle name="Normal 10 2 3 8 2 2 2 2 2 2" xfId="11768" xr:uid="{F708C0EF-EFCC-43E6-9B6F-23FE7DB805A3}"/>
    <cellStyle name="Normal 10 2 3 8 2 2 2 2 3" xfId="11769" xr:uid="{4513D7C2-0106-419A-9966-C47D66F023FC}"/>
    <cellStyle name="Normal 10 2 3 8 2 2 2 3" xfId="11770" xr:uid="{1421E585-0FA3-4581-9466-5A45E09AA2B2}"/>
    <cellStyle name="Normal 10 2 3 8 2 2 2 3 2" xfId="11771" xr:uid="{0252007F-1493-4646-A08B-E96E268884F1}"/>
    <cellStyle name="Normal 10 2 3 8 2 2 2 4" xfId="11772" xr:uid="{DA9F350D-5F35-4DD4-95CB-E7461FB4888F}"/>
    <cellStyle name="Normal 10 2 3 8 2 2 3" xfId="11773" xr:uid="{F967EE4A-2FEE-4D85-8C56-C7524E3CA0E6}"/>
    <cellStyle name="Normal 10 2 3 8 2 2 3 2" xfId="11774" xr:uid="{6B12AB09-E1CB-47F9-835E-DE57066BC91D}"/>
    <cellStyle name="Normal 10 2 3 8 2 2 3 2 2" xfId="11775" xr:uid="{085088E2-E581-4383-A415-C4243983E5CE}"/>
    <cellStyle name="Normal 10 2 3 8 2 2 3 3" xfId="11776" xr:uid="{39AFF24E-4AAA-4EBB-9519-5C798A8D6A8D}"/>
    <cellStyle name="Normal 10 2 3 8 2 2 4" xfId="11777" xr:uid="{4B8A94EA-9A84-415E-8441-75F3C8EB6119}"/>
    <cellStyle name="Normal 10 2 3 8 2 2 4 2" xfId="11778" xr:uid="{001D978F-584D-4290-91AC-DDC566DF9006}"/>
    <cellStyle name="Normal 10 2 3 8 2 2 5" xfId="11779" xr:uid="{44AD6C3A-4BDC-4F2E-B223-73CA516DBA50}"/>
    <cellStyle name="Normal 10 2 3 8 2 3" xfId="11780" xr:uid="{ECB55DBB-D3EC-49BA-8BAD-F95E5FFBF68E}"/>
    <cellStyle name="Normal 10 2 3 8 2 3 2" xfId="11781" xr:uid="{057DD669-4A80-4D58-8D6E-4B5B840639BD}"/>
    <cellStyle name="Normal 10 2 3 8 2 3 2 2" xfId="11782" xr:uid="{F12C5BCE-33C9-44B2-88A2-F425CE3534FA}"/>
    <cellStyle name="Normal 10 2 3 8 2 3 2 2 2" xfId="11783" xr:uid="{4D63FB9C-7558-4165-8D23-D256E9B90FEE}"/>
    <cellStyle name="Normal 10 2 3 8 2 3 2 3" xfId="11784" xr:uid="{2178D898-0A88-4A95-80D3-F7561A67BE6C}"/>
    <cellStyle name="Normal 10 2 3 8 2 3 3" xfId="11785" xr:uid="{533A5748-8000-41DD-B21B-105A36879932}"/>
    <cellStyle name="Normal 10 2 3 8 2 3 3 2" xfId="11786" xr:uid="{1CAFB907-E643-49E3-8B9C-6B6AE69CADEB}"/>
    <cellStyle name="Normal 10 2 3 8 2 3 4" xfId="11787" xr:uid="{8EBA6B6F-9967-4866-8F56-25096B24CFDB}"/>
    <cellStyle name="Normal 10 2 3 8 2 4" xfId="11788" xr:uid="{F52855B8-3A04-4B1D-9191-2347127A37F6}"/>
    <cellStyle name="Normal 10 2 3 8 2 4 2" xfId="11789" xr:uid="{9816B105-280A-4F92-A6F0-77B494D7B040}"/>
    <cellStyle name="Normal 10 2 3 8 2 4 2 2" xfId="11790" xr:uid="{43B8D187-7959-474F-90BA-2EBE9C6960CB}"/>
    <cellStyle name="Normal 10 2 3 8 2 4 3" xfId="11791" xr:uid="{4E64364A-C7B4-41B0-BAC1-6827656AC610}"/>
    <cellStyle name="Normal 10 2 3 8 2 5" xfId="11792" xr:uid="{13396F58-8112-45A6-946E-313F99166240}"/>
    <cellStyle name="Normal 10 2 3 8 2 5 2" xfId="11793" xr:uid="{78D8B38C-0321-43AA-BC63-2DD95786A5D4}"/>
    <cellStyle name="Normal 10 2 3 8 2 6" xfId="11794" xr:uid="{0A2E6016-CA80-4EE4-9333-1B349D6AB10C}"/>
    <cellStyle name="Normal 10 2 3 8 3" xfId="11795" xr:uid="{FDB15D26-8EB0-4560-9961-38103F75D71B}"/>
    <cellStyle name="Normal 10 2 3 8 3 2" xfId="11796" xr:uid="{AC766524-6183-448D-B249-82754B86BF1E}"/>
    <cellStyle name="Normal 10 2 3 8 3 2 2" xfId="11797" xr:uid="{316B2998-ADBD-4FFB-B67F-A56F8178D4DD}"/>
    <cellStyle name="Normal 10 2 3 8 3 2 2 2" xfId="11798" xr:uid="{DB1186D5-0711-499C-84E6-F0A8E19CE7FB}"/>
    <cellStyle name="Normal 10 2 3 8 3 2 2 2 2" xfId="11799" xr:uid="{4C0D52ED-7B10-4B67-AB09-0887D46D0D73}"/>
    <cellStyle name="Normal 10 2 3 8 3 2 2 3" xfId="11800" xr:uid="{9F23DCDA-CD41-4FD8-B2C2-EFCDD7FFA3DE}"/>
    <cellStyle name="Normal 10 2 3 8 3 2 3" xfId="11801" xr:uid="{D83D87FB-7D49-4227-9FF7-0759DD2FE261}"/>
    <cellStyle name="Normal 10 2 3 8 3 2 3 2" xfId="11802" xr:uid="{E8D67911-10A0-43AF-8D19-211EEEBDE180}"/>
    <cellStyle name="Normal 10 2 3 8 3 2 4" xfId="11803" xr:uid="{547943EA-10D0-4947-BDCA-D7049091779B}"/>
    <cellStyle name="Normal 10 2 3 8 3 3" xfId="11804" xr:uid="{59E39EF2-7D80-42C4-B40F-7C9EEA8AF649}"/>
    <cellStyle name="Normal 10 2 3 8 3 3 2" xfId="11805" xr:uid="{D2634658-DC27-47F8-AF11-72CE7ABF3BB2}"/>
    <cellStyle name="Normal 10 2 3 8 3 3 2 2" xfId="11806" xr:uid="{86822F23-C680-4E9D-AABB-8895EB8BD5CD}"/>
    <cellStyle name="Normal 10 2 3 8 3 3 3" xfId="11807" xr:uid="{7810BD02-A4C6-416F-9309-2B7E30F7B4A2}"/>
    <cellStyle name="Normal 10 2 3 8 3 4" xfId="11808" xr:uid="{820964B1-0FAB-47ED-904D-E00C2E3C2FD7}"/>
    <cellStyle name="Normal 10 2 3 8 3 4 2" xfId="11809" xr:uid="{82FA8A92-11EB-42AC-B274-4D40684CA0E4}"/>
    <cellStyle name="Normal 10 2 3 8 3 5" xfId="11810" xr:uid="{DA99E338-9409-4739-BF99-A03B5127EB40}"/>
    <cellStyle name="Normal 10 2 3 8 4" xfId="11811" xr:uid="{E338407C-DD56-4855-929C-740DC34EFE2D}"/>
    <cellStyle name="Normal 10 2 3 8 4 2" xfId="11812" xr:uid="{E8C2D6F6-BBAC-4EFB-B241-57419D21F9D0}"/>
    <cellStyle name="Normal 10 2 3 8 4 2 2" xfId="11813" xr:uid="{43CA0595-8890-48AF-B848-C501EF67B902}"/>
    <cellStyle name="Normal 10 2 3 8 4 2 2 2" xfId="11814" xr:uid="{9096F4E0-516B-4CD6-9855-B4D957B1CB67}"/>
    <cellStyle name="Normal 10 2 3 8 4 2 3" xfId="11815" xr:uid="{ED6E449E-9514-4495-9B0F-48439FADB546}"/>
    <cellStyle name="Normal 10 2 3 8 4 3" xfId="11816" xr:uid="{0F528D3A-C0F6-4881-B073-86C8CA8880DF}"/>
    <cellStyle name="Normal 10 2 3 8 4 3 2" xfId="11817" xr:uid="{EF3195D4-4FAC-48A0-AD18-172EA2F30578}"/>
    <cellStyle name="Normal 10 2 3 8 4 4" xfId="11818" xr:uid="{8C84CC8C-7994-4070-8E61-936730BB4B55}"/>
    <cellStyle name="Normal 10 2 3 8 5" xfId="11819" xr:uid="{8DFF2CFA-EB4C-4AB0-8D54-5D2D51423325}"/>
    <cellStyle name="Normal 10 2 3 8 5 2" xfId="11820" xr:uid="{7D275B0D-BD53-4234-AD5B-F0FEF7882CED}"/>
    <cellStyle name="Normal 10 2 3 8 5 2 2" xfId="11821" xr:uid="{B348255D-0803-42FB-B404-B970440CA64B}"/>
    <cellStyle name="Normal 10 2 3 8 5 3" xfId="11822" xr:uid="{4CBD9603-EC7A-4E92-9491-3465D8291D4A}"/>
    <cellStyle name="Normal 10 2 3 8 6" xfId="11823" xr:uid="{6103B540-0B3D-4BB9-A68D-3FFE2CE659BC}"/>
    <cellStyle name="Normal 10 2 3 8 6 2" xfId="11824" xr:uid="{5CFACE8F-A5C6-44E4-8D10-D56F72DF58B7}"/>
    <cellStyle name="Normal 10 2 3 8 7" xfId="11825" xr:uid="{B7324F24-225E-428E-AA61-EC0D46570E2F}"/>
    <cellStyle name="Normal 10 2 3 9" xfId="11826" xr:uid="{D90E287F-8D94-49D8-89D7-161BC0C667E1}"/>
    <cellStyle name="Normal 10 2 3 9 2" xfId="11827" xr:uid="{6B21D0E5-2EA0-44DF-B514-75B2E5FB913D}"/>
    <cellStyle name="Normal 10 2 3 9 2 2" xfId="11828" xr:uid="{5B239D41-D437-483C-98CB-E3A7B78E69D7}"/>
    <cellStyle name="Normal 10 2 3 9 2 2 2" xfId="11829" xr:uid="{DA7D686E-537E-40E6-B758-BABDC0FB507F}"/>
    <cellStyle name="Normal 10 2 3 9 2 2 2 2" xfId="11830" xr:uid="{DC5B5F9F-52C3-4222-ACA2-50BE7614766C}"/>
    <cellStyle name="Normal 10 2 3 9 2 2 2 2 2" xfId="11831" xr:uid="{02002F70-1A63-406C-B8C2-9C753F88BAA2}"/>
    <cellStyle name="Normal 10 2 3 9 2 2 2 3" xfId="11832" xr:uid="{31E27DE2-BD2F-478A-A961-EF44D24C4CFC}"/>
    <cellStyle name="Normal 10 2 3 9 2 2 3" xfId="11833" xr:uid="{F4E0AD69-9B01-464A-8C2A-972907B3EAF5}"/>
    <cellStyle name="Normal 10 2 3 9 2 2 3 2" xfId="11834" xr:uid="{213B5132-6CBC-4FB9-A5E7-307030978544}"/>
    <cellStyle name="Normal 10 2 3 9 2 2 4" xfId="11835" xr:uid="{F7C6076E-17B6-493B-A14C-9B11C9429E98}"/>
    <cellStyle name="Normal 10 2 3 9 2 3" xfId="11836" xr:uid="{55AD05BA-2DFB-4BD1-A030-D4B43173CAE0}"/>
    <cellStyle name="Normal 10 2 3 9 2 3 2" xfId="11837" xr:uid="{65007F39-3D14-4865-8698-E1B22D40C05D}"/>
    <cellStyle name="Normal 10 2 3 9 2 3 2 2" xfId="11838" xr:uid="{027C92AC-294E-4088-8133-C0D624EA3B7D}"/>
    <cellStyle name="Normal 10 2 3 9 2 3 3" xfId="11839" xr:uid="{9BAAC1F9-E665-4B8A-A639-2D56A8C2A995}"/>
    <cellStyle name="Normal 10 2 3 9 2 4" xfId="11840" xr:uid="{3C26DDD2-9E5C-47A6-A3CC-2C999F8C9F97}"/>
    <cellStyle name="Normal 10 2 3 9 2 4 2" xfId="11841" xr:uid="{4C3B5624-C64E-4246-9121-04DD6CFAE321}"/>
    <cellStyle name="Normal 10 2 3 9 2 5" xfId="11842" xr:uid="{8DAF5DC2-5562-4C1D-8D36-1F3C99FDB203}"/>
    <cellStyle name="Normal 10 2 3 9 3" xfId="11843" xr:uid="{9B2858F8-0831-4E73-AA0A-70AA6A1E678A}"/>
    <cellStyle name="Normal 10 2 3 9 3 2" xfId="11844" xr:uid="{F0C6341D-D321-408E-83AD-F431AC8E45E0}"/>
    <cellStyle name="Normal 10 2 3 9 3 2 2" xfId="11845" xr:uid="{368BC314-5529-4FDD-B8A1-0C059D6AC08F}"/>
    <cellStyle name="Normal 10 2 3 9 3 2 2 2" xfId="11846" xr:uid="{3FF016EA-8D4B-406E-B433-7B8741F5EC3D}"/>
    <cellStyle name="Normal 10 2 3 9 3 2 3" xfId="11847" xr:uid="{CF618C5B-2ED8-4B6F-B52C-913D1EE1AC38}"/>
    <cellStyle name="Normal 10 2 3 9 3 3" xfId="11848" xr:uid="{6FF4FAD8-9425-4489-8F1A-BB3A27557201}"/>
    <cellStyle name="Normal 10 2 3 9 3 3 2" xfId="11849" xr:uid="{18334851-4620-43F7-AF49-62CC4C2A75E1}"/>
    <cellStyle name="Normal 10 2 3 9 3 4" xfId="11850" xr:uid="{558C1D62-C746-4879-933B-92B7DE522E1B}"/>
    <cellStyle name="Normal 10 2 3 9 4" xfId="11851" xr:uid="{610816FD-8FC9-4F0A-8C00-FD7B11D08095}"/>
    <cellStyle name="Normal 10 2 3 9 4 2" xfId="11852" xr:uid="{95E08038-8A32-4C3E-B9CE-C83DE4FAF8F3}"/>
    <cellStyle name="Normal 10 2 3 9 4 2 2" xfId="11853" xr:uid="{A08941B7-A5E1-46A5-9167-79039F137E50}"/>
    <cellStyle name="Normal 10 2 3 9 4 3" xfId="11854" xr:uid="{7B059BC5-64E4-4D9B-BCC5-367E3E00503F}"/>
    <cellStyle name="Normal 10 2 3 9 5" xfId="11855" xr:uid="{28B390DF-BCF0-4AAC-8FBB-FC49B90184CE}"/>
    <cellStyle name="Normal 10 2 3 9 5 2" xfId="11856" xr:uid="{54C5A917-CE72-412D-8F02-18E40CD69087}"/>
    <cellStyle name="Normal 10 2 3 9 6" xfId="11857" xr:uid="{6F185385-2B00-4E47-B671-0137C96A9881}"/>
    <cellStyle name="Normal 10 2 4" xfId="136" xr:uid="{6E8EA352-0D4A-4780-912B-634B6ED52C8C}"/>
    <cellStyle name="Normal 10 2 4 10" xfId="11858" xr:uid="{4915062B-6A72-473C-8CB2-809495BECC4F}"/>
    <cellStyle name="Normal 10 2 4 11" xfId="525" xr:uid="{34F5769E-F396-4DDA-829F-8D42DFEFC613}"/>
    <cellStyle name="Normal 10 2 4 2" xfId="322" xr:uid="{560F8C6C-95A3-4A1E-B014-A3B4D39CB039}"/>
    <cellStyle name="Normal 10 2 4 2 10" xfId="11859" xr:uid="{262F68C9-9996-4395-85F8-0EEFD056EEF3}"/>
    <cellStyle name="Normal 10 2 4 2 2" xfId="11860" xr:uid="{87349151-1C0B-4E2F-ACB3-86333ECD7EB2}"/>
    <cellStyle name="Normal 10 2 4 2 2 2" xfId="11861" xr:uid="{B44BFDDC-18F8-4D74-AECA-D20620ABD921}"/>
    <cellStyle name="Normal 10 2 4 2 2 2 2" xfId="11862" xr:uid="{2D86BFB6-2339-4D57-9E8E-6382E8B01738}"/>
    <cellStyle name="Normal 10 2 4 2 2 2 2 2" xfId="11863" xr:uid="{B90AFAE2-3492-44C1-8BC6-854B7709E4B1}"/>
    <cellStyle name="Normal 10 2 4 2 2 2 2 2 2" xfId="11864" xr:uid="{4527B1C7-AD94-48F9-BB93-6953181B3FD5}"/>
    <cellStyle name="Normal 10 2 4 2 2 2 2 2 2 2" xfId="11865" xr:uid="{718EB8CD-70FB-42A3-BFCD-545BD5377A93}"/>
    <cellStyle name="Normal 10 2 4 2 2 2 2 2 2 2 2" xfId="11866" xr:uid="{EE8310E0-FB6B-4F3F-B7AE-94EC68603D98}"/>
    <cellStyle name="Normal 10 2 4 2 2 2 2 2 2 2 2 2" xfId="11867" xr:uid="{98477E17-3EA8-49D1-8A05-293DEB294CDF}"/>
    <cellStyle name="Normal 10 2 4 2 2 2 2 2 2 2 3" xfId="11868" xr:uid="{69DEBC0A-486E-419F-AF66-72CD183FF9FC}"/>
    <cellStyle name="Normal 10 2 4 2 2 2 2 2 2 3" xfId="11869" xr:uid="{CDF00EC8-90FD-4308-B902-6B0590A7A86B}"/>
    <cellStyle name="Normal 10 2 4 2 2 2 2 2 2 3 2" xfId="11870" xr:uid="{2DF4AA1B-78C7-4B3A-AA90-1BC82D5DE704}"/>
    <cellStyle name="Normal 10 2 4 2 2 2 2 2 2 4" xfId="11871" xr:uid="{AD0724C2-BC05-4661-901A-82A0593B6C88}"/>
    <cellStyle name="Normal 10 2 4 2 2 2 2 2 3" xfId="11872" xr:uid="{62EFF4E7-B8DC-48D4-978C-36994E560963}"/>
    <cellStyle name="Normal 10 2 4 2 2 2 2 2 3 2" xfId="11873" xr:uid="{4D8A9C49-4D10-42D9-9B98-12F96C0926BB}"/>
    <cellStyle name="Normal 10 2 4 2 2 2 2 2 3 2 2" xfId="11874" xr:uid="{F8501B93-6F98-4C30-A941-CAC77415F52F}"/>
    <cellStyle name="Normal 10 2 4 2 2 2 2 2 3 3" xfId="11875" xr:uid="{DA03B52C-EECD-40A1-8975-6440474CD70D}"/>
    <cellStyle name="Normal 10 2 4 2 2 2 2 2 4" xfId="11876" xr:uid="{4F250832-CFF7-45FE-A85E-0D0D577360F0}"/>
    <cellStyle name="Normal 10 2 4 2 2 2 2 2 4 2" xfId="11877" xr:uid="{8387749C-E8FA-4FCE-AE69-E2665043B215}"/>
    <cellStyle name="Normal 10 2 4 2 2 2 2 2 5" xfId="11878" xr:uid="{24849B60-584D-48AF-8457-B2FAD542235F}"/>
    <cellStyle name="Normal 10 2 4 2 2 2 2 3" xfId="11879" xr:uid="{456F6515-8D7D-4F8C-9007-350C066455F7}"/>
    <cellStyle name="Normal 10 2 4 2 2 2 2 3 2" xfId="11880" xr:uid="{3C79F876-B6E1-4C61-A410-CC37039386A2}"/>
    <cellStyle name="Normal 10 2 4 2 2 2 2 3 2 2" xfId="11881" xr:uid="{3A03FA1D-1A95-46AF-B827-0C9BA3AAFF08}"/>
    <cellStyle name="Normal 10 2 4 2 2 2 2 3 2 2 2" xfId="11882" xr:uid="{69B18E14-0946-4938-A76E-C200CE7A1FDC}"/>
    <cellStyle name="Normal 10 2 4 2 2 2 2 3 2 3" xfId="11883" xr:uid="{85082DAA-0FFA-4EC9-8C84-7150B0D43554}"/>
    <cellStyle name="Normal 10 2 4 2 2 2 2 3 3" xfId="11884" xr:uid="{034B051A-B5F1-44D0-BD70-C006DDC53D6E}"/>
    <cellStyle name="Normal 10 2 4 2 2 2 2 3 3 2" xfId="11885" xr:uid="{F536D3C0-EB2E-4552-9E6F-9ABF8BDCD0EB}"/>
    <cellStyle name="Normal 10 2 4 2 2 2 2 3 4" xfId="11886" xr:uid="{AC95F849-6438-424E-80D0-35436FD57CBC}"/>
    <cellStyle name="Normal 10 2 4 2 2 2 2 4" xfId="11887" xr:uid="{4BAEBE9D-234E-4F8B-9DE6-B3DED0B17943}"/>
    <cellStyle name="Normal 10 2 4 2 2 2 2 4 2" xfId="11888" xr:uid="{2BDCD8AB-1BD7-468F-AB2B-34DD7DAB4494}"/>
    <cellStyle name="Normal 10 2 4 2 2 2 2 4 2 2" xfId="11889" xr:uid="{596A1CB5-12EF-419C-97A1-100BA88975BD}"/>
    <cellStyle name="Normal 10 2 4 2 2 2 2 4 3" xfId="11890" xr:uid="{B071FCAF-A9EC-4BA0-8413-EB8C6D2A8F54}"/>
    <cellStyle name="Normal 10 2 4 2 2 2 2 5" xfId="11891" xr:uid="{7CC19875-D48D-48C5-8816-2A0E14DF8728}"/>
    <cellStyle name="Normal 10 2 4 2 2 2 2 5 2" xfId="11892" xr:uid="{0089ABCA-7EB6-4066-ACB6-7D2214D6E0CD}"/>
    <cellStyle name="Normal 10 2 4 2 2 2 2 6" xfId="11893" xr:uid="{215BC8E1-1118-4EFE-8A47-D2AB4298B9EB}"/>
    <cellStyle name="Normal 10 2 4 2 2 2 3" xfId="11894" xr:uid="{0B1BDBC0-A12F-4E64-B5FC-5F873C9ABAC2}"/>
    <cellStyle name="Normal 10 2 4 2 2 2 3 2" xfId="11895" xr:uid="{86A22EFE-B872-46F0-82FF-75B55129E15B}"/>
    <cellStyle name="Normal 10 2 4 2 2 2 3 2 2" xfId="11896" xr:uid="{0534BD8A-A3FC-4D5D-99BF-84BB8175E74E}"/>
    <cellStyle name="Normal 10 2 4 2 2 2 3 2 2 2" xfId="11897" xr:uid="{D62EBCD5-B071-46A5-9032-F0F2117EA964}"/>
    <cellStyle name="Normal 10 2 4 2 2 2 3 2 2 2 2" xfId="11898" xr:uid="{4773D79C-63C0-4EFE-91E0-61B4B67A42BA}"/>
    <cellStyle name="Normal 10 2 4 2 2 2 3 2 2 3" xfId="11899" xr:uid="{F32496B8-87A4-4058-B6C3-024EC35BB494}"/>
    <cellStyle name="Normal 10 2 4 2 2 2 3 2 3" xfId="11900" xr:uid="{977D2725-EFAF-4868-AC39-7054D23691DC}"/>
    <cellStyle name="Normal 10 2 4 2 2 2 3 2 3 2" xfId="11901" xr:uid="{1CC4749F-8727-4886-8561-6D0FBB14E20D}"/>
    <cellStyle name="Normal 10 2 4 2 2 2 3 2 4" xfId="11902" xr:uid="{2144A8E8-2A0D-4BA6-9FDE-8DCBDBF368E9}"/>
    <cellStyle name="Normal 10 2 4 2 2 2 3 3" xfId="11903" xr:uid="{1671F2E8-44FF-4173-A797-04B81D5580FA}"/>
    <cellStyle name="Normal 10 2 4 2 2 2 3 3 2" xfId="11904" xr:uid="{48A7710E-49BD-46AC-8709-227762316F01}"/>
    <cellStyle name="Normal 10 2 4 2 2 2 3 3 2 2" xfId="11905" xr:uid="{76F74D52-2F6A-4EC1-84EB-05AC9F3A3151}"/>
    <cellStyle name="Normal 10 2 4 2 2 2 3 3 3" xfId="11906" xr:uid="{C9B14881-227B-4560-9572-A8FF69BF1E12}"/>
    <cellStyle name="Normal 10 2 4 2 2 2 3 4" xfId="11907" xr:uid="{22036DB2-66CE-45C2-8E5D-B024FB208F72}"/>
    <cellStyle name="Normal 10 2 4 2 2 2 3 4 2" xfId="11908" xr:uid="{BCAD4854-AD0D-4233-848D-6CC19C3B6F2C}"/>
    <cellStyle name="Normal 10 2 4 2 2 2 3 5" xfId="11909" xr:uid="{0040B8E8-A3FC-4EC5-B65A-EBC4A4D5C2C1}"/>
    <cellStyle name="Normal 10 2 4 2 2 2 4" xfId="11910" xr:uid="{C4E81407-7F20-4185-882D-549ECC1C2FC5}"/>
    <cellStyle name="Normal 10 2 4 2 2 2 4 2" xfId="11911" xr:uid="{917CA9BA-7BBB-4B67-8DC3-901A6057B422}"/>
    <cellStyle name="Normal 10 2 4 2 2 2 4 2 2" xfId="11912" xr:uid="{4F33F22A-96A8-4B63-8DA2-121275E5B494}"/>
    <cellStyle name="Normal 10 2 4 2 2 2 4 2 2 2" xfId="11913" xr:uid="{B4EE90EC-8BE5-44F4-9288-6EFD77A8D1F5}"/>
    <cellStyle name="Normal 10 2 4 2 2 2 4 2 3" xfId="11914" xr:uid="{D46C800F-6D75-44E4-AC14-17324839DFA7}"/>
    <cellStyle name="Normal 10 2 4 2 2 2 4 3" xfId="11915" xr:uid="{0EEE0B24-AEF7-4D26-AFC9-9B73C3F6B275}"/>
    <cellStyle name="Normal 10 2 4 2 2 2 4 3 2" xfId="11916" xr:uid="{B7FB84FD-C777-469D-828A-EDD3DA99654A}"/>
    <cellStyle name="Normal 10 2 4 2 2 2 4 4" xfId="11917" xr:uid="{764436DE-33FD-4BF9-9E39-BF62FB4A3E3B}"/>
    <cellStyle name="Normal 10 2 4 2 2 2 5" xfId="11918" xr:uid="{1FD77B95-C4D6-4E76-A069-002CB9118D31}"/>
    <cellStyle name="Normal 10 2 4 2 2 2 5 2" xfId="11919" xr:uid="{B15907C0-7A51-49A0-A76A-AF544DBA2B13}"/>
    <cellStyle name="Normal 10 2 4 2 2 2 5 2 2" xfId="11920" xr:uid="{F87E8B14-0D68-478E-AB9C-2D144A47AC60}"/>
    <cellStyle name="Normal 10 2 4 2 2 2 5 3" xfId="11921" xr:uid="{07A02C62-7FF2-4A8E-B3E6-9AF3F17F7F73}"/>
    <cellStyle name="Normal 10 2 4 2 2 2 6" xfId="11922" xr:uid="{4706EF17-FD15-4808-8DF2-C9CF5D64662B}"/>
    <cellStyle name="Normal 10 2 4 2 2 2 6 2" xfId="11923" xr:uid="{A309CF17-5886-4FBD-B8DB-EDCAB266FF0B}"/>
    <cellStyle name="Normal 10 2 4 2 2 2 7" xfId="11924" xr:uid="{BD1E29D2-2C1D-4B3D-9DAD-075B888B8A47}"/>
    <cellStyle name="Normal 10 2 4 2 2 3" xfId="11925" xr:uid="{1D1BF09D-B764-4BB3-9E4D-C347AA18EE4D}"/>
    <cellStyle name="Normal 10 2 4 2 2 3 2" xfId="11926" xr:uid="{A2AB25EC-2A36-46A6-BC76-8B3EF98AA179}"/>
    <cellStyle name="Normal 10 2 4 2 2 3 2 2" xfId="11927" xr:uid="{9572533E-653D-42E4-957C-D9E62452E303}"/>
    <cellStyle name="Normal 10 2 4 2 2 3 2 2 2" xfId="11928" xr:uid="{4B35A26A-8DB5-4C9D-B057-28E3204F00D7}"/>
    <cellStyle name="Normal 10 2 4 2 2 3 2 2 2 2" xfId="11929" xr:uid="{82502318-C7F5-4A51-B059-B86C3EB5700B}"/>
    <cellStyle name="Normal 10 2 4 2 2 3 2 2 2 2 2" xfId="11930" xr:uid="{99FE6CD3-9939-4C9A-992C-1F00FAF422DB}"/>
    <cellStyle name="Normal 10 2 4 2 2 3 2 2 2 3" xfId="11931" xr:uid="{B32A4F21-E018-49FB-9937-043F50533E95}"/>
    <cellStyle name="Normal 10 2 4 2 2 3 2 2 3" xfId="11932" xr:uid="{FB97C490-B638-427C-94C7-10B5C3A39E95}"/>
    <cellStyle name="Normal 10 2 4 2 2 3 2 2 3 2" xfId="11933" xr:uid="{7B2C7BD8-A7FF-4419-B8E1-57A5BAC401B8}"/>
    <cellStyle name="Normal 10 2 4 2 2 3 2 2 4" xfId="11934" xr:uid="{F24856F1-8AE9-46DE-8C08-2635DFAA7A71}"/>
    <cellStyle name="Normal 10 2 4 2 2 3 2 3" xfId="11935" xr:uid="{77AE92C4-F3A1-42E2-8D3D-A8DC9E266286}"/>
    <cellStyle name="Normal 10 2 4 2 2 3 2 3 2" xfId="11936" xr:uid="{D5C24ABE-B110-40EE-B39A-B472FB78C721}"/>
    <cellStyle name="Normal 10 2 4 2 2 3 2 3 2 2" xfId="11937" xr:uid="{D7CE4C6F-F96D-4F42-8008-16C33AE4C46C}"/>
    <cellStyle name="Normal 10 2 4 2 2 3 2 3 3" xfId="11938" xr:uid="{00CE43D1-834D-41AE-A455-096D98250592}"/>
    <cellStyle name="Normal 10 2 4 2 2 3 2 4" xfId="11939" xr:uid="{213ACB5A-F88B-4BDE-ADDE-38EB36A24A0F}"/>
    <cellStyle name="Normal 10 2 4 2 2 3 2 4 2" xfId="11940" xr:uid="{A2D969FF-B766-4A8B-9A9E-C562B7125BFE}"/>
    <cellStyle name="Normal 10 2 4 2 2 3 2 5" xfId="11941" xr:uid="{66A5AA4D-A255-436C-B8FD-46111DBE1B0F}"/>
    <cellStyle name="Normal 10 2 4 2 2 3 3" xfId="11942" xr:uid="{0E0D59EF-70AF-4203-AF64-BCEFB293CFC7}"/>
    <cellStyle name="Normal 10 2 4 2 2 3 3 2" xfId="11943" xr:uid="{FDA3D349-26BD-4139-B91C-BB2715B7A2F7}"/>
    <cellStyle name="Normal 10 2 4 2 2 3 3 2 2" xfId="11944" xr:uid="{5891C814-121C-4FAE-9A7E-56386E783A26}"/>
    <cellStyle name="Normal 10 2 4 2 2 3 3 2 2 2" xfId="11945" xr:uid="{1D395D40-56B9-45D7-9696-CD931154B579}"/>
    <cellStyle name="Normal 10 2 4 2 2 3 3 2 3" xfId="11946" xr:uid="{03DAC8C3-D81F-495A-99FF-DEDBE5C1EC71}"/>
    <cellStyle name="Normal 10 2 4 2 2 3 3 3" xfId="11947" xr:uid="{75B9BF93-71AC-4B24-A3D6-89E32732FF9F}"/>
    <cellStyle name="Normal 10 2 4 2 2 3 3 3 2" xfId="11948" xr:uid="{E330044D-8775-4F11-8A5C-9831EAD9864D}"/>
    <cellStyle name="Normal 10 2 4 2 2 3 3 4" xfId="11949" xr:uid="{D2089F67-4F58-4CE6-844E-4E4B70262E99}"/>
    <cellStyle name="Normal 10 2 4 2 2 3 4" xfId="11950" xr:uid="{35778E4E-FEA5-40D8-98D4-AC9940AB1952}"/>
    <cellStyle name="Normal 10 2 4 2 2 3 4 2" xfId="11951" xr:uid="{B45AEC07-BDB5-4EFC-AE76-7DBDDD5C4CC8}"/>
    <cellStyle name="Normal 10 2 4 2 2 3 4 2 2" xfId="11952" xr:uid="{1F26D160-F1FE-48CB-B110-3591E0EAE439}"/>
    <cellStyle name="Normal 10 2 4 2 2 3 4 3" xfId="11953" xr:uid="{D6BFCCD7-82C6-4B1B-95B4-4EC496A153DC}"/>
    <cellStyle name="Normal 10 2 4 2 2 3 5" xfId="11954" xr:uid="{0E2CEB8E-A592-4C12-9810-F4C282D5F61A}"/>
    <cellStyle name="Normal 10 2 4 2 2 3 5 2" xfId="11955" xr:uid="{63AE312E-8C5A-4CEF-A85D-21FEFCEE59E4}"/>
    <cellStyle name="Normal 10 2 4 2 2 3 6" xfId="11956" xr:uid="{7090D111-5AED-4A94-A9D7-C2A681646BE5}"/>
    <cellStyle name="Normal 10 2 4 2 2 4" xfId="11957" xr:uid="{A8A9C3DF-87DE-4E87-82F5-54F26A23A680}"/>
    <cellStyle name="Normal 10 2 4 2 2 4 2" xfId="11958" xr:uid="{C58285D5-10DD-4D94-B17F-80CCE6FB30FE}"/>
    <cellStyle name="Normal 10 2 4 2 2 4 2 2" xfId="11959" xr:uid="{0980CB6A-4F9B-4497-BC92-1DDFDB1FE1D8}"/>
    <cellStyle name="Normal 10 2 4 2 2 4 2 2 2" xfId="11960" xr:uid="{8AFD7908-5BCE-4989-B93A-358CB82290A3}"/>
    <cellStyle name="Normal 10 2 4 2 2 4 2 2 2 2" xfId="11961" xr:uid="{47B211F9-3655-4BA3-8011-BE8E39627452}"/>
    <cellStyle name="Normal 10 2 4 2 2 4 2 2 3" xfId="11962" xr:uid="{9A44AD8F-09CF-4DCD-88B3-EDADFB43715D}"/>
    <cellStyle name="Normal 10 2 4 2 2 4 2 3" xfId="11963" xr:uid="{6ABD4ACA-CC46-4578-85D5-EFEA87ED5109}"/>
    <cellStyle name="Normal 10 2 4 2 2 4 2 3 2" xfId="11964" xr:uid="{FB49F1DA-1027-40BD-8367-6EDAD7EBFBCD}"/>
    <cellStyle name="Normal 10 2 4 2 2 4 2 4" xfId="11965" xr:uid="{01976D5E-5942-4739-8882-DF21DAA316CA}"/>
    <cellStyle name="Normal 10 2 4 2 2 4 3" xfId="11966" xr:uid="{1EEEBD42-F1AA-4645-868E-433230352F9F}"/>
    <cellStyle name="Normal 10 2 4 2 2 4 3 2" xfId="11967" xr:uid="{F40D7F8E-CEF1-4EC9-9D3B-CF3230955470}"/>
    <cellStyle name="Normal 10 2 4 2 2 4 3 2 2" xfId="11968" xr:uid="{F333B8DE-5515-409E-9275-D3ABB8DBD612}"/>
    <cellStyle name="Normal 10 2 4 2 2 4 3 3" xfId="11969" xr:uid="{0C8C54E9-0627-488B-8B6A-9C7332C9449C}"/>
    <cellStyle name="Normal 10 2 4 2 2 4 4" xfId="11970" xr:uid="{F081BBB4-74F0-40FD-895A-3E64297760A9}"/>
    <cellStyle name="Normal 10 2 4 2 2 4 4 2" xfId="11971" xr:uid="{F6EF6DB6-9CC8-445B-A70D-A91727A1B4AF}"/>
    <cellStyle name="Normal 10 2 4 2 2 4 5" xfId="11972" xr:uid="{BD44BCEB-1A32-48A1-A351-169DEC80D1D7}"/>
    <cellStyle name="Normal 10 2 4 2 2 5" xfId="11973" xr:uid="{71BA965A-60E0-445F-8478-AAF17AB4E047}"/>
    <cellStyle name="Normal 10 2 4 2 2 5 2" xfId="11974" xr:uid="{B0075E00-AFBF-4C22-8C38-CE05140A529C}"/>
    <cellStyle name="Normal 10 2 4 2 2 5 2 2" xfId="11975" xr:uid="{E30A2687-E34D-40A8-A685-97D7655A3F58}"/>
    <cellStyle name="Normal 10 2 4 2 2 5 2 2 2" xfId="11976" xr:uid="{5BE84045-EA11-4969-9AD6-DD79E7C3DAC9}"/>
    <cellStyle name="Normal 10 2 4 2 2 5 2 3" xfId="11977" xr:uid="{3A341D69-3C55-4D14-98C0-6BE23C8F3228}"/>
    <cellStyle name="Normal 10 2 4 2 2 5 3" xfId="11978" xr:uid="{163B3539-A8EF-4054-9F5F-BE107E3A1C6A}"/>
    <cellStyle name="Normal 10 2 4 2 2 5 3 2" xfId="11979" xr:uid="{A35EA980-13B3-4607-8B75-B6C6B0B8CDC7}"/>
    <cellStyle name="Normal 10 2 4 2 2 5 4" xfId="11980" xr:uid="{AA1B8A52-C998-4C9F-A69A-79F8D6C85E23}"/>
    <cellStyle name="Normal 10 2 4 2 2 6" xfId="11981" xr:uid="{CDA99325-A73C-4150-99EB-3A329CC6F8FC}"/>
    <cellStyle name="Normal 10 2 4 2 2 6 2" xfId="11982" xr:uid="{01CEEEAA-09D9-455A-968A-A27929C5A87A}"/>
    <cellStyle name="Normal 10 2 4 2 2 6 2 2" xfId="11983" xr:uid="{9E5DF182-9263-40E9-A8E2-810AC7AD6D99}"/>
    <cellStyle name="Normal 10 2 4 2 2 6 3" xfId="11984" xr:uid="{7D8129A7-6AE9-48F7-82AC-97915E83BD4A}"/>
    <cellStyle name="Normal 10 2 4 2 2 7" xfId="11985" xr:uid="{6868B23B-9552-493B-8D11-4ED923E02E38}"/>
    <cellStyle name="Normal 10 2 4 2 2 7 2" xfId="11986" xr:uid="{8C722033-94E8-4A9D-90EE-AB759B79F170}"/>
    <cellStyle name="Normal 10 2 4 2 2 8" xfId="11987" xr:uid="{9F075D65-4FDE-4C4C-A82C-40896664B7B3}"/>
    <cellStyle name="Normal 10 2 4 2 3" xfId="11988" xr:uid="{1C00951E-8DDE-4BCB-A5C7-463900333FA8}"/>
    <cellStyle name="Normal 10 2 4 2 3 2" xfId="11989" xr:uid="{84F2E7A3-ED75-43AB-87A2-AE1AD8EBA1C7}"/>
    <cellStyle name="Normal 10 2 4 2 3 2 2" xfId="11990" xr:uid="{4877D89E-5B31-4966-8411-65465523C77A}"/>
    <cellStyle name="Normal 10 2 4 2 3 2 2 2" xfId="11991" xr:uid="{7EA1BF68-CAFA-4CC5-8015-F0837F77A15D}"/>
    <cellStyle name="Normal 10 2 4 2 3 2 2 2 2" xfId="11992" xr:uid="{DF53C1FB-F70B-45A5-AA21-9DAC779FF58B}"/>
    <cellStyle name="Normal 10 2 4 2 3 2 2 2 2 2" xfId="11993" xr:uid="{CC3FC518-AE49-4B63-A543-803B70F1B5C7}"/>
    <cellStyle name="Normal 10 2 4 2 3 2 2 2 2 2 2" xfId="11994" xr:uid="{59DE17EF-A3A1-4DF7-A5C9-C343E430AEB0}"/>
    <cellStyle name="Normal 10 2 4 2 3 2 2 2 2 3" xfId="11995" xr:uid="{D35C21C4-B341-4A2E-B496-D963282D0CFE}"/>
    <cellStyle name="Normal 10 2 4 2 3 2 2 2 3" xfId="11996" xr:uid="{AF47CA3D-494F-46BB-BDF8-273FAB02B983}"/>
    <cellStyle name="Normal 10 2 4 2 3 2 2 2 3 2" xfId="11997" xr:uid="{5B220FEE-3184-4DCA-84EC-2309D0B5466D}"/>
    <cellStyle name="Normal 10 2 4 2 3 2 2 2 4" xfId="11998" xr:uid="{0C60FAAC-E6A6-42F4-BADD-F3990D67C96F}"/>
    <cellStyle name="Normal 10 2 4 2 3 2 2 3" xfId="11999" xr:uid="{123C9A3E-EE7F-4F10-B3D1-D812783A3CE7}"/>
    <cellStyle name="Normal 10 2 4 2 3 2 2 3 2" xfId="12000" xr:uid="{6433B23A-636F-4B27-AC35-7A98102ADDB2}"/>
    <cellStyle name="Normal 10 2 4 2 3 2 2 3 2 2" xfId="12001" xr:uid="{AE6F8EE1-4B9B-4223-9230-A3B8ACC91E87}"/>
    <cellStyle name="Normal 10 2 4 2 3 2 2 3 3" xfId="12002" xr:uid="{889BF0F6-F4FF-4F7E-A166-4BC696840BE6}"/>
    <cellStyle name="Normal 10 2 4 2 3 2 2 4" xfId="12003" xr:uid="{64B59EFB-88C7-466E-A02F-4864876D693F}"/>
    <cellStyle name="Normal 10 2 4 2 3 2 2 4 2" xfId="12004" xr:uid="{D8BC42D6-0C88-45B7-877C-49B56D8F1302}"/>
    <cellStyle name="Normal 10 2 4 2 3 2 2 5" xfId="12005" xr:uid="{2BF60FE0-AB52-4BA3-95B8-402F784AB128}"/>
    <cellStyle name="Normal 10 2 4 2 3 2 3" xfId="12006" xr:uid="{F16A7E69-1E06-4800-B894-331FD610B479}"/>
    <cellStyle name="Normal 10 2 4 2 3 2 3 2" xfId="12007" xr:uid="{94A2642D-43F9-4845-A140-F7F476384F42}"/>
    <cellStyle name="Normal 10 2 4 2 3 2 3 2 2" xfId="12008" xr:uid="{007F64C0-D696-44AB-9EA7-23F202D57C34}"/>
    <cellStyle name="Normal 10 2 4 2 3 2 3 2 2 2" xfId="12009" xr:uid="{366EA9EA-5917-48A7-A2EE-D8466A73ADD3}"/>
    <cellStyle name="Normal 10 2 4 2 3 2 3 2 3" xfId="12010" xr:uid="{72733C21-2A05-42BD-BBE4-2828E9150929}"/>
    <cellStyle name="Normal 10 2 4 2 3 2 3 3" xfId="12011" xr:uid="{F77C012C-4D54-409A-A815-B3248B1E19FA}"/>
    <cellStyle name="Normal 10 2 4 2 3 2 3 3 2" xfId="12012" xr:uid="{AEFD0D32-2F4B-4AF6-97C8-7B88F7FCAC2E}"/>
    <cellStyle name="Normal 10 2 4 2 3 2 3 4" xfId="12013" xr:uid="{E2D577D5-C265-469F-B159-D3C400A34444}"/>
    <cellStyle name="Normal 10 2 4 2 3 2 4" xfId="12014" xr:uid="{42636580-D97A-482C-858C-1FDFE2626E91}"/>
    <cellStyle name="Normal 10 2 4 2 3 2 4 2" xfId="12015" xr:uid="{9BF775CD-7EDA-413F-916F-6106CBA5C8AB}"/>
    <cellStyle name="Normal 10 2 4 2 3 2 4 2 2" xfId="12016" xr:uid="{A8E44D6A-3E0E-4D5A-9416-21F60F242DE7}"/>
    <cellStyle name="Normal 10 2 4 2 3 2 4 3" xfId="12017" xr:uid="{D7BD4308-BCA7-4654-8EC0-626D90D342BD}"/>
    <cellStyle name="Normal 10 2 4 2 3 2 5" xfId="12018" xr:uid="{4FDE8345-B81C-4236-80EE-5AF568B0385A}"/>
    <cellStyle name="Normal 10 2 4 2 3 2 5 2" xfId="12019" xr:uid="{C802FF5E-3177-4BA1-9C54-FFC8E21BCDD9}"/>
    <cellStyle name="Normal 10 2 4 2 3 2 6" xfId="12020" xr:uid="{1860D22C-0017-4CD2-86F9-F071BB54297D}"/>
    <cellStyle name="Normal 10 2 4 2 3 3" xfId="12021" xr:uid="{E49C4CA8-6010-41BE-914D-D69FDC8C8F71}"/>
    <cellStyle name="Normal 10 2 4 2 3 3 2" xfId="12022" xr:uid="{DD29CA67-FE10-45F7-84BB-07A28043B628}"/>
    <cellStyle name="Normal 10 2 4 2 3 3 2 2" xfId="12023" xr:uid="{932B44DA-0FB6-4BDB-BFE9-E575EABA77F0}"/>
    <cellStyle name="Normal 10 2 4 2 3 3 2 2 2" xfId="12024" xr:uid="{225AB4D3-FC62-4B5C-9DB4-2DD0C3959B5F}"/>
    <cellStyle name="Normal 10 2 4 2 3 3 2 2 2 2" xfId="12025" xr:uid="{10184E07-BA09-4982-B779-7C9151961BD0}"/>
    <cellStyle name="Normal 10 2 4 2 3 3 2 2 3" xfId="12026" xr:uid="{54F64A60-5754-47C4-8FC2-C7E21B91D81D}"/>
    <cellStyle name="Normal 10 2 4 2 3 3 2 3" xfId="12027" xr:uid="{4C627BC2-495B-46BB-AA2F-75934B885FA2}"/>
    <cellStyle name="Normal 10 2 4 2 3 3 2 3 2" xfId="12028" xr:uid="{F4C75C2E-0B90-484D-9BC2-60957A6DCEB8}"/>
    <cellStyle name="Normal 10 2 4 2 3 3 2 4" xfId="12029" xr:uid="{3A459E99-F161-49E3-A965-EB17A75CC650}"/>
    <cellStyle name="Normal 10 2 4 2 3 3 3" xfId="12030" xr:uid="{BAF1ACA7-7592-4BCF-A915-CA3FA9498DF1}"/>
    <cellStyle name="Normal 10 2 4 2 3 3 3 2" xfId="12031" xr:uid="{406D3792-A378-4D44-9E83-FBC1981A9AA9}"/>
    <cellStyle name="Normal 10 2 4 2 3 3 3 2 2" xfId="12032" xr:uid="{998D272F-21C5-4C90-9FFE-B6311CFBF4FA}"/>
    <cellStyle name="Normal 10 2 4 2 3 3 3 3" xfId="12033" xr:uid="{017BA1F1-13E9-4F9C-8D18-1D7CD5C4C943}"/>
    <cellStyle name="Normal 10 2 4 2 3 3 4" xfId="12034" xr:uid="{D5A2D69E-A29A-4690-B2A3-407222E3C907}"/>
    <cellStyle name="Normal 10 2 4 2 3 3 4 2" xfId="12035" xr:uid="{EBA8D9BB-C34E-415A-974B-0B2D3ACBDE38}"/>
    <cellStyle name="Normal 10 2 4 2 3 3 5" xfId="12036" xr:uid="{1AFAB312-2645-4995-86F9-418893FCC3E2}"/>
    <cellStyle name="Normal 10 2 4 2 3 4" xfId="12037" xr:uid="{09092919-C4F9-4931-9D65-BDAED9F20AA6}"/>
    <cellStyle name="Normal 10 2 4 2 3 4 2" xfId="12038" xr:uid="{560003D2-1EAF-412E-BF4E-D02E2CACE94D}"/>
    <cellStyle name="Normal 10 2 4 2 3 4 2 2" xfId="12039" xr:uid="{1FE225B8-FC11-4E6F-BF4B-B5CBBF260B35}"/>
    <cellStyle name="Normal 10 2 4 2 3 4 2 2 2" xfId="12040" xr:uid="{2CC3118B-6B7B-4906-A2BC-7518EB663F02}"/>
    <cellStyle name="Normal 10 2 4 2 3 4 2 3" xfId="12041" xr:uid="{33868E6F-72EF-42B6-A77D-CF662D5799DF}"/>
    <cellStyle name="Normal 10 2 4 2 3 4 3" xfId="12042" xr:uid="{552BE9E9-2B6D-4E44-B560-938CD77D1327}"/>
    <cellStyle name="Normal 10 2 4 2 3 4 3 2" xfId="12043" xr:uid="{132B31B8-5DBF-49E6-859E-2F8FE5932545}"/>
    <cellStyle name="Normal 10 2 4 2 3 4 4" xfId="12044" xr:uid="{4A91CBAC-98D1-42E7-9634-3F092AA16E70}"/>
    <cellStyle name="Normal 10 2 4 2 3 5" xfId="12045" xr:uid="{DAF77B7C-1392-4D4E-B3C3-0A591218849D}"/>
    <cellStyle name="Normal 10 2 4 2 3 5 2" xfId="12046" xr:uid="{62B55487-150A-4E02-90FB-05F75BE7F718}"/>
    <cellStyle name="Normal 10 2 4 2 3 5 2 2" xfId="12047" xr:uid="{3278586F-7305-426F-B0E8-F14B880627C4}"/>
    <cellStyle name="Normal 10 2 4 2 3 5 3" xfId="12048" xr:uid="{C75C6D2C-B348-4F5F-AC38-C5F0D65F84B9}"/>
    <cellStyle name="Normal 10 2 4 2 3 6" xfId="12049" xr:uid="{7F274299-F56D-483D-9A4F-88AAF21C1D41}"/>
    <cellStyle name="Normal 10 2 4 2 3 6 2" xfId="12050" xr:uid="{3248F8ED-44BB-4957-BE9E-EE063A4ADA8A}"/>
    <cellStyle name="Normal 10 2 4 2 3 7" xfId="12051" xr:uid="{C0B90B51-B432-4E83-9D2B-442170DA2D90}"/>
    <cellStyle name="Normal 10 2 4 2 4" xfId="12052" xr:uid="{890984E1-BA59-4476-AB0D-15AD0C4E4D6B}"/>
    <cellStyle name="Normal 10 2 4 2 4 2" xfId="12053" xr:uid="{23464840-BAE4-4204-AAEC-DD4D349A3DC3}"/>
    <cellStyle name="Normal 10 2 4 2 4 2 2" xfId="12054" xr:uid="{DBBC91DC-8587-436C-9AB4-40CBF75C6E96}"/>
    <cellStyle name="Normal 10 2 4 2 4 2 2 2" xfId="12055" xr:uid="{85B70091-5DEF-491B-97BB-2DF80E548D27}"/>
    <cellStyle name="Normal 10 2 4 2 4 2 2 2 2" xfId="12056" xr:uid="{70D00781-8DAA-49C0-A91B-56A139550942}"/>
    <cellStyle name="Normal 10 2 4 2 4 2 2 2 2 2" xfId="12057" xr:uid="{074A17F2-62FA-4C9F-AEC8-B676443B3715}"/>
    <cellStyle name="Normal 10 2 4 2 4 2 2 2 3" xfId="12058" xr:uid="{636AD179-A481-4CC1-8C39-6584EF8EC411}"/>
    <cellStyle name="Normal 10 2 4 2 4 2 2 3" xfId="12059" xr:uid="{ADD5B249-0197-444A-9728-0C0843A9CF8F}"/>
    <cellStyle name="Normal 10 2 4 2 4 2 2 3 2" xfId="12060" xr:uid="{0DFE0B23-B48A-400E-BD81-341556E6C442}"/>
    <cellStyle name="Normal 10 2 4 2 4 2 2 4" xfId="12061" xr:uid="{62036D38-0D30-473C-A6A8-DD87A09B6FC0}"/>
    <cellStyle name="Normal 10 2 4 2 4 2 3" xfId="12062" xr:uid="{7B803C28-674D-4DEF-964A-11F1542D52FF}"/>
    <cellStyle name="Normal 10 2 4 2 4 2 3 2" xfId="12063" xr:uid="{846224B1-DC44-4D95-806A-5DE508C608F1}"/>
    <cellStyle name="Normal 10 2 4 2 4 2 3 2 2" xfId="12064" xr:uid="{FEA95B04-54D1-45D7-A20D-7D84E748E981}"/>
    <cellStyle name="Normal 10 2 4 2 4 2 3 3" xfId="12065" xr:uid="{FEAD4BAE-8F41-41BE-AABC-7DE5EC99601F}"/>
    <cellStyle name="Normal 10 2 4 2 4 2 4" xfId="12066" xr:uid="{02795C53-27BB-47A5-BDCC-E6CDAF27A198}"/>
    <cellStyle name="Normal 10 2 4 2 4 2 4 2" xfId="12067" xr:uid="{3CD247BA-83A7-409E-B9EA-78E6789C1401}"/>
    <cellStyle name="Normal 10 2 4 2 4 2 5" xfId="12068" xr:uid="{09959CD0-82E8-41C6-905C-76DDA588F839}"/>
    <cellStyle name="Normal 10 2 4 2 4 3" xfId="12069" xr:uid="{A090F212-62BA-43B8-9607-4E556CA5C460}"/>
    <cellStyle name="Normal 10 2 4 2 4 3 2" xfId="12070" xr:uid="{1A991E2F-F4C0-4AB8-8D19-8481501339F7}"/>
    <cellStyle name="Normal 10 2 4 2 4 3 2 2" xfId="12071" xr:uid="{448599E5-892C-451C-80B2-E694FD8BB72A}"/>
    <cellStyle name="Normal 10 2 4 2 4 3 2 2 2" xfId="12072" xr:uid="{3F62EC7E-AD95-446F-B5D5-C313E3EDAAAC}"/>
    <cellStyle name="Normal 10 2 4 2 4 3 2 3" xfId="12073" xr:uid="{E525ADBB-A0B2-47DC-AC9B-9286531B4260}"/>
    <cellStyle name="Normal 10 2 4 2 4 3 3" xfId="12074" xr:uid="{4007839F-94B3-40F5-A320-7C845CCD5EA2}"/>
    <cellStyle name="Normal 10 2 4 2 4 3 3 2" xfId="12075" xr:uid="{2974511F-085E-4B99-A8F6-11850F733514}"/>
    <cellStyle name="Normal 10 2 4 2 4 3 4" xfId="12076" xr:uid="{8B64A1E7-33DB-4DAC-81B8-3EB695ED6351}"/>
    <cellStyle name="Normal 10 2 4 2 4 4" xfId="12077" xr:uid="{452EB71E-A5B2-4938-A077-12E9D9E8F3C1}"/>
    <cellStyle name="Normal 10 2 4 2 4 4 2" xfId="12078" xr:uid="{5DD48A77-57C2-4D4C-8F4A-10D431423193}"/>
    <cellStyle name="Normal 10 2 4 2 4 4 2 2" xfId="12079" xr:uid="{BA2BB369-3243-4DEB-87C4-3DEA8C528A0E}"/>
    <cellStyle name="Normal 10 2 4 2 4 4 3" xfId="12080" xr:uid="{80E0E76A-B464-4A31-9550-80E80F88E913}"/>
    <cellStyle name="Normal 10 2 4 2 4 5" xfId="12081" xr:uid="{F05D173F-8738-42A5-A222-349CF12FE748}"/>
    <cellStyle name="Normal 10 2 4 2 4 5 2" xfId="12082" xr:uid="{0DE55202-B6D4-4ACE-A966-E9E4784F27B7}"/>
    <cellStyle name="Normal 10 2 4 2 4 6" xfId="12083" xr:uid="{E3E1298C-3B5D-47C1-84E0-73B847D1BDCD}"/>
    <cellStyle name="Normal 10 2 4 2 5" xfId="12084" xr:uid="{ACE218F3-4EDE-48C7-9C30-408885837C98}"/>
    <cellStyle name="Normal 10 2 4 2 5 2" xfId="12085" xr:uid="{CC578FC9-13C2-4CB2-9CFD-53AF80B92237}"/>
    <cellStyle name="Normal 10 2 4 2 5 2 2" xfId="12086" xr:uid="{28DB7892-98C3-4D1A-9F80-8045A3C04365}"/>
    <cellStyle name="Normal 10 2 4 2 5 2 2 2" xfId="12087" xr:uid="{7273B049-C199-4A8C-9321-CF1EADB48EFE}"/>
    <cellStyle name="Normal 10 2 4 2 5 2 2 2 2" xfId="12088" xr:uid="{78B31E7A-CA0D-414C-BFCD-5A6115F8DD2A}"/>
    <cellStyle name="Normal 10 2 4 2 5 2 2 3" xfId="12089" xr:uid="{C3235AFE-B910-4306-9057-C63AE84276A2}"/>
    <cellStyle name="Normal 10 2 4 2 5 2 3" xfId="12090" xr:uid="{CA8D1FC7-1C7D-4FF2-9205-9486FE857AF9}"/>
    <cellStyle name="Normal 10 2 4 2 5 2 3 2" xfId="12091" xr:uid="{BCB1BC15-241D-444B-85D8-4D71170FF439}"/>
    <cellStyle name="Normal 10 2 4 2 5 2 4" xfId="12092" xr:uid="{85D7517F-3198-4027-BBD2-978D745E831B}"/>
    <cellStyle name="Normal 10 2 4 2 5 3" xfId="12093" xr:uid="{72EB2810-FD63-4013-B006-CE730E35032A}"/>
    <cellStyle name="Normal 10 2 4 2 5 3 2" xfId="12094" xr:uid="{68E172E7-E1D5-44BD-8EBE-D5924F58DEE1}"/>
    <cellStyle name="Normal 10 2 4 2 5 3 2 2" xfId="12095" xr:uid="{8E79D9B4-2885-4D37-8EEE-2934F3E05789}"/>
    <cellStyle name="Normal 10 2 4 2 5 3 3" xfId="12096" xr:uid="{8BBE9EC1-2DE2-4B0D-B5B2-B20C456EEF10}"/>
    <cellStyle name="Normal 10 2 4 2 5 4" xfId="12097" xr:uid="{CF081423-5EB8-4532-8ABA-4B5751208B69}"/>
    <cellStyle name="Normal 10 2 4 2 5 4 2" xfId="12098" xr:uid="{5C7A6334-A4AB-4938-BC6A-84C82FA509F6}"/>
    <cellStyle name="Normal 10 2 4 2 5 5" xfId="12099" xr:uid="{D2AE3D32-1B84-4787-B750-388AABE79C14}"/>
    <cellStyle name="Normal 10 2 4 2 6" xfId="12100" xr:uid="{EA0932C9-54C5-4082-A955-B4332CD63F0F}"/>
    <cellStyle name="Normal 10 2 4 2 6 2" xfId="12101" xr:uid="{7FFB03BF-402A-47BC-9093-57AC34C8CA9B}"/>
    <cellStyle name="Normal 10 2 4 2 6 2 2" xfId="12102" xr:uid="{A8CD2CF0-14FC-4905-9736-FDDB59C719BF}"/>
    <cellStyle name="Normal 10 2 4 2 6 2 2 2" xfId="12103" xr:uid="{340EE2D0-F103-40B1-8E2B-E79B1D5E4D21}"/>
    <cellStyle name="Normal 10 2 4 2 6 2 3" xfId="12104" xr:uid="{B0C59284-F62A-4EE4-8A38-4D91CCD5D732}"/>
    <cellStyle name="Normal 10 2 4 2 6 3" xfId="12105" xr:uid="{48F69D2F-B499-4B55-8E37-95C3A71F7C2C}"/>
    <cellStyle name="Normal 10 2 4 2 6 3 2" xfId="12106" xr:uid="{C6B54F24-709C-4279-8054-E63ECFC7EBF6}"/>
    <cellStyle name="Normal 10 2 4 2 6 4" xfId="12107" xr:uid="{C5CDCB0F-A6B0-48B1-AE36-8BAC5CDD18BE}"/>
    <cellStyle name="Normal 10 2 4 2 7" xfId="12108" xr:uid="{20F5D451-D070-4BF3-A7E0-0E65AF8D0FFC}"/>
    <cellStyle name="Normal 10 2 4 2 7 2" xfId="12109" xr:uid="{95F1FBBB-2CB4-4ED8-8709-015ACCA8472D}"/>
    <cellStyle name="Normal 10 2 4 2 7 2 2" xfId="12110" xr:uid="{F90FA14B-B44E-4626-936E-1BDAC62B2AF8}"/>
    <cellStyle name="Normal 10 2 4 2 7 3" xfId="12111" xr:uid="{763C57C2-99E2-4348-810A-F5C3D4677F7D}"/>
    <cellStyle name="Normal 10 2 4 2 8" xfId="12112" xr:uid="{782686B6-5490-4510-A0E7-78629C3127AE}"/>
    <cellStyle name="Normal 10 2 4 2 8 2" xfId="12113" xr:uid="{8D6215CA-08C2-431A-8CC7-BB9BA5AF6200}"/>
    <cellStyle name="Normal 10 2 4 2 9" xfId="12114" xr:uid="{E6C35360-DD5E-4A51-A051-868E18E81832}"/>
    <cellStyle name="Normal 10 2 4 3" xfId="437" xr:uid="{85BA4AC3-15DC-4FF0-AC8F-2A5FAAF4EF86}"/>
    <cellStyle name="Normal 10 2 4 3 2" xfId="12116" xr:uid="{AF053096-3149-4543-A8C4-96E184BA69A4}"/>
    <cellStyle name="Normal 10 2 4 3 2 2" xfId="12117" xr:uid="{C1D9E2E8-AD50-40B4-92FB-F05274A933E2}"/>
    <cellStyle name="Normal 10 2 4 3 2 2 2" xfId="12118" xr:uid="{0EA33E13-2BBF-453E-B1B2-C245A00666A6}"/>
    <cellStyle name="Normal 10 2 4 3 2 2 2 2" xfId="12119" xr:uid="{E770A6A2-6CDF-4F3D-B5AA-9B28F46EB480}"/>
    <cellStyle name="Normal 10 2 4 3 2 2 2 2 2" xfId="12120" xr:uid="{1D340328-3F95-4254-A922-67B5FD652A68}"/>
    <cellStyle name="Normal 10 2 4 3 2 2 2 2 2 2" xfId="12121" xr:uid="{C6D4650E-30A6-4CA2-9850-2DC13B0B42B9}"/>
    <cellStyle name="Normal 10 2 4 3 2 2 2 2 2 2 2" xfId="12122" xr:uid="{43F7CC2C-274F-4DD3-9B1C-540066C1A01C}"/>
    <cellStyle name="Normal 10 2 4 3 2 2 2 2 2 3" xfId="12123" xr:uid="{6460D8CE-0DC0-458B-8D19-D84EAC090B6A}"/>
    <cellStyle name="Normal 10 2 4 3 2 2 2 2 3" xfId="12124" xr:uid="{2DE16A57-4436-4FC4-B7E8-65828F85D770}"/>
    <cellStyle name="Normal 10 2 4 3 2 2 2 2 3 2" xfId="12125" xr:uid="{8E779F63-E1BD-474C-9D53-13AA61280B67}"/>
    <cellStyle name="Normal 10 2 4 3 2 2 2 2 4" xfId="12126" xr:uid="{92921C19-5E9A-4AB3-9ABB-7ED3C60ED0BA}"/>
    <cellStyle name="Normal 10 2 4 3 2 2 2 3" xfId="12127" xr:uid="{EDABB535-BD78-4596-A540-0481AFBF0850}"/>
    <cellStyle name="Normal 10 2 4 3 2 2 2 3 2" xfId="12128" xr:uid="{E21D100A-35DE-4927-B3D4-9B3714AE963B}"/>
    <cellStyle name="Normal 10 2 4 3 2 2 2 3 2 2" xfId="12129" xr:uid="{2F90F95C-6B20-4A53-8038-7E3B21402F58}"/>
    <cellStyle name="Normal 10 2 4 3 2 2 2 3 3" xfId="12130" xr:uid="{CDDAA94E-A68E-48B3-8DF1-5A556F7ECEAC}"/>
    <cellStyle name="Normal 10 2 4 3 2 2 2 4" xfId="12131" xr:uid="{F4A064EC-95D5-4241-8D18-5015EF052621}"/>
    <cellStyle name="Normal 10 2 4 3 2 2 2 4 2" xfId="12132" xr:uid="{4AA1753A-E3F7-48D9-892E-BDA28F3CD11C}"/>
    <cellStyle name="Normal 10 2 4 3 2 2 2 5" xfId="12133" xr:uid="{F89F4A5B-CE22-4B7C-B901-50FEBAF31A9C}"/>
    <cellStyle name="Normal 10 2 4 3 2 2 3" xfId="12134" xr:uid="{ED11EF81-28C5-47BF-8731-6BBB3B65272A}"/>
    <cellStyle name="Normal 10 2 4 3 2 2 3 2" xfId="12135" xr:uid="{6FF9762E-BF28-4339-902A-99FEE937C75C}"/>
    <cellStyle name="Normal 10 2 4 3 2 2 3 2 2" xfId="12136" xr:uid="{1A195596-BB4E-4705-AB92-5B4B1D0389CF}"/>
    <cellStyle name="Normal 10 2 4 3 2 2 3 2 2 2" xfId="12137" xr:uid="{5391AB0E-9B97-4271-BEB7-1776498D116C}"/>
    <cellStyle name="Normal 10 2 4 3 2 2 3 2 3" xfId="12138" xr:uid="{ACB9BD13-88A4-491A-85A4-8B1AEC6D707E}"/>
    <cellStyle name="Normal 10 2 4 3 2 2 3 3" xfId="12139" xr:uid="{E8FF1F3E-15FB-4576-948A-00482517C81D}"/>
    <cellStyle name="Normal 10 2 4 3 2 2 3 3 2" xfId="12140" xr:uid="{08627CDD-AFAF-4301-BDFB-7BFCDCC279D6}"/>
    <cellStyle name="Normal 10 2 4 3 2 2 3 4" xfId="12141" xr:uid="{9BC8C9A0-F8F3-4E10-8CF1-BA2CEC15DB97}"/>
    <cellStyle name="Normal 10 2 4 3 2 2 4" xfId="12142" xr:uid="{DAE20329-8220-49F9-A306-6AF666918C97}"/>
    <cellStyle name="Normal 10 2 4 3 2 2 4 2" xfId="12143" xr:uid="{894194C8-8401-4349-8D23-31A7E19B4D0F}"/>
    <cellStyle name="Normal 10 2 4 3 2 2 4 2 2" xfId="12144" xr:uid="{49F41D6D-FAD1-4C60-A336-10E5268BE61B}"/>
    <cellStyle name="Normal 10 2 4 3 2 2 4 3" xfId="12145" xr:uid="{0AD83CA9-44F3-47DB-89FE-20242F999FB5}"/>
    <cellStyle name="Normal 10 2 4 3 2 2 5" xfId="12146" xr:uid="{63B77395-1EE6-42FC-B650-4F21BFEBFBDE}"/>
    <cellStyle name="Normal 10 2 4 3 2 2 5 2" xfId="12147" xr:uid="{11A69D47-A993-4455-A1E5-ECB79D99D472}"/>
    <cellStyle name="Normal 10 2 4 3 2 2 6" xfId="12148" xr:uid="{B454935C-84CD-4237-B3DC-D0E39398A6CC}"/>
    <cellStyle name="Normal 10 2 4 3 2 3" xfId="12149" xr:uid="{0F8C3400-C52E-4D2C-964E-22B7C96AF4F6}"/>
    <cellStyle name="Normal 10 2 4 3 2 3 2" xfId="12150" xr:uid="{98AC371E-557D-46F7-9A7E-8D8001E4158F}"/>
    <cellStyle name="Normal 10 2 4 3 2 3 2 2" xfId="12151" xr:uid="{C2D19C44-FD2E-4225-801F-9DE9E0CC22F6}"/>
    <cellStyle name="Normal 10 2 4 3 2 3 2 2 2" xfId="12152" xr:uid="{EAD29E8A-802B-4DE6-A0D1-A0B149EF9613}"/>
    <cellStyle name="Normal 10 2 4 3 2 3 2 2 2 2" xfId="12153" xr:uid="{10255F8C-15F0-426F-AF48-CC71A7A9B043}"/>
    <cellStyle name="Normal 10 2 4 3 2 3 2 2 3" xfId="12154" xr:uid="{423C3C9A-CB56-4B8B-BD63-5E5C053E47BF}"/>
    <cellStyle name="Normal 10 2 4 3 2 3 2 3" xfId="12155" xr:uid="{086BC5C6-90C7-422B-A424-E57965C4AC24}"/>
    <cellStyle name="Normal 10 2 4 3 2 3 2 3 2" xfId="12156" xr:uid="{13DED8AD-93E6-4938-9AFE-265216F288DF}"/>
    <cellStyle name="Normal 10 2 4 3 2 3 2 4" xfId="12157" xr:uid="{153D49D1-581E-4626-8D77-787009074932}"/>
    <cellStyle name="Normal 10 2 4 3 2 3 3" xfId="12158" xr:uid="{5A7304B0-24EE-4C19-A14F-3B8A0D806F6C}"/>
    <cellStyle name="Normal 10 2 4 3 2 3 3 2" xfId="12159" xr:uid="{F8C05D72-9CD7-4ACA-B698-F49FCF8D2CCB}"/>
    <cellStyle name="Normal 10 2 4 3 2 3 3 2 2" xfId="12160" xr:uid="{6668CF49-B5BA-4DE2-BCE3-0AF62EBA3B94}"/>
    <cellStyle name="Normal 10 2 4 3 2 3 3 3" xfId="12161" xr:uid="{4C1408FA-9F1C-4BF0-8163-042EDE69EC57}"/>
    <cellStyle name="Normal 10 2 4 3 2 3 4" xfId="12162" xr:uid="{577BD915-7D16-4E53-9688-13E814464754}"/>
    <cellStyle name="Normal 10 2 4 3 2 3 4 2" xfId="12163" xr:uid="{1E160932-55EE-4FF3-AD28-8A6D1339A22D}"/>
    <cellStyle name="Normal 10 2 4 3 2 3 5" xfId="12164" xr:uid="{8F682286-B827-4DE3-8DE1-8DBC7D998F34}"/>
    <cellStyle name="Normal 10 2 4 3 2 4" xfId="12165" xr:uid="{B8DE18B2-4CDA-4C4C-92DA-AD1A409D86FE}"/>
    <cellStyle name="Normal 10 2 4 3 2 4 2" xfId="12166" xr:uid="{56C92179-D633-4900-9ABE-D2E28E27BD8A}"/>
    <cellStyle name="Normal 10 2 4 3 2 4 2 2" xfId="12167" xr:uid="{EF242127-3711-40E9-A5AC-65C8B7AEC3C0}"/>
    <cellStyle name="Normal 10 2 4 3 2 4 2 2 2" xfId="12168" xr:uid="{ACD4F963-1C38-43F5-B93A-9CDCC7CB0A6F}"/>
    <cellStyle name="Normal 10 2 4 3 2 4 2 3" xfId="12169" xr:uid="{91269A02-5140-4DD3-8E17-E87C45DC34E9}"/>
    <cellStyle name="Normal 10 2 4 3 2 4 3" xfId="12170" xr:uid="{C7F87606-467B-4C11-ADB5-60C622A48548}"/>
    <cellStyle name="Normal 10 2 4 3 2 4 3 2" xfId="12171" xr:uid="{1BAA1EDD-6D79-4F8A-BF12-6F2500ECAC9F}"/>
    <cellStyle name="Normal 10 2 4 3 2 4 4" xfId="12172" xr:uid="{79364ACF-640B-4CED-95F3-E0330DC67AAB}"/>
    <cellStyle name="Normal 10 2 4 3 2 5" xfId="12173" xr:uid="{B380154F-342D-4990-B91E-F06243D3C1C7}"/>
    <cellStyle name="Normal 10 2 4 3 2 5 2" xfId="12174" xr:uid="{A92323A9-F4F4-4E16-977F-121FF0BA2297}"/>
    <cellStyle name="Normal 10 2 4 3 2 5 2 2" xfId="12175" xr:uid="{DC264EA4-FD9E-4B6D-A1D7-99F8DDE98007}"/>
    <cellStyle name="Normal 10 2 4 3 2 5 3" xfId="12176" xr:uid="{45B16B2C-3337-489A-9A74-61800B8B76AD}"/>
    <cellStyle name="Normal 10 2 4 3 2 6" xfId="12177" xr:uid="{2680AB55-6162-4B3F-BB4B-199683A64AD6}"/>
    <cellStyle name="Normal 10 2 4 3 2 6 2" xfId="12178" xr:uid="{87CF0FBC-1780-4054-90F6-DDAC24BFD493}"/>
    <cellStyle name="Normal 10 2 4 3 2 7" xfId="12179" xr:uid="{B6395316-6592-4130-9A2B-EB1594A74A2B}"/>
    <cellStyle name="Normal 10 2 4 3 3" xfId="12180" xr:uid="{784E9CFB-4119-4B1A-969E-743FDF3AF79D}"/>
    <cellStyle name="Normal 10 2 4 3 3 2" xfId="12181" xr:uid="{C661FD0C-CFCA-44BA-94A3-ECD7766C51B9}"/>
    <cellStyle name="Normal 10 2 4 3 3 2 2" xfId="12182" xr:uid="{7796FCF0-4D27-47DB-A771-04D8295FDEFA}"/>
    <cellStyle name="Normal 10 2 4 3 3 2 2 2" xfId="12183" xr:uid="{4D7A0EA3-39B0-44DD-B42D-CB780D874A67}"/>
    <cellStyle name="Normal 10 2 4 3 3 2 2 2 2" xfId="12184" xr:uid="{4E7BCC9B-5EEB-406B-B60B-CD805D0824B7}"/>
    <cellStyle name="Normal 10 2 4 3 3 2 2 2 2 2" xfId="12185" xr:uid="{48CE5CCD-3EF9-457A-896F-8F6721FCC8EA}"/>
    <cellStyle name="Normal 10 2 4 3 3 2 2 2 3" xfId="12186" xr:uid="{59D69772-9780-489A-BEA9-6297548A1080}"/>
    <cellStyle name="Normal 10 2 4 3 3 2 2 3" xfId="12187" xr:uid="{3E9E85F4-C321-4553-B39E-78DEEE60D925}"/>
    <cellStyle name="Normal 10 2 4 3 3 2 2 3 2" xfId="12188" xr:uid="{84289279-F918-407F-979D-0A14CC3CFFB3}"/>
    <cellStyle name="Normal 10 2 4 3 3 2 2 4" xfId="12189" xr:uid="{DB0DF22C-08E8-4499-A3E9-C7FE415CE3C9}"/>
    <cellStyle name="Normal 10 2 4 3 3 2 3" xfId="12190" xr:uid="{FD9456C3-FC78-4951-AC9B-4A6442EA1637}"/>
    <cellStyle name="Normal 10 2 4 3 3 2 3 2" xfId="12191" xr:uid="{27B879B8-2075-48C4-A0C0-32F57022DFC2}"/>
    <cellStyle name="Normal 10 2 4 3 3 2 3 2 2" xfId="12192" xr:uid="{270DE2E5-E93D-45E9-857A-591BD7CCB8ED}"/>
    <cellStyle name="Normal 10 2 4 3 3 2 3 3" xfId="12193" xr:uid="{CBF5D342-3D1D-4537-868E-55E79A6701CD}"/>
    <cellStyle name="Normal 10 2 4 3 3 2 4" xfId="12194" xr:uid="{5162E3CF-03E8-4754-918B-7C40E61524D9}"/>
    <cellStyle name="Normal 10 2 4 3 3 2 4 2" xfId="12195" xr:uid="{40D2FF8B-0B01-4792-926B-84F84082185D}"/>
    <cellStyle name="Normal 10 2 4 3 3 2 5" xfId="12196" xr:uid="{995B13C0-6F9A-40EB-880E-27C1BFC5AEFE}"/>
    <cellStyle name="Normal 10 2 4 3 3 3" xfId="12197" xr:uid="{98439A68-784B-4D1F-893A-0F89C9FD9B1D}"/>
    <cellStyle name="Normal 10 2 4 3 3 3 2" xfId="12198" xr:uid="{8FFFB7EA-3C58-4D9A-93D1-EF685C776BDF}"/>
    <cellStyle name="Normal 10 2 4 3 3 3 2 2" xfId="12199" xr:uid="{B8FB5E35-B11E-4637-A977-739E8A090CE4}"/>
    <cellStyle name="Normal 10 2 4 3 3 3 2 2 2" xfId="12200" xr:uid="{F8C942F7-E3CA-44D6-AD06-44CF3BA6F308}"/>
    <cellStyle name="Normal 10 2 4 3 3 3 2 3" xfId="12201" xr:uid="{EA41E0F8-89B8-4D2F-B11C-9993361EE45B}"/>
    <cellStyle name="Normal 10 2 4 3 3 3 3" xfId="12202" xr:uid="{F13FED38-8C88-42F9-A72B-3218BDA4E41F}"/>
    <cellStyle name="Normal 10 2 4 3 3 3 3 2" xfId="12203" xr:uid="{8C6CCE68-4C3C-4FB0-BE57-5310C13FED59}"/>
    <cellStyle name="Normal 10 2 4 3 3 3 4" xfId="12204" xr:uid="{5A8059D5-E17E-4775-9F64-ED627E0DE965}"/>
    <cellStyle name="Normal 10 2 4 3 3 4" xfId="12205" xr:uid="{A5A53919-A329-4D55-869F-1A4FD3FAE31A}"/>
    <cellStyle name="Normal 10 2 4 3 3 4 2" xfId="12206" xr:uid="{4814F283-EA4C-477A-954A-5F9D95A7E381}"/>
    <cellStyle name="Normal 10 2 4 3 3 4 2 2" xfId="12207" xr:uid="{C01F62BB-7BFF-4F83-AEFB-B7D5F7C2F70A}"/>
    <cellStyle name="Normal 10 2 4 3 3 4 3" xfId="12208" xr:uid="{BEB7812B-FBED-4BB7-B4F0-976CEC748158}"/>
    <cellStyle name="Normal 10 2 4 3 3 5" xfId="12209" xr:uid="{0850B58D-B1BD-4B97-B151-556258A17D76}"/>
    <cellStyle name="Normal 10 2 4 3 3 5 2" xfId="12210" xr:uid="{E0F2359E-F02F-4D1E-8C27-B44C753088F8}"/>
    <cellStyle name="Normal 10 2 4 3 3 6" xfId="12211" xr:uid="{08CEB5C3-E36F-4F64-AA49-EC294EFDA751}"/>
    <cellStyle name="Normal 10 2 4 3 4" xfId="12212" xr:uid="{EBB21542-8820-47C8-B978-2B849F664F56}"/>
    <cellStyle name="Normal 10 2 4 3 4 2" xfId="12213" xr:uid="{98510925-C877-458C-A66F-822257DC4C63}"/>
    <cellStyle name="Normal 10 2 4 3 4 2 2" xfId="12214" xr:uid="{46A092C7-5D45-4B4A-B1D8-00292BDDEFF3}"/>
    <cellStyle name="Normal 10 2 4 3 4 2 2 2" xfId="12215" xr:uid="{216519A0-FC82-43D4-8B59-8945E28FB676}"/>
    <cellStyle name="Normal 10 2 4 3 4 2 2 2 2" xfId="12216" xr:uid="{E46CF365-C028-420C-85D2-54A43B59AFDC}"/>
    <cellStyle name="Normal 10 2 4 3 4 2 2 3" xfId="12217" xr:uid="{D0A1C067-B3E3-480D-AB97-EBDBB73661A0}"/>
    <cellStyle name="Normal 10 2 4 3 4 2 3" xfId="12218" xr:uid="{9C6324E3-DF30-4FBF-8AC3-6BCF948A0C86}"/>
    <cellStyle name="Normal 10 2 4 3 4 2 3 2" xfId="12219" xr:uid="{DE8F55C5-441A-4059-ACCB-DF14E26473FA}"/>
    <cellStyle name="Normal 10 2 4 3 4 2 4" xfId="12220" xr:uid="{7F95118C-D687-4559-8257-1A97DBC6346C}"/>
    <cellStyle name="Normal 10 2 4 3 4 3" xfId="12221" xr:uid="{B0A8C0DD-315C-46AD-84D7-DB449F3D87F5}"/>
    <cellStyle name="Normal 10 2 4 3 4 3 2" xfId="12222" xr:uid="{0BBD4A76-B48F-4FAD-9706-FD811D103FAE}"/>
    <cellStyle name="Normal 10 2 4 3 4 3 2 2" xfId="12223" xr:uid="{07364B6E-CA4B-4C94-8071-A54A3D61E8F0}"/>
    <cellStyle name="Normal 10 2 4 3 4 3 3" xfId="12224" xr:uid="{20628337-61A8-44B9-B041-A370A86A1D64}"/>
    <cellStyle name="Normal 10 2 4 3 4 4" xfId="12225" xr:uid="{BA23B350-7535-4D9A-B4F6-C1DD1FD2622F}"/>
    <cellStyle name="Normal 10 2 4 3 4 4 2" xfId="12226" xr:uid="{D8280F12-EC2E-4EEA-89C0-9AA5693D500E}"/>
    <cellStyle name="Normal 10 2 4 3 4 5" xfId="12227" xr:uid="{56E52DF4-6D95-4407-B74C-FD1D24A6B8F8}"/>
    <cellStyle name="Normal 10 2 4 3 5" xfId="12228" xr:uid="{5C734FB4-79AA-41EE-BEF3-324EE03021A2}"/>
    <cellStyle name="Normal 10 2 4 3 5 2" xfId="12229" xr:uid="{ADA2A014-0AC3-4419-B5BD-49A774580EF4}"/>
    <cellStyle name="Normal 10 2 4 3 5 2 2" xfId="12230" xr:uid="{31041B5D-00F6-4E30-9B03-6BB80920AA4B}"/>
    <cellStyle name="Normal 10 2 4 3 5 2 2 2" xfId="12231" xr:uid="{73DFCB74-5BCE-4EB6-A614-6A322DBC2273}"/>
    <cellStyle name="Normal 10 2 4 3 5 2 3" xfId="12232" xr:uid="{4358B986-6FB1-4D85-91E8-9C8842469859}"/>
    <cellStyle name="Normal 10 2 4 3 5 3" xfId="12233" xr:uid="{7CBF91B5-1EC8-4029-9EDE-A543FF6FD753}"/>
    <cellStyle name="Normal 10 2 4 3 5 3 2" xfId="12234" xr:uid="{B367507F-EF5B-4084-ADBB-1CD80E3321D8}"/>
    <cellStyle name="Normal 10 2 4 3 5 4" xfId="12235" xr:uid="{6CEBE26E-0438-48EF-8E55-C9DC1222EAA5}"/>
    <cellStyle name="Normal 10 2 4 3 6" xfId="12236" xr:uid="{76D0ACBD-DC9E-4550-A0C6-F23D191CDA36}"/>
    <cellStyle name="Normal 10 2 4 3 6 2" xfId="12237" xr:uid="{A70B5671-0104-496D-85FD-02454A1DF86D}"/>
    <cellStyle name="Normal 10 2 4 3 6 2 2" xfId="12238" xr:uid="{25F1595F-7363-4C3C-9FEB-FBCA27EE7D12}"/>
    <cellStyle name="Normal 10 2 4 3 6 3" xfId="12239" xr:uid="{18B54B63-20B0-44BB-9EC4-2C02FA8CDE96}"/>
    <cellStyle name="Normal 10 2 4 3 7" xfId="12240" xr:uid="{DE7AFCF0-8694-4764-A119-AEE0A2E132C6}"/>
    <cellStyle name="Normal 10 2 4 3 7 2" xfId="12241" xr:uid="{DAE6938F-D7E3-4847-858B-5722B738F902}"/>
    <cellStyle name="Normal 10 2 4 3 8" xfId="12242" xr:uid="{8DDFD187-7E3E-4172-944A-643124D74589}"/>
    <cellStyle name="Normal 10 2 4 3 9" xfId="12115" xr:uid="{5D64B6D1-E4B2-4B0D-8AD6-D6D79A6EB2DA}"/>
    <cellStyle name="Normal 10 2 4 4" xfId="12243" xr:uid="{3B9E1CD0-1450-4B4D-8C1E-75C09027CAD2}"/>
    <cellStyle name="Normal 10 2 4 4 2" xfId="12244" xr:uid="{7E7617B3-3CC2-40CA-ADFE-2250349F2546}"/>
    <cellStyle name="Normal 10 2 4 4 2 2" xfId="12245" xr:uid="{52C8980D-5AFD-4ECD-B2F9-F1959345FEFE}"/>
    <cellStyle name="Normal 10 2 4 4 2 2 2" xfId="12246" xr:uid="{8CAE6C74-E567-4DC4-8333-635922BFB697}"/>
    <cellStyle name="Normal 10 2 4 4 2 2 2 2" xfId="12247" xr:uid="{6FBCA9D0-6248-44FD-A44A-32CEC0F5EB1B}"/>
    <cellStyle name="Normal 10 2 4 4 2 2 2 2 2" xfId="12248" xr:uid="{E53F75F9-F07E-4B6E-B14D-FB305B855899}"/>
    <cellStyle name="Normal 10 2 4 4 2 2 2 2 2 2" xfId="12249" xr:uid="{FB9C09C2-C65B-4B34-B3D9-3353F6DF9415}"/>
    <cellStyle name="Normal 10 2 4 4 2 2 2 2 3" xfId="12250" xr:uid="{F5571734-CCB0-4231-A9BB-390199A99E07}"/>
    <cellStyle name="Normal 10 2 4 4 2 2 2 3" xfId="12251" xr:uid="{6EA388D2-6BA9-4CBE-A95C-B9F6B0971EEB}"/>
    <cellStyle name="Normal 10 2 4 4 2 2 2 3 2" xfId="12252" xr:uid="{E01974AD-5A07-4C1E-8203-33784A7F3013}"/>
    <cellStyle name="Normal 10 2 4 4 2 2 2 4" xfId="12253" xr:uid="{40674835-53C8-45D4-A5A9-5FC0D382993A}"/>
    <cellStyle name="Normal 10 2 4 4 2 2 3" xfId="12254" xr:uid="{03FD95F2-7891-40F2-B0EC-C0AE405F2CCE}"/>
    <cellStyle name="Normal 10 2 4 4 2 2 3 2" xfId="12255" xr:uid="{AE53CC6F-28E4-402C-8834-C0A556A2D950}"/>
    <cellStyle name="Normal 10 2 4 4 2 2 3 2 2" xfId="12256" xr:uid="{3FA13874-CB0F-4DEB-8A8A-C2DE2215B297}"/>
    <cellStyle name="Normal 10 2 4 4 2 2 3 3" xfId="12257" xr:uid="{C994FE5D-2615-44DA-A66A-6EC8E5FE92AA}"/>
    <cellStyle name="Normal 10 2 4 4 2 2 4" xfId="12258" xr:uid="{3170B6E0-DBB6-4122-A2FA-A4AF03D6B042}"/>
    <cellStyle name="Normal 10 2 4 4 2 2 4 2" xfId="12259" xr:uid="{BEA4BA98-C098-41C7-A170-E48FCDEABDF8}"/>
    <cellStyle name="Normal 10 2 4 4 2 2 5" xfId="12260" xr:uid="{AEE99630-4F0A-424E-A308-E8F0DD83573A}"/>
    <cellStyle name="Normal 10 2 4 4 2 3" xfId="12261" xr:uid="{B44F5A2B-BBC6-40E2-9EC3-EADC788B445B}"/>
    <cellStyle name="Normal 10 2 4 4 2 3 2" xfId="12262" xr:uid="{7E2D583C-DF1E-4164-A871-88FFF2B94349}"/>
    <cellStyle name="Normal 10 2 4 4 2 3 2 2" xfId="12263" xr:uid="{126B7794-3E36-46E3-BB2F-BB16E98DEDDF}"/>
    <cellStyle name="Normal 10 2 4 4 2 3 2 2 2" xfId="12264" xr:uid="{B34CA4C7-C3B2-4EE6-BF06-F8CFBBA837B6}"/>
    <cellStyle name="Normal 10 2 4 4 2 3 2 3" xfId="12265" xr:uid="{FC28FD05-CAD2-4E84-9BC0-8E11392A0384}"/>
    <cellStyle name="Normal 10 2 4 4 2 3 3" xfId="12266" xr:uid="{A1741E4F-F253-4F7C-8AB1-4E64CDA43623}"/>
    <cellStyle name="Normal 10 2 4 4 2 3 3 2" xfId="12267" xr:uid="{C70A6D53-7C9D-4769-B775-69F688F7B375}"/>
    <cellStyle name="Normal 10 2 4 4 2 3 4" xfId="12268" xr:uid="{36483D14-0242-4896-A245-4D45BD017E8C}"/>
    <cellStyle name="Normal 10 2 4 4 2 4" xfId="12269" xr:uid="{400E7966-05C7-4DC6-B211-C03C97BC8FC1}"/>
    <cellStyle name="Normal 10 2 4 4 2 4 2" xfId="12270" xr:uid="{E040FA5E-5482-4EF3-AE5C-220A329FC158}"/>
    <cellStyle name="Normal 10 2 4 4 2 4 2 2" xfId="12271" xr:uid="{455CD8A9-029C-4CE1-B1A8-555C744EE2DB}"/>
    <cellStyle name="Normal 10 2 4 4 2 4 3" xfId="12272" xr:uid="{52568ACA-AEAC-401A-87F2-D9422EAA45E7}"/>
    <cellStyle name="Normal 10 2 4 4 2 5" xfId="12273" xr:uid="{20B059E6-9998-4E7D-AC5D-0D8C1B5C60DE}"/>
    <cellStyle name="Normal 10 2 4 4 2 5 2" xfId="12274" xr:uid="{79BAF3E7-D483-4BB4-82A1-4FB517A35BA2}"/>
    <cellStyle name="Normal 10 2 4 4 2 6" xfId="12275" xr:uid="{5D7E08E8-CFE9-4256-B74E-7F5CFE292D31}"/>
    <cellStyle name="Normal 10 2 4 4 3" xfId="12276" xr:uid="{E11792F0-0A6F-4A89-89DC-1AB3B2B1DA7D}"/>
    <cellStyle name="Normal 10 2 4 4 3 2" xfId="12277" xr:uid="{B7F4D3E7-14E1-4043-9DE4-8B0EDCAF0F62}"/>
    <cellStyle name="Normal 10 2 4 4 3 2 2" xfId="12278" xr:uid="{986866A6-D343-4671-AD30-779E7B262571}"/>
    <cellStyle name="Normal 10 2 4 4 3 2 2 2" xfId="12279" xr:uid="{F1C18F84-3D98-4407-B808-9AF6675F5428}"/>
    <cellStyle name="Normal 10 2 4 4 3 2 2 2 2" xfId="12280" xr:uid="{6637723D-84A8-43CD-9947-31D68AD2C42F}"/>
    <cellStyle name="Normal 10 2 4 4 3 2 2 3" xfId="12281" xr:uid="{CFF4739D-97D3-434B-A55C-73A27CA37A1E}"/>
    <cellStyle name="Normal 10 2 4 4 3 2 3" xfId="12282" xr:uid="{1BDE55A4-066E-4D45-9F29-874C3895F60A}"/>
    <cellStyle name="Normal 10 2 4 4 3 2 3 2" xfId="12283" xr:uid="{A654F6CA-E210-4B8B-AB06-4FD17844C3EC}"/>
    <cellStyle name="Normal 10 2 4 4 3 2 4" xfId="12284" xr:uid="{61B95DAD-B806-41C4-A18F-CEC0830A1D81}"/>
    <cellStyle name="Normal 10 2 4 4 3 3" xfId="12285" xr:uid="{B6AA45D0-4EBF-4C7A-9DAB-2D8F487167B5}"/>
    <cellStyle name="Normal 10 2 4 4 3 3 2" xfId="12286" xr:uid="{749AE6B0-E6FA-4C59-8241-969FD094E839}"/>
    <cellStyle name="Normal 10 2 4 4 3 3 2 2" xfId="12287" xr:uid="{2D9BD96A-71BB-485B-B89B-E5A77C089594}"/>
    <cellStyle name="Normal 10 2 4 4 3 3 3" xfId="12288" xr:uid="{5623EAA2-3FFF-413B-86C3-CA723B6BACAC}"/>
    <cellStyle name="Normal 10 2 4 4 3 4" xfId="12289" xr:uid="{13CA0387-B9F5-4142-9BE2-9B8C8681EDCE}"/>
    <cellStyle name="Normal 10 2 4 4 3 4 2" xfId="12290" xr:uid="{79736C22-2358-48A2-A503-693E769F452A}"/>
    <cellStyle name="Normal 10 2 4 4 3 5" xfId="12291" xr:uid="{26437368-8A01-4E99-B8E1-488E8CA071AD}"/>
    <cellStyle name="Normal 10 2 4 4 4" xfId="12292" xr:uid="{AC56CF47-6A40-42F9-8D4B-78D13FC2C9E9}"/>
    <cellStyle name="Normal 10 2 4 4 4 2" xfId="12293" xr:uid="{6B219253-A167-4BFE-8670-79E5147440B3}"/>
    <cellStyle name="Normal 10 2 4 4 4 2 2" xfId="12294" xr:uid="{35F23C1A-D1DA-40DF-9F53-41381C5FD990}"/>
    <cellStyle name="Normal 10 2 4 4 4 2 2 2" xfId="12295" xr:uid="{0EEFD023-7A58-4568-894A-924E45A429B3}"/>
    <cellStyle name="Normal 10 2 4 4 4 2 3" xfId="12296" xr:uid="{D9093E41-B001-4D55-BDB6-93EC0C94B593}"/>
    <cellStyle name="Normal 10 2 4 4 4 3" xfId="12297" xr:uid="{3F3DEF6B-AE7F-4FCA-8A13-FF3979FA84AB}"/>
    <cellStyle name="Normal 10 2 4 4 4 3 2" xfId="12298" xr:uid="{F6622AE6-6A75-46B7-B91F-2BB9711DADB1}"/>
    <cellStyle name="Normal 10 2 4 4 4 4" xfId="12299" xr:uid="{13418048-811E-43C0-A898-C2AD86AD45E6}"/>
    <cellStyle name="Normal 10 2 4 4 5" xfId="12300" xr:uid="{C57A89C1-F9A4-47AA-BAB6-79203262B5EC}"/>
    <cellStyle name="Normal 10 2 4 4 5 2" xfId="12301" xr:uid="{11ECC0BD-DE80-4C66-83C4-F369570AA0A5}"/>
    <cellStyle name="Normal 10 2 4 4 5 2 2" xfId="12302" xr:uid="{41FC6EDC-531E-4559-813A-1839CF67FBDB}"/>
    <cellStyle name="Normal 10 2 4 4 5 3" xfId="12303" xr:uid="{94FD54BF-03C0-45BF-A01A-E3F92468A7F2}"/>
    <cellStyle name="Normal 10 2 4 4 6" xfId="12304" xr:uid="{6B08422C-0038-4F58-88DB-A0919DF11CB7}"/>
    <cellStyle name="Normal 10 2 4 4 6 2" xfId="12305" xr:uid="{B55CF675-B92F-417D-A510-7A3F16933428}"/>
    <cellStyle name="Normal 10 2 4 4 7" xfId="12306" xr:uid="{35C447A2-C517-428B-AC3D-268BD8AC16DA}"/>
    <cellStyle name="Normal 10 2 4 5" xfId="12307" xr:uid="{56A70179-E8EB-4C27-A6EF-FC1CB14A98DF}"/>
    <cellStyle name="Normal 10 2 4 5 2" xfId="12308" xr:uid="{33B9451E-C7B4-45D6-B133-3ECDA178A65F}"/>
    <cellStyle name="Normal 10 2 4 5 2 2" xfId="12309" xr:uid="{2FAE8156-9870-4C2E-A355-29E88B3D617D}"/>
    <cellStyle name="Normal 10 2 4 5 2 2 2" xfId="12310" xr:uid="{DC78BD17-D20E-469E-A604-54CB2F581AC4}"/>
    <cellStyle name="Normal 10 2 4 5 2 2 2 2" xfId="12311" xr:uid="{950442C8-A9BA-41EA-ABE7-10DF44800DFA}"/>
    <cellStyle name="Normal 10 2 4 5 2 2 2 2 2" xfId="12312" xr:uid="{23DDE662-3402-494B-B14B-BA3EC4260FC4}"/>
    <cellStyle name="Normal 10 2 4 5 2 2 2 3" xfId="12313" xr:uid="{53D67054-42DD-441F-BE01-F49DBFEA2993}"/>
    <cellStyle name="Normal 10 2 4 5 2 2 3" xfId="12314" xr:uid="{DE2FA6C8-3302-42AF-AE60-330B5155813B}"/>
    <cellStyle name="Normal 10 2 4 5 2 2 3 2" xfId="12315" xr:uid="{DEAA586E-9989-4881-993A-919BB9DBC42A}"/>
    <cellStyle name="Normal 10 2 4 5 2 2 4" xfId="12316" xr:uid="{1CC07742-CA28-408C-AEC2-FF0AD987F035}"/>
    <cellStyle name="Normal 10 2 4 5 2 3" xfId="12317" xr:uid="{3B132553-897F-4146-B575-28B693E57F8A}"/>
    <cellStyle name="Normal 10 2 4 5 2 3 2" xfId="12318" xr:uid="{588AC198-6A4B-4B81-A59F-1360EB8689D2}"/>
    <cellStyle name="Normal 10 2 4 5 2 3 2 2" xfId="12319" xr:uid="{D60DA482-AD40-40AB-AE00-F1B6B64A6D90}"/>
    <cellStyle name="Normal 10 2 4 5 2 3 3" xfId="12320" xr:uid="{47D0EA90-B06F-4ABE-9822-E677B38C8E5D}"/>
    <cellStyle name="Normal 10 2 4 5 2 4" xfId="12321" xr:uid="{CD3C5E87-769D-4E97-A623-ABACEAE14B26}"/>
    <cellStyle name="Normal 10 2 4 5 2 4 2" xfId="12322" xr:uid="{574B49D8-DF7E-4152-8209-AA8136123944}"/>
    <cellStyle name="Normal 10 2 4 5 2 5" xfId="12323" xr:uid="{3B4C6BDB-120B-4733-96AA-2BCD39AFDB8D}"/>
    <cellStyle name="Normal 10 2 4 5 3" xfId="12324" xr:uid="{AA2B2E3B-1C29-4B9A-AEFC-22743F7752B4}"/>
    <cellStyle name="Normal 10 2 4 5 3 2" xfId="12325" xr:uid="{2B2C3B70-99D0-4CDC-B3EE-D0CEF76A17EE}"/>
    <cellStyle name="Normal 10 2 4 5 3 2 2" xfId="12326" xr:uid="{A440A6D0-6EAB-449D-9A50-1D39D207C31B}"/>
    <cellStyle name="Normal 10 2 4 5 3 2 2 2" xfId="12327" xr:uid="{01C2BE05-8A52-4FD5-BAC0-7CFF931DADCF}"/>
    <cellStyle name="Normal 10 2 4 5 3 2 3" xfId="12328" xr:uid="{B95C3B6A-BE0D-4CE2-88A8-77F4A05C7EFE}"/>
    <cellStyle name="Normal 10 2 4 5 3 3" xfId="12329" xr:uid="{D67C2B74-7F79-4057-92BC-21238764E642}"/>
    <cellStyle name="Normal 10 2 4 5 3 3 2" xfId="12330" xr:uid="{D088B56C-EE1C-439E-88E0-6CB77A502DEC}"/>
    <cellStyle name="Normal 10 2 4 5 3 4" xfId="12331" xr:uid="{9310C997-4532-45D9-9C23-0B32E2C74673}"/>
    <cellStyle name="Normal 10 2 4 5 4" xfId="12332" xr:uid="{340D8597-328A-4194-A02D-34BB39C6FAF9}"/>
    <cellStyle name="Normal 10 2 4 5 4 2" xfId="12333" xr:uid="{48A2B56A-9EA5-4FFE-998C-80E0EFCD5FFF}"/>
    <cellStyle name="Normal 10 2 4 5 4 2 2" xfId="12334" xr:uid="{BDC661FD-145D-4F34-B50B-89D96D1386CB}"/>
    <cellStyle name="Normal 10 2 4 5 4 3" xfId="12335" xr:uid="{5269162F-8FA7-4706-B4F0-09C25EDBBBFA}"/>
    <cellStyle name="Normal 10 2 4 5 5" xfId="12336" xr:uid="{EBF061A2-8B58-40B3-88B0-E842641877EB}"/>
    <cellStyle name="Normal 10 2 4 5 5 2" xfId="12337" xr:uid="{E53FEC8C-5607-4BC7-A412-775AFF21C687}"/>
    <cellStyle name="Normal 10 2 4 5 6" xfId="12338" xr:uid="{5799024F-2CCF-43E8-ABD0-6CA532821FA3}"/>
    <cellStyle name="Normal 10 2 4 6" xfId="12339" xr:uid="{B10025F3-909E-415E-BAF5-F7FD724D0EA5}"/>
    <cellStyle name="Normal 10 2 4 6 2" xfId="12340" xr:uid="{212C8ECF-941D-40A4-A0EF-FDB7AEFE4E4B}"/>
    <cellStyle name="Normal 10 2 4 6 2 2" xfId="12341" xr:uid="{9D1CDBA7-8A7E-4B65-BF37-86612DD7D21A}"/>
    <cellStyle name="Normal 10 2 4 6 2 2 2" xfId="12342" xr:uid="{054844A8-6A8E-4E7B-99B8-113301D580E3}"/>
    <cellStyle name="Normal 10 2 4 6 2 2 2 2" xfId="12343" xr:uid="{E6032B82-4E09-4558-8840-633A2B3323BA}"/>
    <cellStyle name="Normal 10 2 4 6 2 2 3" xfId="12344" xr:uid="{ED315079-1906-4106-90E0-2E358C916F79}"/>
    <cellStyle name="Normal 10 2 4 6 2 3" xfId="12345" xr:uid="{5E690DFB-6E2A-4CED-ACB5-73DD215821DB}"/>
    <cellStyle name="Normal 10 2 4 6 2 3 2" xfId="12346" xr:uid="{01330A6F-D74F-40A3-8402-3F10788C82E9}"/>
    <cellStyle name="Normal 10 2 4 6 2 4" xfId="12347" xr:uid="{6300E96B-FC6B-48FC-A8F8-564D9C34E6FA}"/>
    <cellStyle name="Normal 10 2 4 6 3" xfId="12348" xr:uid="{639BDCBF-1B05-43FE-B68D-2E389D441B8C}"/>
    <cellStyle name="Normal 10 2 4 6 3 2" xfId="12349" xr:uid="{FC8DE9D5-8E1A-4DD1-9D7E-FF7608DBF69E}"/>
    <cellStyle name="Normal 10 2 4 6 3 2 2" xfId="12350" xr:uid="{802FBF3C-7F56-4EB1-ADA4-BC68C9E25D1A}"/>
    <cellStyle name="Normal 10 2 4 6 3 3" xfId="12351" xr:uid="{24BB7485-1168-42BF-9234-2472EC738636}"/>
    <cellStyle name="Normal 10 2 4 6 4" xfId="12352" xr:uid="{839C132B-D786-4D99-9A2A-B529DBDB1344}"/>
    <cellStyle name="Normal 10 2 4 6 4 2" xfId="12353" xr:uid="{66B8F700-D65C-457A-B7FF-2348575ED195}"/>
    <cellStyle name="Normal 10 2 4 6 5" xfId="12354" xr:uid="{7DC79DA9-341C-40E9-8DB6-7563F3AE4D48}"/>
    <cellStyle name="Normal 10 2 4 7" xfId="12355" xr:uid="{C08080E7-16D9-44F6-ADD1-EB27BA3513BA}"/>
    <cellStyle name="Normal 10 2 4 7 2" xfId="12356" xr:uid="{19DB2BAE-45FA-428C-8D2B-966A3772F6F0}"/>
    <cellStyle name="Normal 10 2 4 7 2 2" xfId="12357" xr:uid="{EAAC4CB2-0356-47B2-B5B5-38B1854E63AE}"/>
    <cellStyle name="Normal 10 2 4 7 2 2 2" xfId="12358" xr:uid="{87A2CE7C-1C7F-4990-88B2-AC33D445E620}"/>
    <cellStyle name="Normal 10 2 4 7 2 3" xfId="12359" xr:uid="{9D321658-B0C1-4022-8720-8FB98E616108}"/>
    <cellStyle name="Normal 10 2 4 7 3" xfId="12360" xr:uid="{5CD96183-451C-457A-A5A6-F52B1C27B574}"/>
    <cellStyle name="Normal 10 2 4 7 3 2" xfId="12361" xr:uid="{FD31371B-1BCB-4B05-9D42-44E5F473C3EC}"/>
    <cellStyle name="Normal 10 2 4 7 4" xfId="12362" xr:uid="{B00CB4A9-6BDB-4868-A42C-A0EBE19A4478}"/>
    <cellStyle name="Normal 10 2 4 8" xfId="12363" xr:uid="{32AF51A0-B3B6-40F3-8255-96EE2B4136C0}"/>
    <cellStyle name="Normal 10 2 4 8 2" xfId="12364" xr:uid="{9EC6A521-66A7-44DB-A987-EA1143D76920}"/>
    <cellStyle name="Normal 10 2 4 8 2 2" xfId="12365" xr:uid="{1FAF1CC7-8C5F-49E7-BB4B-AD396992118B}"/>
    <cellStyle name="Normal 10 2 4 8 3" xfId="12366" xr:uid="{C0A1F8E3-0453-4217-9ADD-74A64724BEDF}"/>
    <cellStyle name="Normal 10 2 4 9" xfId="12367" xr:uid="{9F0FFA83-2746-4D86-91C8-3A31C22F6CD2}"/>
    <cellStyle name="Normal 10 2 4 9 2" xfId="12368" xr:uid="{8E05E52A-5D53-4880-900F-BE3803E0239C}"/>
    <cellStyle name="Normal 10 2 5" xfId="218" xr:uid="{20BDE415-428E-40AF-8E2F-D9A04014A8FA}"/>
    <cellStyle name="Normal 10 2 5 10" xfId="12369" xr:uid="{7CD1C2BB-22D8-458C-836A-02DE6D4CE17D}"/>
    <cellStyle name="Normal 10 2 5 11" xfId="554" xr:uid="{75BD2EB3-D8C8-4EB2-AF05-8F7F016A89FF}"/>
    <cellStyle name="Normal 10 2 5 2" xfId="323" xr:uid="{7FDCC281-ED30-4597-9D26-A64E0CC4742C}"/>
    <cellStyle name="Normal 10 2 5 2 10" xfId="12370" xr:uid="{6FB2E2DC-0F8B-4B53-9C0C-C84942907653}"/>
    <cellStyle name="Normal 10 2 5 2 2" xfId="12371" xr:uid="{3E42ACF4-DECE-4CDD-83EA-D91AF48B8E78}"/>
    <cellStyle name="Normal 10 2 5 2 2 2" xfId="12372" xr:uid="{6D4D3C55-5846-4236-A140-0402B1C701B7}"/>
    <cellStyle name="Normal 10 2 5 2 2 2 2" xfId="12373" xr:uid="{E30F79EC-63B5-4502-A39C-28108553DACF}"/>
    <cellStyle name="Normal 10 2 5 2 2 2 2 2" xfId="12374" xr:uid="{2D279ADE-13FD-49EE-A504-ED3224E6AC14}"/>
    <cellStyle name="Normal 10 2 5 2 2 2 2 2 2" xfId="12375" xr:uid="{213D5662-1E75-4177-B45D-E08673E98E20}"/>
    <cellStyle name="Normal 10 2 5 2 2 2 2 2 2 2" xfId="12376" xr:uid="{5708FFA5-E67A-42B1-83C1-D42DFE3BD39B}"/>
    <cellStyle name="Normal 10 2 5 2 2 2 2 2 2 2 2" xfId="12377" xr:uid="{8FDC31CC-99F5-4951-9231-BBE78973D902}"/>
    <cellStyle name="Normal 10 2 5 2 2 2 2 2 2 2 2 2" xfId="12378" xr:uid="{20BCCF3B-4799-4E2C-B451-646EA2A80010}"/>
    <cellStyle name="Normal 10 2 5 2 2 2 2 2 2 2 3" xfId="12379" xr:uid="{764A0287-0A0B-414E-8A43-1C988855C720}"/>
    <cellStyle name="Normal 10 2 5 2 2 2 2 2 2 3" xfId="12380" xr:uid="{387F8CB9-FC5D-42A3-BE14-0A8344B0EB91}"/>
    <cellStyle name="Normal 10 2 5 2 2 2 2 2 2 3 2" xfId="12381" xr:uid="{85E6758C-7242-4480-8A5D-7D96B7DFB642}"/>
    <cellStyle name="Normal 10 2 5 2 2 2 2 2 2 4" xfId="12382" xr:uid="{44BED87E-3888-4188-97B9-EEA4F60E797E}"/>
    <cellStyle name="Normal 10 2 5 2 2 2 2 2 3" xfId="12383" xr:uid="{05BB466F-31DD-4F09-A523-BB3C409D5B77}"/>
    <cellStyle name="Normal 10 2 5 2 2 2 2 2 3 2" xfId="12384" xr:uid="{AF2D130F-51C4-4F5A-BD4D-235336EC4BCA}"/>
    <cellStyle name="Normal 10 2 5 2 2 2 2 2 3 2 2" xfId="12385" xr:uid="{170CAA33-1112-44AE-9419-E3C41DA1B189}"/>
    <cellStyle name="Normal 10 2 5 2 2 2 2 2 3 3" xfId="12386" xr:uid="{B5B8BC8E-01B4-4C28-9A5F-F640C42C86F8}"/>
    <cellStyle name="Normal 10 2 5 2 2 2 2 2 4" xfId="12387" xr:uid="{E3515ACF-5538-4286-B0D6-F07E3EFA6FAA}"/>
    <cellStyle name="Normal 10 2 5 2 2 2 2 2 4 2" xfId="12388" xr:uid="{C411902A-8218-40B2-B386-377072ABEDC4}"/>
    <cellStyle name="Normal 10 2 5 2 2 2 2 2 5" xfId="12389" xr:uid="{CCB25CE4-64B8-4C71-85AD-49D482B34EAE}"/>
    <cellStyle name="Normal 10 2 5 2 2 2 2 3" xfId="12390" xr:uid="{16739FDD-8859-413B-8A3A-F5E4FD46597C}"/>
    <cellStyle name="Normal 10 2 5 2 2 2 2 3 2" xfId="12391" xr:uid="{D9CC5D46-4523-46D6-9CF4-060F45C16B46}"/>
    <cellStyle name="Normal 10 2 5 2 2 2 2 3 2 2" xfId="12392" xr:uid="{142E83FB-B0FC-4E90-B0BB-2954EB3B7F90}"/>
    <cellStyle name="Normal 10 2 5 2 2 2 2 3 2 2 2" xfId="12393" xr:uid="{0490CDB9-2B96-4CB2-BC4A-7BB24061F853}"/>
    <cellStyle name="Normal 10 2 5 2 2 2 2 3 2 3" xfId="12394" xr:uid="{4606D23E-8DE5-4B2D-AB61-29CD9ACC971A}"/>
    <cellStyle name="Normal 10 2 5 2 2 2 2 3 3" xfId="12395" xr:uid="{DF4E1F6E-CBAC-4D8E-BFE1-BCA5E21BDD2F}"/>
    <cellStyle name="Normal 10 2 5 2 2 2 2 3 3 2" xfId="12396" xr:uid="{A681E660-1E09-4DD4-A5E7-37B52D65C47B}"/>
    <cellStyle name="Normal 10 2 5 2 2 2 2 3 4" xfId="12397" xr:uid="{6B149F1C-A0C5-4C8A-A71D-402DAFA18824}"/>
    <cellStyle name="Normal 10 2 5 2 2 2 2 4" xfId="12398" xr:uid="{B53D0AA8-5F3C-483B-BCA6-A4281C5236D3}"/>
    <cellStyle name="Normal 10 2 5 2 2 2 2 4 2" xfId="12399" xr:uid="{7664B0E7-EEE8-40A6-8117-EE5639B51C6C}"/>
    <cellStyle name="Normal 10 2 5 2 2 2 2 4 2 2" xfId="12400" xr:uid="{DC2710B5-9694-4805-8420-C0CC3E0FB355}"/>
    <cellStyle name="Normal 10 2 5 2 2 2 2 4 3" xfId="12401" xr:uid="{F7B9912B-9397-4F50-AD25-0B06E1C4B040}"/>
    <cellStyle name="Normal 10 2 5 2 2 2 2 5" xfId="12402" xr:uid="{20D71335-6794-42C7-AE00-BE6D5886E0AB}"/>
    <cellStyle name="Normal 10 2 5 2 2 2 2 5 2" xfId="12403" xr:uid="{2C1AB493-D318-4D6F-BFB2-38954BF8FBAF}"/>
    <cellStyle name="Normal 10 2 5 2 2 2 2 6" xfId="12404" xr:uid="{5CA4DDD2-15A4-484A-A5C7-E27F8CE84406}"/>
    <cellStyle name="Normal 10 2 5 2 2 2 3" xfId="12405" xr:uid="{AA7F4F62-0162-4B25-8495-D3EFDC8AA10A}"/>
    <cellStyle name="Normal 10 2 5 2 2 2 3 2" xfId="12406" xr:uid="{17DD15A5-E570-4A50-9A5B-9D1FB9D91B0A}"/>
    <cellStyle name="Normal 10 2 5 2 2 2 3 2 2" xfId="12407" xr:uid="{C4F06D2F-15B8-4EEF-AD9D-B7096D0542AB}"/>
    <cellStyle name="Normal 10 2 5 2 2 2 3 2 2 2" xfId="12408" xr:uid="{15FB9D33-AE09-4D40-91AF-6728AD48B4FF}"/>
    <cellStyle name="Normal 10 2 5 2 2 2 3 2 2 2 2" xfId="12409" xr:uid="{008CBA66-45DA-40CE-BE31-1937676A9DB6}"/>
    <cellStyle name="Normal 10 2 5 2 2 2 3 2 2 3" xfId="12410" xr:uid="{D5862375-DC07-44A1-8D6B-578C000DDFFE}"/>
    <cellStyle name="Normal 10 2 5 2 2 2 3 2 3" xfId="12411" xr:uid="{8E49EB81-1DAC-4FC0-87C7-7C546FFD7DFA}"/>
    <cellStyle name="Normal 10 2 5 2 2 2 3 2 3 2" xfId="12412" xr:uid="{C0ED9EF8-32B5-428B-939C-EFE89AAFA8F9}"/>
    <cellStyle name="Normal 10 2 5 2 2 2 3 2 4" xfId="12413" xr:uid="{928CE6EF-02EE-4085-94EA-613B8969B5C6}"/>
    <cellStyle name="Normal 10 2 5 2 2 2 3 3" xfId="12414" xr:uid="{EAA9FFF6-1F6F-4CA5-9AF5-B9294729289E}"/>
    <cellStyle name="Normal 10 2 5 2 2 2 3 3 2" xfId="12415" xr:uid="{DEDCC034-13C3-4D5D-BCE9-B6649A76E7D5}"/>
    <cellStyle name="Normal 10 2 5 2 2 2 3 3 2 2" xfId="12416" xr:uid="{91A1D881-D8B9-4625-AADA-A3C58EE28D8B}"/>
    <cellStyle name="Normal 10 2 5 2 2 2 3 3 3" xfId="12417" xr:uid="{B314474F-C427-46C2-982C-EB0A3C17ED25}"/>
    <cellStyle name="Normal 10 2 5 2 2 2 3 4" xfId="12418" xr:uid="{B75A0DA0-ABB9-4B3A-920B-80A83B5CABEB}"/>
    <cellStyle name="Normal 10 2 5 2 2 2 3 4 2" xfId="12419" xr:uid="{5D5BF27F-B3CB-4FE7-8DFD-4EDAFC2C0C67}"/>
    <cellStyle name="Normal 10 2 5 2 2 2 3 5" xfId="12420" xr:uid="{8483F3C1-F5DA-4C7C-BDDC-A0FCCA980D35}"/>
    <cellStyle name="Normal 10 2 5 2 2 2 4" xfId="12421" xr:uid="{E750794B-C5D1-404E-A294-BF57C53515E6}"/>
    <cellStyle name="Normal 10 2 5 2 2 2 4 2" xfId="12422" xr:uid="{B269D15B-DD3B-405B-A2FA-95A7878ECD17}"/>
    <cellStyle name="Normal 10 2 5 2 2 2 4 2 2" xfId="12423" xr:uid="{016EBF51-7ACD-4872-A81B-EFBE9D9F1436}"/>
    <cellStyle name="Normal 10 2 5 2 2 2 4 2 2 2" xfId="12424" xr:uid="{6A14C080-2304-4199-9FE3-64C9292DA5C2}"/>
    <cellStyle name="Normal 10 2 5 2 2 2 4 2 3" xfId="12425" xr:uid="{2680A92E-C813-4705-8D06-F3D6BC91D0D3}"/>
    <cellStyle name="Normal 10 2 5 2 2 2 4 3" xfId="12426" xr:uid="{76A47C09-A4E8-4BD1-B3BF-B71F75A49A1B}"/>
    <cellStyle name="Normal 10 2 5 2 2 2 4 3 2" xfId="12427" xr:uid="{F18A76CA-7D8C-4509-876A-70EC326B1193}"/>
    <cellStyle name="Normal 10 2 5 2 2 2 4 4" xfId="12428" xr:uid="{BE3E7722-90D4-4305-BB6E-2E266247A430}"/>
    <cellStyle name="Normal 10 2 5 2 2 2 5" xfId="12429" xr:uid="{AC4B1A43-332E-4C0F-8A30-0A660885D519}"/>
    <cellStyle name="Normal 10 2 5 2 2 2 5 2" xfId="12430" xr:uid="{1D376E65-44F7-4F77-8E6E-E45A9BA2AD49}"/>
    <cellStyle name="Normal 10 2 5 2 2 2 5 2 2" xfId="12431" xr:uid="{5FA4562A-95E3-49C4-B575-EE60DF230A31}"/>
    <cellStyle name="Normal 10 2 5 2 2 2 5 3" xfId="12432" xr:uid="{ED310FDF-0DA9-404E-BB78-D6869B0EAA84}"/>
    <cellStyle name="Normal 10 2 5 2 2 2 6" xfId="12433" xr:uid="{0907EC4C-108E-425D-8B40-DEEC3F345745}"/>
    <cellStyle name="Normal 10 2 5 2 2 2 6 2" xfId="12434" xr:uid="{E8EBC9AD-A9F9-4A3D-9F09-CE262339D9BA}"/>
    <cellStyle name="Normal 10 2 5 2 2 2 7" xfId="12435" xr:uid="{EAC01DFC-35BC-4584-9849-F25047B31042}"/>
    <cellStyle name="Normal 10 2 5 2 2 3" xfId="12436" xr:uid="{BCB1B112-1818-424C-834C-A47E8D9A392C}"/>
    <cellStyle name="Normal 10 2 5 2 2 3 2" xfId="12437" xr:uid="{2A698C1F-BCF7-46A2-B39F-42C5CEF78228}"/>
    <cellStyle name="Normal 10 2 5 2 2 3 2 2" xfId="12438" xr:uid="{7B1E8E07-219E-4D23-BD48-ED2121D29A16}"/>
    <cellStyle name="Normal 10 2 5 2 2 3 2 2 2" xfId="12439" xr:uid="{A74CD3D0-FC82-422B-910B-6CBB0EA99E69}"/>
    <cellStyle name="Normal 10 2 5 2 2 3 2 2 2 2" xfId="12440" xr:uid="{A39C8AA4-2E52-4536-82F0-B55F61E403C6}"/>
    <cellStyle name="Normal 10 2 5 2 2 3 2 2 2 2 2" xfId="12441" xr:uid="{84BE8BBB-D1D7-45FC-82CD-A20FFC7E7D32}"/>
    <cellStyle name="Normal 10 2 5 2 2 3 2 2 2 3" xfId="12442" xr:uid="{62F944A9-7B3D-42E4-A205-A0F1FFCDEDC0}"/>
    <cellStyle name="Normal 10 2 5 2 2 3 2 2 3" xfId="12443" xr:uid="{4E810D45-1C1B-4351-AA41-564AEC4D98C1}"/>
    <cellStyle name="Normal 10 2 5 2 2 3 2 2 3 2" xfId="12444" xr:uid="{CB2782C0-2975-4D8C-9A85-6417CAC40AF8}"/>
    <cellStyle name="Normal 10 2 5 2 2 3 2 2 4" xfId="12445" xr:uid="{8AC58115-A7E1-43D6-8404-F5259B6DE473}"/>
    <cellStyle name="Normal 10 2 5 2 2 3 2 3" xfId="12446" xr:uid="{4CB684FF-C805-4B46-949E-82982751EBFE}"/>
    <cellStyle name="Normal 10 2 5 2 2 3 2 3 2" xfId="12447" xr:uid="{C1F3A55D-442B-4245-927F-F94DF10DE931}"/>
    <cellStyle name="Normal 10 2 5 2 2 3 2 3 2 2" xfId="12448" xr:uid="{BE5B17E9-1CAA-4053-BE7E-DC3E123940EE}"/>
    <cellStyle name="Normal 10 2 5 2 2 3 2 3 3" xfId="12449" xr:uid="{90EA72C1-2D34-4105-A25A-A6AE31C679F7}"/>
    <cellStyle name="Normal 10 2 5 2 2 3 2 4" xfId="12450" xr:uid="{AD0A751D-2D18-4061-89EB-81A96B9C4BCE}"/>
    <cellStyle name="Normal 10 2 5 2 2 3 2 4 2" xfId="12451" xr:uid="{A44582F1-60B0-492C-AF05-9CE824C0124B}"/>
    <cellStyle name="Normal 10 2 5 2 2 3 2 5" xfId="12452" xr:uid="{F98209F6-495A-4E3E-9BDC-CECEC81393D4}"/>
    <cellStyle name="Normal 10 2 5 2 2 3 3" xfId="12453" xr:uid="{FA5C8EEB-A66A-4F77-A1B8-E15E66842C3B}"/>
    <cellStyle name="Normal 10 2 5 2 2 3 3 2" xfId="12454" xr:uid="{E8F0364C-C0D4-4F14-854E-0D56009512B4}"/>
    <cellStyle name="Normal 10 2 5 2 2 3 3 2 2" xfId="12455" xr:uid="{B0B8C800-5A61-4C7E-A3FA-C789C5F3F761}"/>
    <cellStyle name="Normal 10 2 5 2 2 3 3 2 2 2" xfId="12456" xr:uid="{2BD0FE4F-E607-4E15-90B9-C6375B609E18}"/>
    <cellStyle name="Normal 10 2 5 2 2 3 3 2 3" xfId="12457" xr:uid="{73B35587-1126-4EC9-B93D-4B586CA09C0A}"/>
    <cellStyle name="Normal 10 2 5 2 2 3 3 3" xfId="12458" xr:uid="{5DCE0A8C-7799-4020-BBA7-959131641AC6}"/>
    <cellStyle name="Normal 10 2 5 2 2 3 3 3 2" xfId="12459" xr:uid="{6B45CE6A-B236-4C73-9BB5-7BC7B8DE6A1F}"/>
    <cellStyle name="Normal 10 2 5 2 2 3 3 4" xfId="12460" xr:uid="{A95240D3-6A13-440D-AA93-56C7EE6BFD2C}"/>
    <cellStyle name="Normal 10 2 5 2 2 3 4" xfId="12461" xr:uid="{BB361839-9B05-40EA-9EC3-A96BC5D1CE72}"/>
    <cellStyle name="Normal 10 2 5 2 2 3 4 2" xfId="12462" xr:uid="{74FC7AF4-88E5-4439-9E87-3FB44ADA5221}"/>
    <cellStyle name="Normal 10 2 5 2 2 3 4 2 2" xfId="12463" xr:uid="{6BDC69F2-2978-4A3A-905E-524510CF162B}"/>
    <cellStyle name="Normal 10 2 5 2 2 3 4 3" xfId="12464" xr:uid="{D4BA5C0C-6C74-4B97-8E97-F09D791F0CB5}"/>
    <cellStyle name="Normal 10 2 5 2 2 3 5" xfId="12465" xr:uid="{A4D64695-B13A-41CF-AF71-4EBBA6648E1E}"/>
    <cellStyle name="Normal 10 2 5 2 2 3 5 2" xfId="12466" xr:uid="{6C90097F-8DE1-4D1E-8AED-6884984695BF}"/>
    <cellStyle name="Normal 10 2 5 2 2 3 6" xfId="12467" xr:uid="{F3F57730-830A-4BD2-BDAB-366463311200}"/>
    <cellStyle name="Normal 10 2 5 2 2 4" xfId="12468" xr:uid="{25CB8A47-50BA-4EEC-9A74-15DC42FC0CE0}"/>
    <cellStyle name="Normal 10 2 5 2 2 4 2" xfId="12469" xr:uid="{5DE41AE5-45D5-4D6E-9FA4-53B07BF240A5}"/>
    <cellStyle name="Normal 10 2 5 2 2 4 2 2" xfId="12470" xr:uid="{97255E9C-65DC-4F4B-A53E-879F67A62855}"/>
    <cellStyle name="Normal 10 2 5 2 2 4 2 2 2" xfId="12471" xr:uid="{B858D4AC-F2F0-4C96-B38B-D25F5785B091}"/>
    <cellStyle name="Normal 10 2 5 2 2 4 2 2 2 2" xfId="12472" xr:uid="{3B65985B-F885-42EA-AD04-64E19BFB3F83}"/>
    <cellStyle name="Normal 10 2 5 2 2 4 2 2 3" xfId="12473" xr:uid="{53E7543E-E48D-4026-A311-9E746B678695}"/>
    <cellStyle name="Normal 10 2 5 2 2 4 2 3" xfId="12474" xr:uid="{DBB9B9C5-1976-4FB4-98B0-E4C5DCB4C8CF}"/>
    <cellStyle name="Normal 10 2 5 2 2 4 2 3 2" xfId="12475" xr:uid="{A12C59D7-DE93-4825-93A8-D181881CD9DC}"/>
    <cellStyle name="Normal 10 2 5 2 2 4 2 4" xfId="12476" xr:uid="{E9DF94AC-80B5-4194-960C-2294C5992B3C}"/>
    <cellStyle name="Normal 10 2 5 2 2 4 3" xfId="12477" xr:uid="{2AC8A173-483A-47D9-933E-3B17857BBEE4}"/>
    <cellStyle name="Normal 10 2 5 2 2 4 3 2" xfId="12478" xr:uid="{2DF58DC1-5D29-4E42-AB6F-B6E8D04C5E5C}"/>
    <cellStyle name="Normal 10 2 5 2 2 4 3 2 2" xfId="12479" xr:uid="{76B81498-C3F4-4B3E-AF4E-9F71525BC159}"/>
    <cellStyle name="Normal 10 2 5 2 2 4 3 3" xfId="12480" xr:uid="{753CCF9F-FEAE-4F5E-A7AD-B37F2490112B}"/>
    <cellStyle name="Normal 10 2 5 2 2 4 4" xfId="12481" xr:uid="{83CBE310-7FAC-43F6-9D25-F066D9A734E4}"/>
    <cellStyle name="Normal 10 2 5 2 2 4 4 2" xfId="12482" xr:uid="{B5D254E2-5F3C-43F1-83C6-9D083B695341}"/>
    <cellStyle name="Normal 10 2 5 2 2 4 5" xfId="12483" xr:uid="{E9CCAA93-9E1D-4800-BEDE-80CD38D11CDE}"/>
    <cellStyle name="Normal 10 2 5 2 2 5" xfId="12484" xr:uid="{34CC07D9-6F92-4DE1-BD0C-43565B8C9AB1}"/>
    <cellStyle name="Normal 10 2 5 2 2 5 2" xfId="12485" xr:uid="{C986916C-B47C-4319-8367-53A6093227A8}"/>
    <cellStyle name="Normal 10 2 5 2 2 5 2 2" xfId="12486" xr:uid="{724915AB-CC96-43E7-9C8A-C1D725BFFED2}"/>
    <cellStyle name="Normal 10 2 5 2 2 5 2 2 2" xfId="12487" xr:uid="{9081C869-065D-46D1-88AC-1E13F5CB3477}"/>
    <cellStyle name="Normal 10 2 5 2 2 5 2 3" xfId="12488" xr:uid="{699EE0EA-6831-405F-89E3-F245FE44FBF6}"/>
    <cellStyle name="Normal 10 2 5 2 2 5 3" xfId="12489" xr:uid="{6BB8082F-361F-477E-B4BA-07429077051B}"/>
    <cellStyle name="Normal 10 2 5 2 2 5 3 2" xfId="12490" xr:uid="{61455F6B-64FF-47DC-9865-C203F7BBD41A}"/>
    <cellStyle name="Normal 10 2 5 2 2 5 4" xfId="12491" xr:uid="{C719315E-5861-46F2-849A-BA8B887722EF}"/>
    <cellStyle name="Normal 10 2 5 2 2 6" xfId="12492" xr:uid="{2E2A0E39-E918-414A-BEF6-EC4637D1669C}"/>
    <cellStyle name="Normal 10 2 5 2 2 6 2" xfId="12493" xr:uid="{BBB95F29-2171-4AE5-8837-3490C664C544}"/>
    <cellStyle name="Normal 10 2 5 2 2 6 2 2" xfId="12494" xr:uid="{6722278B-32C4-4FD4-AED5-96DD80A04C6A}"/>
    <cellStyle name="Normal 10 2 5 2 2 6 3" xfId="12495" xr:uid="{30B9BAEF-8550-453C-8B42-C7C93ED194B1}"/>
    <cellStyle name="Normal 10 2 5 2 2 7" xfId="12496" xr:uid="{44AF2233-5C9C-40AA-88E6-A18EC14E4910}"/>
    <cellStyle name="Normal 10 2 5 2 2 7 2" xfId="12497" xr:uid="{1BCA61AE-B794-4F44-91F9-3F4AC373619A}"/>
    <cellStyle name="Normal 10 2 5 2 2 8" xfId="12498" xr:uid="{0F2FEBF0-0B68-4A8D-934E-B4BD6FF18179}"/>
    <cellStyle name="Normal 10 2 5 2 3" xfId="12499" xr:uid="{02599A4A-45FB-4BF9-9950-31CF9D6A54DD}"/>
    <cellStyle name="Normal 10 2 5 2 3 2" xfId="12500" xr:uid="{1820402F-B49D-41D6-95E3-72A16D77A6E2}"/>
    <cellStyle name="Normal 10 2 5 2 3 2 2" xfId="12501" xr:uid="{F1015A92-7EB3-4FF9-A9AF-EE097A692214}"/>
    <cellStyle name="Normal 10 2 5 2 3 2 2 2" xfId="12502" xr:uid="{504BD639-9901-4125-89C8-03A04A340881}"/>
    <cellStyle name="Normal 10 2 5 2 3 2 2 2 2" xfId="12503" xr:uid="{AA6740BE-5855-42C7-B18B-EC03A48AB374}"/>
    <cellStyle name="Normal 10 2 5 2 3 2 2 2 2 2" xfId="12504" xr:uid="{BFEE55D6-BDD4-4236-B811-168D3A176FE5}"/>
    <cellStyle name="Normal 10 2 5 2 3 2 2 2 2 2 2" xfId="12505" xr:uid="{49C14920-6B6D-4981-8C74-37AF502F6BCA}"/>
    <cellStyle name="Normal 10 2 5 2 3 2 2 2 2 3" xfId="12506" xr:uid="{ADB4FCE5-9E14-4BFB-BE84-A27364544A4B}"/>
    <cellStyle name="Normal 10 2 5 2 3 2 2 2 3" xfId="12507" xr:uid="{B2182234-8588-489D-9392-FA99D29A76E6}"/>
    <cellStyle name="Normal 10 2 5 2 3 2 2 2 3 2" xfId="12508" xr:uid="{E550A389-A5F2-4B3D-A142-49F3E9185D4B}"/>
    <cellStyle name="Normal 10 2 5 2 3 2 2 2 4" xfId="12509" xr:uid="{B6C4ECBB-9319-4F17-BD87-335EBDC84AD9}"/>
    <cellStyle name="Normal 10 2 5 2 3 2 2 3" xfId="12510" xr:uid="{D5920A85-6374-4FBD-85C5-D1B6D2BC7333}"/>
    <cellStyle name="Normal 10 2 5 2 3 2 2 3 2" xfId="12511" xr:uid="{2F133D52-95C7-4467-A005-1EEED09EBA64}"/>
    <cellStyle name="Normal 10 2 5 2 3 2 2 3 2 2" xfId="12512" xr:uid="{2596D9AD-6640-45F7-AD36-E46A8E5813D7}"/>
    <cellStyle name="Normal 10 2 5 2 3 2 2 3 3" xfId="12513" xr:uid="{445B120E-71EE-4FAF-A28C-1B556A317806}"/>
    <cellStyle name="Normal 10 2 5 2 3 2 2 4" xfId="12514" xr:uid="{99E6E1C3-F7B8-481C-9B2A-CC46BEB603E3}"/>
    <cellStyle name="Normal 10 2 5 2 3 2 2 4 2" xfId="12515" xr:uid="{B97A9A6D-5A21-4770-B6C9-C9EA53B83618}"/>
    <cellStyle name="Normal 10 2 5 2 3 2 2 5" xfId="12516" xr:uid="{00C840AE-085E-43F9-A8C6-8F37CE3E6354}"/>
    <cellStyle name="Normal 10 2 5 2 3 2 3" xfId="12517" xr:uid="{46244177-3271-401E-AC0B-0F3795B6AA5C}"/>
    <cellStyle name="Normal 10 2 5 2 3 2 3 2" xfId="12518" xr:uid="{5F1CF55C-C078-4AFC-9F65-777F5BD5CEC4}"/>
    <cellStyle name="Normal 10 2 5 2 3 2 3 2 2" xfId="12519" xr:uid="{EDFBD027-410F-4CC4-941C-BFA63FD55C6B}"/>
    <cellStyle name="Normal 10 2 5 2 3 2 3 2 2 2" xfId="12520" xr:uid="{C56B3E81-B5E1-43D4-AB83-1D1860F0E9B1}"/>
    <cellStyle name="Normal 10 2 5 2 3 2 3 2 3" xfId="12521" xr:uid="{F01F6F88-A18D-4BDB-9042-26A1A2B40793}"/>
    <cellStyle name="Normal 10 2 5 2 3 2 3 3" xfId="12522" xr:uid="{82069952-1E36-45FD-924E-096CA891D25F}"/>
    <cellStyle name="Normal 10 2 5 2 3 2 3 3 2" xfId="12523" xr:uid="{0FA6BC7E-6EE7-430C-BF1B-CDCD61BD6B6B}"/>
    <cellStyle name="Normal 10 2 5 2 3 2 3 4" xfId="12524" xr:uid="{58A5D0A6-0A59-4D77-BCA1-657518F55BFC}"/>
    <cellStyle name="Normal 10 2 5 2 3 2 4" xfId="12525" xr:uid="{C4F90143-B8EF-47DC-8A1A-2851747AAEC6}"/>
    <cellStyle name="Normal 10 2 5 2 3 2 4 2" xfId="12526" xr:uid="{AF7B7EDD-C4B6-4051-BA66-BB1716538BB2}"/>
    <cellStyle name="Normal 10 2 5 2 3 2 4 2 2" xfId="12527" xr:uid="{E01D414A-27C3-4CBE-B921-89868669C4B4}"/>
    <cellStyle name="Normal 10 2 5 2 3 2 4 3" xfId="12528" xr:uid="{548946FE-4A38-4045-82E1-5F3AEB7F5374}"/>
    <cellStyle name="Normal 10 2 5 2 3 2 5" xfId="12529" xr:uid="{DE1A8A96-1C23-49AD-9A00-F04CC5BCFFF1}"/>
    <cellStyle name="Normal 10 2 5 2 3 2 5 2" xfId="12530" xr:uid="{FDEE47CA-D7C1-493E-AF10-16C43172BC80}"/>
    <cellStyle name="Normal 10 2 5 2 3 2 6" xfId="12531" xr:uid="{AE27042D-0D9E-4F23-8FCB-F758582578C6}"/>
    <cellStyle name="Normal 10 2 5 2 3 3" xfId="12532" xr:uid="{E1780127-329F-48C4-981C-9AFD4AB46DE1}"/>
    <cellStyle name="Normal 10 2 5 2 3 3 2" xfId="12533" xr:uid="{7721F65E-FA1D-408D-9808-76F9240E5F3D}"/>
    <cellStyle name="Normal 10 2 5 2 3 3 2 2" xfId="12534" xr:uid="{06934A98-12D7-45B9-8960-4A30C968910E}"/>
    <cellStyle name="Normal 10 2 5 2 3 3 2 2 2" xfId="12535" xr:uid="{A1E46B3B-25A0-4FE1-9416-FF20FC3FD64C}"/>
    <cellStyle name="Normal 10 2 5 2 3 3 2 2 2 2" xfId="12536" xr:uid="{F84AB4AC-D04A-46D9-A99D-4DA466EDD8B5}"/>
    <cellStyle name="Normal 10 2 5 2 3 3 2 2 3" xfId="12537" xr:uid="{8F5ACCDD-3F4B-4B48-9E59-B30BF594FABC}"/>
    <cellStyle name="Normal 10 2 5 2 3 3 2 3" xfId="12538" xr:uid="{936AC1DD-5B23-487B-B44D-8E5A546406E8}"/>
    <cellStyle name="Normal 10 2 5 2 3 3 2 3 2" xfId="12539" xr:uid="{27C14E76-A371-4AFA-BE69-160B889B3363}"/>
    <cellStyle name="Normal 10 2 5 2 3 3 2 4" xfId="12540" xr:uid="{56079594-9623-49F9-B91B-7075F7BBBC92}"/>
    <cellStyle name="Normal 10 2 5 2 3 3 3" xfId="12541" xr:uid="{C09FCB19-9B09-48F7-8FEF-F2ED7B9B00B0}"/>
    <cellStyle name="Normal 10 2 5 2 3 3 3 2" xfId="12542" xr:uid="{DB61783B-1B1E-4EE6-A11B-B58117D37914}"/>
    <cellStyle name="Normal 10 2 5 2 3 3 3 2 2" xfId="12543" xr:uid="{6A336F93-A551-4321-A29B-C768CEC01749}"/>
    <cellStyle name="Normal 10 2 5 2 3 3 3 3" xfId="12544" xr:uid="{E9FEF897-E56C-48E8-8876-1FF1F1BABD9D}"/>
    <cellStyle name="Normal 10 2 5 2 3 3 4" xfId="12545" xr:uid="{2727EC1F-A804-4FE8-94BD-BA2077013C68}"/>
    <cellStyle name="Normal 10 2 5 2 3 3 4 2" xfId="12546" xr:uid="{D56DFB7D-3D66-4FD1-A16D-E0175077C1DB}"/>
    <cellStyle name="Normal 10 2 5 2 3 3 5" xfId="12547" xr:uid="{1FCD9744-C43A-4FE4-BD39-9839BCEBB9FA}"/>
    <cellStyle name="Normal 10 2 5 2 3 4" xfId="12548" xr:uid="{02D0897C-349B-4DDA-931B-57D8DAEA265F}"/>
    <cellStyle name="Normal 10 2 5 2 3 4 2" xfId="12549" xr:uid="{D0639542-F30B-4B1E-96E1-5639C8953C82}"/>
    <cellStyle name="Normal 10 2 5 2 3 4 2 2" xfId="12550" xr:uid="{15916C50-70D6-4AD4-9A1A-E0B3CDB03EBB}"/>
    <cellStyle name="Normal 10 2 5 2 3 4 2 2 2" xfId="12551" xr:uid="{3F9F70B0-020E-4833-814B-0DF9FE012958}"/>
    <cellStyle name="Normal 10 2 5 2 3 4 2 3" xfId="12552" xr:uid="{5FA1FA2A-E981-4D77-93DB-EC7E9F06F263}"/>
    <cellStyle name="Normal 10 2 5 2 3 4 3" xfId="12553" xr:uid="{C7929F31-8E9D-4367-B336-5CA228055969}"/>
    <cellStyle name="Normal 10 2 5 2 3 4 3 2" xfId="12554" xr:uid="{2AF335F8-FC73-4E88-8001-CE7A30E690DE}"/>
    <cellStyle name="Normal 10 2 5 2 3 4 4" xfId="12555" xr:uid="{59B9DBFE-C968-4E47-8288-5AC2C71F4F28}"/>
    <cellStyle name="Normal 10 2 5 2 3 5" xfId="12556" xr:uid="{36F0E572-2ABE-4952-8EB5-A9A25543D70D}"/>
    <cellStyle name="Normal 10 2 5 2 3 5 2" xfId="12557" xr:uid="{6585D71E-DB84-471F-BC48-729CB702A759}"/>
    <cellStyle name="Normal 10 2 5 2 3 5 2 2" xfId="12558" xr:uid="{8EFAE166-2553-4CFB-AA9E-775BDC8AFD22}"/>
    <cellStyle name="Normal 10 2 5 2 3 5 3" xfId="12559" xr:uid="{0E1BC490-74F0-437F-8DC1-3EBA72898342}"/>
    <cellStyle name="Normal 10 2 5 2 3 6" xfId="12560" xr:uid="{7A3E013E-794F-41AB-B40C-418EA9D17DC6}"/>
    <cellStyle name="Normal 10 2 5 2 3 6 2" xfId="12561" xr:uid="{1BFDFFAB-47D2-49FD-83F2-BA6B766E4A67}"/>
    <cellStyle name="Normal 10 2 5 2 3 7" xfId="12562" xr:uid="{ABA5D03B-8402-41BF-8458-B92A14992142}"/>
    <cellStyle name="Normal 10 2 5 2 4" xfId="12563" xr:uid="{57F7DED9-7BC1-4BED-BA11-A0C58700DC96}"/>
    <cellStyle name="Normal 10 2 5 2 4 2" xfId="12564" xr:uid="{35995899-EF5F-4BB0-BB74-2AE53CF58537}"/>
    <cellStyle name="Normal 10 2 5 2 4 2 2" xfId="12565" xr:uid="{00DE7C6D-C6E7-4693-82CE-6AEA666A56C9}"/>
    <cellStyle name="Normal 10 2 5 2 4 2 2 2" xfId="12566" xr:uid="{DDD665C9-6B60-4AF2-B723-7C34C803159A}"/>
    <cellStyle name="Normal 10 2 5 2 4 2 2 2 2" xfId="12567" xr:uid="{1E84A9C8-62C9-4662-AA82-1B351373DD78}"/>
    <cellStyle name="Normal 10 2 5 2 4 2 2 2 2 2" xfId="12568" xr:uid="{921A266C-A403-40FB-9B51-F8EEF6F057AA}"/>
    <cellStyle name="Normal 10 2 5 2 4 2 2 2 3" xfId="12569" xr:uid="{CB4D69FD-4306-464C-B5DD-C7B4D8EB1973}"/>
    <cellStyle name="Normal 10 2 5 2 4 2 2 3" xfId="12570" xr:uid="{00B6775D-B08A-4441-9C45-96F7B5CA3A28}"/>
    <cellStyle name="Normal 10 2 5 2 4 2 2 3 2" xfId="12571" xr:uid="{16FA72ED-EA7A-475E-B590-0574FBA05ED8}"/>
    <cellStyle name="Normal 10 2 5 2 4 2 2 4" xfId="12572" xr:uid="{13DCE74F-B929-43C1-AB45-E1BBBE9935E9}"/>
    <cellStyle name="Normal 10 2 5 2 4 2 3" xfId="12573" xr:uid="{2AB4BE4E-B108-478B-8B00-75F74226A83C}"/>
    <cellStyle name="Normal 10 2 5 2 4 2 3 2" xfId="12574" xr:uid="{5A489C7E-CFB8-486D-813C-72A8724FA7EE}"/>
    <cellStyle name="Normal 10 2 5 2 4 2 3 2 2" xfId="12575" xr:uid="{E42DFA27-AB72-49A9-831D-82529627E119}"/>
    <cellStyle name="Normal 10 2 5 2 4 2 3 3" xfId="12576" xr:uid="{CA588C97-2724-4CBF-8910-AAF8F043A03A}"/>
    <cellStyle name="Normal 10 2 5 2 4 2 4" xfId="12577" xr:uid="{675AA2AE-1019-4352-B409-2A5BBC7712F8}"/>
    <cellStyle name="Normal 10 2 5 2 4 2 4 2" xfId="12578" xr:uid="{1A67E29C-CD91-48AB-AD55-EC8D90DC3544}"/>
    <cellStyle name="Normal 10 2 5 2 4 2 5" xfId="12579" xr:uid="{DFDD22DC-259D-41A7-8AF0-ED813D73D834}"/>
    <cellStyle name="Normal 10 2 5 2 4 3" xfId="12580" xr:uid="{782C04EC-2E78-4E57-B5DF-C37D1E935BDA}"/>
    <cellStyle name="Normal 10 2 5 2 4 3 2" xfId="12581" xr:uid="{94F36EAE-BD9D-4958-9C7F-609A7E360F7C}"/>
    <cellStyle name="Normal 10 2 5 2 4 3 2 2" xfId="12582" xr:uid="{5D6B0E61-C710-4BB4-A79C-CAF1B9BE19B1}"/>
    <cellStyle name="Normal 10 2 5 2 4 3 2 2 2" xfId="12583" xr:uid="{A1689CFA-4EEA-47E5-AE9A-B0E1390791B1}"/>
    <cellStyle name="Normal 10 2 5 2 4 3 2 3" xfId="12584" xr:uid="{E7631380-355C-4175-8E9B-29983142820C}"/>
    <cellStyle name="Normal 10 2 5 2 4 3 3" xfId="12585" xr:uid="{ECED275B-37DF-40E6-9CBA-0F33312CD505}"/>
    <cellStyle name="Normal 10 2 5 2 4 3 3 2" xfId="12586" xr:uid="{B045C7DF-10A0-4F26-BDBB-FFB02CDDB0A9}"/>
    <cellStyle name="Normal 10 2 5 2 4 3 4" xfId="12587" xr:uid="{1C176ADC-8FBA-4FB4-92FA-2A0586222AC8}"/>
    <cellStyle name="Normal 10 2 5 2 4 4" xfId="12588" xr:uid="{0B3940F3-5173-4358-B5CC-18CEF2CD5C0A}"/>
    <cellStyle name="Normal 10 2 5 2 4 4 2" xfId="12589" xr:uid="{B1E45CC0-BB58-416A-8921-924223E53970}"/>
    <cellStyle name="Normal 10 2 5 2 4 4 2 2" xfId="12590" xr:uid="{264317BA-40C7-4364-92CD-108178DA4D1E}"/>
    <cellStyle name="Normal 10 2 5 2 4 4 3" xfId="12591" xr:uid="{A32ABCEC-3CAC-47DB-AD8C-639CCFA7F126}"/>
    <cellStyle name="Normal 10 2 5 2 4 5" xfId="12592" xr:uid="{FD4D71A1-63F8-433D-9893-DD73F93518A5}"/>
    <cellStyle name="Normal 10 2 5 2 4 5 2" xfId="12593" xr:uid="{A310DBB6-DEC6-43A4-8FCD-5A0CCB122780}"/>
    <cellStyle name="Normal 10 2 5 2 4 6" xfId="12594" xr:uid="{A2F75294-5571-437B-A088-B99A4B0E3C7D}"/>
    <cellStyle name="Normal 10 2 5 2 5" xfId="12595" xr:uid="{B7803348-F81D-4424-8E4D-0DC5D21EB6A1}"/>
    <cellStyle name="Normal 10 2 5 2 5 2" xfId="12596" xr:uid="{E07EFBEF-9925-464A-9F3F-02D1E2804B75}"/>
    <cellStyle name="Normal 10 2 5 2 5 2 2" xfId="12597" xr:uid="{4CA34ACC-C297-45F4-B356-66153737A1D6}"/>
    <cellStyle name="Normal 10 2 5 2 5 2 2 2" xfId="12598" xr:uid="{0D39125B-AADB-4CAC-BCB0-93D09FC7FEA0}"/>
    <cellStyle name="Normal 10 2 5 2 5 2 2 2 2" xfId="12599" xr:uid="{84505907-852A-479D-9D78-764F9B409652}"/>
    <cellStyle name="Normal 10 2 5 2 5 2 2 3" xfId="12600" xr:uid="{FC8C9C0C-7C57-44FD-874E-F3289C4A3DE8}"/>
    <cellStyle name="Normal 10 2 5 2 5 2 3" xfId="12601" xr:uid="{6D2AB4E8-003A-4AEB-A6A9-9102D44C34A6}"/>
    <cellStyle name="Normal 10 2 5 2 5 2 3 2" xfId="12602" xr:uid="{3536DE29-14C4-4430-8E66-FB271AF71376}"/>
    <cellStyle name="Normal 10 2 5 2 5 2 4" xfId="12603" xr:uid="{FC6DBD7A-E92F-4AFD-8DAB-E833EF813515}"/>
    <cellStyle name="Normal 10 2 5 2 5 3" xfId="12604" xr:uid="{D1C8D62E-9B32-407C-B6A3-6363E3C9D3B9}"/>
    <cellStyle name="Normal 10 2 5 2 5 3 2" xfId="12605" xr:uid="{9D8745C1-DAA3-4268-808F-1D6CF13BB1E6}"/>
    <cellStyle name="Normal 10 2 5 2 5 3 2 2" xfId="12606" xr:uid="{C2F8F6AE-0BBE-4A8D-8F5C-50528FA476D5}"/>
    <cellStyle name="Normal 10 2 5 2 5 3 3" xfId="12607" xr:uid="{3B2EC949-691F-4111-8236-A1A708B8621C}"/>
    <cellStyle name="Normal 10 2 5 2 5 4" xfId="12608" xr:uid="{F4E09C78-E270-48D9-9320-3C3A5D75822D}"/>
    <cellStyle name="Normal 10 2 5 2 5 4 2" xfId="12609" xr:uid="{8CF186E6-48B2-4F36-865C-C0E24C8EE520}"/>
    <cellStyle name="Normal 10 2 5 2 5 5" xfId="12610" xr:uid="{E67753F9-4C09-4278-BE8B-6D06F62E7170}"/>
    <cellStyle name="Normal 10 2 5 2 6" xfId="12611" xr:uid="{89C5F82F-94A6-4268-B01E-72419612C3B8}"/>
    <cellStyle name="Normal 10 2 5 2 6 2" xfId="12612" xr:uid="{163BDB0C-A372-4C54-A99A-8ED9A0DB536E}"/>
    <cellStyle name="Normal 10 2 5 2 6 2 2" xfId="12613" xr:uid="{722DA375-0F7F-491B-969F-A20959558E47}"/>
    <cellStyle name="Normal 10 2 5 2 6 2 2 2" xfId="12614" xr:uid="{581E06E2-7B08-4B61-8517-4EDBCC43BA8F}"/>
    <cellStyle name="Normal 10 2 5 2 6 2 3" xfId="12615" xr:uid="{C744F68B-A6F1-4F44-8CE2-E5A15235EC95}"/>
    <cellStyle name="Normal 10 2 5 2 6 3" xfId="12616" xr:uid="{AD3CADC4-1DAB-4E4C-AC5C-9E993BDAC793}"/>
    <cellStyle name="Normal 10 2 5 2 6 3 2" xfId="12617" xr:uid="{86E33025-3091-49B4-A1E0-292437B6EF56}"/>
    <cellStyle name="Normal 10 2 5 2 6 4" xfId="12618" xr:uid="{6D5FB7DE-2DD6-47D4-878B-BDB502C6C1E0}"/>
    <cellStyle name="Normal 10 2 5 2 7" xfId="12619" xr:uid="{634AA3F9-F6AD-45A8-B553-8FC384F8A012}"/>
    <cellStyle name="Normal 10 2 5 2 7 2" xfId="12620" xr:uid="{BF998773-23EE-475B-923A-3A4FA7B08143}"/>
    <cellStyle name="Normal 10 2 5 2 7 2 2" xfId="12621" xr:uid="{582C9CFE-D3EA-4A8A-9AD9-1B84D37B83AC}"/>
    <cellStyle name="Normal 10 2 5 2 7 3" xfId="12622" xr:uid="{157B65E5-AFBF-43AD-9B6C-BA5F703109FD}"/>
    <cellStyle name="Normal 10 2 5 2 8" xfId="12623" xr:uid="{FB8824E8-625A-4CDF-AF69-86F73CE74A85}"/>
    <cellStyle name="Normal 10 2 5 2 8 2" xfId="12624" xr:uid="{B0EC3256-EC1E-4A54-A50A-7F8EB2B51064}"/>
    <cellStyle name="Normal 10 2 5 2 9" xfId="12625" xr:uid="{44144466-A3B8-43DC-AAB7-F5B65B4A30FF}"/>
    <cellStyle name="Normal 10 2 5 3" xfId="453" xr:uid="{1FA8566F-5D9C-4CD8-A934-0DE39AB3ED05}"/>
    <cellStyle name="Normal 10 2 5 3 2" xfId="12627" xr:uid="{7F2C2E78-F083-4F80-BD5B-0E312873B0C7}"/>
    <cellStyle name="Normal 10 2 5 3 2 2" xfId="12628" xr:uid="{759E4C15-D06F-4EB4-9F6F-70CAD4FFC486}"/>
    <cellStyle name="Normal 10 2 5 3 2 2 2" xfId="12629" xr:uid="{00DE6B81-8305-4523-9EC1-381C61D325C5}"/>
    <cellStyle name="Normal 10 2 5 3 2 2 2 2" xfId="12630" xr:uid="{F45B611C-CD43-4922-B309-B3EDC713707F}"/>
    <cellStyle name="Normal 10 2 5 3 2 2 2 2 2" xfId="12631" xr:uid="{34352589-19A8-4132-A299-60C777A551EE}"/>
    <cellStyle name="Normal 10 2 5 3 2 2 2 2 2 2" xfId="12632" xr:uid="{E58D8752-885B-4366-8C31-2320D60F273C}"/>
    <cellStyle name="Normal 10 2 5 3 2 2 2 2 2 2 2" xfId="12633" xr:uid="{A95D990E-6597-4FC2-9AD9-1C457A38A0BA}"/>
    <cellStyle name="Normal 10 2 5 3 2 2 2 2 2 3" xfId="12634" xr:uid="{106D9867-91DC-498B-873D-32DFD8E90D2D}"/>
    <cellStyle name="Normal 10 2 5 3 2 2 2 2 3" xfId="12635" xr:uid="{9CB9A81C-9317-42E2-9603-BD7EAB7CD770}"/>
    <cellStyle name="Normal 10 2 5 3 2 2 2 2 3 2" xfId="12636" xr:uid="{EC7F597D-7A9A-40B9-8794-E0BA1B185D1A}"/>
    <cellStyle name="Normal 10 2 5 3 2 2 2 2 4" xfId="12637" xr:uid="{F8F2EEE3-A25B-4AC0-8004-2149BEDC836C}"/>
    <cellStyle name="Normal 10 2 5 3 2 2 2 3" xfId="12638" xr:uid="{D7E75D17-4019-41B9-B938-BBD238F98E00}"/>
    <cellStyle name="Normal 10 2 5 3 2 2 2 3 2" xfId="12639" xr:uid="{014F7585-0DDA-4A5F-B70F-1DAE8818EC87}"/>
    <cellStyle name="Normal 10 2 5 3 2 2 2 3 2 2" xfId="12640" xr:uid="{FA1E603F-C643-4046-B6B0-A1DC2CE9CD50}"/>
    <cellStyle name="Normal 10 2 5 3 2 2 2 3 3" xfId="12641" xr:uid="{1F43E2DA-20C1-4516-B323-6D6E8F5D04B8}"/>
    <cellStyle name="Normal 10 2 5 3 2 2 2 4" xfId="12642" xr:uid="{25691F34-0E5A-4637-B463-F26AA931DF57}"/>
    <cellStyle name="Normal 10 2 5 3 2 2 2 4 2" xfId="12643" xr:uid="{083089CF-B0D8-4488-AA94-A858020161B6}"/>
    <cellStyle name="Normal 10 2 5 3 2 2 2 5" xfId="12644" xr:uid="{60C63DB8-6B7B-4655-897A-85324993EE6E}"/>
    <cellStyle name="Normal 10 2 5 3 2 2 3" xfId="12645" xr:uid="{C7CBB422-371C-40C2-B603-3347A5BFA96F}"/>
    <cellStyle name="Normal 10 2 5 3 2 2 3 2" xfId="12646" xr:uid="{E89828DB-20F9-4B52-BF34-242E0058769C}"/>
    <cellStyle name="Normal 10 2 5 3 2 2 3 2 2" xfId="12647" xr:uid="{6B3B5393-6FA9-4845-8D78-AE84444A7D40}"/>
    <cellStyle name="Normal 10 2 5 3 2 2 3 2 2 2" xfId="12648" xr:uid="{580DB073-4858-420B-9570-095E443AE4E0}"/>
    <cellStyle name="Normal 10 2 5 3 2 2 3 2 3" xfId="12649" xr:uid="{33376461-B29F-4E64-A732-6EB2AEE51DE4}"/>
    <cellStyle name="Normal 10 2 5 3 2 2 3 3" xfId="12650" xr:uid="{FA813FEA-1B83-4ED2-8B77-18381E6C2B5D}"/>
    <cellStyle name="Normal 10 2 5 3 2 2 3 3 2" xfId="12651" xr:uid="{E860E37B-DB39-420B-8450-216F7DA3E49F}"/>
    <cellStyle name="Normal 10 2 5 3 2 2 3 4" xfId="12652" xr:uid="{1CD447B4-0D61-48E1-9FEB-D4CE25AD4BEB}"/>
    <cellStyle name="Normal 10 2 5 3 2 2 4" xfId="12653" xr:uid="{76FCAC39-C09D-4733-B04C-3A6F623DC68C}"/>
    <cellStyle name="Normal 10 2 5 3 2 2 4 2" xfId="12654" xr:uid="{2E3ED952-E151-4437-8271-5C030CC7738D}"/>
    <cellStyle name="Normal 10 2 5 3 2 2 4 2 2" xfId="12655" xr:uid="{B59379D5-AB1F-4296-BF0C-1CAF4360D07D}"/>
    <cellStyle name="Normal 10 2 5 3 2 2 4 3" xfId="12656" xr:uid="{07748689-3D36-4A13-9955-0E2070625921}"/>
    <cellStyle name="Normal 10 2 5 3 2 2 5" xfId="12657" xr:uid="{7A01BDBB-640C-47B0-AC23-ED5F0C024DC0}"/>
    <cellStyle name="Normal 10 2 5 3 2 2 5 2" xfId="12658" xr:uid="{2104334C-559C-4F72-A478-1907183FDC2D}"/>
    <cellStyle name="Normal 10 2 5 3 2 2 6" xfId="12659" xr:uid="{744C66A4-3325-41D2-858D-F7B1B4952EA2}"/>
    <cellStyle name="Normal 10 2 5 3 2 3" xfId="12660" xr:uid="{6961DD00-F4A5-434A-86F4-A3651398E5EA}"/>
    <cellStyle name="Normal 10 2 5 3 2 3 2" xfId="12661" xr:uid="{6EF4CBAC-6C41-4E6A-8E41-F967863E07AE}"/>
    <cellStyle name="Normal 10 2 5 3 2 3 2 2" xfId="12662" xr:uid="{06BAC743-D5E8-4718-970F-9176E21CF892}"/>
    <cellStyle name="Normal 10 2 5 3 2 3 2 2 2" xfId="12663" xr:uid="{64001F80-3028-42E5-B09D-8917F685FE1E}"/>
    <cellStyle name="Normal 10 2 5 3 2 3 2 2 2 2" xfId="12664" xr:uid="{45E171F5-108D-492C-AA56-8032470B1DD6}"/>
    <cellStyle name="Normal 10 2 5 3 2 3 2 2 3" xfId="12665" xr:uid="{3DB12EEB-F673-4101-9530-4A3419616ED8}"/>
    <cellStyle name="Normal 10 2 5 3 2 3 2 3" xfId="12666" xr:uid="{E1915638-8FF6-48B1-9913-7618224B1042}"/>
    <cellStyle name="Normal 10 2 5 3 2 3 2 3 2" xfId="12667" xr:uid="{114DDA79-5375-4E56-BBFB-ACBA6185A593}"/>
    <cellStyle name="Normal 10 2 5 3 2 3 2 4" xfId="12668" xr:uid="{FB0A8C52-934D-45EF-8558-58007DE9AE60}"/>
    <cellStyle name="Normal 10 2 5 3 2 3 3" xfId="12669" xr:uid="{D77AB5EB-0923-48FD-A0E2-E2944A7FC409}"/>
    <cellStyle name="Normal 10 2 5 3 2 3 3 2" xfId="12670" xr:uid="{263C0040-595D-4455-9FA1-4E83DABE7E47}"/>
    <cellStyle name="Normal 10 2 5 3 2 3 3 2 2" xfId="12671" xr:uid="{8DDC0A41-4345-476C-93BB-852952C7DB50}"/>
    <cellStyle name="Normal 10 2 5 3 2 3 3 3" xfId="12672" xr:uid="{EC6F6F03-F4D1-4DF8-9B91-FE2E51E47343}"/>
    <cellStyle name="Normal 10 2 5 3 2 3 4" xfId="12673" xr:uid="{29E9CF53-780D-4CE6-8BE7-2D858A336D20}"/>
    <cellStyle name="Normal 10 2 5 3 2 3 4 2" xfId="12674" xr:uid="{CA50B03E-FE62-4BE8-B71F-C0DC36DD6E25}"/>
    <cellStyle name="Normal 10 2 5 3 2 3 5" xfId="12675" xr:uid="{CA6A8A00-B2DC-4967-AF35-9CC05DABF562}"/>
    <cellStyle name="Normal 10 2 5 3 2 4" xfId="12676" xr:uid="{8FF41C19-E0EA-44F0-9B2C-922FE21D831A}"/>
    <cellStyle name="Normal 10 2 5 3 2 4 2" xfId="12677" xr:uid="{12736987-31BB-4BF1-9ED1-4E86B2D4D7E6}"/>
    <cellStyle name="Normal 10 2 5 3 2 4 2 2" xfId="12678" xr:uid="{05D25262-6C8F-451E-9C8F-ABD5B421CA2F}"/>
    <cellStyle name="Normal 10 2 5 3 2 4 2 2 2" xfId="12679" xr:uid="{ACB0288C-FEAE-4DD3-9074-F6A02C13D653}"/>
    <cellStyle name="Normal 10 2 5 3 2 4 2 3" xfId="12680" xr:uid="{863FEA57-80F0-4BE7-AAA4-562A4E524D00}"/>
    <cellStyle name="Normal 10 2 5 3 2 4 3" xfId="12681" xr:uid="{98F1DFD9-BE30-42C8-BABF-1AEE3462243C}"/>
    <cellStyle name="Normal 10 2 5 3 2 4 3 2" xfId="12682" xr:uid="{7FA7D61C-F716-42CC-84F9-9D000EA3AA31}"/>
    <cellStyle name="Normal 10 2 5 3 2 4 4" xfId="12683" xr:uid="{ECBDCC75-A60E-4A68-AF67-17EB9D166DD1}"/>
    <cellStyle name="Normal 10 2 5 3 2 5" xfId="12684" xr:uid="{B5FF682B-1275-4741-823D-922B098018BD}"/>
    <cellStyle name="Normal 10 2 5 3 2 5 2" xfId="12685" xr:uid="{A9FF8057-8997-4FC5-87DF-7804FA91FCA3}"/>
    <cellStyle name="Normal 10 2 5 3 2 5 2 2" xfId="12686" xr:uid="{589637C6-F283-4D02-89E4-E162846797CB}"/>
    <cellStyle name="Normal 10 2 5 3 2 5 3" xfId="12687" xr:uid="{9355BC0E-4FB3-4FE9-A28F-5088A103863A}"/>
    <cellStyle name="Normal 10 2 5 3 2 6" xfId="12688" xr:uid="{53F4119E-A0BF-4414-8EF0-9B8FB5336FBA}"/>
    <cellStyle name="Normal 10 2 5 3 2 6 2" xfId="12689" xr:uid="{4F9E13C2-85A4-4209-8364-601660ABA23B}"/>
    <cellStyle name="Normal 10 2 5 3 2 7" xfId="12690" xr:uid="{37E56157-C8D1-49DB-9728-CA747062ED67}"/>
    <cellStyle name="Normal 10 2 5 3 3" xfId="12691" xr:uid="{F317FF0F-EDD4-43EF-AA35-339D66B534A0}"/>
    <cellStyle name="Normal 10 2 5 3 3 2" xfId="12692" xr:uid="{7C5A65F4-5E13-47B3-8CD2-441ABC05296A}"/>
    <cellStyle name="Normal 10 2 5 3 3 2 2" xfId="12693" xr:uid="{AAACD175-07BC-4CF0-A3D3-19D8954646A2}"/>
    <cellStyle name="Normal 10 2 5 3 3 2 2 2" xfId="12694" xr:uid="{0FDAC85F-FFA2-4CBE-947A-2E0638B4DA1A}"/>
    <cellStyle name="Normal 10 2 5 3 3 2 2 2 2" xfId="12695" xr:uid="{1D2FD2F1-2DD8-4A58-B62C-BF44843FDBB7}"/>
    <cellStyle name="Normal 10 2 5 3 3 2 2 2 2 2" xfId="12696" xr:uid="{0C1FD282-55D7-4117-837E-02AF0C843083}"/>
    <cellStyle name="Normal 10 2 5 3 3 2 2 2 3" xfId="12697" xr:uid="{39DF86D6-28DC-45C4-9B21-F0809A8B76AA}"/>
    <cellStyle name="Normal 10 2 5 3 3 2 2 3" xfId="12698" xr:uid="{5A7B5A0E-6418-4C55-93BA-A412E5BE69CB}"/>
    <cellStyle name="Normal 10 2 5 3 3 2 2 3 2" xfId="12699" xr:uid="{94C8563B-9942-4606-8A06-AAC04A407C75}"/>
    <cellStyle name="Normal 10 2 5 3 3 2 2 4" xfId="12700" xr:uid="{7620873F-8B1B-4304-801B-1ABDFD7D89E3}"/>
    <cellStyle name="Normal 10 2 5 3 3 2 3" xfId="12701" xr:uid="{F9FB56C5-5302-4F23-80DA-543F30B9F044}"/>
    <cellStyle name="Normal 10 2 5 3 3 2 3 2" xfId="12702" xr:uid="{BF17E024-8243-470D-ADA1-2562170693CC}"/>
    <cellStyle name="Normal 10 2 5 3 3 2 3 2 2" xfId="12703" xr:uid="{58EB8952-3E63-4978-8451-9988D813327F}"/>
    <cellStyle name="Normal 10 2 5 3 3 2 3 3" xfId="12704" xr:uid="{45668B0E-381C-4DB5-A4AB-688104393C7B}"/>
    <cellStyle name="Normal 10 2 5 3 3 2 4" xfId="12705" xr:uid="{F0C6EF99-CA7A-4A34-B408-2546376C5514}"/>
    <cellStyle name="Normal 10 2 5 3 3 2 4 2" xfId="12706" xr:uid="{B067A8C0-F729-4B1E-9F70-C9075B161B41}"/>
    <cellStyle name="Normal 10 2 5 3 3 2 5" xfId="12707" xr:uid="{92B5F853-969D-4971-AE2F-3FA9058B7E38}"/>
    <cellStyle name="Normal 10 2 5 3 3 3" xfId="12708" xr:uid="{550CDE94-994C-40CB-9D91-56F830DFF4F7}"/>
    <cellStyle name="Normal 10 2 5 3 3 3 2" xfId="12709" xr:uid="{C36A0FA1-00A9-4CF0-9762-792FEACDA412}"/>
    <cellStyle name="Normal 10 2 5 3 3 3 2 2" xfId="12710" xr:uid="{7C2EE447-C155-49A9-8974-1D3271E26ACC}"/>
    <cellStyle name="Normal 10 2 5 3 3 3 2 2 2" xfId="12711" xr:uid="{F21DD6C1-372A-4045-A3A7-28D28E4FFF8A}"/>
    <cellStyle name="Normal 10 2 5 3 3 3 2 3" xfId="12712" xr:uid="{A16D4C51-B639-42E8-8B92-CA569315711F}"/>
    <cellStyle name="Normal 10 2 5 3 3 3 3" xfId="12713" xr:uid="{CED11D42-179C-4D50-BA31-13613F7215C8}"/>
    <cellStyle name="Normal 10 2 5 3 3 3 3 2" xfId="12714" xr:uid="{668DA974-9A84-44BC-8261-7337DA19144B}"/>
    <cellStyle name="Normal 10 2 5 3 3 3 4" xfId="12715" xr:uid="{3CBF0675-A2BA-4565-84C3-97B98C66CCEC}"/>
    <cellStyle name="Normal 10 2 5 3 3 4" xfId="12716" xr:uid="{4E1AAE7F-BDC0-4136-9138-66B7A24657DA}"/>
    <cellStyle name="Normal 10 2 5 3 3 4 2" xfId="12717" xr:uid="{C8DB3509-0696-455A-9969-91181D62A2A4}"/>
    <cellStyle name="Normal 10 2 5 3 3 4 2 2" xfId="12718" xr:uid="{253B9189-7891-4347-B021-DE0D470FDE27}"/>
    <cellStyle name="Normal 10 2 5 3 3 4 3" xfId="12719" xr:uid="{2C741DC8-E399-44F6-80FD-65AC882CF2BA}"/>
    <cellStyle name="Normal 10 2 5 3 3 5" xfId="12720" xr:uid="{C7A4C5B2-FD33-44F4-92F1-238B2EF23FB5}"/>
    <cellStyle name="Normal 10 2 5 3 3 5 2" xfId="12721" xr:uid="{2F7762EE-05A4-4A20-963E-B6810CCD0E11}"/>
    <cellStyle name="Normal 10 2 5 3 3 6" xfId="12722" xr:uid="{E1512FD2-A28D-4DFC-BEC1-34A32E2ED241}"/>
    <cellStyle name="Normal 10 2 5 3 4" xfId="12723" xr:uid="{FEE6A128-6C31-4AA7-B76A-DC6F1D0DBEE6}"/>
    <cellStyle name="Normal 10 2 5 3 4 2" xfId="12724" xr:uid="{56183AA1-154B-4663-A354-964CB34E953D}"/>
    <cellStyle name="Normal 10 2 5 3 4 2 2" xfId="12725" xr:uid="{9CC905DB-0E55-4445-A030-D32DC9B95894}"/>
    <cellStyle name="Normal 10 2 5 3 4 2 2 2" xfId="12726" xr:uid="{32974754-B9DC-4AAE-BF57-35BDC21C29F4}"/>
    <cellStyle name="Normal 10 2 5 3 4 2 2 2 2" xfId="12727" xr:uid="{76103610-A137-4B6F-8586-E9CC273E195F}"/>
    <cellStyle name="Normal 10 2 5 3 4 2 2 3" xfId="12728" xr:uid="{90E63F70-C440-4D54-A492-839B706EB3AD}"/>
    <cellStyle name="Normal 10 2 5 3 4 2 3" xfId="12729" xr:uid="{E76AE623-73D6-43BD-B7F8-9F0BE4A76DBF}"/>
    <cellStyle name="Normal 10 2 5 3 4 2 3 2" xfId="12730" xr:uid="{5311A1C0-79F7-4255-B073-4DB3C9FD273C}"/>
    <cellStyle name="Normal 10 2 5 3 4 2 4" xfId="12731" xr:uid="{0151F197-6990-4139-8A01-4FA3CEB84927}"/>
    <cellStyle name="Normal 10 2 5 3 4 3" xfId="12732" xr:uid="{C8F76E4D-34B7-4FF5-A597-F17A01EFDB13}"/>
    <cellStyle name="Normal 10 2 5 3 4 3 2" xfId="12733" xr:uid="{138549C5-1B0E-4E4F-AA1F-8AC7821354D4}"/>
    <cellStyle name="Normal 10 2 5 3 4 3 2 2" xfId="12734" xr:uid="{E6DBF798-436C-4C70-B536-43BAB32E5DEE}"/>
    <cellStyle name="Normal 10 2 5 3 4 3 3" xfId="12735" xr:uid="{D4A74E38-B523-489D-8CC1-C7B14BDE2B79}"/>
    <cellStyle name="Normal 10 2 5 3 4 4" xfId="12736" xr:uid="{2FD586CF-C7CD-4BFC-A226-2868551F2830}"/>
    <cellStyle name="Normal 10 2 5 3 4 4 2" xfId="12737" xr:uid="{F19B8A47-9F9B-4004-81B6-018B6313D4EA}"/>
    <cellStyle name="Normal 10 2 5 3 4 5" xfId="12738" xr:uid="{85FCB20B-7CC9-4F69-9C41-7D535B26E644}"/>
    <cellStyle name="Normal 10 2 5 3 5" xfId="12739" xr:uid="{BCBD75B8-50E8-4D3A-9512-641DD9C62087}"/>
    <cellStyle name="Normal 10 2 5 3 5 2" xfId="12740" xr:uid="{7EE0E521-825B-4A5D-B156-117525B0E05C}"/>
    <cellStyle name="Normal 10 2 5 3 5 2 2" xfId="12741" xr:uid="{B0D0F3DD-80F0-4D72-B760-125FFFF3B32C}"/>
    <cellStyle name="Normal 10 2 5 3 5 2 2 2" xfId="12742" xr:uid="{23DA322A-6752-4B84-A567-4D745A193FCA}"/>
    <cellStyle name="Normal 10 2 5 3 5 2 3" xfId="12743" xr:uid="{AA3CE056-0C5E-41DD-A9E5-226D6932D0D8}"/>
    <cellStyle name="Normal 10 2 5 3 5 3" xfId="12744" xr:uid="{7403B088-4756-459D-895D-8B689CF0146D}"/>
    <cellStyle name="Normal 10 2 5 3 5 3 2" xfId="12745" xr:uid="{83796FF2-F9C2-4E2E-A843-2C376BDE7D80}"/>
    <cellStyle name="Normal 10 2 5 3 5 4" xfId="12746" xr:uid="{C52F7690-067C-4C58-A562-B86F555B857F}"/>
    <cellStyle name="Normal 10 2 5 3 6" xfId="12747" xr:uid="{57EAEC40-2E33-40AA-8DCB-8B691BEB1059}"/>
    <cellStyle name="Normal 10 2 5 3 6 2" xfId="12748" xr:uid="{E18456D3-A878-41D9-84DA-8B6196AF8AD1}"/>
    <cellStyle name="Normal 10 2 5 3 6 2 2" xfId="12749" xr:uid="{E0C126BF-D312-423E-A68B-C3859BA0704A}"/>
    <cellStyle name="Normal 10 2 5 3 6 3" xfId="12750" xr:uid="{902214B4-072A-46D9-A92C-698E2B09D6CC}"/>
    <cellStyle name="Normal 10 2 5 3 7" xfId="12751" xr:uid="{2128EC1D-2C55-4E09-A653-60FDCC5D9BF8}"/>
    <cellStyle name="Normal 10 2 5 3 7 2" xfId="12752" xr:uid="{71CB631E-7475-4C61-896A-67B832C3B2EC}"/>
    <cellStyle name="Normal 10 2 5 3 8" xfId="12753" xr:uid="{F3EC6A0C-1934-43F7-B4CA-4D7F996AC83F}"/>
    <cellStyle name="Normal 10 2 5 3 9" xfId="12626" xr:uid="{DC6C8AE5-95D0-4C94-BBAC-2ABF0B1EFD18}"/>
    <cellStyle name="Normal 10 2 5 4" xfId="12754" xr:uid="{B0878943-51D7-4A49-AED0-EC2213E8BFF9}"/>
    <cellStyle name="Normal 10 2 5 4 2" xfId="12755" xr:uid="{B0A5692E-5E0B-4EBA-ADE3-9C64A1B7D9F6}"/>
    <cellStyle name="Normal 10 2 5 4 2 2" xfId="12756" xr:uid="{4F6CB82F-9DA7-49D6-8C43-59AF1C4F12B9}"/>
    <cellStyle name="Normal 10 2 5 4 2 2 2" xfId="12757" xr:uid="{FD6C58FE-ED83-4B21-AC7D-2C624ECF6DA4}"/>
    <cellStyle name="Normal 10 2 5 4 2 2 2 2" xfId="12758" xr:uid="{A6106D34-4E86-478B-ADD4-BC33BC8037E8}"/>
    <cellStyle name="Normal 10 2 5 4 2 2 2 2 2" xfId="12759" xr:uid="{AC24F17A-9516-41C6-A0A7-1EB6599C3054}"/>
    <cellStyle name="Normal 10 2 5 4 2 2 2 2 2 2" xfId="12760" xr:uid="{DE125F76-42C8-4A2B-A7BC-52EA5F6A0821}"/>
    <cellStyle name="Normal 10 2 5 4 2 2 2 2 3" xfId="12761" xr:uid="{45D207E3-219A-44AF-AF52-5F05CCD54956}"/>
    <cellStyle name="Normal 10 2 5 4 2 2 2 3" xfId="12762" xr:uid="{34A30250-009D-4B0E-8337-F49146221D7F}"/>
    <cellStyle name="Normal 10 2 5 4 2 2 2 3 2" xfId="12763" xr:uid="{0CC74602-D70D-43B6-8EC5-FF287845B66F}"/>
    <cellStyle name="Normal 10 2 5 4 2 2 2 4" xfId="12764" xr:uid="{277B6434-D852-4761-842E-6581272A5D6E}"/>
    <cellStyle name="Normal 10 2 5 4 2 2 3" xfId="12765" xr:uid="{B6F43CF6-B62B-4EF2-B72F-33F83A63E9C4}"/>
    <cellStyle name="Normal 10 2 5 4 2 2 3 2" xfId="12766" xr:uid="{43132910-024D-4C81-9A86-ABA0DE957613}"/>
    <cellStyle name="Normal 10 2 5 4 2 2 3 2 2" xfId="12767" xr:uid="{F270A188-F6E5-436C-BD05-5E39EDD50071}"/>
    <cellStyle name="Normal 10 2 5 4 2 2 3 3" xfId="12768" xr:uid="{1AE4C357-DC8F-4845-B4F5-84375D5F3482}"/>
    <cellStyle name="Normal 10 2 5 4 2 2 4" xfId="12769" xr:uid="{90CB79F0-E98F-4CC0-9A01-0F49B0F19E07}"/>
    <cellStyle name="Normal 10 2 5 4 2 2 4 2" xfId="12770" xr:uid="{23B2623F-F36C-4F85-A0D6-57908067BA03}"/>
    <cellStyle name="Normal 10 2 5 4 2 2 5" xfId="12771" xr:uid="{F8E2633C-6902-41A0-9976-A0115AE7BB43}"/>
    <cellStyle name="Normal 10 2 5 4 2 3" xfId="12772" xr:uid="{6466088A-CEB2-43A5-9472-E099C0BCC800}"/>
    <cellStyle name="Normal 10 2 5 4 2 3 2" xfId="12773" xr:uid="{7B2411F8-F1BA-4AF0-A1C3-9EE2E7714364}"/>
    <cellStyle name="Normal 10 2 5 4 2 3 2 2" xfId="12774" xr:uid="{83E4D2F0-5D72-4C42-A886-C714F9480DC6}"/>
    <cellStyle name="Normal 10 2 5 4 2 3 2 2 2" xfId="12775" xr:uid="{10E04DCB-83D1-49D0-9900-F800AD99AAB0}"/>
    <cellStyle name="Normal 10 2 5 4 2 3 2 3" xfId="12776" xr:uid="{3287F8B9-957D-481B-88A2-FE15D77F6DCC}"/>
    <cellStyle name="Normal 10 2 5 4 2 3 3" xfId="12777" xr:uid="{EF02F6A3-E1BF-4BD1-ADE1-A3B41798980C}"/>
    <cellStyle name="Normal 10 2 5 4 2 3 3 2" xfId="12778" xr:uid="{66F3775C-190C-46AE-A319-E22605EA79F4}"/>
    <cellStyle name="Normal 10 2 5 4 2 3 4" xfId="12779" xr:uid="{F2612484-1EF0-49CC-AEB4-62B38964E94C}"/>
    <cellStyle name="Normal 10 2 5 4 2 4" xfId="12780" xr:uid="{229FBA09-CF1B-4970-B7D2-858A7F43EB9A}"/>
    <cellStyle name="Normal 10 2 5 4 2 4 2" xfId="12781" xr:uid="{4D5D3679-8D98-4ECD-845A-0919ADAB2ECF}"/>
    <cellStyle name="Normal 10 2 5 4 2 4 2 2" xfId="12782" xr:uid="{EFF7AAC7-E60F-4CC4-B1AE-D512F76B7C10}"/>
    <cellStyle name="Normal 10 2 5 4 2 4 3" xfId="12783" xr:uid="{497DAA63-CDB5-4420-8720-751D6B6CC220}"/>
    <cellStyle name="Normal 10 2 5 4 2 5" xfId="12784" xr:uid="{3C8912AA-A4DE-4FA8-9247-C526145126F5}"/>
    <cellStyle name="Normal 10 2 5 4 2 5 2" xfId="12785" xr:uid="{F94A62AD-631B-44D6-A7B4-786822A3AAD7}"/>
    <cellStyle name="Normal 10 2 5 4 2 6" xfId="12786" xr:uid="{C7879135-B247-4F6A-9FD3-495C341E003B}"/>
    <cellStyle name="Normal 10 2 5 4 3" xfId="12787" xr:uid="{A9AF8205-312E-40ED-993F-3A802C299F0A}"/>
    <cellStyle name="Normal 10 2 5 4 3 2" xfId="12788" xr:uid="{21B3658F-6AFB-4A2E-9CD4-FF1191A4BFC8}"/>
    <cellStyle name="Normal 10 2 5 4 3 2 2" xfId="12789" xr:uid="{313CCD97-2639-44E8-A3DA-F33CFDC5696B}"/>
    <cellStyle name="Normal 10 2 5 4 3 2 2 2" xfId="12790" xr:uid="{25F0A753-4CB3-4C4C-937A-31565B69893B}"/>
    <cellStyle name="Normal 10 2 5 4 3 2 2 2 2" xfId="12791" xr:uid="{DC7048B5-5C9E-4535-9AA5-052BD54103ED}"/>
    <cellStyle name="Normal 10 2 5 4 3 2 2 3" xfId="12792" xr:uid="{C001933E-F1DC-4EE5-84C7-1EB27A30D86C}"/>
    <cellStyle name="Normal 10 2 5 4 3 2 3" xfId="12793" xr:uid="{E091B1EC-D842-406E-BC95-B13214B5A9F8}"/>
    <cellStyle name="Normal 10 2 5 4 3 2 3 2" xfId="12794" xr:uid="{23EBD736-E48D-4CDB-A7B1-399D34AFA345}"/>
    <cellStyle name="Normal 10 2 5 4 3 2 4" xfId="12795" xr:uid="{FC3AF1A2-AE51-41D0-A583-70B86D5E218B}"/>
    <cellStyle name="Normal 10 2 5 4 3 3" xfId="12796" xr:uid="{D6C39481-4C9C-4A22-8F25-D4D76D0E4D95}"/>
    <cellStyle name="Normal 10 2 5 4 3 3 2" xfId="12797" xr:uid="{9F34501C-C7E2-453B-8C35-F644D622CAB7}"/>
    <cellStyle name="Normal 10 2 5 4 3 3 2 2" xfId="12798" xr:uid="{53EADC7A-27F9-4BC6-A373-70BAE1A3E1BF}"/>
    <cellStyle name="Normal 10 2 5 4 3 3 3" xfId="12799" xr:uid="{9D15E73E-D37E-469E-998D-FDC3A149E605}"/>
    <cellStyle name="Normal 10 2 5 4 3 4" xfId="12800" xr:uid="{6AD584C2-900C-40A7-B14E-864D74B64B87}"/>
    <cellStyle name="Normal 10 2 5 4 3 4 2" xfId="12801" xr:uid="{667BA865-43E3-45C6-94A9-319BF33C7060}"/>
    <cellStyle name="Normal 10 2 5 4 3 5" xfId="12802" xr:uid="{3CE594E8-1579-4F8D-A317-E0EDB1B63C85}"/>
    <cellStyle name="Normal 10 2 5 4 4" xfId="12803" xr:uid="{A4AEA849-CA34-4EE8-8E2E-089C29476E05}"/>
    <cellStyle name="Normal 10 2 5 4 4 2" xfId="12804" xr:uid="{AF770AB7-DE50-4FE3-81DD-B204A5AF1F30}"/>
    <cellStyle name="Normal 10 2 5 4 4 2 2" xfId="12805" xr:uid="{C8A58305-AD99-4394-B389-8C7290DCC0A5}"/>
    <cellStyle name="Normal 10 2 5 4 4 2 2 2" xfId="12806" xr:uid="{7A3AB136-5929-4993-B85A-9612BFCF1CF3}"/>
    <cellStyle name="Normal 10 2 5 4 4 2 3" xfId="12807" xr:uid="{DD332BCD-1A3C-4021-A2AE-A9E58741DE52}"/>
    <cellStyle name="Normal 10 2 5 4 4 3" xfId="12808" xr:uid="{EFFDD0F9-1BB5-4EAB-B6AE-7CDB8D2EB3A5}"/>
    <cellStyle name="Normal 10 2 5 4 4 3 2" xfId="12809" xr:uid="{2827F2F0-A899-4B2D-9F9B-561CD2D53D82}"/>
    <cellStyle name="Normal 10 2 5 4 4 4" xfId="12810" xr:uid="{F345CF3E-4645-4C4F-9EBE-2929AB02853E}"/>
    <cellStyle name="Normal 10 2 5 4 5" xfId="12811" xr:uid="{8302993F-7F73-4EAF-8D47-DF83748C1817}"/>
    <cellStyle name="Normal 10 2 5 4 5 2" xfId="12812" xr:uid="{DE7CEB7B-29E2-4A3D-BA02-1707CC471884}"/>
    <cellStyle name="Normal 10 2 5 4 5 2 2" xfId="12813" xr:uid="{05DEBE83-0069-430B-9F1F-F4DB72D26494}"/>
    <cellStyle name="Normal 10 2 5 4 5 3" xfId="12814" xr:uid="{93163731-19A2-45DD-BC68-F908DE7B43A6}"/>
    <cellStyle name="Normal 10 2 5 4 6" xfId="12815" xr:uid="{312D8A28-CBB3-4E5C-B4C0-01ABD91E651E}"/>
    <cellStyle name="Normal 10 2 5 4 6 2" xfId="12816" xr:uid="{3EFE630E-055D-4650-BC1F-9439AE546AE1}"/>
    <cellStyle name="Normal 10 2 5 4 7" xfId="12817" xr:uid="{2E645346-FD04-4425-A829-82FFAA7C30E5}"/>
    <cellStyle name="Normal 10 2 5 5" xfId="12818" xr:uid="{77361C73-9D08-42A8-B2D3-C21BADEB885B}"/>
    <cellStyle name="Normal 10 2 5 5 2" xfId="12819" xr:uid="{6BEDB040-56A2-4343-9A37-2ECCA1EE6DA0}"/>
    <cellStyle name="Normal 10 2 5 5 2 2" xfId="12820" xr:uid="{1A9D566E-3FEF-4354-885D-1A8FEFFA7F8D}"/>
    <cellStyle name="Normal 10 2 5 5 2 2 2" xfId="12821" xr:uid="{3B777E41-52E4-4AB2-AD99-61249A7F1F33}"/>
    <cellStyle name="Normal 10 2 5 5 2 2 2 2" xfId="12822" xr:uid="{6B975BF6-1438-44C9-AFEE-30AAF88C3548}"/>
    <cellStyle name="Normal 10 2 5 5 2 2 2 2 2" xfId="12823" xr:uid="{B4C79946-BEBD-4AB1-A902-693044688493}"/>
    <cellStyle name="Normal 10 2 5 5 2 2 2 3" xfId="12824" xr:uid="{B02B1DD1-EFFC-4438-8F74-C880059968A6}"/>
    <cellStyle name="Normal 10 2 5 5 2 2 3" xfId="12825" xr:uid="{B653E89F-E045-4A51-8D2B-482497E51FAA}"/>
    <cellStyle name="Normal 10 2 5 5 2 2 3 2" xfId="12826" xr:uid="{31D87586-EDEA-4FC7-A2B1-85C7760360B7}"/>
    <cellStyle name="Normal 10 2 5 5 2 2 4" xfId="12827" xr:uid="{F07F513C-B487-40B4-AC14-B7A55207D899}"/>
    <cellStyle name="Normal 10 2 5 5 2 3" xfId="12828" xr:uid="{087C2747-3DF1-4009-A22A-8D2B709B52B6}"/>
    <cellStyle name="Normal 10 2 5 5 2 3 2" xfId="12829" xr:uid="{61093BB3-3C33-4BD1-9065-FC8B74A9EFCA}"/>
    <cellStyle name="Normal 10 2 5 5 2 3 2 2" xfId="12830" xr:uid="{8430BCD4-B2D6-4FAE-8C7D-DF82AB3361CE}"/>
    <cellStyle name="Normal 10 2 5 5 2 3 3" xfId="12831" xr:uid="{9414E41B-2AB5-4A08-9CD6-3C0BE67BA602}"/>
    <cellStyle name="Normal 10 2 5 5 2 4" xfId="12832" xr:uid="{12AF9DAB-361F-4548-A513-B97A2181439B}"/>
    <cellStyle name="Normal 10 2 5 5 2 4 2" xfId="12833" xr:uid="{3694308D-6F7F-4022-B056-8D4018DFA83C}"/>
    <cellStyle name="Normal 10 2 5 5 2 5" xfId="12834" xr:uid="{776D781D-150F-409B-817D-5604D78CA6BC}"/>
    <cellStyle name="Normal 10 2 5 5 3" xfId="12835" xr:uid="{DC167493-B4AE-4958-B9C0-40E638FCBCF0}"/>
    <cellStyle name="Normal 10 2 5 5 3 2" xfId="12836" xr:uid="{FBB4C044-8D43-4226-AD2D-131D408FFB29}"/>
    <cellStyle name="Normal 10 2 5 5 3 2 2" xfId="12837" xr:uid="{CCD8BB2E-D76B-4ABA-A4BF-C2919B052898}"/>
    <cellStyle name="Normal 10 2 5 5 3 2 2 2" xfId="12838" xr:uid="{F50613E4-8DE2-418F-873B-9320C4773496}"/>
    <cellStyle name="Normal 10 2 5 5 3 2 3" xfId="12839" xr:uid="{B609CE98-7260-4F5E-A877-99EC798F24F5}"/>
    <cellStyle name="Normal 10 2 5 5 3 3" xfId="12840" xr:uid="{D298D637-BE1B-4E75-AD08-9BC9AF75D664}"/>
    <cellStyle name="Normal 10 2 5 5 3 3 2" xfId="12841" xr:uid="{2905A5B0-9352-46BA-A495-E741CA11F651}"/>
    <cellStyle name="Normal 10 2 5 5 3 4" xfId="12842" xr:uid="{D64646CB-7395-4D49-9DE3-2FF581CB67AA}"/>
    <cellStyle name="Normal 10 2 5 5 4" xfId="12843" xr:uid="{F43DC863-6B20-44DC-A58F-B86ACF133E66}"/>
    <cellStyle name="Normal 10 2 5 5 4 2" xfId="12844" xr:uid="{C3338BFC-3013-4DAE-80E4-6B90F0AA6013}"/>
    <cellStyle name="Normal 10 2 5 5 4 2 2" xfId="12845" xr:uid="{1748956F-C739-454C-A296-F1C8128E75D3}"/>
    <cellStyle name="Normal 10 2 5 5 4 3" xfId="12846" xr:uid="{526BE11A-76C7-420D-B740-8CE4D254CD4F}"/>
    <cellStyle name="Normal 10 2 5 5 5" xfId="12847" xr:uid="{C8DD3CB3-1F26-4302-B2B6-84D28A0E18E2}"/>
    <cellStyle name="Normal 10 2 5 5 5 2" xfId="12848" xr:uid="{5B0CADB5-43E9-4B31-ABE0-FE55E53E1B3F}"/>
    <cellStyle name="Normal 10 2 5 5 6" xfId="12849" xr:uid="{9E2F7ACE-27E9-4111-8E5F-C2F1A11434A5}"/>
    <cellStyle name="Normal 10 2 5 6" xfId="12850" xr:uid="{6136F1BE-1D9A-4F70-BA16-7A355234141C}"/>
    <cellStyle name="Normal 10 2 5 6 2" xfId="12851" xr:uid="{45EB592C-78CC-434F-A28D-056A8C2BE517}"/>
    <cellStyle name="Normal 10 2 5 6 2 2" xfId="12852" xr:uid="{961A401A-6B02-457E-843C-1A3FF34B907C}"/>
    <cellStyle name="Normal 10 2 5 6 2 2 2" xfId="12853" xr:uid="{7160D382-0876-427D-9D83-2342A3E6EE8C}"/>
    <cellStyle name="Normal 10 2 5 6 2 2 2 2" xfId="12854" xr:uid="{E4A95D33-2FDB-43CA-8C62-3ED5F77D4D82}"/>
    <cellStyle name="Normal 10 2 5 6 2 2 3" xfId="12855" xr:uid="{7C76457E-1459-42F9-B822-5B9AB384AD72}"/>
    <cellStyle name="Normal 10 2 5 6 2 3" xfId="12856" xr:uid="{452F6962-C645-4028-90F1-A892833C6933}"/>
    <cellStyle name="Normal 10 2 5 6 2 3 2" xfId="12857" xr:uid="{6B3A88DC-94A4-415B-8AFA-1D1FC3BBD0AC}"/>
    <cellStyle name="Normal 10 2 5 6 2 4" xfId="12858" xr:uid="{4E39275A-FDAE-4C34-AFAE-1C97F4E0F1BD}"/>
    <cellStyle name="Normal 10 2 5 6 3" xfId="12859" xr:uid="{5FB8A645-7A34-4159-82EF-BCCDA4B4296C}"/>
    <cellStyle name="Normal 10 2 5 6 3 2" xfId="12860" xr:uid="{096A8342-B0AB-4499-92E6-3B399D90C03F}"/>
    <cellStyle name="Normal 10 2 5 6 3 2 2" xfId="12861" xr:uid="{E9E77FEE-F513-447B-B127-CA42F4F18C4B}"/>
    <cellStyle name="Normal 10 2 5 6 3 3" xfId="12862" xr:uid="{F17C4DC0-CE4E-4492-94AE-A6DAC1D4F574}"/>
    <cellStyle name="Normal 10 2 5 6 4" xfId="12863" xr:uid="{AC1715B1-5048-4C0C-BB23-58B2B836AAAA}"/>
    <cellStyle name="Normal 10 2 5 6 4 2" xfId="12864" xr:uid="{83C6BD5B-3A05-494A-8568-46F7F89687DA}"/>
    <cellStyle name="Normal 10 2 5 6 5" xfId="12865" xr:uid="{25CA5904-61E2-43B7-BA11-81BC26F43FAC}"/>
    <cellStyle name="Normal 10 2 5 7" xfId="12866" xr:uid="{4D56416B-95D7-4976-A8B5-8B6ABA86C2B6}"/>
    <cellStyle name="Normal 10 2 5 7 2" xfId="12867" xr:uid="{893875FC-C3BB-4B54-9B37-5284C1206177}"/>
    <cellStyle name="Normal 10 2 5 7 2 2" xfId="12868" xr:uid="{452355D0-90C9-45A9-B43D-7E060F4E274E}"/>
    <cellStyle name="Normal 10 2 5 7 2 2 2" xfId="12869" xr:uid="{A5E0A1C2-4247-44ED-BE4E-DE6F84E58354}"/>
    <cellStyle name="Normal 10 2 5 7 2 3" xfId="12870" xr:uid="{1F72DF57-8D0A-44BB-B670-F1A68A808F88}"/>
    <cellStyle name="Normal 10 2 5 7 3" xfId="12871" xr:uid="{71BA617A-B055-49D8-A691-083D23A3A53F}"/>
    <cellStyle name="Normal 10 2 5 7 3 2" xfId="12872" xr:uid="{35FAC2B9-E454-40CE-98E0-4ACD74C2E19A}"/>
    <cellStyle name="Normal 10 2 5 7 4" xfId="12873" xr:uid="{031304EC-C809-4329-8DDC-6F63AD3EBF05}"/>
    <cellStyle name="Normal 10 2 5 8" xfId="12874" xr:uid="{5257E1BE-47E8-4F8C-A18D-07E9EC6BDBA8}"/>
    <cellStyle name="Normal 10 2 5 8 2" xfId="12875" xr:uid="{D2F53E38-A02D-4319-A48B-1B82145BB5A3}"/>
    <cellStyle name="Normal 10 2 5 8 2 2" xfId="12876" xr:uid="{02442A0B-DBFC-4B74-94DD-7F126D30C301}"/>
    <cellStyle name="Normal 10 2 5 8 3" xfId="12877" xr:uid="{2A1341CE-78D9-4153-98FB-2A1DB062D170}"/>
    <cellStyle name="Normal 10 2 5 9" xfId="12878" xr:uid="{EF11D3C0-8A49-42F0-B1E9-6BEA804CB743}"/>
    <cellStyle name="Normal 10 2 5 9 2" xfId="12879" xr:uid="{FD0EB371-D1B1-4671-A7CF-3DFCAA05D86E}"/>
    <cellStyle name="Normal 10 2 6" xfId="234" xr:uid="{6C724D05-906E-4A86-9ECC-48EC728470BC}"/>
    <cellStyle name="Normal 10 2 6 10" xfId="12880" xr:uid="{B813F962-ECB2-44F5-AB0E-92CC5A1BDB04}"/>
    <cellStyle name="Normal 10 2 6 11" xfId="555" xr:uid="{6E4F2E3C-D4CB-49C5-AB7A-0A4BB1BEEF7D}"/>
    <cellStyle name="Normal 10 2 6 2" xfId="324" xr:uid="{93021861-C6C6-4D16-A777-586C030A3B57}"/>
    <cellStyle name="Normal 10 2 6 2 10" xfId="12881" xr:uid="{72C03CC4-6993-4EC9-A814-EDB9E1400CAC}"/>
    <cellStyle name="Normal 10 2 6 2 2" xfId="12882" xr:uid="{C7B69285-5904-43C7-A40C-4993D62D8041}"/>
    <cellStyle name="Normal 10 2 6 2 2 2" xfId="12883" xr:uid="{BCBAB8A8-43A3-48F8-AC95-9B732C0981FB}"/>
    <cellStyle name="Normal 10 2 6 2 2 2 2" xfId="12884" xr:uid="{61515436-D856-4E24-9BA4-7FEE58A723CD}"/>
    <cellStyle name="Normal 10 2 6 2 2 2 2 2" xfId="12885" xr:uid="{F90EF167-6BEE-4A0B-B835-FF1CB75FB7E9}"/>
    <cellStyle name="Normal 10 2 6 2 2 2 2 2 2" xfId="12886" xr:uid="{229F88A2-5444-4157-ACD2-092BD53C07A3}"/>
    <cellStyle name="Normal 10 2 6 2 2 2 2 2 2 2" xfId="12887" xr:uid="{B13AD293-F151-46DC-8819-672DABDDF803}"/>
    <cellStyle name="Normal 10 2 6 2 2 2 2 2 2 2 2" xfId="12888" xr:uid="{369DDF1A-1BE9-40F1-BFDC-9A9C144915F1}"/>
    <cellStyle name="Normal 10 2 6 2 2 2 2 2 2 2 2 2" xfId="12889" xr:uid="{7CC93039-AD14-40F3-96BC-5E38DD0E9A73}"/>
    <cellStyle name="Normal 10 2 6 2 2 2 2 2 2 2 3" xfId="12890" xr:uid="{531B5DD7-FEF5-4AD0-BF73-E5152D0F661A}"/>
    <cellStyle name="Normal 10 2 6 2 2 2 2 2 2 3" xfId="12891" xr:uid="{6E9D0743-6045-4455-8EBA-9619B124CBEA}"/>
    <cellStyle name="Normal 10 2 6 2 2 2 2 2 2 3 2" xfId="12892" xr:uid="{E5705CF6-5C5D-4C33-9EF8-90F4D647C664}"/>
    <cellStyle name="Normal 10 2 6 2 2 2 2 2 2 4" xfId="12893" xr:uid="{F352EF4C-7EE4-43CB-8E4D-D03614CF777B}"/>
    <cellStyle name="Normal 10 2 6 2 2 2 2 2 3" xfId="12894" xr:uid="{FAB8F8CC-90AA-43DF-9E44-D0CE4734760E}"/>
    <cellStyle name="Normal 10 2 6 2 2 2 2 2 3 2" xfId="12895" xr:uid="{A232DE74-6558-4071-A5A6-9ABF7441BF0D}"/>
    <cellStyle name="Normal 10 2 6 2 2 2 2 2 3 2 2" xfId="12896" xr:uid="{A05BE4F4-C785-4EF9-9D76-69C5A4C25871}"/>
    <cellStyle name="Normal 10 2 6 2 2 2 2 2 3 3" xfId="12897" xr:uid="{310CD166-B980-4DC0-89A3-53F4BF638A5A}"/>
    <cellStyle name="Normal 10 2 6 2 2 2 2 2 4" xfId="12898" xr:uid="{D91124D5-56C6-482D-AA10-40BED76683F6}"/>
    <cellStyle name="Normal 10 2 6 2 2 2 2 2 4 2" xfId="12899" xr:uid="{DDD930EA-6B7F-4FBB-B3D5-D24440B84143}"/>
    <cellStyle name="Normal 10 2 6 2 2 2 2 2 5" xfId="12900" xr:uid="{E08C662A-3459-466C-87B5-F436A279513A}"/>
    <cellStyle name="Normal 10 2 6 2 2 2 2 3" xfId="12901" xr:uid="{95566715-7EC1-46F6-BA96-74F77B35297B}"/>
    <cellStyle name="Normal 10 2 6 2 2 2 2 3 2" xfId="12902" xr:uid="{8322FF6F-7358-42B3-A43C-D2D1C05341E3}"/>
    <cellStyle name="Normal 10 2 6 2 2 2 2 3 2 2" xfId="12903" xr:uid="{2C7DCE45-10B9-4286-8F2B-75750A7357AC}"/>
    <cellStyle name="Normal 10 2 6 2 2 2 2 3 2 2 2" xfId="12904" xr:uid="{613AFC1E-7AF5-4DB4-9148-726508F9710C}"/>
    <cellStyle name="Normal 10 2 6 2 2 2 2 3 2 3" xfId="12905" xr:uid="{EC534F6C-9648-4B53-A332-1996717CD95B}"/>
    <cellStyle name="Normal 10 2 6 2 2 2 2 3 3" xfId="12906" xr:uid="{528AE5D9-72C1-46C3-8589-A9E553390B5F}"/>
    <cellStyle name="Normal 10 2 6 2 2 2 2 3 3 2" xfId="12907" xr:uid="{488B86B6-2D10-4FDC-9EDA-A7639CCCB54D}"/>
    <cellStyle name="Normal 10 2 6 2 2 2 2 3 4" xfId="12908" xr:uid="{A6E610A3-8763-433D-8C91-E92AAB0D6D19}"/>
    <cellStyle name="Normal 10 2 6 2 2 2 2 4" xfId="12909" xr:uid="{3A292FEA-A4CE-4E21-850E-076313C6BA74}"/>
    <cellStyle name="Normal 10 2 6 2 2 2 2 4 2" xfId="12910" xr:uid="{8C70FE67-4A1E-47FD-8FB4-BF1490F10854}"/>
    <cellStyle name="Normal 10 2 6 2 2 2 2 4 2 2" xfId="12911" xr:uid="{B9AC397C-2673-4815-8D81-DAA1026090E3}"/>
    <cellStyle name="Normal 10 2 6 2 2 2 2 4 3" xfId="12912" xr:uid="{CEB1540A-7322-40AC-9D24-F23291528D08}"/>
    <cellStyle name="Normal 10 2 6 2 2 2 2 5" xfId="12913" xr:uid="{7351F841-C9BE-47DA-BBEB-6CEFB39E213F}"/>
    <cellStyle name="Normal 10 2 6 2 2 2 2 5 2" xfId="12914" xr:uid="{98F2B06B-5339-4626-A529-34AA8C5CD961}"/>
    <cellStyle name="Normal 10 2 6 2 2 2 2 6" xfId="12915" xr:uid="{EACA231F-B384-4F1E-BC5D-638B8C9DB6F4}"/>
    <cellStyle name="Normal 10 2 6 2 2 2 3" xfId="12916" xr:uid="{7197E8A3-EAB8-41B6-8660-931C34DF2AE4}"/>
    <cellStyle name="Normal 10 2 6 2 2 2 3 2" xfId="12917" xr:uid="{2C9970F6-DCF5-46C0-B75D-F3EB52011AC7}"/>
    <cellStyle name="Normal 10 2 6 2 2 2 3 2 2" xfId="12918" xr:uid="{93AD16A8-8BF5-4D26-916D-5725B3D1ADAB}"/>
    <cellStyle name="Normal 10 2 6 2 2 2 3 2 2 2" xfId="12919" xr:uid="{82D16DB6-6F51-4A7A-8B28-F41461EDD4FE}"/>
    <cellStyle name="Normal 10 2 6 2 2 2 3 2 2 2 2" xfId="12920" xr:uid="{D9731715-E0CB-482F-B5D8-FEA99FF591B3}"/>
    <cellStyle name="Normal 10 2 6 2 2 2 3 2 2 3" xfId="12921" xr:uid="{699C6D97-7019-4229-9E69-80FB5BA77BC7}"/>
    <cellStyle name="Normal 10 2 6 2 2 2 3 2 3" xfId="12922" xr:uid="{C0BD13FF-E425-4AD5-B3C7-231110E90830}"/>
    <cellStyle name="Normal 10 2 6 2 2 2 3 2 3 2" xfId="12923" xr:uid="{7D37BFBC-6FB3-4E92-91E1-69C4AD141254}"/>
    <cellStyle name="Normal 10 2 6 2 2 2 3 2 4" xfId="12924" xr:uid="{8B2DE476-DB2E-4930-8CA5-9AC82A3CC2BD}"/>
    <cellStyle name="Normal 10 2 6 2 2 2 3 3" xfId="12925" xr:uid="{BCDE6B92-5B48-45C5-967E-B1A8B5E6F734}"/>
    <cellStyle name="Normal 10 2 6 2 2 2 3 3 2" xfId="12926" xr:uid="{AC0A845C-8B61-4102-8842-B2C49EF47520}"/>
    <cellStyle name="Normal 10 2 6 2 2 2 3 3 2 2" xfId="12927" xr:uid="{9B0E3EE0-A606-4266-AF75-FF5FF71A9F75}"/>
    <cellStyle name="Normal 10 2 6 2 2 2 3 3 3" xfId="12928" xr:uid="{D727C5DC-D9B5-4F19-8FAC-9737BA5E5D85}"/>
    <cellStyle name="Normal 10 2 6 2 2 2 3 4" xfId="12929" xr:uid="{20E9176C-25E1-47FE-91D0-5A8522C4FA5B}"/>
    <cellStyle name="Normal 10 2 6 2 2 2 3 4 2" xfId="12930" xr:uid="{81690EBF-DB61-430A-B721-25E6BE796BD0}"/>
    <cellStyle name="Normal 10 2 6 2 2 2 3 5" xfId="12931" xr:uid="{7030AE11-6649-4CB9-BF22-BE5E17DDF839}"/>
    <cellStyle name="Normal 10 2 6 2 2 2 4" xfId="12932" xr:uid="{17F7FE5B-8339-418C-B4AB-6016409E17AC}"/>
    <cellStyle name="Normal 10 2 6 2 2 2 4 2" xfId="12933" xr:uid="{4490F3D1-7109-4E04-A09C-F3C2093C56F3}"/>
    <cellStyle name="Normal 10 2 6 2 2 2 4 2 2" xfId="12934" xr:uid="{E7E4EC8A-9833-48E0-B39A-B4A464A6877D}"/>
    <cellStyle name="Normal 10 2 6 2 2 2 4 2 2 2" xfId="12935" xr:uid="{2C7D7833-8702-416C-8D94-77CAC49B2EA3}"/>
    <cellStyle name="Normal 10 2 6 2 2 2 4 2 3" xfId="12936" xr:uid="{530D6B65-80F5-45EE-BB1C-0C830A339543}"/>
    <cellStyle name="Normal 10 2 6 2 2 2 4 3" xfId="12937" xr:uid="{623F8DA1-B09E-4162-B1B9-DF5D5F0735A0}"/>
    <cellStyle name="Normal 10 2 6 2 2 2 4 3 2" xfId="12938" xr:uid="{B7AEE718-BBA9-4378-B031-D0D0AFAF7474}"/>
    <cellStyle name="Normal 10 2 6 2 2 2 4 4" xfId="12939" xr:uid="{4E4F53F8-3E49-4E40-9340-B74A40673B9C}"/>
    <cellStyle name="Normal 10 2 6 2 2 2 5" xfId="12940" xr:uid="{59F16D1B-BA1C-4060-9E5A-8696718BFBB1}"/>
    <cellStyle name="Normal 10 2 6 2 2 2 5 2" xfId="12941" xr:uid="{E07A9173-560F-4DF4-8D36-23886A310343}"/>
    <cellStyle name="Normal 10 2 6 2 2 2 5 2 2" xfId="12942" xr:uid="{819F5330-17E4-43C5-86F8-1A9680F33838}"/>
    <cellStyle name="Normal 10 2 6 2 2 2 5 3" xfId="12943" xr:uid="{F6FDE77A-7F39-4C20-ADE1-151D21E171CF}"/>
    <cellStyle name="Normal 10 2 6 2 2 2 6" xfId="12944" xr:uid="{7CFF81AC-C23D-4FFA-9A89-D67EE5239884}"/>
    <cellStyle name="Normal 10 2 6 2 2 2 6 2" xfId="12945" xr:uid="{BA3F2E1E-D96C-4460-9A93-FBE9617FE9E4}"/>
    <cellStyle name="Normal 10 2 6 2 2 2 7" xfId="12946" xr:uid="{B771ECE6-F34C-497C-B4BD-F90F8B8B4D48}"/>
    <cellStyle name="Normal 10 2 6 2 2 3" xfId="12947" xr:uid="{ED828AE9-B14E-4D25-9D15-B2F699BBCED5}"/>
    <cellStyle name="Normal 10 2 6 2 2 3 2" xfId="12948" xr:uid="{866126CD-1CFC-42FA-8CCA-9E74887C82F3}"/>
    <cellStyle name="Normal 10 2 6 2 2 3 2 2" xfId="12949" xr:uid="{1D9205F3-EFAF-473D-8E71-A4CA69024EEB}"/>
    <cellStyle name="Normal 10 2 6 2 2 3 2 2 2" xfId="12950" xr:uid="{48B02EB9-791B-43DE-93BF-9FF6A468A7B5}"/>
    <cellStyle name="Normal 10 2 6 2 2 3 2 2 2 2" xfId="12951" xr:uid="{DD2F0ABB-0541-4DDE-A511-EF6D93C64508}"/>
    <cellStyle name="Normal 10 2 6 2 2 3 2 2 2 2 2" xfId="12952" xr:uid="{26E7D0C7-A5B6-40B7-AFE9-395C45BAB273}"/>
    <cellStyle name="Normal 10 2 6 2 2 3 2 2 2 3" xfId="12953" xr:uid="{5319382F-C40F-42D2-A656-7EF82F1E9CB2}"/>
    <cellStyle name="Normal 10 2 6 2 2 3 2 2 3" xfId="12954" xr:uid="{E92BA3E9-E87C-4C89-9B12-B6EB79D1A43C}"/>
    <cellStyle name="Normal 10 2 6 2 2 3 2 2 3 2" xfId="12955" xr:uid="{E0928174-5039-4BCE-B0C4-6264136D1FCE}"/>
    <cellStyle name="Normal 10 2 6 2 2 3 2 2 4" xfId="12956" xr:uid="{3236EAFC-D4D6-45FB-8880-2C951DECE40E}"/>
    <cellStyle name="Normal 10 2 6 2 2 3 2 3" xfId="12957" xr:uid="{01AD29E8-5625-44D0-870F-0E6D2BB32243}"/>
    <cellStyle name="Normal 10 2 6 2 2 3 2 3 2" xfId="12958" xr:uid="{6DEFD779-753C-435C-AFE0-A040B07C69A4}"/>
    <cellStyle name="Normal 10 2 6 2 2 3 2 3 2 2" xfId="12959" xr:uid="{1BBA3E7C-8F87-497A-AD85-876151EEDBD8}"/>
    <cellStyle name="Normal 10 2 6 2 2 3 2 3 3" xfId="12960" xr:uid="{8ADBE8C2-513C-49AE-A798-3365B68E980D}"/>
    <cellStyle name="Normal 10 2 6 2 2 3 2 4" xfId="12961" xr:uid="{2490FBE5-8B9C-46F1-BBF3-2EEA27BDA20E}"/>
    <cellStyle name="Normal 10 2 6 2 2 3 2 4 2" xfId="12962" xr:uid="{AFE00B9D-5214-4AC5-85F3-BDB828891DF7}"/>
    <cellStyle name="Normal 10 2 6 2 2 3 2 5" xfId="12963" xr:uid="{0A16CC16-A7BD-46D4-B43E-2B151A8DFA09}"/>
    <cellStyle name="Normal 10 2 6 2 2 3 3" xfId="12964" xr:uid="{8C79DBE8-F1C3-4B26-B976-BC1CB2FB7A61}"/>
    <cellStyle name="Normal 10 2 6 2 2 3 3 2" xfId="12965" xr:uid="{0D650D94-E7FF-4E83-9785-9E6474CD4E48}"/>
    <cellStyle name="Normal 10 2 6 2 2 3 3 2 2" xfId="12966" xr:uid="{37E93170-DDF1-414E-BF39-2B1D13ED5F92}"/>
    <cellStyle name="Normal 10 2 6 2 2 3 3 2 2 2" xfId="12967" xr:uid="{709B9A2D-7B57-438D-9998-4F8AC5C9F63E}"/>
    <cellStyle name="Normal 10 2 6 2 2 3 3 2 3" xfId="12968" xr:uid="{105AFC4D-3F53-470E-ADBD-8D2DAF42D71D}"/>
    <cellStyle name="Normal 10 2 6 2 2 3 3 3" xfId="12969" xr:uid="{AC16C750-0D69-48D1-9D6D-2B90ABB3183A}"/>
    <cellStyle name="Normal 10 2 6 2 2 3 3 3 2" xfId="12970" xr:uid="{51D73D84-6B86-4E0D-8E60-D31252167001}"/>
    <cellStyle name="Normal 10 2 6 2 2 3 3 4" xfId="12971" xr:uid="{680FDAFD-88EF-49FC-B3C3-9D2930B8E596}"/>
    <cellStyle name="Normal 10 2 6 2 2 3 4" xfId="12972" xr:uid="{70A23E6A-B1F5-43A9-A950-AFD2DF7D326A}"/>
    <cellStyle name="Normal 10 2 6 2 2 3 4 2" xfId="12973" xr:uid="{63D010DD-F1A5-4283-8941-C2349E2A142A}"/>
    <cellStyle name="Normal 10 2 6 2 2 3 4 2 2" xfId="12974" xr:uid="{22437B26-DDD1-481F-8E9E-8BB9BCADD338}"/>
    <cellStyle name="Normal 10 2 6 2 2 3 4 3" xfId="12975" xr:uid="{C4120788-EA17-48D1-A12D-964592F5EDF0}"/>
    <cellStyle name="Normal 10 2 6 2 2 3 5" xfId="12976" xr:uid="{E23933A8-CC4E-4B44-B025-D2317662EC5F}"/>
    <cellStyle name="Normal 10 2 6 2 2 3 5 2" xfId="12977" xr:uid="{6FB6D93B-EA2F-41E1-BAC7-AF8487B468A5}"/>
    <cellStyle name="Normal 10 2 6 2 2 3 6" xfId="12978" xr:uid="{EF64ADAA-43CA-48E4-B379-07E390439AAE}"/>
    <cellStyle name="Normal 10 2 6 2 2 4" xfId="12979" xr:uid="{7083D30B-C6DF-44CC-8A03-0F61630203F2}"/>
    <cellStyle name="Normal 10 2 6 2 2 4 2" xfId="12980" xr:uid="{A5570F6A-2550-4FAF-B2D7-84B477488A6C}"/>
    <cellStyle name="Normal 10 2 6 2 2 4 2 2" xfId="12981" xr:uid="{FFBD45F2-40E1-4708-A58B-F1E60A22A96C}"/>
    <cellStyle name="Normal 10 2 6 2 2 4 2 2 2" xfId="12982" xr:uid="{1FD13CE6-C2F4-449A-A819-D89E9BFFEDCF}"/>
    <cellStyle name="Normal 10 2 6 2 2 4 2 2 2 2" xfId="12983" xr:uid="{E6BD4E10-6763-4FE5-93ED-5A5E39353B9E}"/>
    <cellStyle name="Normal 10 2 6 2 2 4 2 2 3" xfId="12984" xr:uid="{BC0FAABB-11FF-403E-81DB-318908AEC11E}"/>
    <cellStyle name="Normal 10 2 6 2 2 4 2 3" xfId="12985" xr:uid="{987583AE-CE8B-4367-9EFD-3A74BA259491}"/>
    <cellStyle name="Normal 10 2 6 2 2 4 2 3 2" xfId="12986" xr:uid="{31A8D5EC-CFBC-4847-A3D3-C5CFDBC042F1}"/>
    <cellStyle name="Normal 10 2 6 2 2 4 2 4" xfId="12987" xr:uid="{6BFDD1E0-265D-4C16-BDF6-389FF14CBA4B}"/>
    <cellStyle name="Normal 10 2 6 2 2 4 3" xfId="12988" xr:uid="{0D48B170-C2CD-489C-A296-A5A84907D6EF}"/>
    <cellStyle name="Normal 10 2 6 2 2 4 3 2" xfId="12989" xr:uid="{A3D94715-5A06-41C6-B9A9-1E019F8121E9}"/>
    <cellStyle name="Normal 10 2 6 2 2 4 3 2 2" xfId="12990" xr:uid="{B2119C8B-A0B8-4F61-8978-2C17E018F437}"/>
    <cellStyle name="Normal 10 2 6 2 2 4 3 3" xfId="12991" xr:uid="{1B21C3EF-89F8-44CD-B7FA-8B8E935D570D}"/>
    <cellStyle name="Normal 10 2 6 2 2 4 4" xfId="12992" xr:uid="{C4A4D0FD-8938-404F-AF34-AC91BB2CDA2B}"/>
    <cellStyle name="Normal 10 2 6 2 2 4 4 2" xfId="12993" xr:uid="{7B00083C-1987-4155-9AA8-6C244CE75457}"/>
    <cellStyle name="Normal 10 2 6 2 2 4 5" xfId="12994" xr:uid="{155243E6-928B-49C9-9516-00F2FC81BD2A}"/>
    <cellStyle name="Normal 10 2 6 2 2 5" xfId="12995" xr:uid="{3600195F-94BF-4EBF-B394-B3C4B5326C2B}"/>
    <cellStyle name="Normal 10 2 6 2 2 5 2" xfId="12996" xr:uid="{C48E1EB7-443F-4F37-9A30-0A3BBB2DC835}"/>
    <cellStyle name="Normal 10 2 6 2 2 5 2 2" xfId="12997" xr:uid="{401A72E8-BBD6-4F7D-A2AE-8CCDE0D25293}"/>
    <cellStyle name="Normal 10 2 6 2 2 5 2 2 2" xfId="12998" xr:uid="{CDCCC5A6-FFED-4D59-9F84-71D7ED13DE4A}"/>
    <cellStyle name="Normal 10 2 6 2 2 5 2 3" xfId="12999" xr:uid="{D5ECFD88-84C1-4048-9DF5-2A4F65A04F4C}"/>
    <cellStyle name="Normal 10 2 6 2 2 5 3" xfId="13000" xr:uid="{7B98F2F5-F723-40C3-BABB-6037A4228412}"/>
    <cellStyle name="Normal 10 2 6 2 2 5 3 2" xfId="13001" xr:uid="{DF9E6627-CA82-47AC-AB9F-4AF99C3EF7D7}"/>
    <cellStyle name="Normal 10 2 6 2 2 5 4" xfId="13002" xr:uid="{BDBD7256-C404-43E4-BB1F-850B567C611E}"/>
    <cellStyle name="Normal 10 2 6 2 2 6" xfId="13003" xr:uid="{DB950944-022B-4AC0-B701-BB8E4717493F}"/>
    <cellStyle name="Normal 10 2 6 2 2 6 2" xfId="13004" xr:uid="{CA634E5D-EFAF-4C93-B82C-D802545012F7}"/>
    <cellStyle name="Normal 10 2 6 2 2 6 2 2" xfId="13005" xr:uid="{F99BAA55-194E-4283-9428-60E729AB7C15}"/>
    <cellStyle name="Normal 10 2 6 2 2 6 3" xfId="13006" xr:uid="{432AC7B5-B534-4B12-91E2-13E6EACB33CB}"/>
    <cellStyle name="Normal 10 2 6 2 2 7" xfId="13007" xr:uid="{9D21E5E5-3921-4DA3-8469-EA645D2B62C0}"/>
    <cellStyle name="Normal 10 2 6 2 2 7 2" xfId="13008" xr:uid="{1DF3362E-AFE2-4EDC-98CC-38440DD3B466}"/>
    <cellStyle name="Normal 10 2 6 2 2 8" xfId="13009" xr:uid="{D3D18A80-E57E-4CDE-867E-EFD40F11328B}"/>
    <cellStyle name="Normal 10 2 6 2 3" xfId="13010" xr:uid="{17CE59C7-898B-4273-9D75-7546C291A5B9}"/>
    <cellStyle name="Normal 10 2 6 2 3 2" xfId="13011" xr:uid="{5F094D29-5343-46BB-A165-396F7767E57A}"/>
    <cellStyle name="Normal 10 2 6 2 3 2 2" xfId="13012" xr:uid="{8F990F6A-8226-4D63-B0A0-35FA89702AC3}"/>
    <cellStyle name="Normal 10 2 6 2 3 2 2 2" xfId="13013" xr:uid="{F76805C3-F9CF-460A-BF99-930A4435C5A8}"/>
    <cellStyle name="Normal 10 2 6 2 3 2 2 2 2" xfId="13014" xr:uid="{508EB720-BE19-4D34-9D0F-F63FC031279A}"/>
    <cellStyle name="Normal 10 2 6 2 3 2 2 2 2 2" xfId="13015" xr:uid="{EC0CD89F-613B-4D41-ADDA-96CDA34BC9C8}"/>
    <cellStyle name="Normal 10 2 6 2 3 2 2 2 2 2 2" xfId="13016" xr:uid="{B740BA4D-C65C-4FE8-AF2C-70DB679FC75B}"/>
    <cellStyle name="Normal 10 2 6 2 3 2 2 2 2 3" xfId="13017" xr:uid="{8E6C6A32-D20D-484B-983B-50FD20DCCDB3}"/>
    <cellStyle name="Normal 10 2 6 2 3 2 2 2 3" xfId="13018" xr:uid="{8ADC2B30-23D1-4A21-8F2A-353F9B31F91E}"/>
    <cellStyle name="Normal 10 2 6 2 3 2 2 2 3 2" xfId="13019" xr:uid="{93973EC7-77DA-4CEE-BF3A-FEDF6F9DE9DB}"/>
    <cellStyle name="Normal 10 2 6 2 3 2 2 2 4" xfId="13020" xr:uid="{D0D7D322-CD6C-442F-9D21-80100EE1EC31}"/>
    <cellStyle name="Normal 10 2 6 2 3 2 2 3" xfId="13021" xr:uid="{B548B986-1051-484D-BBBE-0BAAA6A478E0}"/>
    <cellStyle name="Normal 10 2 6 2 3 2 2 3 2" xfId="13022" xr:uid="{A10C32D8-9D74-4CD9-9D83-B468E660BAC8}"/>
    <cellStyle name="Normal 10 2 6 2 3 2 2 3 2 2" xfId="13023" xr:uid="{FC4B1F6C-A650-4A86-B2EC-857E0096A68F}"/>
    <cellStyle name="Normal 10 2 6 2 3 2 2 3 3" xfId="13024" xr:uid="{A5681EAA-818B-4614-8408-8AFAE236A9EB}"/>
    <cellStyle name="Normal 10 2 6 2 3 2 2 4" xfId="13025" xr:uid="{0A8109FA-A5CC-4BAF-A057-F42138238A69}"/>
    <cellStyle name="Normal 10 2 6 2 3 2 2 4 2" xfId="13026" xr:uid="{48F72FF3-DD4E-4C3A-98BA-A2B249698316}"/>
    <cellStyle name="Normal 10 2 6 2 3 2 2 5" xfId="13027" xr:uid="{BD5D4912-4A27-4C2E-A9D9-FA7FDBCC0AC4}"/>
    <cellStyle name="Normal 10 2 6 2 3 2 3" xfId="13028" xr:uid="{56EF127E-3103-4BB3-9CF9-76029F467EB3}"/>
    <cellStyle name="Normal 10 2 6 2 3 2 3 2" xfId="13029" xr:uid="{3B43ED0D-08AD-4F78-9B82-1C4267D3C322}"/>
    <cellStyle name="Normal 10 2 6 2 3 2 3 2 2" xfId="13030" xr:uid="{E8A0975F-B521-4409-A20A-1AC43F2F151D}"/>
    <cellStyle name="Normal 10 2 6 2 3 2 3 2 2 2" xfId="13031" xr:uid="{1876642D-42D8-4779-AB3B-062B91608646}"/>
    <cellStyle name="Normal 10 2 6 2 3 2 3 2 3" xfId="13032" xr:uid="{6B73F2D0-E508-4673-B62B-848CC103B934}"/>
    <cellStyle name="Normal 10 2 6 2 3 2 3 3" xfId="13033" xr:uid="{2B4F20C7-F8E4-4225-83E7-261B331EE46F}"/>
    <cellStyle name="Normal 10 2 6 2 3 2 3 3 2" xfId="13034" xr:uid="{8F71BC17-B17A-4AFF-A296-863278DE0391}"/>
    <cellStyle name="Normal 10 2 6 2 3 2 3 4" xfId="13035" xr:uid="{41706D23-7001-4C87-8A76-633CBB0FA1EA}"/>
    <cellStyle name="Normal 10 2 6 2 3 2 4" xfId="13036" xr:uid="{2132ED45-E2D1-4B73-BA69-7519C8A33D4A}"/>
    <cellStyle name="Normal 10 2 6 2 3 2 4 2" xfId="13037" xr:uid="{8A6F50AC-5D72-4289-8A88-1DD71DB5BDA6}"/>
    <cellStyle name="Normal 10 2 6 2 3 2 4 2 2" xfId="13038" xr:uid="{05125345-3268-4BED-9F72-09EA0EC9501C}"/>
    <cellStyle name="Normal 10 2 6 2 3 2 4 3" xfId="13039" xr:uid="{DCE23B6E-8331-456A-972E-76B8083C0860}"/>
    <cellStyle name="Normal 10 2 6 2 3 2 5" xfId="13040" xr:uid="{760BC93C-E1BE-40AF-87DA-C9F3A9153E9C}"/>
    <cellStyle name="Normal 10 2 6 2 3 2 5 2" xfId="13041" xr:uid="{528CCF77-DE82-4552-A7CA-5C989BFAC839}"/>
    <cellStyle name="Normal 10 2 6 2 3 2 6" xfId="13042" xr:uid="{816C68F0-371B-4EB8-A923-DCB675498A9D}"/>
    <cellStyle name="Normal 10 2 6 2 3 3" xfId="13043" xr:uid="{CB54B1DD-2202-49E9-BD92-356CD857D448}"/>
    <cellStyle name="Normal 10 2 6 2 3 3 2" xfId="13044" xr:uid="{DAF78FA1-FE4B-4F7F-963F-AD55824EAC8B}"/>
    <cellStyle name="Normal 10 2 6 2 3 3 2 2" xfId="13045" xr:uid="{BA9DD06D-0565-424D-9371-18A604A30FE8}"/>
    <cellStyle name="Normal 10 2 6 2 3 3 2 2 2" xfId="13046" xr:uid="{0818EAAD-E155-476D-8842-CD13F4AD8C78}"/>
    <cellStyle name="Normal 10 2 6 2 3 3 2 2 2 2" xfId="13047" xr:uid="{C75B0B24-4036-44C8-8994-C43A4E8B7861}"/>
    <cellStyle name="Normal 10 2 6 2 3 3 2 2 3" xfId="13048" xr:uid="{A1130C4F-9EFF-48C2-A446-DA8C959C6F82}"/>
    <cellStyle name="Normal 10 2 6 2 3 3 2 3" xfId="13049" xr:uid="{3615E560-2059-49DB-A6D6-B34E70EB96E8}"/>
    <cellStyle name="Normal 10 2 6 2 3 3 2 3 2" xfId="13050" xr:uid="{95243F09-DD30-4E7B-8FBB-79D47B385DC8}"/>
    <cellStyle name="Normal 10 2 6 2 3 3 2 4" xfId="13051" xr:uid="{7ABFC426-4331-45D4-B74F-6BB076C93CDB}"/>
    <cellStyle name="Normal 10 2 6 2 3 3 3" xfId="13052" xr:uid="{A28BEE53-22F7-4F0E-B345-8A050A1B93AB}"/>
    <cellStyle name="Normal 10 2 6 2 3 3 3 2" xfId="13053" xr:uid="{84A7CD27-8B3B-4EEB-9DC6-B609B8789E24}"/>
    <cellStyle name="Normal 10 2 6 2 3 3 3 2 2" xfId="13054" xr:uid="{7F27B311-BF7C-49B7-AD3F-2B1337DD0FBD}"/>
    <cellStyle name="Normal 10 2 6 2 3 3 3 3" xfId="13055" xr:uid="{C1B8FB1D-3445-441B-A52C-F6BEAA88F099}"/>
    <cellStyle name="Normal 10 2 6 2 3 3 4" xfId="13056" xr:uid="{7A7B0FF0-AE06-4E58-8DF3-5741AE46E844}"/>
    <cellStyle name="Normal 10 2 6 2 3 3 4 2" xfId="13057" xr:uid="{D949F5E0-CF20-4035-9C0A-B87757E524BE}"/>
    <cellStyle name="Normal 10 2 6 2 3 3 5" xfId="13058" xr:uid="{0300BD28-63EB-47AF-A08D-10E373697D31}"/>
    <cellStyle name="Normal 10 2 6 2 3 4" xfId="13059" xr:uid="{16746467-B98B-46C0-8A03-C3F6B92FD031}"/>
    <cellStyle name="Normal 10 2 6 2 3 4 2" xfId="13060" xr:uid="{46E3A2E0-95F5-4F9D-8E60-A23A98A7E47C}"/>
    <cellStyle name="Normal 10 2 6 2 3 4 2 2" xfId="13061" xr:uid="{AA339BB2-6074-4615-9670-AC9A9AA69D69}"/>
    <cellStyle name="Normal 10 2 6 2 3 4 2 2 2" xfId="13062" xr:uid="{ED53D063-6571-4CD4-9816-2425FF21B0C8}"/>
    <cellStyle name="Normal 10 2 6 2 3 4 2 3" xfId="13063" xr:uid="{81DACB7E-233E-4591-81F0-2DB0D7958A4A}"/>
    <cellStyle name="Normal 10 2 6 2 3 4 3" xfId="13064" xr:uid="{4CCC0525-F998-4332-B255-C0F28BB0AEE5}"/>
    <cellStyle name="Normal 10 2 6 2 3 4 3 2" xfId="13065" xr:uid="{8B9A8D15-D397-4F2B-9C83-078E171F41ED}"/>
    <cellStyle name="Normal 10 2 6 2 3 4 4" xfId="13066" xr:uid="{4C48EDA7-78D6-473D-8EE8-257967F298AA}"/>
    <cellStyle name="Normal 10 2 6 2 3 5" xfId="13067" xr:uid="{74D46E0D-8E26-453A-A14C-82C2AAAE7251}"/>
    <cellStyle name="Normal 10 2 6 2 3 5 2" xfId="13068" xr:uid="{A8367519-EE9A-42BA-9E61-BC9AAED86850}"/>
    <cellStyle name="Normal 10 2 6 2 3 5 2 2" xfId="13069" xr:uid="{16A6785D-B61B-4EC8-AEA2-BE1968A8F876}"/>
    <cellStyle name="Normal 10 2 6 2 3 5 3" xfId="13070" xr:uid="{D1D11E1D-CB3F-4C8B-8503-1B068AFDE369}"/>
    <cellStyle name="Normal 10 2 6 2 3 6" xfId="13071" xr:uid="{E0C27966-6138-4BE6-8166-FC5F91B797F0}"/>
    <cellStyle name="Normal 10 2 6 2 3 6 2" xfId="13072" xr:uid="{0853196C-A0E1-4A7C-AF35-CB117DCC01B6}"/>
    <cellStyle name="Normal 10 2 6 2 3 7" xfId="13073" xr:uid="{EE265BCE-BBA5-4C30-BD15-A4DC0B12D4E2}"/>
    <cellStyle name="Normal 10 2 6 2 4" xfId="13074" xr:uid="{2DAEF134-5D53-4A7F-8FE7-0634E650A099}"/>
    <cellStyle name="Normal 10 2 6 2 4 2" xfId="13075" xr:uid="{2FC31328-B7AD-4477-B0FC-A3859A73898C}"/>
    <cellStyle name="Normal 10 2 6 2 4 2 2" xfId="13076" xr:uid="{7992806B-BC17-4956-9460-9DC9D5602E71}"/>
    <cellStyle name="Normal 10 2 6 2 4 2 2 2" xfId="13077" xr:uid="{39F0DCE3-FE85-4F3D-A0F1-10179005F345}"/>
    <cellStyle name="Normal 10 2 6 2 4 2 2 2 2" xfId="13078" xr:uid="{6AA97E21-2EB6-43B9-9FA2-63A6482E3754}"/>
    <cellStyle name="Normal 10 2 6 2 4 2 2 2 2 2" xfId="13079" xr:uid="{D2A137F1-366B-4EB2-9259-B7FA3B9F641C}"/>
    <cellStyle name="Normal 10 2 6 2 4 2 2 2 3" xfId="13080" xr:uid="{94D52AF4-FECB-4113-AC8A-0BBE7B23B47C}"/>
    <cellStyle name="Normal 10 2 6 2 4 2 2 3" xfId="13081" xr:uid="{0BC2F643-9C19-425C-A36F-23408602A5AB}"/>
    <cellStyle name="Normal 10 2 6 2 4 2 2 3 2" xfId="13082" xr:uid="{43CD7495-772F-4F02-9710-EB8C28B88669}"/>
    <cellStyle name="Normal 10 2 6 2 4 2 2 4" xfId="13083" xr:uid="{2D5219C1-5E42-4EA8-8A03-0DC6258FED22}"/>
    <cellStyle name="Normal 10 2 6 2 4 2 3" xfId="13084" xr:uid="{38A878C8-8CE5-4658-93B6-11DECF826D8B}"/>
    <cellStyle name="Normal 10 2 6 2 4 2 3 2" xfId="13085" xr:uid="{F4F7EBDD-2FDE-4A77-A3CE-6229EEDDB145}"/>
    <cellStyle name="Normal 10 2 6 2 4 2 3 2 2" xfId="13086" xr:uid="{7C9E265D-FFFF-4C0A-A613-3A6F6B05EFC6}"/>
    <cellStyle name="Normal 10 2 6 2 4 2 3 3" xfId="13087" xr:uid="{2B7BE01D-3E9D-423D-953C-82F6D68943FB}"/>
    <cellStyle name="Normal 10 2 6 2 4 2 4" xfId="13088" xr:uid="{ECDD3A98-2EBC-470E-AAAC-8BC9E86E0FCA}"/>
    <cellStyle name="Normal 10 2 6 2 4 2 4 2" xfId="13089" xr:uid="{B4CE8563-5B9F-4BDE-9B5A-6FBE2B3E320A}"/>
    <cellStyle name="Normal 10 2 6 2 4 2 5" xfId="13090" xr:uid="{B87B659F-A4A2-4B07-A932-8A1DD4CF7DD4}"/>
    <cellStyle name="Normal 10 2 6 2 4 3" xfId="13091" xr:uid="{94855BF0-5279-4286-BF72-406EE5821F02}"/>
    <cellStyle name="Normal 10 2 6 2 4 3 2" xfId="13092" xr:uid="{7EC3C989-7225-4097-BC50-C48C7AC37034}"/>
    <cellStyle name="Normal 10 2 6 2 4 3 2 2" xfId="13093" xr:uid="{888C7241-6DA2-4564-B3EC-3C1639217852}"/>
    <cellStyle name="Normal 10 2 6 2 4 3 2 2 2" xfId="13094" xr:uid="{147FF839-2CB8-435F-848E-AA77D3FC1A09}"/>
    <cellStyle name="Normal 10 2 6 2 4 3 2 3" xfId="13095" xr:uid="{D04E4F7E-50A3-452D-B634-30D70422E849}"/>
    <cellStyle name="Normal 10 2 6 2 4 3 3" xfId="13096" xr:uid="{D1ACA868-3431-46DF-B9DF-B476D974706A}"/>
    <cellStyle name="Normal 10 2 6 2 4 3 3 2" xfId="13097" xr:uid="{EA07D659-5E08-4ADA-B5CC-9F029713A864}"/>
    <cellStyle name="Normal 10 2 6 2 4 3 4" xfId="13098" xr:uid="{54881C1F-987E-4020-A770-432A2C81C128}"/>
    <cellStyle name="Normal 10 2 6 2 4 4" xfId="13099" xr:uid="{4043CF15-0B44-4BB2-AD6B-EC5653D053C3}"/>
    <cellStyle name="Normal 10 2 6 2 4 4 2" xfId="13100" xr:uid="{EFBE738D-EC2A-46A1-8C8E-FBDAB5B3F2E2}"/>
    <cellStyle name="Normal 10 2 6 2 4 4 2 2" xfId="13101" xr:uid="{B9A4DE12-ED42-4F0C-A26E-4EAF4E9A0485}"/>
    <cellStyle name="Normal 10 2 6 2 4 4 3" xfId="13102" xr:uid="{B280BF05-7892-4318-9E13-FEA32EFBECC5}"/>
    <cellStyle name="Normal 10 2 6 2 4 5" xfId="13103" xr:uid="{09B9F766-67E4-49F9-9FAB-C262942E34B7}"/>
    <cellStyle name="Normal 10 2 6 2 4 5 2" xfId="13104" xr:uid="{8DFCA270-A492-4745-B8A5-9BC2213BFA94}"/>
    <cellStyle name="Normal 10 2 6 2 4 6" xfId="13105" xr:uid="{AC1A524E-438A-4D30-802A-30215421CAC3}"/>
    <cellStyle name="Normal 10 2 6 2 5" xfId="13106" xr:uid="{248D183A-BA00-4146-BFF2-8AA533D4DF39}"/>
    <cellStyle name="Normal 10 2 6 2 5 2" xfId="13107" xr:uid="{A82DAB77-A497-442D-B382-8F58467D7152}"/>
    <cellStyle name="Normal 10 2 6 2 5 2 2" xfId="13108" xr:uid="{85A10863-E2CE-429F-BE60-153B3E14797C}"/>
    <cellStyle name="Normal 10 2 6 2 5 2 2 2" xfId="13109" xr:uid="{07CC1214-6790-4343-AE06-90571EAFA96C}"/>
    <cellStyle name="Normal 10 2 6 2 5 2 2 2 2" xfId="13110" xr:uid="{939DDB19-C0D3-42D9-91D9-AECB6214E9EE}"/>
    <cellStyle name="Normal 10 2 6 2 5 2 2 3" xfId="13111" xr:uid="{3604F9AC-9284-4789-AC64-FA929A3C2D1B}"/>
    <cellStyle name="Normal 10 2 6 2 5 2 3" xfId="13112" xr:uid="{595E58F1-765B-4FBE-8529-75317A61B622}"/>
    <cellStyle name="Normal 10 2 6 2 5 2 3 2" xfId="13113" xr:uid="{2A45D309-8DF1-4CFA-98F6-14BFC3D5D7BB}"/>
    <cellStyle name="Normal 10 2 6 2 5 2 4" xfId="13114" xr:uid="{AB74651E-ADBD-4128-9CBD-BB00A4A35A2A}"/>
    <cellStyle name="Normal 10 2 6 2 5 3" xfId="13115" xr:uid="{AB72D9F1-4C7A-4F97-AD3D-46F2C5D2A8A8}"/>
    <cellStyle name="Normal 10 2 6 2 5 3 2" xfId="13116" xr:uid="{868A68B6-9A70-4389-A1D6-DB78CE6A5773}"/>
    <cellStyle name="Normal 10 2 6 2 5 3 2 2" xfId="13117" xr:uid="{F0428F71-2B14-48AE-A98C-0E625BBBB4D4}"/>
    <cellStyle name="Normal 10 2 6 2 5 3 3" xfId="13118" xr:uid="{83CED195-661D-4A0C-89E2-0F1EC310A824}"/>
    <cellStyle name="Normal 10 2 6 2 5 4" xfId="13119" xr:uid="{3D2DC8D0-FF7D-4667-84C9-A7CF41601013}"/>
    <cellStyle name="Normal 10 2 6 2 5 4 2" xfId="13120" xr:uid="{FBFD7E8B-19A3-4D96-BE5E-377A6C2A0C1E}"/>
    <cellStyle name="Normal 10 2 6 2 5 5" xfId="13121" xr:uid="{B5DDE806-BA0D-4CDC-9C30-F504CC72F28A}"/>
    <cellStyle name="Normal 10 2 6 2 6" xfId="13122" xr:uid="{0C425B94-AA79-4B25-9788-EE3033E53CF1}"/>
    <cellStyle name="Normal 10 2 6 2 6 2" xfId="13123" xr:uid="{CD55A5BF-A8A1-40FD-99F1-1C60DA96C7FF}"/>
    <cellStyle name="Normal 10 2 6 2 6 2 2" xfId="13124" xr:uid="{4F5DDB15-A27C-482B-AA37-A2FFE630DAA9}"/>
    <cellStyle name="Normal 10 2 6 2 6 2 2 2" xfId="13125" xr:uid="{BF35A0C9-77AA-4380-97D2-0E7735F6F885}"/>
    <cellStyle name="Normal 10 2 6 2 6 2 3" xfId="13126" xr:uid="{C231B4AE-2DB0-4BDB-BAB3-DEC206EB3C62}"/>
    <cellStyle name="Normal 10 2 6 2 6 3" xfId="13127" xr:uid="{6AF1F32E-4C3C-49C6-9277-5D5BC5E5736E}"/>
    <cellStyle name="Normal 10 2 6 2 6 3 2" xfId="13128" xr:uid="{3A9D2D3B-5D9A-48AA-B4A3-5266746D4B00}"/>
    <cellStyle name="Normal 10 2 6 2 6 4" xfId="13129" xr:uid="{92F529CF-0C1C-426C-97FE-62F812792BD8}"/>
    <cellStyle name="Normal 10 2 6 2 7" xfId="13130" xr:uid="{0933E0D9-ABDE-4365-AC72-FD403E8E1DFA}"/>
    <cellStyle name="Normal 10 2 6 2 7 2" xfId="13131" xr:uid="{61BE9C7A-0A8B-4C8C-B9B6-8D9C2905E5AF}"/>
    <cellStyle name="Normal 10 2 6 2 7 2 2" xfId="13132" xr:uid="{49A6AFAA-6139-4440-B35E-F9E34622DD36}"/>
    <cellStyle name="Normal 10 2 6 2 7 3" xfId="13133" xr:uid="{2486439A-33D4-4955-8C81-A64278E582F4}"/>
    <cellStyle name="Normal 10 2 6 2 8" xfId="13134" xr:uid="{16F2D9F1-6F44-469A-AE48-92CED80FBE6C}"/>
    <cellStyle name="Normal 10 2 6 2 8 2" xfId="13135" xr:uid="{0F875391-568C-49BF-8CCA-D6B14C100BDE}"/>
    <cellStyle name="Normal 10 2 6 2 9" xfId="13136" xr:uid="{39984C86-1EAC-4EAF-A6E3-241E146C0C4B}"/>
    <cellStyle name="Normal 10 2 6 3" xfId="469" xr:uid="{7AF100AE-2E3C-426E-9289-DE8A132A90DD}"/>
    <cellStyle name="Normal 10 2 6 3 2" xfId="13138" xr:uid="{CCB871DD-E7BF-40DE-BF14-D2D5686E9E22}"/>
    <cellStyle name="Normal 10 2 6 3 2 2" xfId="13139" xr:uid="{DC0F074F-8616-43B2-9164-6ED692684F32}"/>
    <cellStyle name="Normal 10 2 6 3 2 2 2" xfId="13140" xr:uid="{89C00539-53E7-4A17-A02E-540AC125F425}"/>
    <cellStyle name="Normal 10 2 6 3 2 2 2 2" xfId="13141" xr:uid="{7FF282DC-AACE-4834-B5C9-95A071875BF5}"/>
    <cellStyle name="Normal 10 2 6 3 2 2 2 2 2" xfId="13142" xr:uid="{FE31669A-EA03-48AB-9149-E99EFC76EBC3}"/>
    <cellStyle name="Normal 10 2 6 3 2 2 2 2 2 2" xfId="13143" xr:uid="{265863E9-A9B4-452F-8C49-98DED05E887E}"/>
    <cellStyle name="Normal 10 2 6 3 2 2 2 2 2 2 2" xfId="13144" xr:uid="{D622B2F4-1E55-42AA-891C-4BFB4D0A4512}"/>
    <cellStyle name="Normal 10 2 6 3 2 2 2 2 2 3" xfId="13145" xr:uid="{B63C0A1F-3E48-4D26-87CA-2B83AFB8DB82}"/>
    <cellStyle name="Normal 10 2 6 3 2 2 2 2 3" xfId="13146" xr:uid="{697419BD-120E-4202-A797-D83322F1C224}"/>
    <cellStyle name="Normal 10 2 6 3 2 2 2 2 3 2" xfId="13147" xr:uid="{365DB621-C988-4FF6-94A2-D12AA09F8A37}"/>
    <cellStyle name="Normal 10 2 6 3 2 2 2 2 4" xfId="13148" xr:uid="{CBAEF5B1-4E65-4924-94F5-32F5C2E64444}"/>
    <cellStyle name="Normal 10 2 6 3 2 2 2 3" xfId="13149" xr:uid="{8A7E5273-714D-4F7E-9188-E6A13933282A}"/>
    <cellStyle name="Normal 10 2 6 3 2 2 2 3 2" xfId="13150" xr:uid="{39DD936F-B1A0-4BB5-B9EC-98EA4F586D5A}"/>
    <cellStyle name="Normal 10 2 6 3 2 2 2 3 2 2" xfId="13151" xr:uid="{64CF7FEF-0D3E-4101-9E80-19AFA7339186}"/>
    <cellStyle name="Normal 10 2 6 3 2 2 2 3 3" xfId="13152" xr:uid="{0D94E40D-B28F-4B8F-AB0C-A96181B771D1}"/>
    <cellStyle name="Normal 10 2 6 3 2 2 2 4" xfId="13153" xr:uid="{54B88234-A527-4F25-A458-F7D8BE72206B}"/>
    <cellStyle name="Normal 10 2 6 3 2 2 2 4 2" xfId="13154" xr:uid="{46987BCB-FCD6-459F-9DB5-24AF075CE8FF}"/>
    <cellStyle name="Normal 10 2 6 3 2 2 2 5" xfId="13155" xr:uid="{53CBB9D7-DA3F-483A-91B2-15592B49DB43}"/>
    <cellStyle name="Normal 10 2 6 3 2 2 3" xfId="13156" xr:uid="{2FAC3E5D-9CEA-4602-B09B-FCFF99D957E5}"/>
    <cellStyle name="Normal 10 2 6 3 2 2 3 2" xfId="13157" xr:uid="{5B7A25B3-F3A9-4B66-9761-51E795DEE471}"/>
    <cellStyle name="Normal 10 2 6 3 2 2 3 2 2" xfId="13158" xr:uid="{AAD2D525-7FC9-41CD-9A6C-356C8D267202}"/>
    <cellStyle name="Normal 10 2 6 3 2 2 3 2 2 2" xfId="13159" xr:uid="{33663B82-C9B6-4511-A0CA-7FCD1AF37102}"/>
    <cellStyle name="Normal 10 2 6 3 2 2 3 2 3" xfId="13160" xr:uid="{2E3FC980-9EB8-4BEC-9F7A-DD0DAE88DF1A}"/>
    <cellStyle name="Normal 10 2 6 3 2 2 3 3" xfId="13161" xr:uid="{5824F98F-C430-4AD6-86CF-8CC0EFA79B1B}"/>
    <cellStyle name="Normal 10 2 6 3 2 2 3 3 2" xfId="13162" xr:uid="{C15405B5-09C4-4B4C-B5F5-726F3641B5F9}"/>
    <cellStyle name="Normal 10 2 6 3 2 2 3 4" xfId="13163" xr:uid="{35948CDC-A7CE-4323-9D52-9471B61EA2EB}"/>
    <cellStyle name="Normal 10 2 6 3 2 2 4" xfId="13164" xr:uid="{2F66186E-0A30-406C-B7F7-17D0C167EA6D}"/>
    <cellStyle name="Normal 10 2 6 3 2 2 4 2" xfId="13165" xr:uid="{E858A371-A405-4D10-B1C2-2A8D3804ED66}"/>
    <cellStyle name="Normal 10 2 6 3 2 2 4 2 2" xfId="13166" xr:uid="{B55D7C15-9217-4B8A-8005-D7937E5F3C76}"/>
    <cellStyle name="Normal 10 2 6 3 2 2 4 3" xfId="13167" xr:uid="{99B82F79-9A88-4B39-A5DA-11EBB75881A6}"/>
    <cellStyle name="Normal 10 2 6 3 2 2 5" xfId="13168" xr:uid="{13B4261F-613E-4448-A6F8-1C62ACF89BE7}"/>
    <cellStyle name="Normal 10 2 6 3 2 2 5 2" xfId="13169" xr:uid="{C75078A7-A374-42F4-AC86-52AA162F9C4E}"/>
    <cellStyle name="Normal 10 2 6 3 2 2 6" xfId="13170" xr:uid="{61DEF0EE-FF7D-451C-A39F-D259514E9314}"/>
    <cellStyle name="Normal 10 2 6 3 2 3" xfId="13171" xr:uid="{97E2E0A9-414E-4295-B2F8-AF559A49DB6A}"/>
    <cellStyle name="Normal 10 2 6 3 2 3 2" xfId="13172" xr:uid="{0C450C54-1797-4F7A-B874-BEB7CEE11A4D}"/>
    <cellStyle name="Normal 10 2 6 3 2 3 2 2" xfId="13173" xr:uid="{50370CB2-8E4F-45B5-B118-18148833E5A3}"/>
    <cellStyle name="Normal 10 2 6 3 2 3 2 2 2" xfId="13174" xr:uid="{4BBB3F73-B6C9-41F2-83A1-9EAE94EA9901}"/>
    <cellStyle name="Normal 10 2 6 3 2 3 2 2 2 2" xfId="13175" xr:uid="{0C6EA1CB-5F06-4D81-B5A6-2135950CDAD7}"/>
    <cellStyle name="Normal 10 2 6 3 2 3 2 2 3" xfId="13176" xr:uid="{32D5E7BE-E1F8-43B5-A93A-206D8E001BB9}"/>
    <cellStyle name="Normal 10 2 6 3 2 3 2 3" xfId="13177" xr:uid="{07B3EE04-4ECA-494B-A709-36CD72E03EE8}"/>
    <cellStyle name="Normal 10 2 6 3 2 3 2 3 2" xfId="13178" xr:uid="{EE66EE5B-6F07-48D2-9ADC-B296CD117F7F}"/>
    <cellStyle name="Normal 10 2 6 3 2 3 2 4" xfId="13179" xr:uid="{1EBF84F7-CB03-4595-A1ED-F063E19AF671}"/>
    <cellStyle name="Normal 10 2 6 3 2 3 3" xfId="13180" xr:uid="{6588DFED-BC5D-4B40-AE5D-ACFC368602F7}"/>
    <cellStyle name="Normal 10 2 6 3 2 3 3 2" xfId="13181" xr:uid="{F6C4005A-E2CA-4CF9-8560-9CBF57B57CA2}"/>
    <cellStyle name="Normal 10 2 6 3 2 3 3 2 2" xfId="13182" xr:uid="{BE0C5C94-D76E-420D-9D3B-768175F69AFE}"/>
    <cellStyle name="Normal 10 2 6 3 2 3 3 3" xfId="13183" xr:uid="{5AD0D09C-51E4-4C23-B27B-78ED15564536}"/>
    <cellStyle name="Normal 10 2 6 3 2 3 4" xfId="13184" xr:uid="{E1A10566-0B09-4B88-88AF-748EB429B9CC}"/>
    <cellStyle name="Normal 10 2 6 3 2 3 4 2" xfId="13185" xr:uid="{EC734876-1C26-4F59-BBFA-06C37B3BFCA8}"/>
    <cellStyle name="Normal 10 2 6 3 2 3 5" xfId="13186" xr:uid="{58A1CBDD-B6F5-419D-A191-64770C7A4B0D}"/>
    <cellStyle name="Normal 10 2 6 3 2 4" xfId="13187" xr:uid="{86E8AD2F-4087-4384-A5CE-47C6E21BA023}"/>
    <cellStyle name="Normal 10 2 6 3 2 4 2" xfId="13188" xr:uid="{468A4075-0550-4B9F-9FEC-0794F2B9BC93}"/>
    <cellStyle name="Normal 10 2 6 3 2 4 2 2" xfId="13189" xr:uid="{DFC8250D-F670-4E4D-9BBE-467E81A06C72}"/>
    <cellStyle name="Normal 10 2 6 3 2 4 2 2 2" xfId="13190" xr:uid="{A61A7DF8-C718-404E-A6D0-A6CB89D642DD}"/>
    <cellStyle name="Normal 10 2 6 3 2 4 2 3" xfId="13191" xr:uid="{F3A3F29D-60E4-4B1C-BCCD-7C81B25EB00F}"/>
    <cellStyle name="Normal 10 2 6 3 2 4 3" xfId="13192" xr:uid="{30D5FDF2-B78A-43F6-84C6-E6D7F7C79FC3}"/>
    <cellStyle name="Normal 10 2 6 3 2 4 3 2" xfId="13193" xr:uid="{3B5407FC-A739-46BA-8B2A-188FCB0E989B}"/>
    <cellStyle name="Normal 10 2 6 3 2 4 4" xfId="13194" xr:uid="{D45E03CE-9CCC-422E-B213-2D3EFEFEB3F5}"/>
    <cellStyle name="Normal 10 2 6 3 2 5" xfId="13195" xr:uid="{DA308B23-2E63-428C-A9B7-76BBF7808B41}"/>
    <cellStyle name="Normal 10 2 6 3 2 5 2" xfId="13196" xr:uid="{8A2F5228-D27F-40A1-BE31-A8FD19B90723}"/>
    <cellStyle name="Normal 10 2 6 3 2 5 2 2" xfId="13197" xr:uid="{84834E11-DE17-4BEA-8F0C-1C2024017554}"/>
    <cellStyle name="Normal 10 2 6 3 2 5 3" xfId="13198" xr:uid="{AD838D1B-7DCA-4046-8888-58C17DD3E08B}"/>
    <cellStyle name="Normal 10 2 6 3 2 6" xfId="13199" xr:uid="{86565334-3634-4749-977C-122DC4BCB1D8}"/>
    <cellStyle name="Normal 10 2 6 3 2 6 2" xfId="13200" xr:uid="{B48E1E48-D2FB-46FE-9009-9206688220D9}"/>
    <cellStyle name="Normal 10 2 6 3 2 7" xfId="13201" xr:uid="{C73901B7-9BBB-41D2-8B94-265A5283DE10}"/>
    <cellStyle name="Normal 10 2 6 3 3" xfId="13202" xr:uid="{DF0ACB90-CB0E-42EB-92D1-597C7B638A0F}"/>
    <cellStyle name="Normal 10 2 6 3 3 2" xfId="13203" xr:uid="{05BE8687-DFC4-4B9E-A058-E09C7AB257EE}"/>
    <cellStyle name="Normal 10 2 6 3 3 2 2" xfId="13204" xr:uid="{E28BDE46-0A34-4C77-9A77-AB61BB20E404}"/>
    <cellStyle name="Normal 10 2 6 3 3 2 2 2" xfId="13205" xr:uid="{BFCFB61D-1056-4668-A077-4F3C7B92DF44}"/>
    <cellStyle name="Normal 10 2 6 3 3 2 2 2 2" xfId="13206" xr:uid="{7E738217-1435-44E0-ACA1-530109ECCBF6}"/>
    <cellStyle name="Normal 10 2 6 3 3 2 2 2 2 2" xfId="13207" xr:uid="{8E7E8323-0E9E-442A-80F8-FECB4B61D57A}"/>
    <cellStyle name="Normal 10 2 6 3 3 2 2 2 3" xfId="13208" xr:uid="{5FD1B68D-64AB-4666-9B6F-59C18A401ADE}"/>
    <cellStyle name="Normal 10 2 6 3 3 2 2 3" xfId="13209" xr:uid="{D69DCD2F-E8C5-430A-8C48-B3F6FC6EAD04}"/>
    <cellStyle name="Normal 10 2 6 3 3 2 2 3 2" xfId="13210" xr:uid="{1706F11F-87D0-43D7-8809-117B0D21B918}"/>
    <cellStyle name="Normal 10 2 6 3 3 2 2 4" xfId="13211" xr:uid="{1F1A2A79-4208-4DA7-B965-11DA56E77FC3}"/>
    <cellStyle name="Normal 10 2 6 3 3 2 3" xfId="13212" xr:uid="{AD8B2B12-F7D9-4FC9-8B77-58567EE616D7}"/>
    <cellStyle name="Normal 10 2 6 3 3 2 3 2" xfId="13213" xr:uid="{E7A673AE-C033-4AD4-8D79-26B6D6923101}"/>
    <cellStyle name="Normal 10 2 6 3 3 2 3 2 2" xfId="13214" xr:uid="{87FE13D8-8AB4-4FE9-91D9-28E597AAE95F}"/>
    <cellStyle name="Normal 10 2 6 3 3 2 3 3" xfId="13215" xr:uid="{4AC81730-63EF-4EF5-979E-FD1E2B837D39}"/>
    <cellStyle name="Normal 10 2 6 3 3 2 4" xfId="13216" xr:uid="{647768A5-052D-4336-8A47-D3C1178C247E}"/>
    <cellStyle name="Normal 10 2 6 3 3 2 4 2" xfId="13217" xr:uid="{E5140D4E-BD1B-41B8-9016-7A47AD6D3DC1}"/>
    <cellStyle name="Normal 10 2 6 3 3 2 5" xfId="13218" xr:uid="{2F4D5D7A-485E-401E-83A0-46440EEF8017}"/>
    <cellStyle name="Normal 10 2 6 3 3 3" xfId="13219" xr:uid="{90672B6C-9205-4789-913A-FC884B02CB18}"/>
    <cellStyle name="Normal 10 2 6 3 3 3 2" xfId="13220" xr:uid="{AA99665E-8FA1-4812-B3C0-2DEE302AD54B}"/>
    <cellStyle name="Normal 10 2 6 3 3 3 2 2" xfId="13221" xr:uid="{A8BD581F-4947-4575-914B-4DA3E26221E0}"/>
    <cellStyle name="Normal 10 2 6 3 3 3 2 2 2" xfId="13222" xr:uid="{534A13A8-8CCC-4E64-9460-A927801D36B5}"/>
    <cellStyle name="Normal 10 2 6 3 3 3 2 3" xfId="13223" xr:uid="{6D75F5BA-B5EB-4DBD-B515-2B6FA980D7DD}"/>
    <cellStyle name="Normal 10 2 6 3 3 3 3" xfId="13224" xr:uid="{2B11B873-F39F-4931-855B-7F7B0CEF9BCD}"/>
    <cellStyle name="Normal 10 2 6 3 3 3 3 2" xfId="13225" xr:uid="{944C5458-7FA1-4B1D-8B5B-5561632C307D}"/>
    <cellStyle name="Normal 10 2 6 3 3 3 4" xfId="13226" xr:uid="{B92C9FE4-D8D1-41E4-A075-F477E7C16872}"/>
    <cellStyle name="Normal 10 2 6 3 3 4" xfId="13227" xr:uid="{64173C57-76E5-4358-B10F-FFE4D675F87C}"/>
    <cellStyle name="Normal 10 2 6 3 3 4 2" xfId="13228" xr:uid="{464B912A-F309-4156-BFE3-E2FF59054534}"/>
    <cellStyle name="Normal 10 2 6 3 3 4 2 2" xfId="13229" xr:uid="{4AF4EE84-FC6A-4FE6-B21A-96BC6FD684FC}"/>
    <cellStyle name="Normal 10 2 6 3 3 4 3" xfId="13230" xr:uid="{15FE0D05-C45A-4C70-ACC3-B5F7B8472B65}"/>
    <cellStyle name="Normal 10 2 6 3 3 5" xfId="13231" xr:uid="{4F56D0DC-8651-4C15-B17C-8F0384ADB62B}"/>
    <cellStyle name="Normal 10 2 6 3 3 5 2" xfId="13232" xr:uid="{DD232039-D20E-4EDD-9EB4-F30EEA12A3CD}"/>
    <cellStyle name="Normal 10 2 6 3 3 6" xfId="13233" xr:uid="{842A0BB3-0043-4111-9C1A-AB3534E18100}"/>
    <cellStyle name="Normal 10 2 6 3 4" xfId="13234" xr:uid="{544B5312-9F0C-4BDA-AF27-4CFB50E8A160}"/>
    <cellStyle name="Normal 10 2 6 3 4 2" xfId="13235" xr:uid="{2CE0E24C-8EDF-4EDB-8D68-3A8ECE414FBE}"/>
    <cellStyle name="Normal 10 2 6 3 4 2 2" xfId="13236" xr:uid="{72C2C6A2-3E7B-456A-A134-116137286C7B}"/>
    <cellStyle name="Normal 10 2 6 3 4 2 2 2" xfId="13237" xr:uid="{B655CC4E-D827-4AE3-8D64-6811E92093D5}"/>
    <cellStyle name="Normal 10 2 6 3 4 2 2 2 2" xfId="13238" xr:uid="{AFBEDE05-6F99-4B87-A782-23EDDBFA6573}"/>
    <cellStyle name="Normal 10 2 6 3 4 2 2 3" xfId="13239" xr:uid="{A6031D14-F2BF-4F7A-91D6-C75F74FD9319}"/>
    <cellStyle name="Normal 10 2 6 3 4 2 3" xfId="13240" xr:uid="{F18F77C6-3AF7-4CE8-8F2B-08021D2AD4D4}"/>
    <cellStyle name="Normal 10 2 6 3 4 2 3 2" xfId="13241" xr:uid="{566B45A0-DDDC-4208-AC44-5C3729207FA1}"/>
    <cellStyle name="Normal 10 2 6 3 4 2 4" xfId="13242" xr:uid="{B49E4A77-F2E2-4841-8404-EBD00146DA12}"/>
    <cellStyle name="Normal 10 2 6 3 4 3" xfId="13243" xr:uid="{CD2B5961-61AC-4D2C-A6EC-5D42DE023479}"/>
    <cellStyle name="Normal 10 2 6 3 4 3 2" xfId="13244" xr:uid="{D69291C6-8B87-43E2-AEB1-59E0C7314456}"/>
    <cellStyle name="Normal 10 2 6 3 4 3 2 2" xfId="13245" xr:uid="{90B8BA33-B2D6-45C7-AD6A-1358268E703D}"/>
    <cellStyle name="Normal 10 2 6 3 4 3 3" xfId="13246" xr:uid="{DF96A5E2-7E8F-4A2B-BBE2-D579F1D3E4D8}"/>
    <cellStyle name="Normal 10 2 6 3 4 4" xfId="13247" xr:uid="{AD6849C5-549A-4001-8220-FCFA97F6212C}"/>
    <cellStyle name="Normal 10 2 6 3 4 4 2" xfId="13248" xr:uid="{00E9621B-1490-445C-AB3D-9F7B7300364E}"/>
    <cellStyle name="Normal 10 2 6 3 4 5" xfId="13249" xr:uid="{692657C8-F4DC-4DFC-AD16-4D446652F24D}"/>
    <cellStyle name="Normal 10 2 6 3 5" xfId="13250" xr:uid="{E741C41E-A7B6-47B5-93AA-85A93FECFF9A}"/>
    <cellStyle name="Normal 10 2 6 3 5 2" xfId="13251" xr:uid="{E68653BC-D5B5-4777-B830-34BF8B0EDCB3}"/>
    <cellStyle name="Normal 10 2 6 3 5 2 2" xfId="13252" xr:uid="{A8D7E0BD-50E3-47C4-A4BD-7EDEC52E1D6F}"/>
    <cellStyle name="Normal 10 2 6 3 5 2 2 2" xfId="13253" xr:uid="{868426FD-C02D-4DB2-91F1-D43C262CAC9F}"/>
    <cellStyle name="Normal 10 2 6 3 5 2 3" xfId="13254" xr:uid="{3F926D7C-BDBA-43AF-989A-CE1AAB29EC1C}"/>
    <cellStyle name="Normal 10 2 6 3 5 3" xfId="13255" xr:uid="{EABA05F8-BFEA-44DA-B782-414491449F6B}"/>
    <cellStyle name="Normal 10 2 6 3 5 3 2" xfId="13256" xr:uid="{5799697D-E6C0-4F15-B703-F6319FA66A05}"/>
    <cellStyle name="Normal 10 2 6 3 5 4" xfId="13257" xr:uid="{CF4E3D2F-46AC-4E7D-BEE5-968542A27A86}"/>
    <cellStyle name="Normal 10 2 6 3 6" xfId="13258" xr:uid="{DF06F5E1-9491-4F87-9C3C-05358D38174D}"/>
    <cellStyle name="Normal 10 2 6 3 6 2" xfId="13259" xr:uid="{C3311C47-14D1-4D46-9DC2-993291FC36A4}"/>
    <cellStyle name="Normal 10 2 6 3 6 2 2" xfId="13260" xr:uid="{929BFF6A-C50F-4009-8232-D2A2BAFB4CD2}"/>
    <cellStyle name="Normal 10 2 6 3 6 3" xfId="13261" xr:uid="{F5948596-4CBD-4274-A895-09061A040879}"/>
    <cellStyle name="Normal 10 2 6 3 7" xfId="13262" xr:uid="{10450744-E9AB-4AD3-A589-643C0EA9EFA0}"/>
    <cellStyle name="Normal 10 2 6 3 7 2" xfId="13263" xr:uid="{86F21E52-7885-47D6-8234-C8D6C5B1B9B7}"/>
    <cellStyle name="Normal 10 2 6 3 8" xfId="13264" xr:uid="{EF3F51E6-CAD0-4ED0-B49C-1B8638E11ACE}"/>
    <cellStyle name="Normal 10 2 6 3 9" xfId="13137" xr:uid="{FC8D3394-455E-4F69-BB57-CA305889CB32}"/>
    <cellStyle name="Normal 10 2 6 4" xfId="13265" xr:uid="{81FA7256-EA30-4C9F-9365-B69B0A7E5C8B}"/>
    <cellStyle name="Normal 10 2 6 4 2" xfId="13266" xr:uid="{71F1910F-2646-465D-AD2B-59C09E3EDB5F}"/>
    <cellStyle name="Normal 10 2 6 4 2 2" xfId="13267" xr:uid="{68B811D2-5239-4D0C-9C2F-A5DAE4F890A1}"/>
    <cellStyle name="Normal 10 2 6 4 2 2 2" xfId="13268" xr:uid="{D99F4E3B-9667-4ACD-8784-FC3C1FB69ED6}"/>
    <cellStyle name="Normal 10 2 6 4 2 2 2 2" xfId="13269" xr:uid="{2E6555FA-9BA1-42B9-A699-169C72E3D6A3}"/>
    <cellStyle name="Normal 10 2 6 4 2 2 2 2 2" xfId="13270" xr:uid="{260FC6B8-7774-448F-A7E2-8E6134FCD43A}"/>
    <cellStyle name="Normal 10 2 6 4 2 2 2 2 2 2" xfId="13271" xr:uid="{E053E5D9-C214-4562-8396-C952AEE64698}"/>
    <cellStyle name="Normal 10 2 6 4 2 2 2 2 3" xfId="13272" xr:uid="{884A5E42-3541-49F8-A4C6-BEB700C7A15F}"/>
    <cellStyle name="Normal 10 2 6 4 2 2 2 3" xfId="13273" xr:uid="{A7F4E5B6-48C5-4EE9-BA33-A946CC5AE47F}"/>
    <cellStyle name="Normal 10 2 6 4 2 2 2 3 2" xfId="13274" xr:uid="{6E560BA7-957C-4132-A264-CCCE69FF2E2E}"/>
    <cellStyle name="Normal 10 2 6 4 2 2 2 4" xfId="13275" xr:uid="{D26531C2-5D7B-4BA4-9E0E-B0C0EC076641}"/>
    <cellStyle name="Normal 10 2 6 4 2 2 3" xfId="13276" xr:uid="{3679ED98-0052-414D-83A2-A81F09EF8AF0}"/>
    <cellStyle name="Normal 10 2 6 4 2 2 3 2" xfId="13277" xr:uid="{5FA0BB0D-6901-4458-99FE-9DF17C2A38AA}"/>
    <cellStyle name="Normal 10 2 6 4 2 2 3 2 2" xfId="13278" xr:uid="{A5AD4E11-DDDE-43EF-9A7F-CF39AB260164}"/>
    <cellStyle name="Normal 10 2 6 4 2 2 3 3" xfId="13279" xr:uid="{E68BD640-DC6C-4309-B452-0F603FBD423F}"/>
    <cellStyle name="Normal 10 2 6 4 2 2 4" xfId="13280" xr:uid="{CD1ADD5F-FF99-46C9-BDF6-6DE603125998}"/>
    <cellStyle name="Normal 10 2 6 4 2 2 4 2" xfId="13281" xr:uid="{6DBB0244-7E00-426F-87E0-5E59586DF876}"/>
    <cellStyle name="Normal 10 2 6 4 2 2 5" xfId="13282" xr:uid="{5D9C285D-7DC9-441C-B2F0-06149C13FFAE}"/>
    <cellStyle name="Normal 10 2 6 4 2 3" xfId="13283" xr:uid="{922E84A7-12E9-4BAB-98B0-4562D1AB5EAD}"/>
    <cellStyle name="Normal 10 2 6 4 2 3 2" xfId="13284" xr:uid="{13F8F9D0-7A10-4386-BB84-DECDB73388C7}"/>
    <cellStyle name="Normal 10 2 6 4 2 3 2 2" xfId="13285" xr:uid="{86B79973-1FA0-43DE-A1CA-E906E78E0A1D}"/>
    <cellStyle name="Normal 10 2 6 4 2 3 2 2 2" xfId="13286" xr:uid="{206A2A52-9973-4CA6-985F-EF16DAE94C67}"/>
    <cellStyle name="Normal 10 2 6 4 2 3 2 3" xfId="13287" xr:uid="{E723E465-657B-420D-A24D-5A4EA5BC9E2D}"/>
    <cellStyle name="Normal 10 2 6 4 2 3 3" xfId="13288" xr:uid="{4A186369-77E2-4737-B7F9-31AFC461C456}"/>
    <cellStyle name="Normal 10 2 6 4 2 3 3 2" xfId="13289" xr:uid="{8A1F6C62-EA9E-4E77-9DA1-20ED5CCC6144}"/>
    <cellStyle name="Normal 10 2 6 4 2 3 4" xfId="13290" xr:uid="{B04AADBA-ECD9-4924-A5E3-F2B02536607B}"/>
    <cellStyle name="Normal 10 2 6 4 2 4" xfId="13291" xr:uid="{7960490E-A5AC-485A-9372-F09772A43B3B}"/>
    <cellStyle name="Normal 10 2 6 4 2 4 2" xfId="13292" xr:uid="{C965EFDF-97C9-423D-B2EE-9188296FEFC6}"/>
    <cellStyle name="Normal 10 2 6 4 2 4 2 2" xfId="13293" xr:uid="{97399131-CBF3-4894-B032-6B693EE7CC07}"/>
    <cellStyle name="Normal 10 2 6 4 2 4 3" xfId="13294" xr:uid="{E099E5D4-737B-4A0B-A035-F0230E17A318}"/>
    <cellStyle name="Normal 10 2 6 4 2 5" xfId="13295" xr:uid="{FF733154-84B3-47C3-AB46-8D805921525B}"/>
    <cellStyle name="Normal 10 2 6 4 2 5 2" xfId="13296" xr:uid="{DD43E235-B8D0-4B4F-968A-CAC8E8FFFA5F}"/>
    <cellStyle name="Normal 10 2 6 4 2 6" xfId="13297" xr:uid="{DD10F35D-61A4-4495-8A4D-AD05F53F075B}"/>
    <cellStyle name="Normal 10 2 6 4 3" xfId="13298" xr:uid="{26FE092C-45C5-475F-8698-87FF780822A8}"/>
    <cellStyle name="Normal 10 2 6 4 3 2" xfId="13299" xr:uid="{14BF7AD0-6D70-43FA-9892-54F6F3B70FA3}"/>
    <cellStyle name="Normal 10 2 6 4 3 2 2" xfId="13300" xr:uid="{D8FBEBB7-2309-43B8-81C0-EACC28E1C842}"/>
    <cellStyle name="Normal 10 2 6 4 3 2 2 2" xfId="13301" xr:uid="{19666E03-A46D-4547-B5A0-5C67D93367ED}"/>
    <cellStyle name="Normal 10 2 6 4 3 2 2 2 2" xfId="13302" xr:uid="{A480CDB6-AB4D-401A-B2EE-0DC489B523DA}"/>
    <cellStyle name="Normal 10 2 6 4 3 2 2 3" xfId="13303" xr:uid="{60D72352-BEE8-482E-911A-1C8B4189CBC8}"/>
    <cellStyle name="Normal 10 2 6 4 3 2 3" xfId="13304" xr:uid="{0E475E0C-CB79-486F-8555-6CAD8EE8B2F0}"/>
    <cellStyle name="Normal 10 2 6 4 3 2 3 2" xfId="13305" xr:uid="{ABB56EFE-958F-4634-BC7C-1CEFAF981B39}"/>
    <cellStyle name="Normal 10 2 6 4 3 2 4" xfId="13306" xr:uid="{A4119719-908C-4324-9E3E-5611DB814F5F}"/>
    <cellStyle name="Normal 10 2 6 4 3 3" xfId="13307" xr:uid="{CAD3D4C7-9954-4305-BEE0-B7443277BDF3}"/>
    <cellStyle name="Normal 10 2 6 4 3 3 2" xfId="13308" xr:uid="{72537604-6001-48CB-8569-BFC1CDC7F54D}"/>
    <cellStyle name="Normal 10 2 6 4 3 3 2 2" xfId="13309" xr:uid="{1A0FCB4B-7251-4537-B898-EA824119FAB8}"/>
    <cellStyle name="Normal 10 2 6 4 3 3 3" xfId="13310" xr:uid="{CA13975B-9DDD-441B-A945-5915540C7CCC}"/>
    <cellStyle name="Normal 10 2 6 4 3 4" xfId="13311" xr:uid="{40659E82-04DC-4623-A8D5-7C7069D9AC50}"/>
    <cellStyle name="Normal 10 2 6 4 3 4 2" xfId="13312" xr:uid="{0411DFAA-1FDE-4F20-BD4A-F32AC695AC66}"/>
    <cellStyle name="Normal 10 2 6 4 3 5" xfId="13313" xr:uid="{CEF1A247-DFC3-476D-8433-8A8C0BF1BACF}"/>
    <cellStyle name="Normal 10 2 6 4 4" xfId="13314" xr:uid="{5F30EB58-DFC3-4FFD-8A4B-F18CB8643B4B}"/>
    <cellStyle name="Normal 10 2 6 4 4 2" xfId="13315" xr:uid="{A9131D04-36DB-4962-9A51-D8464BD711DF}"/>
    <cellStyle name="Normal 10 2 6 4 4 2 2" xfId="13316" xr:uid="{A31C7D16-8ECD-42F3-A4DA-B3E886AEEE29}"/>
    <cellStyle name="Normal 10 2 6 4 4 2 2 2" xfId="13317" xr:uid="{EDAB223B-B0F0-446F-AE10-378FAC365227}"/>
    <cellStyle name="Normal 10 2 6 4 4 2 3" xfId="13318" xr:uid="{C432BF5A-8D05-4382-AD71-4A45131DED4E}"/>
    <cellStyle name="Normal 10 2 6 4 4 3" xfId="13319" xr:uid="{D64ABE5C-6F0A-4F8A-B251-00A97FCB5150}"/>
    <cellStyle name="Normal 10 2 6 4 4 3 2" xfId="13320" xr:uid="{0E5552F6-0893-47A5-9B58-14F0C11334C6}"/>
    <cellStyle name="Normal 10 2 6 4 4 4" xfId="13321" xr:uid="{3D97A32D-A8A6-4C9C-BF35-3E1428152455}"/>
    <cellStyle name="Normal 10 2 6 4 5" xfId="13322" xr:uid="{04C0697C-F54B-4114-96C5-E1BCCB8AADF6}"/>
    <cellStyle name="Normal 10 2 6 4 5 2" xfId="13323" xr:uid="{A2D0F641-8BBD-42CF-AE7B-C62814C53DF1}"/>
    <cellStyle name="Normal 10 2 6 4 5 2 2" xfId="13324" xr:uid="{771C4B3B-251F-4B35-8056-15BA6C51C932}"/>
    <cellStyle name="Normal 10 2 6 4 5 3" xfId="13325" xr:uid="{C722B665-47B0-485E-A893-C779474B822E}"/>
    <cellStyle name="Normal 10 2 6 4 6" xfId="13326" xr:uid="{2450F01E-6C1C-43BA-9335-AFDAD086F560}"/>
    <cellStyle name="Normal 10 2 6 4 6 2" xfId="13327" xr:uid="{BF0F5E36-023B-4A51-98A0-EFF8EBE30C0D}"/>
    <cellStyle name="Normal 10 2 6 4 7" xfId="13328" xr:uid="{8153246C-629D-4119-A44A-19024AA2D772}"/>
    <cellStyle name="Normal 10 2 6 5" xfId="13329" xr:uid="{EECCE644-4AEB-49A7-A478-3810839B34E9}"/>
    <cellStyle name="Normal 10 2 6 5 2" xfId="13330" xr:uid="{097E07F3-FCF9-4C1D-9197-54ED39CFF16B}"/>
    <cellStyle name="Normal 10 2 6 5 2 2" xfId="13331" xr:uid="{66F21A7D-683E-4360-BE65-65089E407F36}"/>
    <cellStyle name="Normal 10 2 6 5 2 2 2" xfId="13332" xr:uid="{BAD26224-964C-43E5-95C0-4DDC0883D6F8}"/>
    <cellStyle name="Normal 10 2 6 5 2 2 2 2" xfId="13333" xr:uid="{AC6D199E-2C87-402B-83BB-4073EEE8A825}"/>
    <cellStyle name="Normal 10 2 6 5 2 2 2 2 2" xfId="13334" xr:uid="{AA8543ED-C62B-4FD2-8A7D-22C6582189DA}"/>
    <cellStyle name="Normal 10 2 6 5 2 2 2 3" xfId="13335" xr:uid="{B3231A37-75DF-4C21-B805-E60096AB1FC6}"/>
    <cellStyle name="Normal 10 2 6 5 2 2 3" xfId="13336" xr:uid="{40F5B8F2-C941-49B2-9F61-A97359F33475}"/>
    <cellStyle name="Normal 10 2 6 5 2 2 3 2" xfId="13337" xr:uid="{019499BD-83F2-4341-A224-4938EA4D6CC6}"/>
    <cellStyle name="Normal 10 2 6 5 2 2 4" xfId="13338" xr:uid="{E9057488-E975-482E-A388-9BF519EA7BFF}"/>
    <cellStyle name="Normal 10 2 6 5 2 3" xfId="13339" xr:uid="{34FB6302-A5F3-4EED-9A72-DED2D5CA0160}"/>
    <cellStyle name="Normal 10 2 6 5 2 3 2" xfId="13340" xr:uid="{B8846CC1-BD76-4620-8D35-EAF9953D505E}"/>
    <cellStyle name="Normal 10 2 6 5 2 3 2 2" xfId="13341" xr:uid="{BAFC2065-DBFE-4085-85C7-531FA995F3C8}"/>
    <cellStyle name="Normal 10 2 6 5 2 3 3" xfId="13342" xr:uid="{79D67B08-4FDE-470C-BA1B-BD8987E11AFA}"/>
    <cellStyle name="Normal 10 2 6 5 2 4" xfId="13343" xr:uid="{2A173994-2FCC-47F9-947E-98240004B24B}"/>
    <cellStyle name="Normal 10 2 6 5 2 4 2" xfId="13344" xr:uid="{B04F2D45-246A-4CCB-BC1D-9E30614A2594}"/>
    <cellStyle name="Normal 10 2 6 5 2 5" xfId="13345" xr:uid="{BEA45FB3-0218-41E2-9966-6FDEE49C80A4}"/>
    <cellStyle name="Normal 10 2 6 5 3" xfId="13346" xr:uid="{9506A9F0-1216-4AAF-9365-E52C011D7E86}"/>
    <cellStyle name="Normal 10 2 6 5 3 2" xfId="13347" xr:uid="{8F0392B0-252A-4C9A-B37D-5B6448C7643C}"/>
    <cellStyle name="Normal 10 2 6 5 3 2 2" xfId="13348" xr:uid="{389D7C32-783B-458A-B674-670370803195}"/>
    <cellStyle name="Normal 10 2 6 5 3 2 2 2" xfId="13349" xr:uid="{29A74CCD-B5D5-4051-A4C2-03E2B7FFEFCA}"/>
    <cellStyle name="Normal 10 2 6 5 3 2 3" xfId="13350" xr:uid="{AE35D357-711F-4CD8-A549-510D7B98E48D}"/>
    <cellStyle name="Normal 10 2 6 5 3 3" xfId="13351" xr:uid="{2A1E3100-910B-40B0-AA87-DEA44E55EAC6}"/>
    <cellStyle name="Normal 10 2 6 5 3 3 2" xfId="13352" xr:uid="{0F48F086-0824-4A9C-87C9-C7A1CE08952B}"/>
    <cellStyle name="Normal 10 2 6 5 3 4" xfId="13353" xr:uid="{A7344D2D-1ADB-4FE7-8807-4E606227DA2B}"/>
    <cellStyle name="Normal 10 2 6 5 4" xfId="13354" xr:uid="{693AF6BF-2863-49BA-BA8C-E90B3BB960BC}"/>
    <cellStyle name="Normal 10 2 6 5 4 2" xfId="13355" xr:uid="{25E44698-92E6-4D46-BD02-8D5E5D01C8FD}"/>
    <cellStyle name="Normal 10 2 6 5 4 2 2" xfId="13356" xr:uid="{7D7A733F-D562-44BC-A642-0001E43770F7}"/>
    <cellStyle name="Normal 10 2 6 5 4 3" xfId="13357" xr:uid="{5042E7DB-F6AB-4FEC-86FA-0F656055D43E}"/>
    <cellStyle name="Normal 10 2 6 5 5" xfId="13358" xr:uid="{DAE90205-A851-435C-B068-A9112497886D}"/>
    <cellStyle name="Normal 10 2 6 5 5 2" xfId="13359" xr:uid="{F5FE1C22-EBC0-4F64-AD2C-A3FD2C998AEF}"/>
    <cellStyle name="Normal 10 2 6 5 6" xfId="13360" xr:uid="{D69B2A31-4798-41C4-B09D-3A5BA044E1C1}"/>
    <cellStyle name="Normal 10 2 6 6" xfId="13361" xr:uid="{AF019298-833E-4EC9-BC41-564F1782BA26}"/>
    <cellStyle name="Normal 10 2 6 6 2" xfId="13362" xr:uid="{F853A0EB-3ECD-4C28-B5A2-9B61DF5D8472}"/>
    <cellStyle name="Normal 10 2 6 6 2 2" xfId="13363" xr:uid="{AD7F4202-8AD2-4365-A8E8-C0E0E64755F8}"/>
    <cellStyle name="Normal 10 2 6 6 2 2 2" xfId="13364" xr:uid="{8D786B0B-6CCA-4F3D-9B4C-17EEA4AC857C}"/>
    <cellStyle name="Normal 10 2 6 6 2 2 2 2" xfId="13365" xr:uid="{59AB85C2-E4C2-4C12-9D20-823D2F386E87}"/>
    <cellStyle name="Normal 10 2 6 6 2 2 3" xfId="13366" xr:uid="{56180534-C04D-4C19-83B7-0AAF22B2D0F4}"/>
    <cellStyle name="Normal 10 2 6 6 2 3" xfId="13367" xr:uid="{9CBC3A78-8C6C-47D2-8BA3-306C9036F131}"/>
    <cellStyle name="Normal 10 2 6 6 2 3 2" xfId="13368" xr:uid="{9ABC0BBC-25A0-4F07-B41E-F1E9CB87A9E8}"/>
    <cellStyle name="Normal 10 2 6 6 2 4" xfId="13369" xr:uid="{3B3B5BD9-DE64-40C2-81EE-047ECB86A6EB}"/>
    <cellStyle name="Normal 10 2 6 6 3" xfId="13370" xr:uid="{3E3B284D-1065-49AF-818F-AB3026BD0AB5}"/>
    <cellStyle name="Normal 10 2 6 6 3 2" xfId="13371" xr:uid="{156838D8-D0F3-4E30-B5C2-1819A26E41C7}"/>
    <cellStyle name="Normal 10 2 6 6 3 2 2" xfId="13372" xr:uid="{EAF663C5-C805-4DF8-B204-8F71E8611EBE}"/>
    <cellStyle name="Normal 10 2 6 6 3 3" xfId="13373" xr:uid="{99CCD6D5-2824-4125-8E20-9A2FE18E40E9}"/>
    <cellStyle name="Normal 10 2 6 6 4" xfId="13374" xr:uid="{6BD76D67-9BE7-4AAD-A6E2-8885F9B1A4A3}"/>
    <cellStyle name="Normal 10 2 6 6 4 2" xfId="13375" xr:uid="{D489B284-059E-4E1F-A5FF-1A463D39D93B}"/>
    <cellStyle name="Normal 10 2 6 6 5" xfId="13376" xr:uid="{BE9749DD-D829-4895-B353-58AE4070E745}"/>
    <cellStyle name="Normal 10 2 6 7" xfId="13377" xr:uid="{AEE56CEF-9558-4885-A887-9E42FBD0F3C7}"/>
    <cellStyle name="Normal 10 2 6 7 2" xfId="13378" xr:uid="{A14BF0C9-1D24-4B2E-9FBC-123BE13D8FE4}"/>
    <cellStyle name="Normal 10 2 6 7 2 2" xfId="13379" xr:uid="{1BB694C3-8409-4C18-BB1E-0E2E3E108816}"/>
    <cellStyle name="Normal 10 2 6 7 2 2 2" xfId="13380" xr:uid="{A40E4888-1587-47E1-B4CD-7BBD17897880}"/>
    <cellStyle name="Normal 10 2 6 7 2 3" xfId="13381" xr:uid="{840C4D42-369B-4E14-96A8-646CB2956AFA}"/>
    <cellStyle name="Normal 10 2 6 7 3" xfId="13382" xr:uid="{82598C71-B447-43FE-A325-5FC36ED610EC}"/>
    <cellStyle name="Normal 10 2 6 7 3 2" xfId="13383" xr:uid="{A749E97A-C155-4A0C-A625-2D787639AE82}"/>
    <cellStyle name="Normal 10 2 6 7 4" xfId="13384" xr:uid="{DA286D56-F028-4B51-BD04-4F4ABA8865D6}"/>
    <cellStyle name="Normal 10 2 6 8" xfId="13385" xr:uid="{68B18846-3205-4D3C-9D17-A5F5F6970EC8}"/>
    <cellStyle name="Normal 10 2 6 8 2" xfId="13386" xr:uid="{7B7E9230-D1B0-41E7-BD5C-B4AA847E6FC0}"/>
    <cellStyle name="Normal 10 2 6 8 2 2" xfId="13387" xr:uid="{CB0A42F5-91BF-4A26-AA8B-F410EDC4AAF3}"/>
    <cellStyle name="Normal 10 2 6 8 3" xfId="13388" xr:uid="{7FB22CF7-6866-49E1-8BA9-EB19DCA2A881}"/>
    <cellStyle name="Normal 10 2 6 9" xfId="13389" xr:uid="{1FEC75A6-2CC4-46E4-99CB-A59A458F62EB}"/>
    <cellStyle name="Normal 10 2 6 9 2" xfId="13390" xr:uid="{B1C89371-8D3A-47E2-AD4A-D7D51DF838A3}"/>
    <cellStyle name="Normal 10 2 7" xfId="250" xr:uid="{45847F04-4A7B-452F-B040-D7203194E03E}"/>
    <cellStyle name="Normal 10 2 7 10" xfId="13391" xr:uid="{D71A249A-F631-4DB6-BFFC-092C0E6D7927}"/>
    <cellStyle name="Normal 10 2 7 11" xfId="556" xr:uid="{0F19FEAD-493E-4DF1-8F74-2CE7C858370B}"/>
    <cellStyle name="Normal 10 2 7 2" xfId="325" xr:uid="{EF84D47D-9D44-4A9B-BAB5-AED2F2E6573E}"/>
    <cellStyle name="Normal 10 2 7 2 10" xfId="13392" xr:uid="{4BC42AAF-A388-483D-AB16-8046027090AB}"/>
    <cellStyle name="Normal 10 2 7 2 2" xfId="13393" xr:uid="{4C6A1230-FBEA-4750-B708-14063F309847}"/>
    <cellStyle name="Normal 10 2 7 2 2 2" xfId="13394" xr:uid="{2A664728-3310-465F-9D80-D837ACF61BC6}"/>
    <cellStyle name="Normal 10 2 7 2 2 2 2" xfId="13395" xr:uid="{6B07C117-7E76-48E4-95BC-BAEED3B14810}"/>
    <cellStyle name="Normal 10 2 7 2 2 2 2 2" xfId="13396" xr:uid="{DF9EAADC-31AC-4F03-87FF-0809EE0AF767}"/>
    <cellStyle name="Normal 10 2 7 2 2 2 2 2 2" xfId="13397" xr:uid="{7C184568-71BE-4B2B-8873-0A943C60E07F}"/>
    <cellStyle name="Normal 10 2 7 2 2 2 2 2 2 2" xfId="13398" xr:uid="{6E893FE9-C3C7-4F4E-96AA-920D6DC2D6F8}"/>
    <cellStyle name="Normal 10 2 7 2 2 2 2 2 2 2 2" xfId="13399" xr:uid="{FDC39A83-F7B6-4CF7-8E3E-1B6512ADF246}"/>
    <cellStyle name="Normal 10 2 7 2 2 2 2 2 2 2 2 2" xfId="13400" xr:uid="{3EF503B5-CF00-4F62-BC77-8B3BC8692F66}"/>
    <cellStyle name="Normal 10 2 7 2 2 2 2 2 2 2 3" xfId="13401" xr:uid="{9264E6A6-C0B2-485F-8D4F-79298E404230}"/>
    <cellStyle name="Normal 10 2 7 2 2 2 2 2 2 3" xfId="13402" xr:uid="{B190DD27-FAC7-4516-BADB-E2C986E55FEC}"/>
    <cellStyle name="Normal 10 2 7 2 2 2 2 2 2 3 2" xfId="13403" xr:uid="{4AC556C1-E494-44AF-AE00-B167852512DE}"/>
    <cellStyle name="Normal 10 2 7 2 2 2 2 2 2 4" xfId="13404" xr:uid="{17534561-3E12-4F59-80E9-35212D6AC127}"/>
    <cellStyle name="Normal 10 2 7 2 2 2 2 2 3" xfId="13405" xr:uid="{D40E8DF7-C36B-41F5-81A3-466183761169}"/>
    <cellStyle name="Normal 10 2 7 2 2 2 2 2 3 2" xfId="13406" xr:uid="{43BA213C-422F-4C62-BEC7-849E05FF7ABC}"/>
    <cellStyle name="Normal 10 2 7 2 2 2 2 2 3 2 2" xfId="13407" xr:uid="{B940C41F-E59B-4C24-81BE-923CE07C5E67}"/>
    <cellStyle name="Normal 10 2 7 2 2 2 2 2 3 3" xfId="13408" xr:uid="{BE598029-CC9F-490E-8664-5CA7D225E650}"/>
    <cellStyle name="Normal 10 2 7 2 2 2 2 2 4" xfId="13409" xr:uid="{0FB192C1-9B1B-4939-A763-19345057DB57}"/>
    <cellStyle name="Normal 10 2 7 2 2 2 2 2 4 2" xfId="13410" xr:uid="{7E493EE5-B530-4D9D-8375-95737EE0EDE0}"/>
    <cellStyle name="Normal 10 2 7 2 2 2 2 2 5" xfId="13411" xr:uid="{95A64805-6CE5-46C5-992B-AA7AE43672BA}"/>
    <cellStyle name="Normal 10 2 7 2 2 2 2 3" xfId="13412" xr:uid="{B06F3392-E521-430B-B084-2B24AEB90E2E}"/>
    <cellStyle name="Normal 10 2 7 2 2 2 2 3 2" xfId="13413" xr:uid="{889C0494-BFCB-420C-B003-A00D43EDA5A0}"/>
    <cellStyle name="Normal 10 2 7 2 2 2 2 3 2 2" xfId="13414" xr:uid="{60AD7D37-64E2-4F76-A105-3938F48D4DB6}"/>
    <cellStyle name="Normal 10 2 7 2 2 2 2 3 2 2 2" xfId="13415" xr:uid="{01A52246-AC62-4BDA-AFD4-FCA0787B72EB}"/>
    <cellStyle name="Normal 10 2 7 2 2 2 2 3 2 3" xfId="13416" xr:uid="{0E52F9EB-4DEE-4D41-8B68-AEBF3CB68FB1}"/>
    <cellStyle name="Normal 10 2 7 2 2 2 2 3 3" xfId="13417" xr:uid="{4F58E393-6625-4BE7-AA88-508B2AB7F108}"/>
    <cellStyle name="Normal 10 2 7 2 2 2 2 3 3 2" xfId="13418" xr:uid="{CDD2A4EE-ED04-43F8-92E4-1B1B7372D15E}"/>
    <cellStyle name="Normal 10 2 7 2 2 2 2 3 4" xfId="13419" xr:uid="{E2C8AA0A-F278-49E5-BA00-4CDE127529D5}"/>
    <cellStyle name="Normal 10 2 7 2 2 2 2 4" xfId="13420" xr:uid="{E2DCACCA-AA08-49D5-B418-3AC403619A8D}"/>
    <cellStyle name="Normal 10 2 7 2 2 2 2 4 2" xfId="13421" xr:uid="{6AAD14C7-8CFF-409E-B94D-05272B53F2C6}"/>
    <cellStyle name="Normal 10 2 7 2 2 2 2 4 2 2" xfId="13422" xr:uid="{B891A2E1-5F24-479A-BB1A-A084BAEA086A}"/>
    <cellStyle name="Normal 10 2 7 2 2 2 2 4 3" xfId="13423" xr:uid="{CE375068-34E0-4BBE-966E-5BE1901717EA}"/>
    <cellStyle name="Normal 10 2 7 2 2 2 2 5" xfId="13424" xr:uid="{12BAD116-1233-4C16-93BD-14CF9ADB01CB}"/>
    <cellStyle name="Normal 10 2 7 2 2 2 2 5 2" xfId="13425" xr:uid="{21D1DDC4-0919-4AD3-AE98-DA65D255F78A}"/>
    <cellStyle name="Normal 10 2 7 2 2 2 2 6" xfId="13426" xr:uid="{04652325-A335-481B-B34E-0E955A6EB1E3}"/>
    <cellStyle name="Normal 10 2 7 2 2 2 3" xfId="13427" xr:uid="{8560F3F3-171C-4A29-AC27-F003AB2F37D0}"/>
    <cellStyle name="Normal 10 2 7 2 2 2 3 2" xfId="13428" xr:uid="{5171AE11-5732-440A-8972-A39DBC192DB0}"/>
    <cellStyle name="Normal 10 2 7 2 2 2 3 2 2" xfId="13429" xr:uid="{6279C4F1-98EF-4095-902B-ACA8A647DE4E}"/>
    <cellStyle name="Normal 10 2 7 2 2 2 3 2 2 2" xfId="13430" xr:uid="{E653DF93-59DC-441E-A97D-121ECBA114CF}"/>
    <cellStyle name="Normal 10 2 7 2 2 2 3 2 2 2 2" xfId="13431" xr:uid="{18515E8D-AE9A-44A5-9BDC-0163369E683C}"/>
    <cellStyle name="Normal 10 2 7 2 2 2 3 2 2 3" xfId="13432" xr:uid="{710A6D1F-5441-4EF6-B961-CF7ABA8F8070}"/>
    <cellStyle name="Normal 10 2 7 2 2 2 3 2 3" xfId="13433" xr:uid="{EB6D57D4-CC46-4DD1-A21D-00EE513A045B}"/>
    <cellStyle name="Normal 10 2 7 2 2 2 3 2 3 2" xfId="13434" xr:uid="{C40099F2-DD2B-4D48-AE00-17D05EBB08EE}"/>
    <cellStyle name="Normal 10 2 7 2 2 2 3 2 4" xfId="13435" xr:uid="{1F3FA3D2-3099-4BDC-84C6-930A2AAECACB}"/>
    <cellStyle name="Normal 10 2 7 2 2 2 3 3" xfId="13436" xr:uid="{893CC08E-7740-4251-BCAE-AAFFC55947D5}"/>
    <cellStyle name="Normal 10 2 7 2 2 2 3 3 2" xfId="13437" xr:uid="{BDA75F01-7C24-419B-A62C-FE507822BA9E}"/>
    <cellStyle name="Normal 10 2 7 2 2 2 3 3 2 2" xfId="13438" xr:uid="{D1F9A490-DAC2-487F-B456-64A06463BACC}"/>
    <cellStyle name="Normal 10 2 7 2 2 2 3 3 3" xfId="13439" xr:uid="{960F078C-AA4F-4ACB-A679-CA0ECA405536}"/>
    <cellStyle name="Normal 10 2 7 2 2 2 3 4" xfId="13440" xr:uid="{E3FF9F45-45C4-45CB-AE85-17021FC3D311}"/>
    <cellStyle name="Normal 10 2 7 2 2 2 3 4 2" xfId="13441" xr:uid="{D91AAEA8-8562-40D9-AE94-2CE983BD6D57}"/>
    <cellStyle name="Normal 10 2 7 2 2 2 3 5" xfId="13442" xr:uid="{9E560349-D250-4E06-A213-DE74A3D0767D}"/>
    <cellStyle name="Normal 10 2 7 2 2 2 4" xfId="13443" xr:uid="{B58010AA-5A62-430C-B6D3-8046527365E7}"/>
    <cellStyle name="Normal 10 2 7 2 2 2 4 2" xfId="13444" xr:uid="{760A4EFC-3113-409F-877B-FD9D2F75D6A4}"/>
    <cellStyle name="Normal 10 2 7 2 2 2 4 2 2" xfId="13445" xr:uid="{77D1D5EF-5320-432E-A110-A5907CE79406}"/>
    <cellStyle name="Normal 10 2 7 2 2 2 4 2 2 2" xfId="13446" xr:uid="{2F1DCFC4-2B19-46E3-B289-86C7FA6C1240}"/>
    <cellStyle name="Normal 10 2 7 2 2 2 4 2 3" xfId="13447" xr:uid="{DF18A333-DA16-4ACC-A072-068D11442454}"/>
    <cellStyle name="Normal 10 2 7 2 2 2 4 3" xfId="13448" xr:uid="{9472C553-523C-42E2-9AEE-19814FF2A402}"/>
    <cellStyle name="Normal 10 2 7 2 2 2 4 3 2" xfId="13449" xr:uid="{DF6A10F4-D6E4-4266-915F-192288FEC254}"/>
    <cellStyle name="Normal 10 2 7 2 2 2 4 4" xfId="13450" xr:uid="{CAF82C2A-8B7C-4275-BD14-845C3F2DFFB0}"/>
    <cellStyle name="Normal 10 2 7 2 2 2 5" xfId="13451" xr:uid="{49975212-1A69-4773-BBAA-7B8A9B6FBE10}"/>
    <cellStyle name="Normal 10 2 7 2 2 2 5 2" xfId="13452" xr:uid="{29181027-F2A2-4A67-B08F-E06F6CAC63BF}"/>
    <cellStyle name="Normal 10 2 7 2 2 2 5 2 2" xfId="13453" xr:uid="{C4524882-0EDD-4FC5-9957-3EFFEFFB34DA}"/>
    <cellStyle name="Normal 10 2 7 2 2 2 5 3" xfId="13454" xr:uid="{362A9677-54A3-40B5-837A-1B639FB79245}"/>
    <cellStyle name="Normal 10 2 7 2 2 2 6" xfId="13455" xr:uid="{ABCA9C95-800C-4BFA-BC5D-840EADC986F8}"/>
    <cellStyle name="Normal 10 2 7 2 2 2 6 2" xfId="13456" xr:uid="{CE40B5F4-255F-4DB6-88B4-914CF233BDAC}"/>
    <cellStyle name="Normal 10 2 7 2 2 2 7" xfId="13457" xr:uid="{116D5818-11DE-4279-9350-7FC4C3B1A4F5}"/>
    <cellStyle name="Normal 10 2 7 2 2 3" xfId="13458" xr:uid="{65EA3A55-9E7F-4BBA-8F3B-EF2636B908A3}"/>
    <cellStyle name="Normal 10 2 7 2 2 3 2" xfId="13459" xr:uid="{9852141A-4403-4D65-994B-F0CAF8B65736}"/>
    <cellStyle name="Normal 10 2 7 2 2 3 2 2" xfId="13460" xr:uid="{EA39038D-16FC-4A28-8998-913998F2F02E}"/>
    <cellStyle name="Normal 10 2 7 2 2 3 2 2 2" xfId="13461" xr:uid="{6363E0E0-72D9-4559-A1D0-2108A4FB04BE}"/>
    <cellStyle name="Normal 10 2 7 2 2 3 2 2 2 2" xfId="13462" xr:uid="{F5F65FFB-3EF0-496E-BB16-AC5196A8343E}"/>
    <cellStyle name="Normal 10 2 7 2 2 3 2 2 2 2 2" xfId="13463" xr:uid="{255E67C0-2E28-4175-872C-02F0C62B4394}"/>
    <cellStyle name="Normal 10 2 7 2 2 3 2 2 2 3" xfId="13464" xr:uid="{6AE421B5-7555-4057-9F5B-815D59752FBF}"/>
    <cellStyle name="Normal 10 2 7 2 2 3 2 2 3" xfId="13465" xr:uid="{F3DC8D50-1502-4343-89F7-3F4E9B74B4A6}"/>
    <cellStyle name="Normal 10 2 7 2 2 3 2 2 3 2" xfId="13466" xr:uid="{C8196B38-62E3-489B-8FCD-253500116198}"/>
    <cellStyle name="Normal 10 2 7 2 2 3 2 2 4" xfId="13467" xr:uid="{A3C1A1F7-568E-467B-9FE0-FA9749459F85}"/>
    <cellStyle name="Normal 10 2 7 2 2 3 2 3" xfId="13468" xr:uid="{BBB20D94-3710-4516-8335-CA0939FEB9A6}"/>
    <cellStyle name="Normal 10 2 7 2 2 3 2 3 2" xfId="13469" xr:uid="{FE89368F-B3C2-4699-9FA1-C45FCAB6DBB9}"/>
    <cellStyle name="Normal 10 2 7 2 2 3 2 3 2 2" xfId="13470" xr:uid="{0625DA18-1638-4BA2-8DF1-64CC1C8A1932}"/>
    <cellStyle name="Normal 10 2 7 2 2 3 2 3 3" xfId="13471" xr:uid="{9C7872CC-6432-446F-84EE-EAEAABE2A134}"/>
    <cellStyle name="Normal 10 2 7 2 2 3 2 4" xfId="13472" xr:uid="{78E61A4C-8B95-4763-A34F-0279D40610E0}"/>
    <cellStyle name="Normal 10 2 7 2 2 3 2 4 2" xfId="13473" xr:uid="{F9C985A1-779B-4460-9630-47B5E3F6F7EF}"/>
    <cellStyle name="Normal 10 2 7 2 2 3 2 5" xfId="13474" xr:uid="{07A023DC-A201-4430-9700-F131CAF5AFD8}"/>
    <cellStyle name="Normal 10 2 7 2 2 3 3" xfId="13475" xr:uid="{9DDA4BC3-FD6C-4703-8557-8A8B21F3C823}"/>
    <cellStyle name="Normal 10 2 7 2 2 3 3 2" xfId="13476" xr:uid="{12BBEE78-F969-407E-BA42-B3994F4AC1D2}"/>
    <cellStyle name="Normal 10 2 7 2 2 3 3 2 2" xfId="13477" xr:uid="{BA84CBC5-7F23-4A5B-81CE-AC543782C07F}"/>
    <cellStyle name="Normal 10 2 7 2 2 3 3 2 2 2" xfId="13478" xr:uid="{8A2CEA90-6264-41E1-8123-841CE198BD4B}"/>
    <cellStyle name="Normal 10 2 7 2 2 3 3 2 3" xfId="13479" xr:uid="{FABDE6DD-13FA-498A-92A1-796D86B85361}"/>
    <cellStyle name="Normal 10 2 7 2 2 3 3 3" xfId="13480" xr:uid="{54C96D95-5195-4D82-B010-BB84A489F74D}"/>
    <cellStyle name="Normal 10 2 7 2 2 3 3 3 2" xfId="13481" xr:uid="{1329DC64-9BBE-49E3-A847-61CBEA456BA2}"/>
    <cellStyle name="Normal 10 2 7 2 2 3 3 4" xfId="13482" xr:uid="{D2A0BF2B-3A79-4F56-B980-BC57594CF2C7}"/>
    <cellStyle name="Normal 10 2 7 2 2 3 4" xfId="13483" xr:uid="{E8E00CEE-64BE-4CE6-B049-B26234031B03}"/>
    <cellStyle name="Normal 10 2 7 2 2 3 4 2" xfId="13484" xr:uid="{9EE08C6B-0A98-4416-AF3E-B77201A5A036}"/>
    <cellStyle name="Normal 10 2 7 2 2 3 4 2 2" xfId="13485" xr:uid="{D1F4AA1F-3F9B-48C1-932C-C460D88AB4DE}"/>
    <cellStyle name="Normal 10 2 7 2 2 3 4 3" xfId="13486" xr:uid="{2CD2C224-FADB-48B6-94F1-3BC4475A9D1E}"/>
    <cellStyle name="Normal 10 2 7 2 2 3 5" xfId="13487" xr:uid="{A3DE5414-467B-4F47-A7FF-3CA33AFC724C}"/>
    <cellStyle name="Normal 10 2 7 2 2 3 5 2" xfId="13488" xr:uid="{6C6D1982-ED12-4461-8FF1-0312D6FAC98E}"/>
    <cellStyle name="Normal 10 2 7 2 2 3 6" xfId="13489" xr:uid="{B07320AB-E4EE-4AAC-9497-A0C6E315C795}"/>
    <cellStyle name="Normal 10 2 7 2 2 4" xfId="13490" xr:uid="{0C1C11F7-E73E-4EA4-A742-3E32CEA49C65}"/>
    <cellStyle name="Normal 10 2 7 2 2 4 2" xfId="13491" xr:uid="{8E8A6B76-034E-4867-8DEF-7B55CE6A3C50}"/>
    <cellStyle name="Normal 10 2 7 2 2 4 2 2" xfId="13492" xr:uid="{2AFE838F-71A8-4EE3-ADF5-B740A8D5624D}"/>
    <cellStyle name="Normal 10 2 7 2 2 4 2 2 2" xfId="13493" xr:uid="{834255F7-A0B5-4C13-98C1-9B5E564B72AC}"/>
    <cellStyle name="Normal 10 2 7 2 2 4 2 2 2 2" xfId="13494" xr:uid="{841D0F7B-A21A-4C71-96AD-57A40B452BDE}"/>
    <cellStyle name="Normal 10 2 7 2 2 4 2 2 3" xfId="13495" xr:uid="{FAAED729-89BD-4B2E-8956-61910F208495}"/>
    <cellStyle name="Normal 10 2 7 2 2 4 2 3" xfId="13496" xr:uid="{E6BD7EB0-0AEA-437F-8B1C-1C9FA143DD2E}"/>
    <cellStyle name="Normal 10 2 7 2 2 4 2 3 2" xfId="13497" xr:uid="{104DF2B0-B19E-4761-B992-484A639E99B6}"/>
    <cellStyle name="Normal 10 2 7 2 2 4 2 4" xfId="13498" xr:uid="{5B3C3211-4E22-4AD9-92AB-8D558AE41A49}"/>
    <cellStyle name="Normal 10 2 7 2 2 4 3" xfId="13499" xr:uid="{DC6DF139-1362-4063-ACED-0464A85BD786}"/>
    <cellStyle name="Normal 10 2 7 2 2 4 3 2" xfId="13500" xr:uid="{A0E61604-81ED-4F3F-BC56-B89DA5DCC29B}"/>
    <cellStyle name="Normal 10 2 7 2 2 4 3 2 2" xfId="13501" xr:uid="{482CE537-5122-4714-BD64-3BEA492E7F62}"/>
    <cellStyle name="Normal 10 2 7 2 2 4 3 3" xfId="13502" xr:uid="{F6239576-0C6F-422A-B1C3-6BA198F3A13E}"/>
    <cellStyle name="Normal 10 2 7 2 2 4 4" xfId="13503" xr:uid="{D6965F61-0FFA-417D-A32E-442D37AE1C22}"/>
    <cellStyle name="Normal 10 2 7 2 2 4 4 2" xfId="13504" xr:uid="{01FB497E-896A-4DF0-B042-C8BF01E059AF}"/>
    <cellStyle name="Normal 10 2 7 2 2 4 5" xfId="13505" xr:uid="{AC53ABB3-9FD9-4B3B-94BD-48149F78739A}"/>
    <cellStyle name="Normal 10 2 7 2 2 5" xfId="13506" xr:uid="{56D8B917-4C0D-4929-BC6E-B0EA9EB233F0}"/>
    <cellStyle name="Normal 10 2 7 2 2 5 2" xfId="13507" xr:uid="{6D08FC2C-AF61-4E2C-9BB9-6DB54B7BACED}"/>
    <cellStyle name="Normal 10 2 7 2 2 5 2 2" xfId="13508" xr:uid="{61C51941-68E5-4C0E-9FD8-9182C2A262FF}"/>
    <cellStyle name="Normal 10 2 7 2 2 5 2 2 2" xfId="13509" xr:uid="{0875F35F-BA68-4248-8D9F-F4F776B276BB}"/>
    <cellStyle name="Normal 10 2 7 2 2 5 2 3" xfId="13510" xr:uid="{AE9E83F8-5C7B-41C6-AC6E-5F38447AAF39}"/>
    <cellStyle name="Normal 10 2 7 2 2 5 3" xfId="13511" xr:uid="{AED2931B-EEB0-4001-94FC-4EEAE9C37A05}"/>
    <cellStyle name="Normal 10 2 7 2 2 5 3 2" xfId="13512" xr:uid="{985C8585-2C64-4C59-9042-05BA41D01733}"/>
    <cellStyle name="Normal 10 2 7 2 2 5 4" xfId="13513" xr:uid="{ECB5038C-42A3-42A0-9FDE-D089D6D1B581}"/>
    <cellStyle name="Normal 10 2 7 2 2 6" xfId="13514" xr:uid="{1D85A2C3-28AF-4A64-B6DD-A2E14C65838B}"/>
    <cellStyle name="Normal 10 2 7 2 2 6 2" xfId="13515" xr:uid="{116E2926-BCAC-472E-B21E-F420D37C020A}"/>
    <cellStyle name="Normal 10 2 7 2 2 6 2 2" xfId="13516" xr:uid="{09C56584-67B6-4D6D-B50E-1398C107EA27}"/>
    <cellStyle name="Normal 10 2 7 2 2 6 3" xfId="13517" xr:uid="{AA74A8D4-DA3A-4BEF-B557-5EA9895AAA68}"/>
    <cellStyle name="Normal 10 2 7 2 2 7" xfId="13518" xr:uid="{D826F0A5-CE15-4626-814E-6EC0FF46D070}"/>
    <cellStyle name="Normal 10 2 7 2 2 7 2" xfId="13519" xr:uid="{7D825E34-8E51-4C09-9420-905924D73B71}"/>
    <cellStyle name="Normal 10 2 7 2 2 8" xfId="13520" xr:uid="{733173D9-D175-41B2-8FC8-2778D71CF5E8}"/>
    <cellStyle name="Normal 10 2 7 2 3" xfId="13521" xr:uid="{42BE05D7-9402-4655-846F-27B7272B9337}"/>
    <cellStyle name="Normal 10 2 7 2 3 2" xfId="13522" xr:uid="{584B1D45-EFEC-48F9-83BA-A10FDD51B1FD}"/>
    <cellStyle name="Normal 10 2 7 2 3 2 2" xfId="13523" xr:uid="{BF690D38-AEB4-4969-B59D-D9AD683E7183}"/>
    <cellStyle name="Normal 10 2 7 2 3 2 2 2" xfId="13524" xr:uid="{F97A8C45-3317-4991-A5D6-CFFF36C4B937}"/>
    <cellStyle name="Normal 10 2 7 2 3 2 2 2 2" xfId="13525" xr:uid="{BC765102-FE77-406A-8339-68FA2AC58730}"/>
    <cellStyle name="Normal 10 2 7 2 3 2 2 2 2 2" xfId="13526" xr:uid="{65E66BBD-A936-43A5-A2C3-551314F38371}"/>
    <cellStyle name="Normal 10 2 7 2 3 2 2 2 2 2 2" xfId="13527" xr:uid="{77C48DAA-EE6E-4E08-9C1F-7EB6F40371A0}"/>
    <cellStyle name="Normal 10 2 7 2 3 2 2 2 2 3" xfId="13528" xr:uid="{A1BAA1FC-00E9-4882-B86B-738565455C09}"/>
    <cellStyle name="Normal 10 2 7 2 3 2 2 2 3" xfId="13529" xr:uid="{71BF7054-DEBC-4BF2-9C77-04AE0C66FBB8}"/>
    <cellStyle name="Normal 10 2 7 2 3 2 2 2 3 2" xfId="13530" xr:uid="{1E069641-EE88-47AA-ACD6-A4813977C5B2}"/>
    <cellStyle name="Normal 10 2 7 2 3 2 2 2 4" xfId="13531" xr:uid="{4DEF33C9-2FDF-47F7-93FE-AF4CE047D43C}"/>
    <cellStyle name="Normal 10 2 7 2 3 2 2 3" xfId="13532" xr:uid="{AB813AF6-FC36-4EB8-BBDC-379D78F9EEB8}"/>
    <cellStyle name="Normal 10 2 7 2 3 2 2 3 2" xfId="13533" xr:uid="{0B5956FC-9E73-4F42-9524-44D7E7C100B9}"/>
    <cellStyle name="Normal 10 2 7 2 3 2 2 3 2 2" xfId="13534" xr:uid="{2594EEA5-C381-44BA-9E93-5107E95F2F07}"/>
    <cellStyle name="Normal 10 2 7 2 3 2 2 3 3" xfId="13535" xr:uid="{F4BCD482-4065-4E9B-AD02-17940363A155}"/>
    <cellStyle name="Normal 10 2 7 2 3 2 2 4" xfId="13536" xr:uid="{8AFE8A3A-984A-4F93-9623-548F472164CC}"/>
    <cellStyle name="Normal 10 2 7 2 3 2 2 4 2" xfId="13537" xr:uid="{09C607FF-C7AB-4627-8655-2DB677F96482}"/>
    <cellStyle name="Normal 10 2 7 2 3 2 2 5" xfId="13538" xr:uid="{67A077CD-76FB-44C4-87BA-7A14925ECA26}"/>
    <cellStyle name="Normal 10 2 7 2 3 2 3" xfId="13539" xr:uid="{7A11E073-DE4F-4925-9AB1-099615C243DF}"/>
    <cellStyle name="Normal 10 2 7 2 3 2 3 2" xfId="13540" xr:uid="{9400F4F9-609D-4A4A-990C-4F1D998B27C6}"/>
    <cellStyle name="Normal 10 2 7 2 3 2 3 2 2" xfId="13541" xr:uid="{216FC759-2CF8-473A-83F6-211A058A9638}"/>
    <cellStyle name="Normal 10 2 7 2 3 2 3 2 2 2" xfId="13542" xr:uid="{828C7F14-1DC8-4D90-9396-DB0A11B3FAEC}"/>
    <cellStyle name="Normal 10 2 7 2 3 2 3 2 3" xfId="13543" xr:uid="{D913B592-10BC-4B97-974C-BE9134006BA5}"/>
    <cellStyle name="Normal 10 2 7 2 3 2 3 3" xfId="13544" xr:uid="{F94F0FB0-6049-4541-9DDA-682837C70229}"/>
    <cellStyle name="Normal 10 2 7 2 3 2 3 3 2" xfId="13545" xr:uid="{06EDECF1-DA20-48F9-86F7-A69DA2E674C5}"/>
    <cellStyle name="Normal 10 2 7 2 3 2 3 4" xfId="13546" xr:uid="{2C2210C6-8022-488A-BD96-207A26023A2D}"/>
    <cellStyle name="Normal 10 2 7 2 3 2 4" xfId="13547" xr:uid="{1514FB97-19F8-475F-BC7B-D6EC6EAA9DF7}"/>
    <cellStyle name="Normal 10 2 7 2 3 2 4 2" xfId="13548" xr:uid="{AE93A131-801D-4BB0-9D51-08EF8942EBE6}"/>
    <cellStyle name="Normal 10 2 7 2 3 2 4 2 2" xfId="13549" xr:uid="{F8B57D52-F65D-4C84-8D71-A8847E30560E}"/>
    <cellStyle name="Normal 10 2 7 2 3 2 4 3" xfId="13550" xr:uid="{28E97C27-3550-478B-989B-B0C41BF6AFB9}"/>
    <cellStyle name="Normal 10 2 7 2 3 2 5" xfId="13551" xr:uid="{336AE749-39B8-4BDB-9A0F-9996E07850DD}"/>
    <cellStyle name="Normal 10 2 7 2 3 2 5 2" xfId="13552" xr:uid="{5D266537-96B1-4C6C-BCF2-E42552A5E020}"/>
    <cellStyle name="Normal 10 2 7 2 3 2 6" xfId="13553" xr:uid="{58ADB90A-733B-4741-8973-36A648DF6870}"/>
    <cellStyle name="Normal 10 2 7 2 3 3" xfId="13554" xr:uid="{63A5F44C-C3B3-4CE0-A90E-7833C2BCAD15}"/>
    <cellStyle name="Normal 10 2 7 2 3 3 2" xfId="13555" xr:uid="{0AA9423D-73A2-4613-B96C-18E296043248}"/>
    <cellStyle name="Normal 10 2 7 2 3 3 2 2" xfId="13556" xr:uid="{0FBFBD7F-DD9A-4E2D-B2FD-BB1C301D3DC6}"/>
    <cellStyle name="Normal 10 2 7 2 3 3 2 2 2" xfId="13557" xr:uid="{C9776F44-170E-4F08-B36C-058B3F02534C}"/>
    <cellStyle name="Normal 10 2 7 2 3 3 2 2 2 2" xfId="13558" xr:uid="{23CDEDD7-C1E8-4F7A-9D2F-F8162A11B6F0}"/>
    <cellStyle name="Normal 10 2 7 2 3 3 2 2 3" xfId="13559" xr:uid="{85C7FB45-2BDF-4BF9-A43B-9BE8B29C27F5}"/>
    <cellStyle name="Normal 10 2 7 2 3 3 2 3" xfId="13560" xr:uid="{D03CD173-E56E-4814-B138-69CDD34D1773}"/>
    <cellStyle name="Normal 10 2 7 2 3 3 2 3 2" xfId="13561" xr:uid="{9F5F79C8-AD11-40B4-A436-63E301C58AB4}"/>
    <cellStyle name="Normal 10 2 7 2 3 3 2 4" xfId="13562" xr:uid="{DFC095BC-AFCE-4182-B5D5-880B31121559}"/>
    <cellStyle name="Normal 10 2 7 2 3 3 3" xfId="13563" xr:uid="{865CB453-6654-4301-BAFD-F3490B1E8390}"/>
    <cellStyle name="Normal 10 2 7 2 3 3 3 2" xfId="13564" xr:uid="{0C8DBCCB-CF28-4F17-A769-7A35655C8070}"/>
    <cellStyle name="Normal 10 2 7 2 3 3 3 2 2" xfId="13565" xr:uid="{18B38AA8-DF89-4C9C-A320-BE69188B6554}"/>
    <cellStyle name="Normal 10 2 7 2 3 3 3 3" xfId="13566" xr:uid="{39CC5D3D-3A7B-48D0-8BCF-22A5144B038E}"/>
    <cellStyle name="Normal 10 2 7 2 3 3 4" xfId="13567" xr:uid="{8032D927-3EE0-4292-A8BA-6A76D174E214}"/>
    <cellStyle name="Normal 10 2 7 2 3 3 4 2" xfId="13568" xr:uid="{C714AD37-6D5E-4260-B3E0-6D4BA82AA2AB}"/>
    <cellStyle name="Normal 10 2 7 2 3 3 5" xfId="13569" xr:uid="{F538CC70-9C15-4E28-9EAF-2D7E9B5D1BC7}"/>
    <cellStyle name="Normal 10 2 7 2 3 4" xfId="13570" xr:uid="{78609205-AA98-4F6C-93D2-62DC1E8DE767}"/>
    <cellStyle name="Normal 10 2 7 2 3 4 2" xfId="13571" xr:uid="{254DDDDB-7B15-402D-9FFE-6CAF2ABA69AC}"/>
    <cellStyle name="Normal 10 2 7 2 3 4 2 2" xfId="13572" xr:uid="{DCEEE91E-7718-483D-8000-00C1F416F805}"/>
    <cellStyle name="Normal 10 2 7 2 3 4 2 2 2" xfId="13573" xr:uid="{40FFA292-D819-4223-8E6C-16A265DE9156}"/>
    <cellStyle name="Normal 10 2 7 2 3 4 2 3" xfId="13574" xr:uid="{C9C36D8C-503C-44B0-A379-6A622B671F65}"/>
    <cellStyle name="Normal 10 2 7 2 3 4 3" xfId="13575" xr:uid="{FF91A443-820B-431E-9A73-58DA0945387F}"/>
    <cellStyle name="Normal 10 2 7 2 3 4 3 2" xfId="13576" xr:uid="{FC837A87-B511-4D70-8FD4-5BB84F803CB6}"/>
    <cellStyle name="Normal 10 2 7 2 3 4 4" xfId="13577" xr:uid="{C742C994-144F-4C38-9856-32C65301FE95}"/>
    <cellStyle name="Normal 10 2 7 2 3 5" xfId="13578" xr:uid="{426D83B8-4189-4CAE-892D-3889D42A83EF}"/>
    <cellStyle name="Normal 10 2 7 2 3 5 2" xfId="13579" xr:uid="{67A974A6-C521-40D5-A817-145037CEF400}"/>
    <cellStyle name="Normal 10 2 7 2 3 5 2 2" xfId="13580" xr:uid="{EEE69911-15F7-4730-B5F9-4CD74A95B25C}"/>
    <cellStyle name="Normal 10 2 7 2 3 5 3" xfId="13581" xr:uid="{90BA36E4-8A37-4A0F-A1CB-2E552C85ECFA}"/>
    <cellStyle name="Normal 10 2 7 2 3 6" xfId="13582" xr:uid="{0C1A2909-BECA-469D-ACD6-0FE11DA62CA1}"/>
    <cellStyle name="Normal 10 2 7 2 3 6 2" xfId="13583" xr:uid="{AEACDEAB-BE2A-44E7-9282-29107AE0B0CB}"/>
    <cellStyle name="Normal 10 2 7 2 3 7" xfId="13584" xr:uid="{5D5A1E31-7711-4562-9CF1-E28C5BDCD18F}"/>
    <cellStyle name="Normal 10 2 7 2 4" xfId="13585" xr:uid="{EA2E7626-78E7-45A0-A619-AD4CC741A83E}"/>
    <cellStyle name="Normal 10 2 7 2 4 2" xfId="13586" xr:uid="{37A03CED-9DFF-439F-8F38-44439CE85F0F}"/>
    <cellStyle name="Normal 10 2 7 2 4 2 2" xfId="13587" xr:uid="{A421B74C-A47E-47A1-B534-AFAEBD7748D6}"/>
    <cellStyle name="Normal 10 2 7 2 4 2 2 2" xfId="13588" xr:uid="{2B5B2B46-8C71-487C-B226-DB858EBE53AD}"/>
    <cellStyle name="Normal 10 2 7 2 4 2 2 2 2" xfId="13589" xr:uid="{A18F5524-0FCF-4672-8E11-83B4D246F6B0}"/>
    <cellStyle name="Normal 10 2 7 2 4 2 2 2 2 2" xfId="13590" xr:uid="{75C918C1-85A6-416D-9BF0-F1125C580500}"/>
    <cellStyle name="Normal 10 2 7 2 4 2 2 2 3" xfId="13591" xr:uid="{3E682C6B-5ADE-4DA7-9FD0-815158EDA4F5}"/>
    <cellStyle name="Normal 10 2 7 2 4 2 2 3" xfId="13592" xr:uid="{ED5D1938-B8CD-4C94-8B7D-AE47829F03A8}"/>
    <cellStyle name="Normal 10 2 7 2 4 2 2 3 2" xfId="13593" xr:uid="{51329E22-A5C6-4E9A-BDF9-E37829B5E377}"/>
    <cellStyle name="Normal 10 2 7 2 4 2 2 4" xfId="13594" xr:uid="{F79636C3-A43D-4BE1-9FC2-037C9482C614}"/>
    <cellStyle name="Normal 10 2 7 2 4 2 3" xfId="13595" xr:uid="{0CD2D995-D177-4592-9130-0EFA345B47FC}"/>
    <cellStyle name="Normal 10 2 7 2 4 2 3 2" xfId="13596" xr:uid="{D02E584A-6F31-41E3-943B-F408CFE70B85}"/>
    <cellStyle name="Normal 10 2 7 2 4 2 3 2 2" xfId="13597" xr:uid="{B35DD2EF-9BB8-481E-AE10-301BA4632D27}"/>
    <cellStyle name="Normal 10 2 7 2 4 2 3 3" xfId="13598" xr:uid="{E5919BE7-0B47-4AA5-83E0-9FFF4C38259D}"/>
    <cellStyle name="Normal 10 2 7 2 4 2 4" xfId="13599" xr:uid="{4BA61101-DF45-4449-9102-7667B23DF3FA}"/>
    <cellStyle name="Normal 10 2 7 2 4 2 4 2" xfId="13600" xr:uid="{F69C28DB-457D-4089-8254-5C42FB6DDA4A}"/>
    <cellStyle name="Normal 10 2 7 2 4 2 5" xfId="13601" xr:uid="{2242BC2C-1709-4F6F-A9CC-1CEE8B3E587F}"/>
    <cellStyle name="Normal 10 2 7 2 4 3" xfId="13602" xr:uid="{C13F045D-CFF3-4940-B685-5D6E75105BD7}"/>
    <cellStyle name="Normal 10 2 7 2 4 3 2" xfId="13603" xr:uid="{92606EBE-8ADB-424F-B806-81A1FCB156A8}"/>
    <cellStyle name="Normal 10 2 7 2 4 3 2 2" xfId="13604" xr:uid="{83995C34-8035-45CE-BEF9-54CEA041C060}"/>
    <cellStyle name="Normal 10 2 7 2 4 3 2 2 2" xfId="13605" xr:uid="{2F6A88D2-3551-4833-8398-00CA859FB08C}"/>
    <cellStyle name="Normal 10 2 7 2 4 3 2 3" xfId="13606" xr:uid="{B15B4686-1AC7-47E3-B711-5E3281782B90}"/>
    <cellStyle name="Normal 10 2 7 2 4 3 3" xfId="13607" xr:uid="{B71775D9-4C66-4AE5-9643-C3A21E9AAB8B}"/>
    <cellStyle name="Normal 10 2 7 2 4 3 3 2" xfId="13608" xr:uid="{059A896F-949E-43F9-98BE-2E59D914E2DD}"/>
    <cellStyle name="Normal 10 2 7 2 4 3 4" xfId="13609" xr:uid="{6BE3F39F-37A9-4864-A9C7-37A5E53C7B6D}"/>
    <cellStyle name="Normal 10 2 7 2 4 4" xfId="13610" xr:uid="{39D3A4C9-B86C-48DB-833B-9B98CCB313E9}"/>
    <cellStyle name="Normal 10 2 7 2 4 4 2" xfId="13611" xr:uid="{478684E5-08B2-4B91-A827-36B8BF7BF764}"/>
    <cellStyle name="Normal 10 2 7 2 4 4 2 2" xfId="13612" xr:uid="{4BE68CC3-3F11-4218-84E0-FA5937752CC5}"/>
    <cellStyle name="Normal 10 2 7 2 4 4 3" xfId="13613" xr:uid="{0B384F72-9A81-4292-AC73-82EE285A7325}"/>
    <cellStyle name="Normal 10 2 7 2 4 5" xfId="13614" xr:uid="{BD0FED33-420A-4FC6-A0CD-8BE805369121}"/>
    <cellStyle name="Normal 10 2 7 2 4 5 2" xfId="13615" xr:uid="{E1C90E3A-582B-4712-A1BE-2779B8F386A0}"/>
    <cellStyle name="Normal 10 2 7 2 4 6" xfId="13616" xr:uid="{35ADADC3-DD91-4AAB-8B3E-B5BFD4159B99}"/>
    <cellStyle name="Normal 10 2 7 2 5" xfId="13617" xr:uid="{F094E6ED-B28F-4816-A311-9E9CA25B36C3}"/>
    <cellStyle name="Normal 10 2 7 2 5 2" xfId="13618" xr:uid="{8E001657-89C6-4D36-868C-0C9EA7AB0F11}"/>
    <cellStyle name="Normal 10 2 7 2 5 2 2" xfId="13619" xr:uid="{EC77960A-D11C-4B5C-97A6-7E739019BB19}"/>
    <cellStyle name="Normal 10 2 7 2 5 2 2 2" xfId="13620" xr:uid="{20E4E1DF-B4DA-45E2-90C6-2C0A1DE2A76F}"/>
    <cellStyle name="Normal 10 2 7 2 5 2 2 2 2" xfId="13621" xr:uid="{866A031D-53FA-4911-ABF0-B7AFB77F552A}"/>
    <cellStyle name="Normal 10 2 7 2 5 2 2 3" xfId="13622" xr:uid="{9A1226E2-8003-45D5-BF71-4AD3213AC4CF}"/>
    <cellStyle name="Normal 10 2 7 2 5 2 3" xfId="13623" xr:uid="{746CEA69-620D-4942-8C3F-18D05B96E0B9}"/>
    <cellStyle name="Normal 10 2 7 2 5 2 3 2" xfId="13624" xr:uid="{4F3E3A66-85B9-4AA1-BA9E-0C34ECDDB6D5}"/>
    <cellStyle name="Normal 10 2 7 2 5 2 4" xfId="13625" xr:uid="{6ED0528F-D69F-4564-9EDB-45FD4927A884}"/>
    <cellStyle name="Normal 10 2 7 2 5 3" xfId="13626" xr:uid="{E513180C-536C-4C27-AB4C-36D3F9916CC5}"/>
    <cellStyle name="Normal 10 2 7 2 5 3 2" xfId="13627" xr:uid="{9170616B-6456-42B7-886F-2CE4344DD26C}"/>
    <cellStyle name="Normal 10 2 7 2 5 3 2 2" xfId="13628" xr:uid="{DE807264-EFC6-4F15-9DCA-313251DB1671}"/>
    <cellStyle name="Normal 10 2 7 2 5 3 3" xfId="13629" xr:uid="{405A4524-926E-464E-B74B-D7ABD57A3AA3}"/>
    <cellStyle name="Normal 10 2 7 2 5 4" xfId="13630" xr:uid="{6BE23DA8-A5AE-4A82-8697-D93E68450589}"/>
    <cellStyle name="Normal 10 2 7 2 5 4 2" xfId="13631" xr:uid="{5E55EDD9-E628-4A30-B71F-34CBA5FB75EC}"/>
    <cellStyle name="Normal 10 2 7 2 5 5" xfId="13632" xr:uid="{466B737A-65CF-4D84-AD54-8FA633A938DE}"/>
    <cellStyle name="Normal 10 2 7 2 6" xfId="13633" xr:uid="{6A8062E3-F064-4B5E-8872-0D94910C481E}"/>
    <cellStyle name="Normal 10 2 7 2 6 2" xfId="13634" xr:uid="{30578984-5774-4EC9-9CCA-FC0C98E2FB8C}"/>
    <cellStyle name="Normal 10 2 7 2 6 2 2" xfId="13635" xr:uid="{D2924D54-B8DC-4328-9401-2319041629F9}"/>
    <cellStyle name="Normal 10 2 7 2 6 2 2 2" xfId="13636" xr:uid="{E220D575-973C-4C5F-BD74-94F3D7798EA7}"/>
    <cellStyle name="Normal 10 2 7 2 6 2 3" xfId="13637" xr:uid="{A16BFC0F-29BC-466E-BF91-4747694DE5A3}"/>
    <cellStyle name="Normal 10 2 7 2 6 3" xfId="13638" xr:uid="{29DA8A92-3BD0-4107-B58B-3FD9C5E86900}"/>
    <cellStyle name="Normal 10 2 7 2 6 3 2" xfId="13639" xr:uid="{4B99EE2C-1A27-4904-AEF2-2CEADDC8C239}"/>
    <cellStyle name="Normal 10 2 7 2 6 4" xfId="13640" xr:uid="{7B112AC1-EE07-4964-A469-F89183BCAD8F}"/>
    <cellStyle name="Normal 10 2 7 2 7" xfId="13641" xr:uid="{7F6A0DB5-D9FB-4214-84BE-75F4546CF08D}"/>
    <cellStyle name="Normal 10 2 7 2 7 2" xfId="13642" xr:uid="{02797028-5C2C-455E-ACF2-95A2BA13835D}"/>
    <cellStyle name="Normal 10 2 7 2 7 2 2" xfId="13643" xr:uid="{51F63CD4-27F5-4753-9E62-6992D4391796}"/>
    <cellStyle name="Normal 10 2 7 2 7 3" xfId="13644" xr:uid="{5671CE9F-4843-4235-8825-F9CFF9A90680}"/>
    <cellStyle name="Normal 10 2 7 2 8" xfId="13645" xr:uid="{6D6C4B0F-38AA-49DF-A38F-52068D525855}"/>
    <cellStyle name="Normal 10 2 7 2 8 2" xfId="13646" xr:uid="{4401BEA4-D99B-4A76-9769-9D3A6A8855BD}"/>
    <cellStyle name="Normal 10 2 7 2 9" xfId="13647" xr:uid="{94F4B294-0317-4B1A-AA5A-D5E0D04787B3}"/>
    <cellStyle name="Normal 10 2 7 3" xfId="485" xr:uid="{9D1D1432-A951-4B7D-B05A-D2D48D6645D8}"/>
    <cellStyle name="Normal 10 2 7 3 2" xfId="13649" xr:uid="{900E4E12-9E76-44DB-9330-22363A8E12EA}"/>
    <cellStyle name="Normal 10 2 7 3 2 2" xfId="13650" xr:uid="{E515B3DD-0E5B-4336-B94B-1C1264AF2541}"/>
    <cellStyle name="Normal 10 2 7 3 2 2 2" xfId="13651" xr:uid="{7F2B4BAA-3668-43F2-8CB7-2061A8304DBB}"/>
    <cellStyle name="Normal 10 2 7 3 2 2 2 2" xfId="13652" xr:uid="{E92B2A27-3D62-4862-81AB-3146F49311AB}"/>
    <cellStyle name="Normal 10 2 7 3 2 2 2 2 2" xfId="13653" xr:uid="{86349ECC-5A01-48F7-9F11-EE3E98D9DF25}"/>
    <cellStyle name="Normal 10 2 7 3 2 2 2 2 2 2" xfId="13654" xr:uid="{D55D84CD-4AFC-49E6-96E6-F2651AE85045}"/>
    <cellStyle name="Normal 10 2 7 3 2 2 2 2 2 2 2" xfId="13655" xr:uid="{A64C98D3-653C-4E77-A413-679601EDD1C9}"/>
    <cellStyle name="Normal 10 2 7 3 2 2 2 2 2 3" xfId="13656" xr:uid="{15908852-CF73-4655-BBE1-5127FF567BB3}"/>
    <cellStyle name="Normal 10 2 7 3 2 2 2 2 3" xfId="13657" xr:uid="{F1D235A2-78A8-4260-8BF7-B266094FE1FA}"/>
    <cellStyle name="Normal 10 2 7 3 2 2 2 2 3 2" xfId="13658" xr:uid="{B18C7548-267E-4255-8B5E-8CF04874D5A4}"/>
    <cellStyle name="Normal 10 2 7 3 2 2 2 2 4" xfId="13659" xr:uid="{18B08D5D-D8B2-4460-8634-0851673F7FB1}"/>
    <cellStyle name="Normal 10 2 7 3 2 2 2 3" xfId="13660" xr:uid="{DF5AD2EF-F9B8-4964-A388-733FB37C17E7}"/>
    <cellStyle name="Normal 10 2 7 3 2 2 2 3 2" xfId="13661" xr:uid="{4995EE5E-7A79-41B8-A398-9E02A1BE8C51}"/>
    <cellStyle name="Normal 10 2 7 3 2 2 2 3 2 2" xfId="13662" xr:uid="{525E2AF1-4ADC-4A93-BB1A-E2EECCCBC0AF}"/>
    <cellStyle name="Normal 10 2 7 3 2 2 2 3 3" xfId="13663" xr:uid="{3BB5F985-523B-4C8E-9754-F09915295A9A}"/>
    <cellStyle name="Normal 10 2 7 3 2 2 2 4" xfId="13664" xr:uid="{4CA30FA6-DBAE-4C69-9F65-865C9DFBD0F1}"/>
    <cellStyle name="Normal 10 2 7 3 2 2 2 4 2" xfId="13665" xr:uid="{98685F5C-C35C-4112-BF88-77DA8F8EBBC5}"/>
    <cellStyle name="Normal 10 2 7 3 2 2 2 5" xfId="13666" xr:uid="{D4EE410F-00E2-4F07-9DF8-883F6FC33546}"/>
    <cellStyle name="Normal 10 2 7 3 2 2 3" xfId="13667" xr:uid="{E2E70E50-A044-47C1-8FA3-45FB17CB2E9B}"/>
    <cellStyle name="Normal 10 2 7 3 2 2 3 2" xfId="13668" xr:uid="{25CA399C-CFB6-440D-8B74-2920413B87B3}"/>
    <cellStyle name="Normal 10 2 7 3 2 2 3 2 2" xfId="13669" xr:uid="{653B0881-8B40-4335-BBAE-2A23268D3BC2}"/>
    <cellStyle name="Normal 10 2 7 3 2 2 3 2 2 2" xfId="13670" xr:uid="{7AF85529-D100-44B8-9254-66B4E1E1FFFF}"/>
    <cellStyle name="Normal 10 2 7 3 2 2 3 2 3" xfId="13671" xr:uid="{20ACC5FB-95C0-4984-AC39-DA17C9315E6D}"/>
    <cellStyle name="Normal 10 2 7 3 2 2 3 3" xfId="13672" xr:uid="{DDC8BE13-C538-498D-94E8-E44E5FD0A8FB}"/>
    <cellStyle name="Normal 10 2 7 3 2 2 3 3 2" xfId="13673" xr:uid="{D84AC0B6-BCF5-46BA-88F2-3A95B2A4C3DC}"/>
    <cellStyle name="Normal 10 2 7 3 2 2 3 4" xfId="13674" xr:uid="{20C83955-0434-4075-A9DD-2BBE579F04EF}"/>
    <cellStyle name="Normal 10 2 7 3 2 2 4" xfId="13675" xr:uid="{F0617F65-9891-4F1C-9687-61A9D586D403}"/>
    <cellStyle name="Normal 10 2 7 3 2 2 4 2" xfId="13676" xr:uid="{D52DFD5F-A5B0-40F3-9D56-CF2686B3999C}"/>
    <cellStyle name="Normal 10 2 7 3 2 2 4 2 2" xfId="13677" xr:uid="{54470E19-0B42-4C57-B942-2AF0EDBB245B}"/>
    <cellStyle name="Normal 10 2 7 3 2 2 4 3" xfId="13678" xr:uid="{7DB773BF-D5CA-452A-98FD-360A27147471}"/>
    <cellStyle name="Normal 10 2 7 3 2 2 5" xfId="13679" xr:uid="{04444D37-4BEE-41BF-894C-CDA77E2EB61B}"/>
    <cellStyle name="Normal 10 2 7 3 2 2 5 2" xfId="13680" xr:uid="{58FA45CA-D474-44EA-93C5-16DCB45BF822}"/>
    <cellStyle name="Normal 10 2 7 3 2 2 6" xfId="13681" xr:uid="{E6DEA6F1-AB64-4D41-8C7A-F7F11B30E9B6}"/>
    <cellStyle name="Normal 10 2 7 3 2 3" xfId="13682" xr:uid="{22BF6513-EA36-4F4A-AC87-FB1C259EFD12}"/>
    <cellStyle name="Normal 10 2 7 3 2 3 2" xfId="13683" xr:uid="{F8DA2C7B-8BBD-4DBB-9729-C7EFAE3508C6}"/>
    <cellStyle name="Normal 10 2 7 3 2 3 2 2" xfId="13684" xr:uid="{46B10ADE-F90B-4687-B457-888F5D147776}"/>
    <cellStyle name="Normal 10 2 7 3 2 3 2 2 2" xfId="13685" xr:uid="{D23C0169-07D0-44A2-ACEF-461A93B62A4E}"/>
    <cellStyle name="Normal 10 2 7 3 2 3 2 2 2 2" xfId="13686" xr:uid="{4F553546-D45E-4FBC-BFA6-23329F5CCCEA}"/>
    <cellStyle name="Normal 10 2 7 3 2 3 2 2 3" xfId="13687" xr:uid="{C5E49686-65C0-4681-A27E-EB521348EAAF}"/>
    <cellStyle name="Normal 10 2 7 3 2 3 2 3" xfId="13688" xr:uid="{476398EB-BA44-4F50-BCBA-3D35C4CB49EA}"/>
    <cellStyle name="Normal 10 2 7 3 2 3 2 3 2" xfId="13689" xr:uid="{F5C8D026-9F89-4AC0-9665-2D0D15C8B605}"/>
    <cellStyle name="Normal 10 2 7 3 2 3 2 4" xfId="13690" xr:uid="{F5E7459A-659C-4A04-AB20-12DFBEE9AE15}"/>
    <cellStyle name="Normal 10 2 7 3 2 3 3" xfId="13691" xr:uid="{CA344D1D-FB80-4B94-A3D6-F5BA7B9F52AA}"/>
    <cellStyle name="Normal 10 2 7 3 2 3 3 2" xfId="13692" xr:uid="{9499EFA1-A7E3-4EF8-A95A-BECAF33F32F6}"/>
    <cellStyle name="Normal 10 2 7 3 2 3 3 2 2" xfId="13693" xr:uid="{1CD1662D-980C-4BF1-885C-6DA6A5455047}"/>
    <cellStyle name="Normal 10 2 7 3 2 3 3 3" xfId="13694" xr:uid="{8ABADCD1-F406-41AE-B56E-2E5E025A8DE0}"/>
    <cellStyle name="Normal 10 2 7 3 2 3 4" xfId="13695" xr:uid="{3DBEBCB6-BFF9-4290-B6AD-9CA1C353A764}"/>
    <cellStyle name="Normal 10 2 7 3 2 3 4 2" xfId="13696" xr:uid="{4D316533-FCFA-4ED1-8BDC-2821834B331B}"/>
    <cellStyle name="Normal 10 2 7 3 2 3 5" xfId="13697" xr:uid="{854A5714-E808-4455-9473-DD16EB11F333}"/>
    <cellStyle name="Normal 10 2 7 3 2 4" xfId="13698" xr:uid="{0B30F8DA-BE80-4BA9-8830-F1036D509FA4}"/>
    <cellStyle name="Normal 10 2 7 3 2 4 2" xfId="13699" xr:uid="{54605880-48F6-4861-8138-CADFB9BA1CA6}"/>
    <cellStyle name="Normal 10 2 7 3 2 4 2 2" xfId="13700" xr:uid="{1C013217-4BF2-41F8-A547-E2FBFD00BA00}"/>
    <cellStyle name="Normal 10 2 7 3 2 4 2 2 2" xfId="13701" xr:uid="{745F8C3C-3FC0-4080-9125-6051A543236E}"/>
    <cellStyle name="Normal 10 2 7 3 2 4 2 3" xfId="13702" xr:uid="{E570D7F1-6BF9-4C48-9744-25C4F34B67F7}"/>
    <cellStyle name="Normal 10 2 7 3 2 4 3" xfId="13703" xr:uid="{0B469F21-FAFE-422B-82AB-E92D76B151E0}"/>
    <cellStyle name="Normal 10 2 7 3 2 4 3 2" xfId="13704" xr:uid="{CFD5B642-C05F-46CF-99C6-E8399474C809}"/>
    <cellStyle name="Normal 10 2 7 3 2 4 4" xfId="13705" xr:uid="{F32F9601-F81A-446A-BA2F-774E104A3C3A}"/>
    <cellStyle name="Normal 10 2 7 3 2 5" xfId="13706" xr:uid="{9A471BE5-7F35-46E1-8619-DD33790C04B8}"/>
    <cellStyle name="Normal 10 2 7 3 2 5 2" xfId="13707" xr:uid="{E470969D-5B76-47DA-A740-123E3BD0379E}"/>
    <cellStyle name="Normal 10 2 7 3 2 5 2 2" xfId="13708" xr:uid="{E1273BA5-9C74-4B9D-A565-AB86B0F5F05C}"/>
    <cellStyle name="Normal 10 2 7 3 2 5 3" xfId="13709" xr:uid="{49E4B01D-1E9F-429D-9E38-808534B4A25F}"/>
    <cellStyle name="Normal 10 2 7 3 2 6" xfId="13710" xr:uid="{FBE39468-D98A-4ABC-A6E3-490559DFD5D7}"/>
    <cellStyle name="Normal 10 2 7 3 2 6 2" xfId="13711" xr:uid="{287CD43D-2C3C-4195-BE96-E8A65ACE950A}"/>
    <cellStyle name="Normal 10 2 7 3 2 7" xfId="13712" xr:uid="{236CB45A-35EB-4181-8F60-A57283AAFDCF}"/>
    <cellStyle name="Normal 10 2 7 3 3" xfId="13713" xr:uid="{E44C3B63-1989-4342-857D-E976B4E72E2B}"/>
    <cellStyle name="Normal 10 2 7 3 3 2" xfId="13714" xr:uid="{A529D099-5466-4FB4-B59C-6E7CD8D0ED91}"/>
    <cellStyle name="Normal 10 2 7 3 3 2 2" xfId="13715" xr:uid="{43A2507D-C186-4207-8C5C-919EB33CFE8B}"/>
    <cellStyle name="Normal 10 2 7 3 3 2 2 2" xfId="13716" xr:uid="{B1426404-C86C-45DB-96CB-EC915F0536D0}"/>
    <cellStyle name="Normal 10 2 7 3 3 2 2 2 2" xfId="13717" xr:uid="{123D3DA0-9857-493A-9FCB-D8677A802EA3}"/>
    <cellStyle name="Normal 10 2 7 3 3 2 2 2 2 2" xfId="13718" xr:uid="{F2D8EFD0-0177-4177-A60C-8FABA576621D}"/>
    <cellStyle name="Normal 10 2 7 3 3 2 2 2 3" xfId="13719" xr:uid="{F43C5B53-1070-4CA8-A4BC-649DD2BC833F}"/>
    <cellStyle name="Normal 10 2 7 3 3 2 2 3" xfId="13720" xr:uid="{F1774052-F7FD-4441-A394-C3E9EF83FEC9}"/>
    <cellStyle name="Normal 10 2 7 3 3 2 2 3 2" xfId="13721" xr:uid="{97C0570A-EA8F-44F5-B579-739A32A7D0DB}"/>
    <cellStyle name="Normal 10 2 7 3 3 2 2 4" xfId="13722" xr:uid="{1C2C9DA2-E3D4-49C5-ACCB-6AFBB14D2051}"/>
    <cellStyle name="Normal 10 2 7 3 3 2 3" xfId="13723" xr:uid="{904500F6-6C71-4673-8B02-CB216688C6C2}"/>
    <cellStyle name="Normal 10 2 7 3 3 2 3 2" xfId="13724" xr:uid="{D1FA91A0-428B-4DC8-BF67-376E44A76CE3}"/>
    <cellStyle name="Normal 10 2 7 3 3 2 3 2 2" xfId="13725" xr:uid="{BFFBA4F7-D3D0-469E-B49B-B7626841829A}"/>
    <cellStyle name="Normal 10 2 7 3 3 2 3 3" xfId="13726" xr:uid="{55577D54-C81B-47DC-9F3C-3CC727EF672B}"/>
    <cellStyle name="Normal 10 2 7 3 3 2 4" xfId="13727" xr:uid="{5099CEB6-4C60-4B95-886E-AAD6C37A7EB8}"/>
    <cellStyle name="Normal 10 2 7 3 3 2 4 2" xfId="13728" xr:uid="{CD05865B-5449-4408-B181-D145A1E0C0F4}"/>
    <cellStyle name="Normal 10 2 7 3 3 2 5" xfId="13729" xr:uid="{4682D02D-63FF-478D-AD3A-69A1D9DD8FDB}"/>
    <cellStyle name="Normal 10 2 7 3 3 3" xfId="13730" xr:uid="{B84DDB73-50D5-4F8F-B0CF-06A74AC0C585}"/>
    <cellStyle name="Normal 10 2 7 3 3 3 2" xfId="13731" xr:uid="{F9A65946-9617-4635-8DD5-1629A1A89613}"/>
    <cellStyle name="Normal 10 2 7 3 3 3 2 2" xfId="13732" xr:uid="{9D4C1AD1-6BC7-4058-A7D0-4F2DF20661EB}"/>
    <cellStyle name="Normal 10 2 7 3 3 3 2 2 2" xfId="13733" xr:uid="{9DF5C575-55E2-4F3C-84EC-3DD694C5F909}"/>
    <cellStyle name="Normal 10 2 7 3 3 3 2 3" xfId="13734" xr:uid="{E508E8F0-E3B6-41C5-806D-612EEB9FE7DA}"/>
    <cellStyle name="Normal 10 2 7 3 3 3 3" xfId="13735" xr:uid="{6D33CD3C-5B1F-48B7-891D-96D9313C14AE}"/>
    <cellStyle name="Normal 10 2 7 3 3 3 3 2" xfId="13736" xr:uid="{9DC68EC5-592A-4C89-9B89-0123AE5433FA}"/>
    <cellStyle name="Normal 10 2 7 3 3 3 4" xfId="13737" xr:uid="{216C9FFF-3C2F-4C25-937A-565A77DB9C86}"/>
    <cellStyle name="Normal 10 2 7 3 3 4" xfId="13738" xr:uid="{2BA29A82-56FE-4B7B-90D5-C9FDA0001F67}"/>
    <cellStyle name="Normal 10 2 7 3 3 4 2" xfId="13739" xr:uid="{11C1E8E3-C937-43FE-9A80-51B3D1BD5FF5}"/>
    <cellStyle name="Normal 10 2 7 3 3 4 2 2" xfId="13740" xr:uid="{15BDAB57-B8A4-46AC-942D-0B35DAEBD49A}"/>
    <cellStyle name="Normal 10 2 7 3 3 4 3" xfId="13741" xr:uid="{11D49D0D-290D-4B31-84D5-7C30474D57D9}"/>
    <cellStyle name="Normal 10 2 7 3 3 5" xfId="13742" xr:uid="{7781533D-E570-4C44-96DB-D9D080D644F0}"/>
    <cellStyle name="Normal 10 2 7 3 3 5 2" xfId="13743" xr:uid="{5A85F6CF-45D5-4E69-A5DB-B19AD758B354}"/>
    <cellStyle name="Normal 10 2 7 3 3 6" xfId="13744" xr:uid="{56FD3382-39FF-495F-9F47-7A8877FE5E25}"/>
    <cellStyle name="Normal 10 2 7 3 4" xfId="13745" xr:uid="{B851F09A-43E9-449F-8D57-C38C059EE24C}"/>
    <cellStyle name="Normal 10 2 7 3 4 2" xfId="13746" xr:uid="{60B822D3-B28B-4BF6-B639-9CFF66F11BFE}"/>
    <cellStyle name="Normal 10 2 7 3 4 2 2" xfId="13747" xr:uid="{B74D34F4-AEA9-4BD0-A8C9-07EB819310BF}"/>
    <cellStyle name="Normal 10 2 7 3 4 2 2 2" xfId="13748" xr:uid="{9AF07FFD-2335-4054-A12C-29388F577D2E}"/>
    <cellStyle name="Normal 10 2 7 3 4 2 2 2 2" xfId="13749" xr:uid="{A21F5345-9900-4486-9775-9C073DDA1167}"/>
    <cellStyle name="Normal 10 2 7 3 4 2 2 3" xfId="13750" xr:uid="{E314FAEA-6682-412A-BEB9-C11098326F55}"/>
    <cellStyle name="Normal 10 2 7 3 4 2 3" xfId="13751" xr:uid="{C6E8BB46-D362-42F1-8B82-B7865D1AF4AC}"/>
    <cellStyle name="Normal 10 2 7 3 4 2 3 2" xfId="13752" xr:uid="{EEF4DAC2-86C8-49B4-991E-2641239E9165}"/>
    <cellStyle name="Normal 10 2 7 3 4 2 4" xfId="13753" xr:uid="{7BEC3DE1-EA7F-449F-9B4D-A160787DB801}"/>
    <cellStyle name="Normal 10 2 7 3 4 3" xfId="13754" xr:uid="{4586E24B-3573-44E2-92F9-29EC20FD8FAA}"/>
    <cellStyle name="Normal 10 2 7 3 4 3 2" xfId="13755" xr:uid="{6BA5AFFC-A2C7-4FEA-9C04-7A22C1C130CA}"/>
    <cellStyle name="Normal 10 2 7 3 4 3 2 2" xfId="13756" xr:uid="{FCD48BD0-3750-41CE-B5BE-4C4046C4571B}"/>
    <cellStyle name="Normal 10 2 7 3 4 3 3" xfId="13757" xr:uid="{7068786B-9735-48F1-96CC-CDEF3A71D6F3}"/>
    <cellStyle name="Normal 10 2 7 3 4 4" xfId="13758" xr:uid="{9398AD47-BED3-46AB-B6D7-455B18072099}"/>
    <cellStyle name="Normal 10 2 7 3 4 4 2" xfId="13759" xr:uid="{9A695246-B491-4EFA-9367-468BBBADBE96}"/>
    <cellStyle name="Normal 10 2 7 3 4 5" xfId="13760" xr:uid="{18EE78C6-8DFC-4012-AA99-5C754617B241}"/>
    <cellStyle name="Normal 10 2 7 3 5" xfId="13761" xr:uid="{42ADB029-2BBB-4FE7-9FE6-C21D6D04ECC8}"/>
    <cellStyle name="Normal 10 2 7 3 5 2" xfId="13762" xr:uid="{FFA646D9-4E0E-41ED-BBD7-32AF3DF7D764}"/>
    <cellStyle name="Normal 10 2 7 3 5 2 2" xfId="13763" xr:uid="{D5B8A25A-5EE6-49CF-8119-1262EE15D362}"/>
    <cellStyle name="Normal 10 2 7 3 5 2 2 2" xfId="13764" xr:uid="{0DB116BF-B318-4E36-8BC8-F4568398D559}"/>
    <cellStyle name="Normal 10 2 7 3 5 2 3" xfId="13765" xr:uid="{B8A52EDB-D8B0-49BE-963E-67FB11541236}"/>
    <cellStyle name="Normal 10 2 7 3 5 3" xfId="13766" xr:uid="{55E55443-E9C2-497B-BD74-21CD41B897C3}"/>
    <cellStyle name="Normal 10 2 7 3 5 3 2" xfId="13767" xr:uid="{A10C24DD-7E2D-48AD-83C4-CC607B3AD6F0}"/>
    <cellStyle name="Normal 10 2 7 3 5 4" xfId="13768" xr:uid="{128F59DE-5109-44BF-9206-D2C4E73FE61A}"/>
    <cellStyle name="Normal 10 2 7 3 6" xfId="13769" xr:uid="{F79FC18B-BDC4-4A4A-98F3-FCE3A04DB8C0}"/>
    <cellStyle name="Normal 10 2 7 3 6 2" xfId="13770" xr:uid="{91728319-539F-4751-9499-DFD747452BBB}"/>
    <cellStyle name="Normal 10 2 7 3 6 2 2" xfId="13771" xr:uid="{78FE2BAA-2C0D-4259-8D38-FB843ACC9A70}"/>
    <cellStyle name="Normal 10 2 7 3 6 3" xfId="13772" xr:uid="{D7F044C9-4FDE-4EF5-B8A9-A8873105416E}"/>
    <cellStyle name="Normal 10 2 7 3 7" xfId="13773" xr:uid="{EEB799C3-9271-43C1-8FAA-B8F8B09B7630}"/>
    <cellStyle name="Normal 10 2 7 3 7 2" xfId="13774" xr:uid="{33202C97-9CA6-471A-AD14-E00C2C18E936}"/>
    <cellStyle name="Normal 10 2 7 3 8" xfId="13775" xr:uid="{91C0F0B9-34CB-424E-8045-197D8FDE5D99}"/>
    <cellStyle name="Normal 10 2 7 3 9" xfId="13648" xr:uid="{AF712E9B-50E1-476E-946F-5EE3DE390AC2}"/>
    <cellStyle name="Normal 10 2 7 4" xfId="13776" xr:uid="{1C01BE65-D51D-4DE0-8388-E3D3BF768394}"/>
    <cellStyle name="Normal 10 2 7 4 2" xfId="13777" xr:uid="{D7CAA6BF-A4C7-4181-9B02-4E8009F083DE}"/>
    <cellStyle name="Normal 10 2 7 4 2 2" xfId="13778" xr:uid="{EA5871C9-2508-4415-A16E-EA14683683D9}"/>
    <cellStyle name="Normal 10 2 7 4 2 2 2" xfId="13779" xr:uid="{843A1F98-9B65-4B10-8B93-EF750573322E}"/>
    <cellStyle name="Normal 10 2 7 4 2 2 2 2" xfId="13780" xr:uid="{2B9F46F5-39AD-4DDF-8C94-FE087DDC492A}"/>
    <cellStyle name="Normal 10 2 7 4 2 2 2 2 2" xfId="13781" xr:uid="{BB274F33-1D80-4D1D-A92D-C2A8CB6243CC}"/>
    <cellStyle name="Normal 10 2 7 4 2 2 2 2 2 2" xfId="13782" xr:uid="{B39001F7-0789-4D19-841B-CD5E2E032995}"/>
    <cellStyle name="Normal 10 2 7 4 2 2 2 2 3" xfId="13783" xr:uid="{6B5CDC28-A34E-40DA-AA58-FF67B1ACEB3A}"/>
    <cellStyle name="Normal 10 2 7 4 2 2 2 3" xfId="13784" xr:uid="{26A2116D-45BA-492A-9C57-DA9CA73CF1D6}"/>
    <cellStyle name="Normal 10 2 7 4 2 2 2 3 2" xfId="13785" xr:uid="{AD46BAD3-0DDE-422A-8182-9AFE4BF69A37}"/>
    <cellStyle name="Normal 10 2 7 4 2 2 2 4" xfId="13786" xr:uid="{5EDEE301-EBE5-4B6E-A0DE-2500B78B8313}"/>
    <cellStyle name="Normal 10 2 7 4 2 2 3" xfId="13787" xr:uid="{202814CF-3056-4C7F-AE20-04130C85048E}"/>
    <cellStyle name="Normal 10 2 7 4 2 2 3 2" xfId="13788" xr:uid="{2FE30A7D-A287-423F-BDCA-FCE43A7774E1}"/>
    <cellStyle name="Normal 10 2 7 4 2 2 3 2 2" xfId="13789" xr:uid="{4C56549D-C988-4008-A04D-B5D12CDC286E}"/>
    <cellStyle name="Normal 10 2 7 4 2 2 3 3" xfId="13790" xr:uid="{328943F7-552A-42AC-97AC-548C80CED0C2}"/>
    <cellStyle name="Normal 10 2 7 4 2 2 4" xfId="13791" xr:uid="{7BF93553-E8EB-4EAB-B870-9FECDC0609AC}"/>
    <cellStyle name="Normal 10 2 7 4 2 2 4 2" xfId="13792" xr:uid="{33284FE8-0273-4905-85CB-07B4C4958A16}"/>
    <cellStyle name="Normal 10 2 7 4 2 2 5" xfId="13793" xr:uid="{5C49A32C-6E8F-4D71-BB0B-244827284DD5}"/>
    <cellStyle name="Normal 10 2 7 4 2 3" xfId="13794" xr:uid="{2A251FA1-879C-40C4-9917-DA6D7E0168B9}"/>
    <cellStyle name="Normal 10 2 7 4 2 3 2" xfId="13795" xr:uid="{B2171971-9601-41B0-B34B-5F1D59CE7AF7}"/>
    <cellStyle name="Normal 10 2 7 4 2 3 2 2" xfId="13796" xr:uid="{460E3B6C-8DFC-4F6E-A66D-38E2AECA1572}"/>
    <cellStyle name="Normal 10 2 7 4 2 3 2 2 2" xfId="13797" xr:uid="{47080395-FF42-44E8-9AED-58C283DEE246}"/>
    <cellStyle name="Normal 10 2 7 4 2 3 2 3" xfId="13798" xr:uid="{AA349BD4-C353-445F-8AD1-C5A7825073B1}"/>
    <cellStyle name="Normal 10 2 7 4 2 3 3" xfId="13799" xr:uid="{171B4307-D4BD-4066-B58E-8EE194071EDA}"/>
    <cellStyle name="Normal 10 2 7 4 2 3 3 2" xfId="13800" xr:uid="{B6984046-778A-4195-A142-96993180B887}"/>
    <cellStyle name="Normal 10 2 7 4 2 3 4" xfId="13801" xr:uid="{1665B3FF-211F-4FA0-A80F-2C7D7A364A1D}"/>
    <cellStyle name="Normal 10 2 7 4 2 4" xfId="13802" xr:uid="{5D64D10D-2E98-43EC-93E8-39E95530EA9D}"/>
    <cellStyle name="Normal 10 2 7 4 2 4 2" xfId="13803" xr:uid="{7DCAB79A-43B8-4257-BE44-5F6C62DE83AA}"/>
    <cellStyle name="Normal 10 2 7 4 2 4 2 2" xfId="13804" xr:uid="{8391D89A-12BA-481E-8525-8E7B422C8646}"/>
    <cellStyle name="Normal 10 2 7 4 2 4 3" xfId="13805" xr:uid="{08691500-314D-4EAB-B206-9F8E74696E4A}"/>
    <cellStyle name="Normal 10 2 7 4 2 5" xfId="13806" xr:uid="{6D7A11A1-2F48-4DF0-8E76-04707A08488A}"/>
    <cellStyle name="Normal 10 2 7 4 2 5 2" xfId="13807" xr:uid="{4DAFE49B-5698-4D69-B88C-37F92358CCAD}"/>
    <cellStyle name="Normal 10 2 7 4 2 6" xfId="13808" xr:uid="{E158480E-BC63-48E9-B106-78FD5E82B286}"/>
    <cellStyle name="Normal 10 2 7 4 3" xfId="13809" xr:uid="{B1D1F677-C6A4-4CD8-AA43-8B90A6EBB01A}"/>
    <cellStyle name="Normal 10 2 7 4 3 2" xfId="13810" xr:uid="{B08FA50B-4EBF-46AC-8286-73EC9C52DE46}"/>
    <cellStyle name="Normal 10 2 7 4 3 2 2" xfId="13811" xr:uid="{970EA802-66E0-4F1F-B1DD-E3AC4534A03F}"/>
    <cellStyle name="Normal 10 2 7 4 3 2 2 2" xfId="13812" xr:uid="{39C32152-6C77-44B5-861D-8B8E261596DB}"/>
    <cellStyle name="Normal 10 2 7 4 3 2 2 2 2" xfId="13813" xr:uid="{2F239358-0828-4B53-B804-16DD418363B1}"/>
    <cellStyle name="Normal 10 2 7 4 3 2 2 3" xfId="13814" xr:uid="{461C13E6-1DDD-4A9A-A232-3DBF0314305A}"/>
    <cellStyle name="Normal 10 2 7 4 3 2 3" xfId="13815" xr:uid="{73C71CB4-E67B-4C74-9850-811CEF28DB0C}"/>
    <cellStyle name="Normal 10 2 7 4 3 2 3 2" xfId="13816" xr:uid="{972FCC1A-2195-474A-926F-69CED6EAFBB2}"/>
    <cellStyle name="Normal 10 2 7 4 3 2 4" xfId="13817" xr:uid="{0D5689B4-51E9-44B4-872C-A8E3595D0355}"/>
    <cellStyle name="Normal 10 2 7 4 3 3" xfId="13818" xr:uid="{C097CC67-EF9E-4BCB-8028-8F34546B28C5}"/>
    <cellStyle name="Normal 10 2 7 4 3 3 2" xfId="13819" xr:uid="{DA8F725C-D3F2-4B5E-8D29-BCD136818A09}"/>
    <cellStyle name="Normal 10 2 7 4 3 3 2 2" xfId="13820" xr:uid="{36F117FD-F8EF-4DE0-B2B1-83C7FDBA6AFE}"/>
    <cellStyle name="Normal 10 2 7 4 3 3 3" xfId="13821" xr:uid="{795485A8-6330-4AE1-8AA4-288D6A322CD6}"/>
    <cellStyle name="Normal 10 2 7 4 3 4" xfId="13822" xr:uid="{4ABE65AA-9954-4ADD-BDF6-886C81257E2B}"/>
    <cellStyle name="Normal 10 2 7 4 3 4 2" xfId="13823" xr:uid="{8F8B2D48-C7FE-422E-B9C4-DC30D0C9BBEB}"/>
    <cellStyle name="Normal 10 2 7 4 3 5" xfId="13824" xr:uid="{2699C7A5-AE87-4D43-BD72-8C9FE5830818}"/>
    <cellStyle name="Normal 10 2 7 4 4" xfId="13825" xr:uid="{DFF1EC97-AA0C-41A4-9CD1-B699E4B49EB4}"/>
    <cellStyle name="Normal 10 2 7 4 4 2" xfId="13826" xr:uid="{28247EEE-4930-4095-AD59-EA6B6F10D195}"/>
    <cellStyle name="Normal 10 2 7 4 4 2 2" xfId="13827" xr:uid="{7B2C498B-E57E-47BB-895B-38E469DDBEC5}"/>
    <cellStyle name="Normal 10 2 7 4 4 2 2 2" xfId="13828" xr:uid="{A79741E6-77C0-4E68-9173-2BD36009D96F}"/>
    <cellStyle name="Normal 10 2 7 4 4 2 3" xfId="13829" xr:uid="{F30E95E3-095C-4AE3-ADBE-9C99FDF9C6A9}"/>
    <cellStyle name="Normal 10 2 7 4 4 3" xfId="13830" xr:uid="{E0672546-ACEC-4C2A-8E38-01A75CA5CA67}"/>
    <cellStyle name="Normal 10 2 7 4 4 3 2" xfId="13831" xr:uid="{663242CE-4EDF-4F9B-9E17-FF32380DD91E}"/>
    <cellStyle name="Normal 10 2 7 4 4 4" xfId="13832" xr:uid="{2101B637-6AF1-4D93-8679-4CBA9F301CE7}"/>
    <cellStyle name="Normal 10 2 7 4 5" xfId="13833" xr:uid="{9AC55C39-B399-4F45-A610-8FA73535F9BA}"/>
    <cellStyle name="Normal 10 2 7 4 5 2" xfId="13834" xr:uid="{ED9C6EC6-393E-4EF5-B5A4-4A12A0C61D7A}"/>
    <cellStyle name="Normal 10 2 7 4 5 2 2" xfId="13835" xr:uid="{B957F418-E76A-43BF-876D-C5A8CC070AFD}"/>
    <cellStyle name="Normal 10 2 7 4 5 3" xfId="13836" xr:uid="{E83A45C6-EE0E-4DAC-95F1-BC89E174DBFA}"/>
    <cellStyle name="Normal 10 2 7 4 6" xfId="13837" xr:uid="{8804F112-A896-4144-A702-7F457A706E09}"/>
    <cellStyle name="Normal 10 2 7 4 6 2" xfId="13838" xr:uid="{E0DDF0AE-9823-4839-9C06-118D4F0C6B1D}"/>
    <cellStyle name="Normal 10 2 7 4 7" xfId="13839" xr:uid="{6BF7F92C-4F39-4776-A02F-2BFCB8D5A22A}"/>
    <cellStyle name="Normal 10 2 7 5" xfId="13840" xr:uid="{085129AE-9847-4F49-81D1-3FCDD0B9BB15}"/>
    <cellStyle name="Normal 10 2 7 5 2" xfId="13841" xr:uid="{746DE8C7-2A55-4D15-B9BE-EC5836642121}"/>
    <cellStyle name="Normal 10 2 7 5 2 2" xfId="13842" xr:uid="{F9A0F124-3592-439D-B070-CB1F3C1E6098}"/>
    <cellStyle name="Normal 10 2 7 5 2 2 2" xfId="13843" xr:uid="{B85B698F-2F11-4B50-954D-735C66E89C7D}"/>
    <cellStyle name="Normal 10 2 7 5 2 2 2 2" xfId="13844" xr:uid="{F428E278-7D9D-4E4C-BC1D-A8A51CDA14DD}"/>
    <cellStyle name="Normal 10 2 7 5 2 2 2 2 2" xfId="13845" xr:uid="{CE6E4433-14AD-4489-A673-F46B76AC42FF}"/>
    <cellStyle name="Normal 10 2 7 5 2 2 2 3" xfId="13846" xr:uid="{4AF50313-F2EE-4C26-8D97-09C9B6437C77}"/>
    <cellStyle name="Normal 10 2 7 5 2 2 3" xfId="13847" xr:uid="{743A08F5-AE75-42FF-8C8F-D55C9CE68CDA}"/>
    <cellStyle name="Normal 10 2 7 5 2 2 3 2" xfId="13848" xr:uid="{9E5F8C88-243C-40E4-9041-D48FF7B06F9F}"/>
    <cellStyle name="Normal 10 2 7 5 2 2 4" xfId="13849" xr:uid="{52B1F07D-6EE0-4852-B752-911818484304}"/>
    <cellStyle name="Normal 10 2 7 5 2 3" xfId="13850" xr:uid="{B887DB9F-9B0D-42DD-B2E4-7C6E42153870}"/>
    <cellStyle name="Normal 10 2 7 5 2 3 2" xfId="13851" xr:uid="{31727E32-9D80-42C6-9A4C-5056181D7E01}"/>
    <cellStyle name="Normal 10 2 7 5 2 3 2 2" xfId="13852" xr:uid="{D46CD513-0994-400D-9262-71D77B2B27DF}"/>
    <cellStyle name="Normal 10 2 7 5 2 3 3" xfId="13853" xr:uid="{1F87C827-1B07-4903-B9E5-3541467E5E4A}"/>
    <cellStyle name="Normal 10 2 7 5 2 4" xfId="13854" xr:uid="{49DF6B54-4FED-4BED-9EEA-AA863118D07B}"/>
    <cellStyle name="Normal 10 2 7 5 2 4 2" xfId="13855" xr:uid="{ECAA2741-5106-4E9D-8790-BC31590F403B}"/>
    <cellStyle name="Normal 10 2 7 5 2 5" xfId="13856" xr:uid="{D889F196-0EDE-4755-9322-C6B8AD248706}"/>
    <cellStyle name="Normal 10 2 7 5 3" xfId="13857" xr:uid="{8D2CAEC9-5386-4FDA-9742-34E60654E841}"/>
    <cellStyle name="Normal 10 2 7 5 3 2" xfId="13858" xr:uid="{3274E524-B564-488E-A2DC-6AC9271125F6}"/>
    <cellStyle name="Normal 10 2 7 5 3 2 2" xfId="13859" xr:uid="{71AEBDF8-B886-43CC-95B2-56D91061CF57}"/>
    <cellStyle name="Normal 10 2 7 5 3 2 2 2" xfId="13860" xr:uid="{992AB4C7-974E-4B7A-BB4C-4D4A33A53B65}"/>
    <cellStyle name="Normal 10 2 7 5 3 2 3" xfId="13861" xr:uid="{741FC00B-56E8-4932-B3EE-36D362D7AE9E}"/>
    <cellStyle name="Normal 10 2 7 5 3 3" xfId="13862" xr:uid="{1341B8A6-DF80-4396-B98C-98B79D32E831}"/>
    <cellStyle name="Normal 10 2 7 5 3 3 2" xfId="13863" xr:uid="{CD50CF24-C26A-47DA-B45E-6449ED2AF0CB}"/>
    <cellStyle name="Normal 10 2 7 5 3 4" xfId="13864" xr:uid="{170945E8-DB7F-4135-9D41-62836E30E719}"/>
    <cellStyle name="Normal 10 2 7 5 4" xfId="13865" xr:uid="{8F32F631-6B97-4CAC-A690-5FD7B8B0AFEC}"/>
    <cellStyle name="Normal 10 2 7 5 4 2" xfId="13866" xr:uid="{603E60E3-698B-4FC4-BEFA-1C5152E58139}"/>
    <cellStyle name="Normal 10 2 7 5 4 2 2" xfId="13867" xr:uid="{F43A9828-A98F-4874-BFFF-EC0D97EA23BB}"/>
    <cellStyle name="Normal 10 2 7 5 4 3" xfId="13868" xr:uid="{C2E2573E-CB54-4783-9C40-FDCDC51BC5A6}"/>
    <cellStyle name="Normal 10 2 7 5 5" xfId="13869" xr:uid="{E1E06F8E-C39E-46A9-A84B-F7996193F95E}"/>
    <cellStyle name="Normal 10 2 7 5 5 2" xfId="13870" xr:uid="{62F3B28B-59C2-4C63-BB1F-31C1389579A8}"/>
    <cellStyle name="Normal 10 2 7 5 6" xfId="13871" xr:uid="{57279D1A-70F3-4A77-8DF6-D45D5E8713AA}"/>
    <cellStyle name="Normal 10 2 7 6" xfId="13872" xr:uid="{965E1440-86F8-4EC8-995D-0B3C0D781125}"/>
    <cellStyle name="Normal 10 2 7 6 2" xfId="13873" xr:uid="{6E096697-756A-42A8-BA63-B0E9A27870E4}"/>
    <cellStyle name="Normal 10 2 7 6 2 2" xfId="13874" xr:uid="{52E21F88-3061-4FE3-A6B3-E448D5EE54FC}"/>
    <cellStyle name="Normal 10 2 7 6 2 2 2" xfId="13875" xr:uid="{CB7FA481-36B6-4C76-A46A-19B42D5750EF}"/>
    <cellStyle name="Normal 10 2 7 6 2 2 2 2" xfId="13876" xr:uid="{C300D2F4-44DF-479C-8417-D5FDA6C8C1D7}"/>
    <cellStyle name="Normal 10 2 7 6 2 2 3" xfId="13877" xr:uid="{1D48D3B9-6F28-4C84-A046-AC64CADB6459}"/>
    <cellStyle name="Normal 10 2 7 6 2 3" xfId="13878" xr:uid="{9E67A827-52F4-4885-BD95-4B7D3003AEEC}"/>
    <cellStyle name="Normal 10 2 7 6 2 3 2" xfId="13879" xr:uid="{D60A178B-D837-43A5-BB87-9687ADF87E5F}"/>
    <cellStyle name="Normal 10 2 7 6 2 4" xfId="13880" xr:uid="{9B120881-FC92-411B-B038-A68C86FCB343}"/>
    <cellStyle name="Normal 10 2 7 6 3" xfId="13881" xr:uid="{433AE9ED-BF35-44D6-85A1-8D15799DC243}"/>
    <cellStyle name="Normal 10 2 7 6 3 2" xfId="13882" xr:uid="{8392B27F-07DB-4156-81A6-7B3D35E21829}"/>
    <cellStyle name="Normal 10 2 7 6 3 2 2" xfId="13883" xr:uid="{AB86F7F0-F55B-48F2-806C-F642180B55C2}"/>
    <cellStyle name="Normal 10 2 7 6 3 3" xfId="13884" xr:uid="{D0728106-F526-4577-B875-27B9F9779AD0}"/>
    <cellStyle name="Normal 10 2 7 6 4" xfId="13885" xr:uid="{7C010317-EB7D-450E-A686-A907CA70B3E8}"/>
    <cellStyle name="Normal 10 2 7 6 4 2" xfId="13886" xr:uid="{3B4E2EF5-7622-4EE8-B886-80F79662395A}"/>
    <cellStyle name="Normal 10 2 7 6 5" xfId="13887" xr:uid="{A2F1CEB9-339E-4747-AFD2-D153E0658C0C}"/>
    <cellStyle name="Normal 10 2 7 7" xfId="13888" xr:uid="{D61A2FA6-E370-4182-AA2B-6D474DAA54DC}"/>
    <cellStyle name="Normal 10 2 7 7 2" xfId="13889" xr:uid="{7F6F91B2-B08F-4057-8926-C9E939A40897}"/>
    <cellStyle name="Normal 10 2 7 7 2 2" xfId="13890" xr:uid="{697866A7-9984-4577-8131-7BB0DB2EDA27}"/>
    <cellStyle name="Normal 10 2 7 7 2 2 2" xfId="13891" xr:uid="{4C89E92D-5C46-474F-B23D-168FA9C97048}"/>
    <cellStyle name="Normal 10 2 7 7 2 3" xfId="13892" xr:uid="{81196756-E247-404D-B38B-29A2298201AC}"/>
    <cellStyle name="Normal 10 2 7 7 3" xfId="13893" xr:uid="{C49EBEA6-F7E2-4475-B552-2DFD3A57B2FF}"/>
    <cellStyle name="Normal 10 2 7 7 3 2" xfId="13894" xr:uid="{9CA468FB-A7FA-4C7F-B949-B28B5D482595}"/>
    <cellStyle name="Normal 10 2 7 7 4" xfId="13895" xr:uid="{3A2C3F47-A1DE-46D8-B9CC-9572099A86F7}"/>
    <cellStyle name="Normal 10 2 7 8" xfId="13896" xr:uid="{8B270DCD-382B-463E-B0C7-F122EFDCF8E7}"/>
    <cellStyle name="Normal 10 2 7 8 2" xfId="13897" xr:uid="{B97C8574-5DE1-4972-8C58-EA0E3322C6E9}"/>
    <cellStyle name="Normal 10 2 7 8 2 2" xfId="13898" xr:uid="{A2F7767F-659B-4E70-967F-1F7C82A4676D}"/>
    <cellStyle name="Normal 10 2 7 8 3" xfId="13899" xr:uid="{D0CD0853-0FFE-4691-94BA-77DAECDC072D}"/>
    <cellStyle name="Normal 10 2 7 9" xfId="13900" xr:uid="{A8E53BAB-4A39-47AF-AC0F-B6469660B059}"/>
    <cellStyle name="Normal 10 2 7 9 2" xfId="13901" xr:uid="{0362C353-6136-465E-8CE6-72493455F1B5}"/>
    <cellStyle name="Normal 10 2 8" xfId="266" xr:uid="{DDC2CA95-6EAC-487B-9D01-5A437B2C074A}"/>
    <cellStyle name="Normal 10 2 8 10" xfId="13902" xr:uid="{9BF13965-93DB-44C5-9254-2657D86BBD0E}"/>
    <cellStyle name="Normal 10 2 8 11" xfId="557" xr:uid="{10CA3545-53BF-447D-8D9F-DA16FA925952}"/>
    <cellStyle name="Normal 10 2 8 2" xfId="326" xr:uid="{D2273946-DE95-4311-8B78-00E5EDB50231}"/>
    <cellStyle name="Normal 10 2 8 2 10" xfId="13903" xr:uid="{D7B836DA-51C7-47E2-A27C-22CF3919F3B0}"/>
    <cellStyle name="Normal 10 2 8 2 2" xfId="13904" xr:uid="{2DF967E5-7DFA-4E89-9630-A2852461CCB0}"/>
    <cellStyle name="Normal 10 2 8 2 2 2" xfId="13905" xr:uid="{1769F330-847A-4FFB-A201-E0EFFC829C75}"/>
    <cellStyle name="Normal 10 2 8 2 2 2 2" xfId="13906" xr:uid="{88D106E3-351D-4F69-9B16-E7299FE61525}"/>
    <cellStyle name="Normal 10 2 8 2 2 2 2 2" xfId="13907" xr:uid="{87315400-BAA1-4F92-83CE-05A7B17A871D}"/>
    <cellStyle name="Normal 10 2 8 2 2 2 2 2 2" xfId="13908" xr:uid="{AEF2FF2C-4B99-48FA-8C71-7A9C4053995D}"/>
    <cellStyle name="Normal 10 2 8 2 2 2 2 2 2 2" xfId="13909" xr:uid="{BD451546-27B7-47D2-A671-F31E122F462C}"/>
    <cellStyle name="Normal 10 2 8 2 2 2 2 2 2 2 2" xfId="13910" xr:uid="{1A47DA40-DEFB-47F4-8DAB-6553567DCC96}"/>
    <cellStyle name="Normal 10 2 8 2 2 2 2 2 2 2 2 2" xfId="13911" xr:uid="{7D803760-6B4F-49F0-B59B-2B4368EB0ED3}"/>
    <cellStyle name="Normal 10 2 8 2 2 2 2 2 2 2 3" xfId="13912" xr:uid="{42B62BFC-8622-40B1-9D0C-62340D147A33}"/>
    <cellStyle name="Normal 10 2 8 2 2 2 2 2 2 3" xfId="13913" xr:uid="{3716EDAC-A07D-4660-9A6B-41FBC75DE0E5}"/>
    <cellStyle name="Normal 10 2 8 2 2 2 2 2 2 3 2" xfId="13914" xr:uid="{0972E6D2-BE13-4757-8F11-4782318F132D}"/>
    <cellStyle name="Normal 10 2 8 2 2 2 2 2 2 4" xfId="13915" xr:uid="{D277953F-ECDE-4004-A2AC-E0AAB9B1FBB5}"/>
    <cellStyle name="Normal 10 2 8 2 2 2 2 2 3" xfId="13916" xr:uid="{ABB7AF04-2CF7-42DC-9059-7C2CCD17DF5B}"/>
    <cellStyle name="Normal 10 2 8 2 2 2 2 2 3 2" xfId="13917" xr:uid="{5B3700B5-BB02-4D4C-B834-259C0A6D5A45}"/>
    <cellStyle name="Normal 10 2 8 2 2 2 2 2 3 2 2" xfId="13918" xr:uid="{27BC698B-95E9-48AF-8915-70C6A6718043}"/>
    <cellStyle name="Normal 10 2 8 2 2 2 2 2 3 3" xfId="13919" xr:uid="{D2FEBCB1-9EBE-445A-A6D1-743E9CD28EA2}"/>
    <cellStyle name="Normal 10 2 8 2 2 2 2 2 4" xfId="13920" xr:uid="{37B8E834-0235-445E-BDBC-D150BEEB6D32}"/>
    <cellStyle name="Normal 10 2 8 2 2 2 2 2 4 2" xfId="13921" xr:uid="{E707A25A-4B4A-4522-901F-8ED6A5E9F753}"/>
    <cellStyle name="Normal 10 2 8 2 2 2 2 2 5" xfId="13922" xr:uid="{74494641-E329-469E-AF6F-AA4D524717D3}"/>
    <cellStyle name="Normal 10 2 8 2 2 2 2 3" xfId="13923" xr:uid="{E5B9CAE4-0650-458F-9304-74F08C44F64F}"/>
    <cellStyle name="Normal 10 2 8 2 2 2 2 3 2" xfId="13924" xr:uid="{09BB33FC-5A3E-4300-80A0-243F559D8401}"/>
    <cellStyle name="Normal 10 2 8 2 2 2 2 3 2 2" xfId="13925" xr:uid="{2BD1B422-F95D-44D2-A422-631516AFB4C3}"/>
    <cellStyle name="Normal 10 2 8 2 2 2 2 3 2 2 2" xfId="13926" xr:uid="{51E9E632-9A6B-4A29-8132-B1C0F1AD5CFA}"/>
    <cellStyle name="Normal 10 2 8 2 2 2 2 3 2 3" xfId="13927" xr:uid="{86CAF0CB-8401-4F41-A6D8-874E006D74FC}"/>
    <cellStyle name="Normal 10 2 8 2 2 2 2 3 3" xfId="13928" xr:uid="{62614B59-4C17-4F0C-81F5-916561EADF62}"/>
    <cellStyle name="Normal 10 2 8 2 2 2 2 3 3 2" xfId="13929" xr:uid="{571CC901-77A8-4427-8A81-1D130C1CDE11}"/>
    <cellStyle name="Normal 10 2 8 2 2 2 2 3 4" xfId="13930" xr:uid="{054E1B52-B205-41A8-B4B4-F88D3523643B}"/>
    <cellStyle name="Normal 10 2 8 2 2 2 2 4" xfId="13931" xr:uid="{72D2518A-BD27-45A1-8A88-B83780BAA7AD}"/>
    <cellStyle name="Normal 10 2 8 2 2 2 2 4 2" xfId="13932" xr:uid="{225B23A1-8D32-48F5-81D1-7590EA65BDBD}"/>
    <cellStyle name="Normal 10 2 8 2 2 2 2 4 2 2" xfId="13933" xr:uid="{4BD38DAC-EF9C-48F4-B4EF-A1B5439A4D1B}"/>
    <cellStyle name="Normal 10 2 8 2 2 2 2 4 3" xfId="13934" xr:uid="{28B2645D-18A3-4244-94B3-8E80D74D13E9}"/>
    <cellStyle name="Normal 10 2 8 2 2 2 2 5" xfId="13935" xr:uid="{81F54B70-5440-4254-B8FA-D900B633F5B2}"/>
    <cellStyle name="Normal 10 2 8 2 2 2 2 5 2" xfId="13936" xr:uid="{1CB046D6-EB63-4F5B-8E7C-314ADEF0D7AC}"/>
    <cellStyle name="Normal 10 2 8 2 2 2 2 6" xfId="13937" xr:uid="{BAE759DA-8441-46A7-9E73-F04D89D5AFDB}"/>
    <cellStyle name="Normal 10 2 8 2 2 2 3" xfId="13938" xr:uid="{379C47FF-927A-48F7-A58E-1D75E1133DA6}"/>
    <cellStyle name="Normal 10 2 8 2 2 2 3 2" xfId="13939" xr:uid="{743287E1-439B-4C83-A315-542E4E3990EA}"/>
    <cellStyle name="Normal 10 2 8 2 2 2 3 2 2" xfId="13940" xr:uid="{F22E84BE-47C0-459C-BEAC-ECD670F37799}"/>
    <cellStyle name="Normal 10 2 8 2 2 2 3 2 2 2" xfId="13941" xr:uid="{5F2B1010-CDD6-474A-81F9-C3F32A292AD5}"/>
    <cellStyle name="Normal 10 2 8 2 2 2 3 2 2 2 2" xfId="13942" xr:uid="{EE69494F-54EB-4142-8BF1-327BAA36D973}"/>
    <cellStyle name="Normal 10 2 8 2 2 2 3 2 2 3" xfId="13943" xr:uid="{74635DD7-1A0B-4028-B43C-7242B4FBE9B2}"/>
    <cellStyle name="Normal 10 2 8 2 2 2 3 2 3" xfId="13944" xr:uid="{0AEC3DB8-9512-49A0-8C2F-3881B150D3DB}"/>
    <cellStyle name="Normal 10 2 8 2 2 2 3 2 3 2" xfId="13945" xr:uid="{DD486201-17A2-487D-9A53-1B9F01F392D5}"/>
    <cellStyle name="Normal 10 2 8 2 2 2 3 2 4" xfId="13946" xr:uid="{63C29DDD-C210-4434-8941-6D061C707E4E}"/>
    <cellStyle name="Normal 10 2 8 2 2 2 3 3" xfId="13947" xr:uid="{32A8FCD8-5A19-42C1-9703-E402FF9AF615}"/>
    <cellStyle name="Normal 10 2 8 2 2 2 3 3 2" xfId="13948" xr:uid="{668FC68B-50C9-4667-A4CB-D79A4AD914CE}"/>
    <cellStyle name="Normal 10 2 8 2 2 2 3 3 2 2" xfId="13949" xr:uid="{9381B6A3-7902-4BBC-8688-B38ED5FD901E}"/>
    <cellStyle name="Normal 10 2 8 2 2 2 3 3 3" xfId="13950" xr:uid="{723171F0-AA1D-405B-8B21-12A06C286EB7}"/>
    <cellStyle name="Normal 10 2 8 2 2 2 3 4" xfId="13951" xr:uid="{BD6F803A-871B-4ABF-A23E-A9F4C96589BA}"/>
    <cellStyle name="Normal 10 2 8 2 2 2 3 4 2" xfId="13952" xr:uid="{10CBC260-B4FD-4F7D-BD07-299BEEE5DBA4}"/>
    <cellStyle name="Normal 10 2 8 2 2 2 3 5" xfId="13953" xr:uid="{8430B86A-3826-409B-978D-B38661E448EA}"/>
    <cellStyle name="Normal 10 2 8 2 2 2 4" xfId="13954" xr:uid="{58768C98-5E75-473D-976D-49AAF1017329}"/>
    <cellStyle name="Normal 10 2 8 2 2 2 4 2" xfId="13955" xr:uid="{BA5FAB90-12AA-4977-BC17-99B6BA034F1E}"/>
    <cellStyle name="Normal 10 2 8 2 2 2 4 2 2" xfId="13956" xr:uid="{1AAF529B-F19E-4568-A906-D392BB058DB0}"/>
    <cellStyle name="Normal 10 2 8 2 2 2 4 2 2 2" xfId="13957" xr:uid="{A75DCFA9-9DE6-45E9-AA54-5A403A4FF9E3}"/>
    <cellStyle name="Normal 10 2 8 2 2 2 4 2 3" xfId="13958" xr:uid="{2E40F0F0-8DF9-4631-AAB0-3701E97D7E66}"/>
    <cellStyle name="Normal 10 2 8 2 2 2 4 3" xfId="13959" xr:uid="{D7FACECB-9206-4863-801C-35EF18B9FCB9}"/>
    <cellStyle name="Normal 10 2 8 2 2 2 4 3 2" xfId="13960" xr:uid="{86F7D42A-916D-44FE-A371-5B866C96E88C}"/>
    <cellStyle name="Normal 10 2 8 2 2 2 4 4" xfId="13961" xr:uid="{F6012339-3D30-4386-B819-CD48A2BB0102}"/>
    <cellStyle name="Normal 10 2 8 2 2 2 5" xfId="13962" xr:uid="{303290A9-38C4-4CDB-9EF8-B7D8D587870A}"/>
    <cellStyle name="Normal 10 2 8 2 2 2 5 2" xfId="13963" xr:uid="{FFA79DD1-CF34-4CBF-92DE-932CDE6913EA}"/>
    <cellStyle name="Normal 10 2 8 2 2 2 5 2 2" xfId="13964" xr:uid="{533BA8FB-5624-47B5-B657-83786D80B9B9}"/>
    <cellStyle name="Normal 10 2 8 2 2 2 5 3" xfId="13965" xr:uid="{2140B994-D5B5-4FAA-BF23-A71597132862}"/>
    <cellStyle name="Normal 10 2 8 2 2 2 6" xfId="13966" xr:uid="{12F7D9BE-AF5A-4BFA-9AD0-285FB6534295}"/>
    <cellStyle name="Normal 10 2 8 2 2 2 6 2" xfId="13967" xr:uid="{5BCFE697-0928-46C4-BEF0-C01007217CBB}"/>
    <cellStyle name="Normal 10 2 8 2 2 2 7" xfId="13968" xr:uid="{03EF5C0E-9C78-418E-9A83-BB27FD752572}"/>
    <cellStyle name="Normal 10 2 8 2 2 3" xfId="13969" xr:uid="{6403A06E-CE60-4D55-AD1A-AAEC34D9AFF5}"/>
    <cellStyle name="Normal 10 2 8 2 2 3 2" xfId="13970" xr:uid="{1D2E077A-EDE1-4445-BB7A-06175BCDC7CE}"/>
    <cellStyle name="Normal 10 2 8 2 2 3 2 2" xfId="13971" xr:uid="{B4922B8F-584F-495F-9D5C-328378E60BE0}"/>
    <cellStyle name="Normal 10 2 8 2 2 3 2 2 2" xfId="13972" xr:uid="{05602702-A560-45A3-8909-316006BE093B}"/>
    <cellStyle name="Normal 10 2 8 2 2 3 2 2 2 2" xfId="13973" xr:uid="{5A845819-1B8C-4363-8751-A2D1C220F96B}"/>
    <cellStyle name="Normal 10 2 8 2 2 3 2 2 2 2 2" xfId="13974" xr:uid="{AF51A8D0-A699-4B95-83CD-9F1D300C4640}"/>
    <cellStyle name="Normal 10 2 8 2 2 3 2 2 2 3" xfId="13975" xr:uid="{624ECAB8-50E7-4A41-8A90-0BA2D3BAD24A}"/>
    <cellStyle name="Normal 10 2 8 2 2 3 2 2 3" xfId="13976" xr:uid="{9FD69D08-5D19-4A52-B12C-253741424139}"/>
    <cellStyle name="Normal 10 2 8 2 2 3 2 2 3 2" xfId="13977" xr:uid="{76235483-A3DD-4351-B2FF-B3998026C593}"/>
    <cellStyle name="Normal 10 2 8 2 2 3 2 2 4" xfId="13978" xr:uid="{4C636ECC-DB05-4504-B6E8-6D080BAAD19D}"/>
    <cellStyle name="Normal 10 2 8 2 2 3 2 3" xfId="13979" xr:uid="{195353FF-90A5-47BD-BA7E-8CC922C1F9A5}"/>
    <cellStyle name="Normal 10 2 8 2 2 3 2 3 2" xfId="13980" xr:uid="{E102D5FB-F5ED-48A4-8CC8-04F93662366B}"/>
    <cellStyle name="Normal 10 2 8 2 2 3 2 3 2 2" xfId="13981" xr:uid="{0097AD6C-FEDA-4DAF-B0A8-4FC556BB9049}"/>
    <cellStyle name="Normal 10 2 8 2 2 3 2 3 3" xfId="13982" xr:uid="{34C676B7-9DDA-46CA-A416-950D36B161AD}"/>
    <cellStyle name="Normal 10 2 8 2 2 3 2 4" xfId="13983" xr:uid="{51206FFF-861B-44F2-BDAA-8D6833415CE0}"/>
    <cellStyle name="Normal 10 2 8 2 2 3 2 4 2" xfId="13984" xr:uid="{ACE24AFA-D948-4C26-94C9-28FAB2A5C494}"/>
    <cellStyle name="Normal 10 2 8 2 2 3 2 5" xfId="13985" xr:uid="{C1D95167-4D93-4908-8297-89C586080F9D}"/>
    <cellStyle name="Normal 10 2 8 2 2 3 3" xfId="13986" xr:uid="{4F45617D-5BBD-4DCA-91AF-4B14F4FC648D}"/>
    <cellStyle name="Normal 10 2 8 2 2 3 3 2" xfId="13987" xr:uid="{1608B9AF-E967-4B84-BE05-B1BC1B12E219}"/>
    <cellStyle name="Normal 10 2 8 2 2 3 3 2 2" xfId="13988" xr:uid="{9B9763C3-7520-4C3A-A888-3AC875F975BF}"/>
    <cellStyle name="Normal 10 2 8 2 2 3 3 2 2 2" xfId="13989" xr:uid="{28506EDA-A2EC-4747-BE16-8032ECC9BD14}"/>
    <cellStyle name="Normal 10 2 8 2 2 3 3 2 3" xfId="13990" xr:uid="{BB3973A5-7A15-43BF-918D-BAE6D5881A07}"/>
    <cellStyle name="Normal 10 2 8 2 2 3 3 3" xfId="13991" xr:uid="{C368B29B-55AA-4671-81F8-581B813D3C90}"/>
    <cellStyle name="Normal 10 2 8 2 2 3 3 3 2" xfId="13992" xr:uid="{311CE44C-E173-4DCF-BF8A-BBF5CCB57203}"/>
    <cellStyle name="Normal 10 2 8 2 2 3 3 4" xfId="13993" xr:uid="{3194033C-549E-4C15-81E9-8B55A0BDB63D}"/>
    <cellStyle name="Normal 10 2 8 2 2 3 4" xfId="13994" xr:uid="{9F5B9E6C-63C1-4B26-BCED-948CC5296B8B}"/>
    <cellStyle name="Normal 10 2 8 2 2 3 4 2" xfId="13995" xr:uid="{D97B6102-4C24-478B-AA17-6222ADD5A358}"/>
    <cellStyle name="Normal 10 2 8 2 2 3 4 2 2" xfId="13996" xr:uid="{77D4C705-7D80-4280-AEF0-C0AD92200D49}"/>
    <cellStyle name="Normal 10 2 8 2 2 3 4 3" xfId="13997" xr:uid="{7CEE3FE6-57AB-4505-9236-9CBF5BF5D9B6}"/>
    <cellStyle name="Normal 10 2 8 2 2 3 5" xfId="13998" xr:uid="{4FE515E5-5CAC-4C7F-8B1C-33E93CE4867E}"/>
    <cellStyle name="Normal 10 2 8 2 2 3 5 2" xfId="13999" xr:uid="{15B99939-B617-417D-AC2F-243627234890}"/>
    <cellStyle name="Normal 10 2 8 2 2 3 6" xfId="14000" xr:uid="{406C16FF-B64A-4F74-8EEF-17D579E75CD4}"/>
    <cellStyle name="Normal 10 2 8 2 2 4" xfId="14001" xr:uid="{BE1AC494-5C2D-467C-8379-DDF07C28AA00}"/>
    <cellStyle name="Normal 10 2 8 2 2 4 2" xfId="14002" xr:uid="{ACC9C33C-D776-488A-B826-06712DBDEA10}"/>
    <cellStyle name="Normal 10 2 8 2 2 4 2 2" xfId="14003" xr:uid="{65C2D251-C474-432C-B20E-8A7430ECF74D}"/>
    <cellStyle name="Normal 10 2 8 2 2 4 2 2 2" xfId="14004" xr:uid="{5DCFFB47-39D4-4A4C-8F0E-4CE072B44D66}"/>
    <cellStyle name="Normal 10 2 8 2 2 4 2 2 2 2" xfId="14005" xr:uid="{E4603BA8-D623-448C-8E64-A16EEDFCC0A5}"/>
    <cellStyle name="Normal 10 2 8 2 2 4 2 2 3" xfId="14006" xr:uid="{BF75A6B7-E340-472F-AD1D-D7114A2EC7AA}"/>
    <cellStyle name="Normal 10 2 8 2 2 4 2 3" xfId="14007" xr:uid="{B63A9C65-5611-40C0-84E9-C0EAB8BBF56D}"/>
    <cellStyle name="Normal 10 2 8 2 2 4 2 3 2" xfId="14008" xr:uid="{C28AAA87-CAB7-4A59-A54C-88C85817AE90}"/>
    <cellStyle name="Normal 10 2 8 2 2 4 2 4" xfId="14009" xr:uid="{B32CB110-1F9B-4583-84CD-92E700B43E80}"/>
    <cellStyle name="Normal 10 2 8 2 2 4 3" xfId="14010" xr:uid="{69BBDA9C-2186-42EF-A199-B682610F8306}"/>
    <cellStyle name="Normal 10 2 8 2 2 4 3 2" xfId="14011" xr:uid="{3E758BF5-1D08-4E2A-854F-CCB252AD8AE1}"/>
    <cellStyle name="Normal 10 2 8 2 2 4 3 2 2" xfId="14012" xr:uid="{F17F7FFB-1569-4583-BC9D-0DB851EACCD3}"/>
    <cellStyle name="Normal 10 2 8 2 2 4 3 3" xfId="14013" xr:uid="{F6666D92-03F6-4BF0-AEF8-8322E9196490}"/>
    <cellStyle name="Normal 10 2 8 2 2 4 4" xfId="14014" xr:uid="{AEC13FC9-E6FA-4BFF-9D36-E47740EED23D}"/>
    <cellStyle name="Normal 10 2 8 2 2 4 4 2" xfId="14015" xr:uid="{36ABFCF6-0DD3-4360-BDCE-A3D8AFE6102B}"/>
    <cellStyle name="Normal 10 2 8 2 2 4 5" xfId="14016" xr:uid="{43BC79DF-6B86-461B-ABFF-441AE140647C}"/>
    <cellStyle name="Normal 10 2 8 2 2 5" xfId="14017" xr:uid="{6994877F-A0D3-46EF-BE48-08AEA0ED7702}"/>
    <cellStyle name="Normal 10 2 8 2 2 5 2" xfId="14018" xr:uid="{4DD47AF3-5DAB-4815-949F-52A907CAB51A}"/>
    <cellStyle name="Normal 10 2 8 2 2 5 2 2" xfId="14019" xr:uid="{A1C59360-A145-46B2-AD8D-C0441760B962}"/>
    <cellStyle name="Normal 10 2 8 2 2 5 2 2 2" xfId="14020" xr:uid="{0AC0392F-CDF5-4322-9265-9332988FC53A}"/>
    <cellStyle name="Normal 10 2 8 2 2 5 2 3" xfId="14021" xr:uid="{B00D7EA1-E1D3-4EE3-B6E6-A7BE7937A751}"/>
    <cellStyle name="Normal 10 2 8 2 2 5 3" xfId="14022" xr:uid="{A737D47E-97F3-48BE-895D-E16C5503108F}"/>
    <cellStyle name="Normal 10 2 8 2 2 5 3 2" xfId="14023" xr:uid="{EA33E27D-011E-4813-93FB-130747429A2F}"/>
    <cellStyle name="Normal 10 2 8 2 2 5 4" xfId="14024" xr:uid="{2DA0DCE1-4E1A-442A-AB68-3393A5CB9128}"/>
    <cellStyle name="Normal 10 2 8 2 2 6" xfId="14025" xr:uid="{D324ECBA-F8CC-46F9-AA1B-19B91651504B}"/>
    <cellStyle name="Normal 10 2 8 2 2 6 2" xfId="14026" xr:uid="{6E92F9D6-057F-431C-88F3-646094AA7E16}"/>
    <cellStyle name="Normal 10 2 8 2 2 6 2 2" xfId="14027" xr:uid="{8BD2927F-24D1-4C19-8467-F84BEA86D335}"/>
    <cellStyle name="Normal 10 2 8 2 2 6 3" xfId="14028" xr:uid="{5E52D4C2-7012-46D4-8A48-8DE0AC54822A}"/>
    <cellStyle name="Normal 10 2 8 2 2 7" xfId="14029" xr:uid="{66C95856-563F-40C7-8304-3669E94498E6}"/>
    <cellStyle name="Normal 10 2 8 2 2 7 2" xfId="14030" xr:uid="{50C8D5B4-9B25-43A2-BADF-73400F9E42F1}"/>
    <cellStyle name="Normal 10 2 8 2 2 8" xfId="14031" xr:uid="{0E0B9F6C-DD74-47D4-B34D-6FAADB02C05A}"/>
    <cellStyle name="Normal 10 2 8 2 3" xfId="14032" xr:uid="{E0D4E9C5-2A0F-4D5E-B546-AE0849EA8092}"/>
    <cellStyle name="Normal 10 2 8 2 3 2" xfId="14033" xr:uid="{8C68434C-D8DD-4BD1-9DB9-537A49171AE4}"/>
    <cellStyle name="Normal 10 2 8 2 3 2 2" xfId="14034" xr:uid="{94A4A506-F7CF-427E-AB20-DFF701D5387F}"/>
    <cellStyle name="Normal 10 2 8 2 3 2 2 2" xfId="14035" xr:uid="{F6E5C78B-D9BE-494C-9B1E-7001BB833461}"/>
    <cellStyle name="Normal 10 2 8 2 3 2 2 2 2" xfId="14036" xr:uid="{EB87D418-2717-4636-834A-F0FD3A858AB5}"/>
    <cellStyle name="Normal 10 2 8 2 3 2 2 2 2 2" xfId="14037" xr:uid="{0A3FCCBE-40F9-4940-BC17-523AAD1B1592}"/>
    <cellStyle name="Normal 10 2 8 2 3 2 2 2 2 2 2" xfId="14038" xr:uid="{DE441E23-4F5E-423A-996B-E32D9AEA27C8}"/>
    <cellStyle name="Normal 10 2 8 2 3 2 2 2 2 3" xfId="14039" xr:uid="{28C8CC1F-63E4-496E-8105-50CDDCAC74AF}"/>
    <cellStyle name="Normal 10 2 8 2 3 2 2 2 3" xfId="14040" xr:uid="{61A3EFD4-C9E8-4EA7-B092-C6B311A881DF}"/>
    <cellStyle name="Normal 10 2 8 2 3 2 2 2 3 2" xfId="14041" xr:uid="{6121B39E-A596-4A09-9AB2-92B2F7FCF18A}"/>
    <cellStyle name="Normal 10 2 8 2 3 2 2 2 4" xfId="14042" xr:uid="{59409FAB-0FA2-4F3C-854B-A5F92A834B67}"/>
    <cellStyle name="Normal 10 2 8 2 3 2 2 3" xfId="14043" xr:uid="{73F6F2DC-7378-4F07-BFBB-9E8CF2B71084}"/>
    <cellStyle name="Normal 10 2 8 2 3 2 2 3 2" xfId="14044" xr:uid="{D3B1A6F8-1703-47DD-9BA9-71CDEAC9CDC6}"/>
    <cellStyle name="Normal 10 2 8 2 3 2 2 3 2 2" xfId="14045" xr:uid="{F8847FDA-21CB-4CD9-B089-002C206EBBFC}"/>
    <cellStyle name="Normal 10 2 8 2 3 2 2 3 3" xfId="14046" xr:uid="{F0B98D0D-16B0-446D-9124-EE9665798374}"/>
    <cellStyle name="Normal 10 2 8 2 3 2 2 4" xfId="14047" xr:uid="{F98024CC-ED40-4B6A-8F05-C90E5F612F4F}"/>
    <cellStyle name="Normal 10 2 8 2 3 2 2 4 2" xfId="14048" xr:uid="{9E2FA309-3AFE-4F76-965D-A4ED421F64ED}"/>
    <cellStyle name="Normal 10 2 8 2 3 2 2 5" xfId="14049" xr:uid="{6AC2CDDC-1667-492E-A8AF-D349EE96580B}"/>
    <cellStyle name="Normal 10 2 8 2 3 2 3" xfId="14050" xr:uid="{AAFA9F01-F4F4-4B1B-930B-1ED605D0843C}"/>
    <cellStyle name="Normal 10 2 8 2 3 2 3 2" xfId="14051" xr:uid="{337DF47C-FF34-43A4-84C4-97E42948D58E}"/>
    <cellStyle name="Normal 10 2 8 2 3 2 3 2 2" xfId="14052" xr:uid="{3C834994-AD1D-4AFA-9B14-1B1CE51CFF94}"/>
    <cellStyle name="Normal 10 2 8 2 3 2 3 2 2 2" xfId="14053" xr:uid="{CDB7B38C-B936-4124-862C-A747CB7C5158}"/>
    <cellStyle name="Normal 10 2 8 2 3 2 3 2 3" xfId="14054" xr:uid="{463CE345-EC90-4601-AFE9-DF174F67D0E6}"/>
    <cellStyle name="Normal 10 2 8 2 3 2 3 3" xfId="14055" xr:uid="{849EDADD-78AB-448D-8AEE-E5387E91F4DA}"/>
    <cellStyle name="Normal 10 2 8 2 3 2 3 3 2" xfId="14056" xr:uid="{922FEBD7-4CE7-4612-8EBA-EA4B2642E184}"/>
    <cellStyle name="Normal 10 2 8 2 3 2 3 4" xfId="14057" xr:uid="{0120034A-39BE-4B3D-B18C-42D5E60D5A71}"/>
    <cellStyle name="Normal 10 2 8 2 3 2 4" xfId="14058" xr:uid="{EF481AF8-03F8-49C1-8D49-DAAEF0DEC446}"/>
    <cellStyle name="Normal 10 2 8 2 3 2 4 2" xfId="14059" xr:uid="{A8906569-534F-42EF-B65A-E8F0781CCF01}"/>
    <cellStyle name="Normal 10 2 8 2 3 2 4 2 2" xfId="14060" xr:uid="{BDAFF029-0730-4AAC-AF37-B24B7AC126F5}"/>
    <cellStyle name="Normal 10 2 8 2 3 2 4 3" xfId="14061" xr:uid="{FE728646-EF65-4BBC-AE99-94DECA45AB2D}"/>
    <cellStyle name="Normal 10 2 8 2 3 2 5" xfId="14062" xr:uid="{C8C74688-4F16-4234-872A-9792FDFC04BF}"/>
    <cellStyle name="Normal 10 2 8 2 3 2 5 2" xfId="14063" xr:uid="{0185FD15-96CE-4080-A6F5-25E917554A66}"/>
    <cellStyle name="Normal 10 2 8 2 3 2 6" xfId="14064" xr:uid="{AE770D03-1EAA-45FC-BD11-BA326633A89D}"/>
    <cellStyle name="Normal 10 2 8 2 3 3" xfId="14065" xr:uid="{3564E631-2AC5-4CE1-8415-54DBE342E09A}"/>
    <cellStyle name="Normal 10 2 8 2 3 3 2" xfId="14066" xr:uid="{3F386219-723C-4BB9-B1B6-15BA44DBD952}"/>
    <cellStyle name="Normal 10 2 8 2 3 3 2 2" xfId="14067" xr:uid="{ECA3037E-4C60-4878-BFEC-AB999283D334}"/>
    <cellStyle name="Normal 10 2 8 2 3 3 2 2 2" xfId="14068" xr:uid="{1C03BEF1-ACA4-4AC8-BBF5-0239010563BC}"/>
    <cellStyle name="Normal 10 2 8 2 3 3 2 2 2 2" xfId="14069" xr:uid="{90AFDF86-D927-41D6-ABE9-EE89F990FACE}"/>
    <cellStyle name="Normal 10 2 8 2 3 3 2 2 3" xfId="14070" xr:uid="{99180C1B-118A-4D14-9B0B-0CD78789A430}"/>
    <cellStyle name="Normal 10 2 8 2 3 3 2 3" xfId="14071" xr:uid="{4ECDBB02-520A-4A3A-A1C0-C89632D8D0A7}"/>
    <cellStyle name="Normal 10 2 8 2 3 3 2 3 2" xfId="14072" xr:uid="{2BE4301D-8E03-4A11-BA48-85AAFEFBA7E1}"/>
    <cellStyle name="Normal 10 2 8 2 3 3 2 4" xfId="14073" xr:uid="{3D4775BA-3A16-4B0C-86F4-E6D6B2E04A92}"/>
    <cellStyle name="Normal 10 2 8 2 3 3 3" xfId="14074" xr:uid="{D27FDF2D-5B0F-48AB-BEF2-CEC8D63E4BBA}"/>
    <cellStyle name="Normal 10 2 8 2 3 3 3 2" xfId="14075" xr:uid="{31F49253-F171-4A4A-89D0-2491D69F6378}"/>
    <cellStyle name="Normal 10 2 8 2 3 3 3 2 2" xfId="14076" xr:uid="{21E7E63F-7221-4ACB-A15C-5BDA899503C4}"/>
    <cellStyle name="Normal 10 2 8 2 3 3 3 3" xfId="14077" xr:uid="{E161714E-9F94-4CEC-92F9-1382DE52B1CA}"/>
    <cellStyle name="Normal 10 2 8 2 3 3 4" xfId="14078" xr:uid="{A34EEA31-F8CF-4CB0-B4DF-0B9C9C7C0B59}"/>
    <cellStyle name="Normal 10 2 8 2 3 3 4 2" xfId="14079" xr:uid="{02F7E8E6-43EB-4571-A0E8-22FF6A60D994}"/>
    <cellStyle name="Normal 10 2 8 2 3 3 5" xfId="14080" xr:uid="{7F68622E-C5F8-4FBA-8477-C74C9B7EE12E}"/>
    <cellStyle name="Normal 10 2 8 2 3 4" xfId="14081" xr:uid="{C5932EFE-19AF-4D44-9BFE-79D93D4040FB}"/>
    <cellStyle name="Normal 10 2 8 2 3 4 2" xfId="14082" xr:uid="{6A1528C5-EE18-4D4B-9763-3954FC528103}"/>
    <cellStyle name="Normal 10 2 8 2 3 4 2 2" xfId="14083" xr:uid="{611C88D5-1B46-441A-8930-24087364777C}"/>
    <cellStyle name="Normal 10 2 8 2 3 4 2 2 2" xfId="14084" xr:uid="{1E05D6FC-AFC4-4BAA-BE70-044F1CE9CD3F}"/>
    <cellStyle name="Normal 10 2 8 2 3 4 2 3" xfId="14085" xr:uid="{9E79158C-28B0-4836-AB0D-494ABFC94636}"/>
    <cellStyle name="Normal 10 2 8 2 3 4 3" xfId="14086" xr:uid="{20106EBD-ABF7-41C9-A6B8-6A9D71F1BD4E}"/>
    <cellStyle name="Normal 10 2 8 2 3 4 3 2" xfId="14087" xr:uid="{8EC18E36-57A4-4EFA-954A-689B0E98DDCB}"/>
    <cellStyle name="Normal 10 2 8 2 3 4 4" xfId="14088" xr:uid="{31841EBC-7E35-4406-B845-0668EED103B7}"/>
    <cellStyle name="Normal 10 2 8 2 3 5" xfId="14089" xr:uid="{21766F97-A308-4741-9E29-39560B683ECD}"/>
    <cellStyle name="Normal 10 2 8 2 3 5 2" xfId="14090" xr:uid="{D4BA8D93-DFF3-4E04-9FC4-4EA446AF37D5}"/>
    <cellStyle name="Normal 10 2 8 2 3 5 2 2" xfId="14091" xr:uid="{5EA9B02F-2930-47F6-8067-D2A67FAB661A}"/>
    <cellStyle name="Normal 10 2 8 2 3 5 3" xfId="14092" xr:uid="{087B33D0-2C17-447F-834A-EEB1D082F150}"/>
    <cellStyle name="Normal 10 2 8 2 3 6" xfId="14093" xr:uid="{E6525A87-7B64-4E3E-9146-450EA1C6E84A}"/>
    <cellStyle name="Normal 10 2 8 2 3 6 2" xfId="14094" xr:uid="{B994394E-761E-4E71-9B3E-749D44D9B967}"/>
    <cellStyle name="Normal 10 2 8 2 3 7" xfId="14095" xr:uid="{3E39D729-AF82-45B9-A3BE-95652B592D60}"/>
    <cellStyle name="Normal 10 2 8 2 4" xfId="14096" xr:uid="{EE9BAEE9-5A1C-4C59-8986-77AF1CC73EB4}"/>
    <cellStyle name="Normal 10 2 8 2 4 2" xfId="14097" xr:uid="{CB3F58CC-5F56-40E3-B065-F29F6E5F4C2F}"/>
    <cellStyle name="Normal 10 2 8 2 4 2 2" xfId="14098" xr:uid="{2BBCCFE4-41D2-46C8-849A-8724A73B3F29}"/>
    <cellStyle name="Normal 10 2 8 2 4 2 2 2" xfId="14099" xr:uid="{09B45B4F-AABD-4E43-8B29-48C380714C3A}"/>
    <cellStyle name="Normal 10 2 8 2 4 2 2 2 2" xfId="14100" xr:uid="{1011566A-C33A-4533-9350-17C3CFCFCEBA}"/>
    <cellStyle name="Normal 10 2 8 2 4 2 2 2 2 2" xfId="14101" xr:uid="{F3F4D1B5-4976-4787-9968-6CE37C088889}"/>
    <cellStyle name="Normal 10 2 8 2 4 2 2 2 3" xfId="14102" xr:uid="{C19DEF2D-7624-4A40-883E-3A5002693CDF}"/>
    <cellStyle name="Normal 10 2 8 2 4 2 2 3" xfId="14103" xr:uid="{ECCDA51C-286B-4189-B777-D6655C737543}"/>
    <cellStyle name="Normal 10 2 8 2 4 2 2 3 2" xfId="14104" xr:uid="{FE51CE72-BE4B-40F3-BB27-8E323A9D18D9}"/>
    <cellStyle name="Normal 10 2 8 2 4 2 2 4" xfId="14105" xr:uid="{713DA1F6-6F87-4DC0-AE7D-7F403AF63276}"/>
    <cellStyle name="Normal 10 2 8 2 4 2 3" xfId="14106" xr:uid="{471EDDCC-E553-4330-A8EC-CAFC2748C8C8}"/>
    <cellStyle name="Normal 10 2 8 2 4 2 3 2" xfId="14107" xr:uid="{3E04699C-6978-4F29-A98D-D141F30F63B1}"/>
    <cellStyle name="Normal 10 2 8 2 4 2 3 2 2" xfId="14108" xr:uid="{6A6A634E-8B6B-45C6-BF97-F6E751B24421}"/>
    <cellStyle name="Normal 10 2 8 2 4 2 3 3" xfId="14109" xr:uid="{83C564BD-6709-40C4-865C-03656EA8B97F}"/>
    <cellStyle name="Normal 10 2 8 2 4 2 4" xfId="14110" xr:uid="{05A440B6-53B1-43F7-A92B-0473E0AA7700}"/>
    <cellStyle name="Normal 10 2 8 2 4 2 4 2" xfId="14111" xr:uid="{C7E1D4DD-1581-4C51-8667-BA6A9B3A3460}"/>
    <cellStyle name="Normal 10 2 8 2 4 2 5" xfId="14112" xr:uid="{6EBFB3CA-FBA1-427C-A1DF-6D91A5F72D06}"/>
    <cellStyle name="Normal 10 2 8 2 4 3" xfId="14113" xr:uid="{A2C20CDA-B830-448A-A8D0-AAC0A610538D}"/>
    <cellStyle name="Normal 10 2 8 2 4 3 2" xfId="14114" xr:uid="{B59B14DE-7E64-4530-92CC-34B457626ACB}"/>
    <cellStyle name="Normal 10 2 8 2 4 3 2 2" xfId="14115" xr:uid="{497ECCCC-C0EC-4295-9D20-9A084D54C305}"/>
    <cellStyle name="Normal 10 2 8 2 4 3 2 2 2" xfId="14116" xr:uid="{1D4EAE8A-F2FC-4A16-9A2A-0CF6B50DE092}"/>
    <cellStyle name="Normal 10 2 8 2 4 3 2 3" xfId="14117" xr:uid="{AD28F93E-DEA9-4F94-B4CC-2103AD1226C8}"/>
    <cellStyle name="Normal 10 2 8 2 4 3 3" xfId="14118" xr:uid="{0A00E0C7-4F47-41B0-8B37-BB84B4A1986A}"/>
    <cellStyle name="Normal 10 2 8 2 4 3 3 2" xfId="14119" xr:uid="{003A3BA5-92B5-44DD-9670-DE6513206949}"/>
    <cellStyle name="Normal 10 2 8 2 4 3 4" xfId="14120" xr:uid="{C7DB0E31-E5EA-4DF4-A40B-6CA4B811116F}"/>
    <cellStyle name="Normal 10 2 8 2 4 4" xfId="14121" xr:uid="{799F5834-CD0C-47C0-A199-E1F18C284C65}"/>
    <cellStyle name="Normal 10 2 8 2 4 4 2" xfId="14122" xr:uid="{2F67C635-8CE9-4DA3-81F7-ED37350244FA}"/>
    <cellStyle name="Normal 10 2 8 2 4 4 2 2" xfId="14123" xr:uid="{E5C15117-E26C-4F79-A2E9-3DCC0E0C97E0}"/>
    <cellStyle name="Normal 10 2 8 2 4 4 3" xfId="14124" xr:uid="{81D67D20-00A3-48FF-9F52-F2AFEFB5B3B8}"/>
    <cellStyle name="Normal 10 2 8 2 4 5" xfId="14125" xr:uid="{5720CB69-8F76-4026-A16A-C442D9912C02}"/>
    <cellStyle name="Normal 10 2 8 2 4 5 2" xfId="14126" xr:uid="{1A57F6F3-A974-4390-BF92-72F861DB23D3}"/>
    <cellStyle name="Normal 10 2 8 2 4 6" xfId="14127" xr:uid="{255E464B-E5DB-43B6-973A-1B7971C91D8F}"/>
    <cellStyle name="Normal 10 2 8 2 5" xfId="14128" xr:uid="{BF979EF6-653C-4B74-A5C3-5EE31E1C1EA3}"/>
    <cellStyle name="Normal 10 2 8 2 5 2" xfId="14129" xr:uid="{FB9E4481-2CF8-46CB-934B-4AEAF25FC9D5}"/>
    <cellStyle name="Normal 10 2 8 2 5 2 2" xfId="14130" xr:uid="{F86028A0-5E25-4CE3-9B9F-F4D0D5BDAFEE}"/>
    <cellStyle name="Normal 10 2 8 2 5 2 2 2" xfId="14131" xr:uid="{E3C8CD80-7BC3-4D07-B0C5-39B68A601B3E}"/>
    <cellStyle name="Normal 10 2 8 2 5 2 2 2 2" xfId="14132" xr:uid="{E78C729E-0AC2-4E49-AC5A-452AD95F9B50}"/>
    <cellStyle name="Normal 10 2 8 2 5 2 2 3" xfId="14133" xr:uid="{55108598-EAF1-4F3C-8D0B-5DFB115E2685}"/>
    <cellStyle name="Normal 10 2 8 2 5 2 3" xfId="14134" xr:uid="{241BE002-8D2E-4212-AE4A-B898DCF9429F}"/>
    <cellStyle name="Normal 10 2 8 2 5 2 3 2" xfId="14135" xr:uid="{AE5687CF-D32D-4509-97D2-096D829A85EA}"/>
    <cellStyle name="Normal 10 2 8 2 5 2 4" xfId="14136" xr:uid="{A9C63B04-A6BA-4340-A467-00D1F3821889}"/>
    <cellStyle name="Normal 10 2 8 2 5 3" xfId="14137" xr:uid="{3C4A8985-9BC8-42B3-8712-3D31B8867C7C}"/>
    <cellStyle name="Normal 10 2 8 2 5 3 2" xfId="14138" xr:uid="{0C233218-6096-4262-8D1F-0FFD87A2BE8E}"/>
    <cellStyle name="Normal 10 2 8 2 5 3 2 2" xfId="14139" xr:uid="{7BD44711-C369-4C7A-81D2-ECF7C64409D2}"/>
    <cellStyle name="Normal 10 2 8 2 5 3 3" xfId="14140" xr:uid="{10339001-6464-445E-B99D-9FC38929A94F}"/>
    <cellStyle name="Normal 10 2 8 2 5 4" xfId="14141" xr:uid="{658C50F7-1A8A-4839-8728-21E1FD33EC2F}"/>
    <cellStyle name="Normal 10 2 8 2 5 4 2" xfId="14142" xr:uid="{081D680B-C804-4960-B788-832750B16E5D}"/>
    <cellStyle name="Normal 10 2 8 2 5 5" xfId="14143" xr:uid="{E7DC4ED3-A9FB-4559-8022-17202976BF0A}"/>
    <cellStyle name="Normal 10 2 8 2 6" xfId="14144" xr:uid="{AAE8ADB0-8BD7-44F2-9CD8-01C6EAB25305}"/>
    <cellStyle name="Normal 10 2 8 2 6 2" xfId="14145" xr:uid="{B9FAEBB4-A2C9-45BD-B9BE-D377CA28EC23}"/>
    <cellStyle name="Normal 10 2 8 2 6 2 2" xfId="14146" xr:uid="{5A3028BD-C693-4E07-89B3-C65A4B4C534A}"/>
    <cellStyle name="Normal 10 2 8 2 6 2 2 2" xfId="14147" xr:uid="{D31D7A4A-E1B1-4AA4-9386-D5173B59A97B}"/>
    <cellStyle name="Normal 10 2 8 2 6 2 3" xfId="14148" xr:uid="{BD386A38-F36F-4854-905E-BC13FC1A86AA}"/>
    <cellStyle name="Normal 10 2 8 2 6 3" xfId="14149" xr:uid="{37716814-EB55-479E-AC70-FAFEE732A0D0}"/>
    <cellStyle name="Normal 10 2 8 2 6 3 2" xfId="14150" xr:uid="{145939A7-8BFE-4DBF-9CDD-4F4F2AE81F4A}"/>
    <cellStyle name="Normal 10 2 8 2 6 4" xfId="14151" xr:uid="{636AAECB-A18E-440F-9CA1-1E008FEA73AE}"/>
    <cellStyle name="Normal 10 2 8 2 7" xfId="14152" xr:uid="{9D35BA67-61C3-4566-BEB7-2EAA7349AB20}"/>
    <cellStyle name="Normal 10 2 8 2 7 2" xfId="14153" xr:uid="{0DABC52E-F907-461A-B122-BDC319955F3F}"/>
    <cellStyle name="Normal 10 2 8 2 7 2 2" xfId="14154" xr:uid="{D8B3331B-718C-47DC-BC77-ECF54E091A09}"/>
    <cellStyle name="Normal 10 2 8 2 7 3" xfId="14155" xr:uid="{9BF8D5A4-CAF4-4FF6-B3C7-DA443911726F}"/>
    <cellStyle name="Normal 10 2 8 2 8" xfId="14156" xr:uid="{A00D6299-720B-462D-A0B2-644DE52DD254}"/>
    <cellStyle name="Normal 10 2 8 2 8 2" xfId="14157" xr:uid="{6076A2C4-71C1-497E-A727-56C17142363E}"/>
    <cellStyle name="Normal 10 2 8 2 9" xfId="14158" xr:uid="{8D560EE0-0777-4416-AF0C-89DAF25E3053}"/>
    <cellStyle name="Normal 10 2 8 3" xfId="501" xr:uid="{C92013B5-C040-410A-9250-7B3C0AF84AF7}"/>
    <cellStyle name="Normal 10 2 8 3 2" xfId="14160" xr:uid="{C58CE3F1-BE0A-445D-9CC4-15CED0F65C9B}"/>
    <cellStyle name="Normal 10 2 8 3 2 2" xfId="14161" xr:uid="{C46A3EA7-39BE-4BA0-9F50-66BC33D5D127}"/>
    <cellStyle name="Normal 10 2 8 3 2 2 2" xfId="14162" xr:uid="{4BFEFF69-B745-40C1-8E7E-6B01FCEF5E4B}"/>
    <cellStyle name="Normal 10 2 8 3 2 2 2 2" xfId="14163" xr:uid="{FF242E9D-B798-4927-877B-A210960C631C}"/>
    <cellStyle name="Normal 10 2 8 3 2 2 2 2 2" xfId="14164" xr:uid="{2BC04B17-8EC9-4581-A34D-986ACFF653F0}"/>
    <cellStyle name="Normal 10 2 8 3 2 2 2 2 2 2" xfId="14165" xr:uid="{D2BF214C-47C5-4234-90E7-0E0DFD6F6425}"/>
    <cellStyle name="Normal 10 2 8 3 2 2 2 2 2 2 2" xfId="14166" xr:uid="{0A362C49-64AE-4731-A450-E09247BDF93A}"/>
    <cellStyle name="Normal 10 2 8 3 2 2 2 2 2 3" xfId="14167" xr:uid="{CF79128A-7714-4111-9037-4D4D02FD8499}"/>
    <cellStyle name="Normal 10 2 8 3 2 2 2 2 3" xfId="14168" xr:uid="{049895DA-0AF3-4289-BE97-2347CA0DCBEE}"/>
    <cellStyle name="Normal 10 2 8 3 2 2 2 2 3 2" xfId="14169" xr:uid="{18E508E6-F0E1-4709-A333-86F3CB983396}"/>
    <cellStyle name="Normal 10 2 8 3 2 2 2 2 4" xfId="14170" xr:uid="{BFF88386-F8C6-44D3-82A4-B1420C1AD4A9}"/>
    <cellStyle name="Normal 10 2 8 3 2 2 2 3" xfId="14171" xr:uid="{618E94A8-E40E-4618-BD06-45BB46D60C1C}"/>
    <cellStyle name="Normal 10 2 8 3 2 2 2 3 2" xfId="14172" xr:uid="{C2A14ACB-2213-4ABC-B995-C509E323513B}"/>
    <cellStyle name="Normal 10 2 8 3 2 2 2 3 2 2" xfId="14173" xr:uid="{DEB4DF51-4358-455F-A043-67A65113C0D2}"/>
    <cellStyle name="Normal 10 2 8 3 2 2 2 3 3" xfId="14174" xr:uid="{5D2833CC-77A2-4A3F-BF66-E8C5C22B784F}"/>
    <cellStyle name="Normal 10 2 8 3 2 2 2 4" xfId="14175" xr:uid="{757DD2D2-5530-4493-BD8D-A33EE74ADD73}"/>
    <cellStyle name="Normal 10 2 8 3 2 2 2 4 2" xfId="14176" xr:uid="{27ACFAD2-E91A-4AC8-98E6-89D48FDA8CF0}"/>
    <cellStyle name="Normal 10 2 8 3 2 2 2 5" xfId="14177" xr:uid="{BF2FA6D8-66A8-47AF-A98D-D5516A42769F}"/>
    <cellStyle name="Normal 10 2 8 3 2 2 3" xfId="14178" xr:uid="{F0EE6054-789E-444B-8F24-E5AEF36EC9BC}"/>
    <cellStyle name="Normal 10 2 8 3 2 2 3 2" xfId="14179" xr:uid="{31840737-B597-44C6-A88A-28AF46ADA5B9}"/>
    <cellStyle name="Normal 10 2 8 3 2 2 3 2 2" xfId="14180" xr:uid="{C6D7E983-9592-4474-BEB9-205EC3BA8D4D}"/>
    <cellStyle name="Normal 10 2 8 3 2 2 3 2 2 2" xfId="14181" xr:uid="{5A43322A-4A64-4705-AEF1-FA7377CCE63D}"/>
    <cellStyle name="Normal 10 2 8 3 2 2 3 2 3" xfId="14182" xr:uid="{7C05BDD6-9EA0-46D8-9616-9CDA444CD3AE}"/>
    <cellStyle name="Normal 10 2 8 3 2 2 3 3" xfId="14183" xr:uid="{6FE9E511-80A3-44E2-8A20-6AE91A396069}"/>
    <cellStyle name="Normal 10 2 8 3 2 2 3 3 2" xfId="14184" xr:uid="{EE3AC2BB-198A-4591-924B-8C62DB673208}"/>
    <cellStyle name="Normal 10 2 8 3 2 2 3 4" xfId="14185" xr:uid="{C8650A9A-F4F2-4183-9046-E08AB4306475}"/>
    <cellStyle name="Normal 10 2 8 3 2 2 4" xfId="14186" xr:uid="{F278A7FD-37E4-4A3C-B611-F499134082EE}"/>
    <cellStyle name="Normal 10 2 8 3 2 2 4 2" xfId="14187" xr:uid="{D3E2A739-ED6A-4CD7-896B-EAE563FDBC79}"/>
    <cellStyle name="Normal 10 2 8 3 2 2 4 2 2" xfId="14188" xr:uid="{0D35650D-DC32-4FAF-99C9-A69411463678}"/>
    <cellStyle name="Normal 10 2 8 3 2 2 4 3" xfId="14189" xr:uid="{8F1D2F56-780A-4847-8E6E-66D68400174E}"/>
    <cellStyle name="Normal 10 2 8 3 2 2 5" xfId="14190" xr:uid="{3020B0EF-0898-45ED-83D6-82643231958B}"/>
    <cellStyle name="Normal 10 2 8 3 2 2 5 2" xfId="14191" xr:uid="{365453D3-B652-43AE-85CC-D5CD7FA28D3B}"/>
    <cellStyle name="Normal 10 2 8 3 2 2 6" xfId="14192" xr:uid="{A0A2EE1D-D4A1-4CF6-B2DA-69CEE0F5A1E2}"/>
    <cellStyle name="Normal 10 2 8 3 2 3" xfId="14193" xr:uid="{4C522568-7532-40F5-9503-0BB12E9FB89E}"/>
    <cellStyle name="Normal 10 2 8 3 2 3 2" xfId="14194" xr:uid="{83C68C56-67CA-4037-BD59-B99F9B80C676}"/>
    <cellStyle name="Normal 10 2 8 3 2 3 2 2" xfId="14195" xr:uid="{36B22522-CFBF-481E-9E9B-021F7C9E8358}"/>
    <cellStyle name="Normal 10 2 8 3 2 3 2 2 2" xfId="14196" xr:uid="{4219236D-D6C4-42C0-B799-0F21537DB07B}"/>
    <cellStyle name="Normal 10 2 8 3 2 3 2 2 2 2" xfId="14197" xr:uid="{7E95ECE3-2AF9-4829-8723-DB8DC0A63F82}"/>
    <cellStyle name="Normal 10 2 8 3 2 3 2 2 3" xfId="14198" xr:uid="{0ECF9EE9-8DE8-4B02-9B6E-BBC9201BEC22}"/>
    <cellStyle name="Normal 10 2 8 3 2 3 2 3" xfId="14199" xr:uid="{244A2317-B662-429F-8A28-5E55E763735B}"/>
    <cellStyle name="Normal 10 2 8 3 2 3 2 3 2" xfId="14200" xr:uid="{1B07F73D-076F-4621-842C-11B67FF41717}"/>
    <cellStyle name="Normal 10 2 8 3 2 3 2 4" xfId="14201" xr:uid="{0A9DCED5-4F62-47B4-A2F1-E56F64FBC01E}"/>
    <cellStyle name="Normal 10 2 8 3 2 3 3" xfId="14202" xr:uid="{87F73CE9-410F-4D4C-B0E9-7FCF819BC785}"/>
    <cellStyle name="Normal 10 2 8 3 2 3 3 2" xfId="14203" xr:uid="{07A4C195-75C1-4C46-B3F4-439CEBCB8DFE}"/>
    <cellStyle name="Normal 10 2 8 3 2 3 3 2 2" xfId="14204" xr:uid="{E1F0972A-45F9-4066-B46A-DC028FC27599}"/>
    <cellStyle name="Normal 10 2 8 3 2 3 3 3" xfId="14205" xr:uid="{2A2E89B6-4AFF-4BF6-A9E7-AF7E99955942}"/>
    <cellStyle name="Normal 10 2 8 3 2 3 4" xfId="14206" xr:uid="{70FFF88A-8634-40E2-85F8-7D6248954D55}"/>
    <cellStyle name="Normal 10 2 8 3 2 3 4 2" xfId="14207" xr:uid="{DE51D45B-8A24-4FC8-AC0B-9D0C3F05F48C}"/>
    <cellStyle name="Normal 10 2 8 3 2 3 5" xfId="14208" xr:uid="{1C673071-59AC-459F-9EF6-B0634CF55682}"/>
    <cellStyle name="Normal 10 2 8 3 2 4" xfId="14209" xr:uid="{09C96CD3-6FD1-47AD-B6D4-68E353E834DC}"/>
    <cellStyle name="Normal 10 2 8 3 2 4 2" xfId="14210" xr:uid="{FB116E59-601B-4866-AC07-C41D16FBFDA7}"/>
    <cellStyle name="Normal 10 2 8 3 2 4 2 2" xfId="14211" xr:uid="{4ABF09A3-805C-4D35-A8FD-5C39972D97DD}"/>
    <cellStyle name="Normal 10 2 8 3 2 4 2 2 2" xfId="14212" xr:uid="{87842F0C-F6CA-433F-88B7-19BCE798D85C}"/>
    <cellStyle name="Normal 10 2 8 3 2 4 2 3" xfId="14213" xr:uid="{7AD975B6-010C-47B7-AA60-CCEBDBA6627F}"/>
    <cellStyle name="Normal 10 2 8 3 2 4 3" xfId="14214" xr:uid="{2E70CF24-81F4-440E-B838-346034EEB5DA}"/>
    <cellStyle name="Normal 10 2 8 3 2 4 3 2" xfId="14215" xr:uid="{EFE2F7E1-E2AD-4003-92A1-72FA0A369B13}"/>
    <cellStyle name="Normal 10 2 8 3 2 4 4" xfId="14216" xr:uid="{C62C2DA3-E605-419F-930F-B93D4A332278}"/>
    <cellStyle name="Normal 10 2 8 3 2 5" xfId="14217" xr:uid="{6CE84BA9-13E0-4249-8E9F-4530A61AC738}"/>
    <cellStyle name="Normal 10 2 8 3 2 5 2" xfId="14218" xr:uid="{981CF510-F676-466C-AD35-2DF478C85EDD}"/>
    <cellStyle name="Normal 10 2 8 3 2 5 2 2" xfId="14219" xr:uid="{D6D4EB2A-B4AC-4D34-915F-5A6B121132ED}"/>
    <cellStyle name="Normal 10 2 8 3 2 5 3" xfId="14220" xr:uid="{F663817F-DE3C-4FDC-8538-34B3D108DA94}"/>
    <cellStyle name="Normal 10 2 8 3 2 6" xfId="14221" xr:uid="{870CD85B-BFCC-4F9B-9BFA-2CE487F935F4}"/>
    <cellStyle name="Normal 10 2 8 3 2 6 2" xfId="14222" xr:uid="{2C01A74B-F701-48FE-B723-226385763815}"/>
    <cellStyle name="Normal 10 2 8 3 2 7" xfId="14223" xr:uid="{FC8FE083-F40F-438B-BF3F-B27C4DD41C6E}"/>
    <cellStyle name="Normal 10 2 8 3 3" xfId="14224" xr:uid="{30310D78-D9F4-453D-BAAE-0A27F352C630}"/>
    <cellStyle name="Normal 10 2 8 3 3 2" xfId="14225" xr:uid="{69F36871-DD00-40F1-9AC0-24A9A481D05D}"/>
    <cellStyle name="Normal 10 2 8 3 3 2 2" xfId="14226" xr:uid="{AC238104-CF09-4BDB-906B-621B0B6600F7}"/>
    <cellStyle name="Normal 10 2 8 3 3 2 2 2" xfId="14227" xr:uid="{81C104C9-396C-4D6C-8119-5E2169389E74}"/>
    <cellStyle name="Normal 10 2 8 3 3 2 2 2 2" xfId="14228" xr:uid="{9BE2D1B2-5F54-4AE1-B386-9F38DB1FD14E}"/>
    <cellStyle name="Normal 10 2 8 3 3 2 2 2 2 2" xfId="14229" xr:uid="{E6902EBA-BB2D-4F22-951B-719FE16DF1B2}"/>
    <cellStyle name="Normal 10 2 8 3 3 2 2 2 3" xfId="14230" xr:uid="{0F423557-2F6B-45D7-86C9-C49C4215BE56}"/>
    <cellStyle name="Normal 10 2 8 3 3 2 2 3" xfId="14231" xr:uid="{DDF62C1E-D894-41C5-ACB2-E644869467BD}"/>
    <cellStyle name="Normal 10 2 8 3 3 2 2 3 2" xfId="14232" xr:uid="{ACDBA0D5-4196-43CF-A2EE-B8EE7544A97A}"/>
    <cellStyle name="Normal 10 2 8 3 3 2 2 4" xfId="14233" xr:uid="{2B076983-3E04-44C1-BBFA-C15782926BC1}"/>
    <cellStyle name="Normal 10 2 8 3 3 2 3" xfId="14234" xr:uid="{D8E220C7-5D44-4434-9C02-2833A16FF68E}"/>
    <cellStyle name="Normal 10 2 8 3 3 2 3 2" xfId="14235" xr:uid="{1D44C74C-94E3-429F-9376-324852190B90}"/>
    <cellStyle name="Normal 10 2 8 3 3 2 3 2 2" xfId="14236" xr:uid="{1D51DB05-25D3-4D88-AC2C-A0CB62CD3189}"/>
    <cellStyle name="Normal 10 2 8 3 3 2 3 3" xfId="14237" xr:uid="{3B71D52E-8B56-442A-8926-866C55939DEC}"/>
    <cellStyle name="Normal 10 2 8 3 3 2 4" xfId="14238" xr:uid="{6E019058-B6FF-447D-B7BF-83B42B00353B}"/>
    <cellStyle name="Normal 10 2 8 3 3 2 4 2" xfId="14239" xr:uid="{50351EBF-C295-46D9-92C6-FEA63DD9F982}"/>
    <cellStyle name="Normal 10 2 8 3 3 2 5" xfId="14240" xr:uid="{0E522C19-1E31-4F15-AF8B-A3DB03F3CF32}"/>
    <cellStyle name="Normal 10 2 8 3 3 3" xfId="14241" xr:uid="{4A5366EB-CD01-4BAA-810C-0C0D13FC9ED9}"/>
    <cellStyle name="Normal 10 2 8 3 3 3 2" xfId="14242" xr:uid="{FA33432E-CEAF-4407-821B-B5799C7CA2FA}"/>
    <cellStyle name="Normal 10 2 8 3 3 3 2 2" xfId="14243" xr:uid="{BAEDE0A4-D6F7-4CF7-B201-F2459B2C3C82}"/>
    <cellStyle name="Normal 10 2 8 3 3 3 2 2 2" xfId="14244" xr:uid="{45B8F08C-C576-4BEB-9B03-F0D10744D804}"/>
    <cellStyle name="Normal 10 2 8 3 3 3 2 3" xfId="14245" xr:uid="{74F17665-BBF6-4C7B-9BBE-D04E0A17E942}"/>
    <cellStyle name="Normal 10 2 8 3 3 3 3" xfId="14246" xr:uid="{2459DF61-D307-4449-A350-E875EB49D145}"/>
    <cellStyle name="Normal 10 2 8 3 3 3 3 2" xfId="14247" xr:uid="{D8539716-6050-4C2F-9BAD-F246F2728021}"/>
    <cellStyle name="Normal 10 2 8 3 3 3 4" xfId="14248" xr:uid="{E803A99D-F989-4EFE-A961-F7F2DAC9A60A}"/>
    <cellStyle name="Normal 10 2 8 3 3 4" xfId="14249" xr:uid="{5702439A-1F37-40B9-822F-D9AD76B81A2F}"/>
    <cellStyle name="Normal 10 2 8 3 3 4 2" xfId="14250" xr:uid="{787DFF4A-62C9-4D66-A04C-CB37CBFC84E4}"/>
    <cellStyle name="Normal 10 2 8 3 3 4 2 2" xfId="14251" xr:uid="{8C1335A3-00E2-42E2-960E-4B4B545E6745}"/>
    <cellStyle name="Normal 10 2 8 3 3 4 3" xfId="14252" xr:uid="{01A71CEA-1690-4B88-B04F-5094971617C9}"/>
    <cellStyle name="Normal 10 2 8 3 3 5" xfId="14253" xr:uid="{39661661-4772-40E8-AF8A-65EBA1754DAC}"/>
    <cellStyle name="Normal 10 2 8 3 3 5 2" xfId="14254" xr:uid="{A55C11F2-0EEF-4D26-B7AA-6657475C01CE}"/>
    <cellStyle name="Normal 10 2 8 3 3 6" xfId="14255" xr:uid="{F7249CCD-4B8C-4B3E-80BA-3452655EBB6F}"/>
    <cellStyle name="Normal 10 2 8 3 4" xfId="14256" xr:uid="{CF6BA6DB-6800-4DD5-ACE2-5AFB24F500F9}"/>
    <cellStyle name="Normal 10 2 8 3 4 2" xfId="14257" xr:uid="{BE2F3F1C-42FF-473B-9100-B42B9C215AC0}"/>
    <cellStyle name="Normal 10 2 8 3 4 2 2" xfId="14258" xr:uid="{F9447200-8AAA-488D-9D2E-D7150B4A38FA}"/>
    <cellStyle name="Normal 10 2 8 3 4 2 2 2" xfId="14259" xr:uid="{B49D0D0F-E978-400E-ACEB-D64CB43BFB34}"/>
    <cellStyle name="Normal 10 2 8 3 4 2 2 2 2" xfId="14260" xr:uid="{23FE4BEA-C4BA-47ED-B326-C51BEBDE5904}"/>
    <cellStyle name="Normal 10 2 8 3 4 2 2 3" xfId="14261" xr:uid="{38D46D03-B732-4DAE-9C13-CAC5AE0C8AA1}"/>
    <cellStyle name="Normal 10 2 8 3 4 2 3" xfId="14262" xr:uid="{B2DED516-57A9-4979-A4EC-8603782DDA96}"/>
    <cellStyle name="Normal 10 2 8 3 4 2 3 2" xfId="14263" xr:uid="{D2634BE3-21F4-4CE4-AD37-1F9E8BB91553}"/>
    <cellStyle name="Normal 10 2 8 3 4 2 4" xfId="14264" xr:uid="{05AAE92D-92AA-46D8-A0C2-C5E9D25E36B5}"/>
    <cellStyle name="Normal 10 2 8 3 4 3" xfId="14265" xr:uid="{F5BBE78B-3C61-466E-98C5-5A2FA9FF38BC}"/>
    <cellStyle name="Normal 10 2 8 3 4 3 2" xfId="14266" xr:uid="{0FB87C69-A3F8-4452-AA6D-9BB3E4B9CA83}"/>
    <cellStyle name="Normal 10 2 8 3 4 3 2 2" xfId="14267" xr:uid="{F442E2E1-8790-4422-8904-E8156628F47B}"/>
    <cellStyle name="Normal 10 2 8 3 4 3 3" xfId="14268" xr:uid="{23711EF9-1331-4848-AA0F-89DEF3DAA70A}"/>
    <cellStyle name="Normal 10 2 8 3 4 4" xfId="14269" xr:uid="{1512F2F6-43C7-4ABE-AC97-4833239279D8}"/>
    <cellStyle name="Normal 10 2 8 3 4 4 2" xfId="14270" xr:uid="{930F2FB3-5ADE-48F4-ADAC-4604E0A409AC}"/>
    <cellStyle name="Normal 10 2 8 3 4 5" xfId="14271" xr:uid="{3F2F227B-5F09-4916-98AB-8BB58C52290A}"/>
    <cellStyle name="Normal 10 2 8 3 5" xfId="14272" xr:uid="{6D5C671D-ADE0-4391-8D3B-A314D37C1417}"/>
    <cellStyle name="Normal 10 2 8 3 5 2" xfId="14273" xr:uid="{5D20B1C7-47B3-467D-9826-18DC83389C7D}"/>
    <cellStyle name="Normal 10 2 8 3 5 2 2" xfId="14274" xr:uid="{0C032F34-1A7D-4517-9D36-56A8ADA1C164}"/>
    <cellStyle name="Normal 10 2 8 3 5 2 2 2" xfId="14275" xr:uid="{47F9A40C-9B2C-4591-9937-B15772702837}"/>
    <cellStyle name="Normal 10 2 8 3 5 2 3" xfId="14276" xr:uid="{6EF9DF8D-3301-417C-9801-60B9C5BDBCF4}"/>
    <cellStyle name="Normal 10 2 8 3 5 3" xfId="14277" xr:uid="{655FA3C9-7572-4FFC-9DE4-AC7CC99565C2}"/>
    <cellStyle name="Normal 10 2 8 3 5 3 2" xfId="14278" xr:uid="{06DCBAA0-C9D0-4FD7-BF08-902A99CEA029}"/>
    <cellStyle name="Normal 10 2 8 3 5 4" xfId="14279" xr:uid="{82ABD5E1-7BF3-4D52-A718-6406833DCC0B}"/>
    <cellStyle name="Normal 10 2 8 3 6" xfId="14280" xr:uid="{CCE369BE-021B-4F2E-B18F-2A3317991E1C}"/>
    <cellStyle name="Normal 10 2 8 3 6 2" xfId="14281" xr:uid="{5B535481-30E7-45B4-A128-21F50BCD85BB}"/>
    <cellStyle name="Normal 10 2 8 3 6 2 2" xfId="14282" xr:uid="{6B61DB82-8640-4EEB-A3C5-489EB86394CE}"/>
    <cellStyle name="Normal 10 2 8 3 6 3" xfId="14283" xr:uid="{566DCD99-8EA4-4B4C-AA8D-15DBAB652D56}"/>
    <cellStyle name="Normal 10 2 8 3 7" xfId="14284" xr:uid="{F1B963CF-A549-42DA-8D72-D7EE84178DA5}"/>
    <cellStyle name="Normal 10 2 8 3 7 2" xfId="14285" xr:uid="{E4FE88F1-3B45-45C9-87FE-81C09D15CA62}"/>
    <cellStyle name="Normal 10 2 8 3 8" xfId="14286" xr:uid="{D49B7AE7-EA12-4211-A772-AC0DFB1E878D}"/>
    <cellStyle name="Normal 10 2 8 3 9" xfId="14159" xr:uid="{06A7BCC7-55C3-4835-BFE1-FEB8D820FD74}"/>
    <cellStyle name="Normal 10 2 8 4" xfId="14287" xr:uid="{8A9778C1-2B10-4AC9-85CE-1AA929C62A0E}"/>
    <cellStyle name="Normal 10 2 8 4 2" xfId="14288" xr:uid="{72A4D8BF-0B6D-4C4A-AB1D-4AF3946CB441}"/>
    <cellStyle name="Normal 10 2 8 4 2 2" xfId="14289" xr:uid="{47CB33DB-56B0-4C16-8F5F-E79C5145D636}"/>
    <cellStyle name="Normal 10 2 8 4 2 2 2" xfId="14290" xr:uid="{BBF45196-4D57-4BE6-ACF9-EC29A820946E}"/>
    <cellStyle name="Normal 10 2 8 4 2 2 2 2" xfId="14291" xr:uid="{F6EAC864-6D5E-4C56-917A-40A961EC1216}"/>
    <cellStyle name="Normal 10 2 8 4 2 2 2 2 2" xfId="14292" xr:uid="{E54F9BB9-6790-4C03-9772-E764E3A61E0A}"/>
    <cellStyle name="Normal 10 2 8 4 2 2 2 2 2 2" xfId="14293" xr:uid="{FBC182E4-23EA-4BE3-96D1-18BD0622B7E5}"/>
    <cellStyle name="Normal 10 2 8 4 2 2 2 2 3" xfId="14294" xr:uid="{68158D07-DF03-46AF-AC66-BE9EA861B5D9}"/>
    <cellStyle name="Normal 10 2 8 4 2 2 2 3" xfId="14295" xr:uid="{CB88032E-42F2-498B-B792-09C2869602FF}"/>
    <cellStyle name="Normal 10 2 8 4 2 2 2 3 2" xfId="14296" xr:uid="{2B1CB0FB-090C-4BB3-B0F8-F794F0A26928}"/>
    <cellStyle name="Normal 10 2 8 4 2 2 2 4" xfId="14297" xr:uid="{A55DA23F-C896-4C1A-BF1B-3F92F3A8CC15}"/>
    <cellStyle name="Normal 10 2 8 4 2 2 3" xfId="14298" xr:uid="{364F6080-83B9-4C6B-B41D-89BAE57D2022}"/>
    <cellStyle name="Normal 10 2 8 4 2 2 3 2" xfId="14299" xr:uid="{ABA09CD6-DAA3-4D3F-BF0C-BB5FBEE35BE7}"/>
    <cellStyle name="Normal 10 2 8 4 2 2 3 2 2" xfId="14300" xr:uid="{D2BA5ACC-39CD-4A1C-B4EC-4BE56A46A075}"/>
    <cellStyle name="Normal 10 2 8 4 2 2 3 3" xfId="14301" xr:uid="{3672EBFA-1DF3-4059-BAFB-DE7BC4DBB020}"/>
    <cellStyle name="Normal 10 2 8 4 2 2 4" xfId="14302" xr:uid="{668175C6-1550-407F-B2C2-BE3F223992DE}"/>
    <cellStyle name="Normal 10 2 8 4 2 2 4 2" xfId="14303" xr:uid="{C8ADFFF5-56F1-44CA-AF67-D6E229839996}"/>
    <cellStyle name="Normal 10 2 8 4 2 2 5" xfId="14304" xr:uid="{E0A3B9AF-EB2C-4E3E-8C7F-57F5C1407084}"/>
    <cellStyle name="Normal 10 2 8 4 2 3" xfId="14305" xr:uid="{EE887628-8E77-4147-B5D0-DBD4851A5F74}"/>
    <cellStyle name="Normal 10 2 8 4 2 3 2" xfId="14306" xr:uid="{8C715687-B34D-4728-95EB-E4E1463530CF}"/>
    <cellStyle name="Normal 10 2 8 4 2 3 2 2" xfId="14307" xr:uid="{794DE06C-B15E-49E4-8F1E-B3E8EEDFF782}"/>
    <cellStyle name="Normal 10 2 8 4 2 3 2 2 2" xfId="14308" xr:uid="{ECB97DFD-FC84-46A6-89FF-022EAEFA6934}"/>
    <cellStyle name="Normal 10 2 8 4 2 3 2 3" xfId="14309" xr:uid="{D249A303-C08C-476B-B478-9EDCA84CE617}"/>
    <cellStyle name="Normal 10 2 8 4 2 3 3" xfId="14310" xr:uid="{7687F5CB-6D59-473A-A72A-B511560A803E}"/>
    <cellStyle name="Normal 10 2 8 4 2 3 3 2" xfId="14311" xr:uid="{58BA8DBC-5D91-4189-B022-86ABD7EE9B4A}"/>
    <cellStyle name="Normal 10 2 8 4 2 3 4" xfId="14312" xr:uid="{9A6AB2F4-885F-48DA-980E-87AF06D56847}"/>
    <cellStyle name="Normal 10 2 8 4 2 4" xfId="14313" xr:uid="{1F8A9FE7-5262-46F1-80C5-57736AF3B4F2}"/>
    <cellStyle name="Normal 10 2 8 4 2 4 2" xfId="14314" xr:uid="{54AEC5B6-2ADB-41BE-AF8D-518D5D83C70E}"/>
    <cellStyle name="Normal 10 2 8 4 2 4 2 2" xfId="14315" xr:uid="{0CD643E3-32CE-4C79-A51F-D3EB891D14A9}"/>
    <cellStyle name="Normal 10 2 8 4 2 4 3" xfId="14316" xr:uid="{0882FA17-BFB6-47B7-BDA7-46131A7390E9}"/>
    <cellStyle name="Normal 10 2 8 4 2 5" xfId="14317" xr:uid="{08C359F2-7760-4C0C-9D3A-0A69BAA578F7}"/>
    <cellStyle name="Normal 10 2 8 4 2 5 2" xfId="14318" xr:uid="{84CF47B5-0FA6-4BA3-9D64-DE848C8EEFE2}"/>
    <cellStyle name="Normal 10 2 8 4 2 6" xfId="14319" xr:uid="{F308D062-9B6D-4A98-88E1-161735F9FC95}"/>
    <cellStyle name="Normal 10 2 8 4 3" xfId="14320" xr:uid="{659FF75E-D385-4FC1-B590-C5D0C4F55E31}"/>
    <cellStyle name="Normal 10 2 8 4 3 2" xfId="14321" xr:uid="{74102F76-7184-4C14-9F61-13C362F96DCB}"/>
    <cellStyle name="Normal 10 2 8 4 3 2 2" xfId="14322" xr:uid="{AD931BD0-2A07-4D95-A106-9F51B368119F}"/>
    <cellStyle name="Normal 10 2 8 4 3 2 2 2" xfId="14323" xr:uid="{87D64AB8-1ABD-4066-9F74-ABC6DA985982}"/>
    <cellStyle name="Normal 10 2 8 4 3 2 2 2 2" xfId="14324" xr:uid="{1ECBFE5B-4B56-4B7F-B8EF-70A9F36E4BB0}"/>
    <cellStyle name="Normal 10 2 8 4 3 2 2 3" xfId="14325" xr:uid="{B49F1F95-D9C1-4580-BF22-6D4FBC29BF70}"/>
    <cellStyle name="Normal 10 2 8 4 3 2 3" xfId="14326" xr:uid="{562DE874-89EC-4AE9-BAFB-D722889B2391}"/>
    <cellStyle name="Normal 10 2 8 4 3 2 3 2" xfId="14327" xr:uid="{C61048B3-492C-4E3B-9C73-8AB41DD4FBC9}"/>
    <cellStyle name="Normal 10 2 8 4 3 2 4" xfId="14328" xr:uid="{DBF90C03-5C81-48BC-98EE-95F82B234EFB}"/>
    <cellStyle name="Normal 10 2 8 4 3 3" xfId="14329" xr:uid="{2C6B8262-6228-4D59-95F9-7F03C922E6E8}"/>
    <cellStyle name="Normal 10 2 8 4 3 3 2" xfId="14330" xr:uid="{5411B2D2-384A-4661-B3B7-C36E06A2CC4C}"/>
    <cellStyle name="Normal 10 2 8 4 3 3 2 2" xfId="14331" xr:uid="{A478E450-BD26-4402-A401-775C4847231F}"/>
    <cellStyle name="Normal 10 2 8 4 3 3 3" xfId="14332" xr:uid="{A8C524B2-7FB9-4BD9-A832-F7C69F0273C8}"/>
    <cellStyle name="Normal 10 2 8 4 3 4" xfId="14333" xr:uid="{8A833139-8BEC-4260-A238-2C18CFF71C04}"/>
    <cellStyle name="Normal 10 2 8 4 3 4 2" xfId="14334" xr:uid="{4E9D4D34-5E25-4AE2-B5EB-3F0BDCA62165}"/>
    <cellStyle name="Normal 10 2 8 4 3 5" xfId="14335" xr:uid="{975BB322-A2EB-4899-BC4C-BD6A5CB791D6}"/>
    <cellStyle name="Normal 10 2 8 4 4" xfId="14336" xr:uid="{E2759B0F-C3D1-4656-85B4-D3350B02808B}"/>
    <cellStyle name="Normal 10 2 8 4 4 2" xfId="14337" xr:uid="{4F392EFE-F0C7-452F-85AB-B5ECC808EE4A}"/>
    <cellStyle name="Normal 10 2 8 4 4 2 2" xfId="14338" xr:uid="{613AC775-2354-4C6A-8A1F-4391A4840F13}"/>
    <cellStyle name="Normal 10 2 8 4 4 2 2 2" xfId="14339" xr:uid="{10E4DB5D-3465-490B-A3E9-59B33753F3FD}"/>
    <cellStyle name="Normal 10 2 8 4 4 2 3" xfId="14340" xr:uid="{60E09C6C-F372-4A91-8C44-A90FA4098B3C}"/>
    <cellStyle name="Normal 10 2 8 4 4 3" xfId="14341" xr:uid="{3F114C8D-9911-41C9-96CA-435D403FA505}"/>
    <cellStyle name="Normal 10 2 8 4 4 3 2" xfId="14342" xr:uid="{07CAFD27-2078-43CE-9B4F-A404DB35D069}"/>
    <cellStyle name="Normal 10 2 8 4 4 4" xfId="14343" xr:uid="{9C0E0B4E-7CA4-4812-AAD5-4C0DDED7BF64}"/>
    <cellStyle name="Normal 10 2 8 4 5" xfId="14344" xr:uid="{335141E7-7250-4D26-BDAD-2A7C5BFE9C4D}"/>
    <cellStyle name="Normal 10 2 8 4 5 2" xfId="14345" xr:uid="{E42F9F17-30E9-4FB3-B894-5019B8E44E27}"/>
    <cellStyle name="Normal 10 2 8 4 5 2 2" xfId="14346" xr:uid="{3B4257B9-F9B0-41CD-9CCB-1EAD22137B53}"/>
    <cellStyle name="Normal 10 2 8 4 5 3" xfId="14347" xr:uid="{1E7B410B-F0E2-4C65-8311-7DE40414D483}"/>
    <cellStyle name="Normal 10 2 8 4 6" xfId="14348" xr:uid="{3484BC6D-17EE-46BF-B95B-56D7C094B344}"/>
    <cellStyle name="Normal 10 2 8 4 6 2" xfId="14349" xr:uid="{CB121F16-48A8-4B76-8F0B-A0AE38245156}"/>
    <cellStyle name="Normal 10 2 8 4 7" xfId="14350" xr:uid="{2BB97A28-AAF1-4942-BBFB-3C53B566B761}"/>
    <cellStyle name="Normal 10 2 8 5" xfId="14351" xr:uid="{227AEEC2-1C18-445F-9307-564F094C4501}"/>
    <cellStyle name="Normal 10 2 8 5 2" xfId="14352" xr:uid="{B5B34C67-5A1C-4043-B568-68E18B0292A9}"/>
    <cellStyle name="Normal 10 2 8 5 2 2" xfId="14353" xr:uid="{8E7FAEE1-432D-4B71-95CA-F42176E722CB}"/>
    <cellStyle name="Normal 10 2 8 5 2 2 2" xfId="14354" xr:uid="{55E77902-E5C5-4BF1-A2C1-EEE6DF5C0A37}"/>
    <cellStyle name="Normal 10 2 8 5 2 2 2 2" xfId="14355" xr:uid="{7811CC3F-8A49-4332-815D-6C3CBEBE9257}"/>
    <cellStyle name="Normal 10 2 8 5 2 2 2 2 2" xfId="14356" xr:uid="{9F89C32F-BB63-4265-96C9-12006A459171}"/>
    <cellStyle name="Normal 10 2 8 5 2 2 2 3" xfId="14357" xr:uid="{49FCB61E-8B71-4726-937A-D42C20FBCED9}"/>
    <cellStyle name="Normal 10 2 8 5 2 2 3" xfId="14358" xr:uid="{E17AAD92-6158-4BAA-BD2B-509041ED5DF5}"/>
    <cellStyle name="Normal 10 2 8 5 2 2 3 2" xfId="14359" xr:uid="{F37A55D7-32E9-45C8-B35F-F1BEBF82D362}"/>
    <cellStyle name="Normal 10 2 8 5 2 2 4" xfId="14360" xr:uid="{3574FA91-F035-4938-A033-3FAD00FE2B9E}"/>
    <cellStyle name="Normal 10 2 8 5 2 3" xfId="14361" xr:uid="{76E28B0F-0ECF-4BAD-A3EC-CC2B2C0F7114}"/>
    <cellStyle name="Normal 10 2 8 5 2 3 2" xfId="14362" xr:uid="{64277078-A468-4CD0-9DB2-36DF457BC88B}"/>
    <cellStyle name="Normal 10 2 8 5 2 3 2 2" xfId="14363" xr:uid="{44EB334B-A2B6-45E7-B847-9348E9CC6BBD}"/>
    <cellStyle name="Normal 10 2 8 5 2 3 3" xfId="14364" xr:uid="{98E9BADF-B895-43BE-88D4-1D2FEDF966EF}"/>
    <cellStyle name="Normal 10 2 8 5 2 4" xfId="14365" xr:uid="{BD8BFD5A-CF83-475A-A1F8-D4CC205DB93F}"/>
    <cellStyle name="Normal 10 2 8 5 2 4 2" xfId="14366" xr:uid="{B3C26D2F-2CDE-4239-AB12-BAC0518CF871}"/>
    <cellStyle name="Normal 10 2 8 5 2 5" xfId="14367" xr:uid="{C3826D08-B7FE-46B6-B2E5-133BBD4A78BD}"/>
    <cellStyle name="Normal 10 2 8 5 3" xfId="14368" xr:uid="{B814204D-F4F8-4581-9708-791DE7AA897F}"/>
    <cellStyle name="Normal 10 2 8 5 3 2" xfId="14369" xr:uid="{E80D7B2E-283B-4334-ADD0-AEAD8AE8AA59}"/>
    <cellStyle name="Normal 10 2 8 5 3 2 2" xfId="14370" xr:uid="{C8155AE8-DE93-4B5F-A278-845B4D0B5514}"/>
    <cellStyle name="Normal 10 2 8 5 3 2 2 2" xfId="14371" xr:uid="{1A070368-0E2B-4CEF-9270-5F9653AC82AA}"/>
    <cellStyle name="Normal 10 2 8 5 3 2 3" xfId="14372" xr:uid="{861F06C6-D583-4D60-B370-2D562444A20A}"/>
    <cellStyle name="Normal 10 2 8 5 3 3" xfId="14373" xr:uid="{5657EE64-6DE8-402F-8CAC-6E247C8A3EBD}"/>
    <cellStyle name="Normal 10 2 8 5 3 3 2" xfId="14374" xr:uid="{55D0CF19-461C-4C4B-94D7-FD88FF974BC4}"/>
    <cellStyle name="Normal 10 2 8 5 3 4" xfId="14375" xr:uid="{91375FB4-C344-4594-92F9-04962FD97886}"/>
    <cellStyle name="Normal 10 2 8 5 4" xfId="14376" xr:uid="{5AF8B8AC-31DE-445F-A28A-380FD4283B86}"/>
    <cellStyle name="Normal 10 2 8 5 4 2" xfId="14377" xr:uid="{DCB4F903-BE63-49AE-BF63-B3DAD766D1E4}"/>
    <cellStyle name="Normal 10 2 8 5 4 2 2" xfId="14378" xr:uid="{74BDEDF4-4ABF-4D85-BF84-9490D0854A4E}"/>
    <cellStyle name="Normal 10 2 8 5 4 3" xfId="14379" xr:uid="{CAC419E6-6555-47A3-B4C4-235AB89BEA4B}"/>
    <cellStyle name="Normal 10 2 8 5 5" xfId="14380" xr:uid="{DE48725E-84DC-4FCC-AC44-BBBA8B16C3A7}"/>
    <cellStyle name="Normal 10 2 8 5 5 2" xfId="14381" xr:uid="{B12D92D1-8F8C-4FDA-AB0B-8531A5104281}"/>
    <cellStyle name="Normal 10 2 8 5 6" xfId="14382" xr:uid="{ED78738A-B075-41C5-91C6-D82D32AF1C97}"/>
    <cellStyle name="Normal 10 2 8 6" xfId="14383" xr:uid="{03EAAA66-7EA8-4491-B9EB-9C7497D54971}"/>
    <cellStyle name="Normal 10 2 8 6 2" xfId="14384" xr:uid="{4C3B9450-5AE8-403B-B5E7-B1559A2069D5}"/>
    <cellStyle name="Normal 10 2 8 6 2 2" xfId="14385" xr:uid="{F2A556D0-7755-4CF2-8A5A-5AC1FA9B05BA}"/>
    <cellStyle name="Normal 10 2 8 6 2 2 2" xfId="14386" xr:uid="{ABB98816-47B8-490A-ADC5-C41F8A3EE04E}"/>
    <cellStyle name="Normal 10 2 8 6 2 2 2 2" xfId="14387" xr:uid="{C128957C-336F-4C77-8268-713E4BEC0FD0}"/>
    <cellStyle name="Normal 10 2 8 6 2 2 3" xfId="14388" xr:uid="{3D58D892-E4AA-4B7D-9203-0479D4CE51DC}"/>
    <cellStyle name="Normal 10 2 8 6 2 3" xfId="14389" xr:uid="{9CB4551D-EB25-47A3-AEB8-0947B20DC3C3}"/>
    <cellStyle name="Normal 10 2 8 6 2 3 2" xfId="14390" xr:uid="{F3EA8630-43B3-48AD-ACAC-F71E8B744FF8}"/>
    <cellStyle name="Normal 10 2 8 6 2 4" xfId="14391" xr:uid="{28F78086-EA0D-44A4-860A-8E02430EEE2A}"/>
    <cellStyle name="Normal 10 2 8 6 3" xfId="14392" xr:uid="{A2FAEDC2-055F-4CB8-B7B2-FA5478BB4B08}"/>
    <cellStyle name="Normal 10 2 8 6 3 2" xfId="14393" xr:uid="{75F7274A-C3A6-4ED3-9DC1-882DEEE99D18}"/>
    <cellStyle name="Normal 10 2 8 6 3 2 2" xfId="14394" xr:uid="{21229426-CB3C-4600-8186-A654600FAE15}"/>
    <cellStyle name="Normal 10 2 8 6 3 3" xfId="14395" xr:uid="{BF33A186-C680-4CC3-9E6F-74F491701C32}"/>
    <cellStyle name="Normal 10 2 8 6 4" xfId="14396" xr:uid="{ED556BCC-DF40-48B8-A62B-E53F1A501998}"/>
    <cellStyle name="Normal 10 2 8 6 4 2" xfId="14397" xr:uid="{2558EE43-96BF-404D-97FC-0CA9A7656697}"/>
    <cellStyle name="Normal 10 2 8 6 5" xfId="14398" xr:uid="{41A36556-9FC5-4401-8ABE-20597B6D2E9A}"/>
    <cellStyle name="Normal 10 2 8 7" xfId="14399" xr:uid="{35E0524E-D599-4971-946B-D1BD88BF53BC}"/>
    <cellStyle name="Normal 10 2 8 7 2" xfId="14400" xr:uid="{FFF4365D-02D5-45CB-96FD-D2CD7BCEC9F5}"/>
    <cellStyle name="Normal 10 2 8 7 2 2" xfId="14401" xr:uid="{0F250D32-CDDC-475C-8421-3241DA4B9241}"/>
    <cellStyle name="Normal 10 2 8 7 2 2 2" xfId="14402" xr:uid="{FFDBB592-8810-4CB9-8AF2-F2FDC4CC8254}"/>
    <cellStyle name="Normal 10 2 8 7 2 3" xfId="14403" xr:uid="{E89F5C5E-2B5C-47CE-9CCB-2DFDC99CE4C0}"/>
    <cellStyle name="Normal 10 2 8 7 3" xfId="14404" xr:uid="{703984B4-73E0-47D0-B5E6-662507B5C288}"/>
    <cellStyle name="Normal 10 2 8 7 3 2" xfId="14405" xr:uid="{80322BBC-AACF-48D2-9C5D-0A5DAF607977}"/>
    <cellStyle name="Normal 10 2 8 7 4" xfId="14406" xr:uid="{2A82D63B-EE84-4A9A-8453-ED3007314653}"/>
    <cellStyle name="Normal 10 2 8 8" xfId="14407" xr:uid="{E7B4A02C-4750-4C2C-8A9E-F891CA28612E}"/>
    <cellStyle name="Normal 10 2 8 8 2" xfId="14408" xr:uid="{D089DB0F-EA91-4E19-985B-4B9379801FCC}"/>
    <cellStyle name="Normal 10 2 8 8 2 2" xfId="14409" xr:uid="{1C2AC4AD-B31F-447E-A04E-9C14D4634CEC}"/>
    <cellStyle name="Normal 10 2 8 8 3" xfId="14410" xr:uid="{0505FEB9-7C76-4223-B89C-53EC9139B8F7}"/>
    <cellStyle name="Normal 10 2 8 9" xfId="14411" xr:uid="{DC1D3B2E-F43B-4176-8B0B-96948DE0EEA0}"/>
    <cellStyle name="Normal 10 2 8 9 2" xfId="14412" xr:uid="{4985FD95-71D7-4691-96AD-563EEE3704A1}"/>
    <cellStyle name="Normal 10 2 9" xfId="306" xr:uid="{B2A0DFC5-D6B3-4596-851E-CEE97F320C69}"/>
    <cellStyle name="Normal 10 2 9 10" xfId="14414" xr:uid="{2755B735-0E4E-4099-8643-9ABE515D35D5}"/>
    <cellStyle name="Normal 10 2 9 11" xfId="14413" xr:uid="{D528BEF3-1AD3-47BF-BC13-6E5C3A96C5CE}"/>
    <cellStyle name="Normal 10 2 9 2" xfId="14415" xr:uid="{BA59CA23-A4FB-4DA1-804C-96066642E070}"/>
    <cellStyle name="Normal 10 2 9 2 2" xfId="14416" xr:uid="{517A23C8-BE0A-445A-81C4-B80CBE673810}"/>
    <cellStyle name="Normal 10 2 9 2 2 2" xfId="14417" xr:uid="{D0336214-0C17-411E-85C6-0EEE0E4E885F}"/>
    <cellStyle name="Normal 10 2 9 2 2 2 2" xfId="14418" xr:uid="{BC8F2737-A121-4642-A960-8A13F7C983CE}"/>
    <cellStyle name="Normal 10 2 9 2 2 2 2 2" xfId="14419" xr:uid="{92B20AB6-F299-428E-88AC-CA7B79922F74}"/>
    <cellStyle name="Normal 10 2 9 2 2 2 2 2 2" xfId="14420" xr:uid="{9EB69EB7-A252-467B-994A-FF9932CE4C63}"/>
    <cellStyle name="Normal 10 2 9 2 2 2 2 2 2 2" xfId="14421" xr:uid="{351A0690-6A9D-409C-9952-A59B4E4B7E83}"/>
    <cellStyle name="Normal 10 2 9 2 2 2 2 2 2 2 2" xfId="14422" xr:uid="{840FABF9-F4B5-4F53-89DE-35C112ADF3D5}"/>
    <cellStyle name="Normal 10 2 9 2 2 2 2 2 2 2 2 2" xfId="14423" xr:uid="{4477C918-27D3-4CCC-AFEE-76DF737DAE15}"/>
    <cellStyle name="Normal 10 2 9 2 2 2 2 2 2 2 3" xfId="14424" xr:uid="{2FFA42EE-2E57-41A9-8DFA-9B8BDF3E2B1C}"/>
    <cellStyle name="Normal 10 2 9 2 2 2 2 2 2 3" xfId="14425" xr:uid="{22A54861-71EA-47C3-8B05-9F60E24CD313}"/>
    <cellStyle name="Normal 10 2 9 2 2 2 2 2 2 3 2" xfId="14426" xr:uid="{279028FC-244F-44D0-9C1D-791E474845B3}"/>
    <cellStyle name="Normal 10 2 9 2 2 2 2 2 2 4" xfId="14427" xr:uid="{5E9FCF5A-517C-4FB5-A77A-E83BA5B5719D}"/>
    <cellStyle name="Normal 10 2 9 2 2 2 2 2 3" xfId="14428" xr:uid="{1F667437-08E1-4BCC-99D5-1D5BED2C8CDF}"/>
    <cellStyle name="Normal 10 2 9 2 2 2 2 2 3 2" xfId="14429" xr:uid="{B01BD5C3-9260-4B41-83DF-6C0FFB3089E0}"/>
    <cellStyle name="Normal 10 2 9 2 2 2 2 2 3 2 2" xfId="14430" xr:uid="{244C4D53-0C15-4D7C-BD61-E2FE44624D4D}"/>
    <cellStyle name="Normal 10 2 9 2 2 2 2 2 3 3" xfId="14431" xr:uid="{1D6C7091-FBA3-4400-98D0-C035970BDF1B}"/>
    <cellStyle name="Normal 10 2 9 2 2 2 2 2 4" xfId="14432" xr:uid="{8C155973-3D5A-4452-BA46-3C9EB0EB8095}"/>
    <cellStyle name="Normal 10 2 9 2 2 2 2 2 4 2" xfId="14433" xr:uid="{B9F85F7D-4705-405A-BD8D-ADCDCE4ECF61}"/>
    <cellStyle name="Normal 10 2 9 2 2 2 2 2 5" xfId="14434" xr:uid="{5A41E80E-A547-489F-834E-47E763A11267}"/>
    <cellStyle name="Normal 10 2 9 2 2 2 2 3" xfId="14435" xr:uid="{E4388CF0-2B30-4376-9B3B-0E0C0FCD447A}"/>
    <cellStyle name="Normal 10 2 9 2 2 2 2 3 2" xfId="14436" xr:uid="{D249D589-3981-44E3-BD8A-982267DCBEEA}"/>
    <cellStyle name="Normal 10 2 9 2 2 2 2 3 2 2" xfId="14437" xr:uid="{187BDCEA-FC45-49F2-A708-5BB8327D65ED}"/>
    <cellStyle name="Normal 10 2 9 2 2 2 2 3 2 2 2" xfId="14438" xr:uid="{A41715C8-8507-4A82-88AF-BA2AB77556BC}"/>
    <cellStyle name="Normal 10 2 9 2 2 2 2 3 2 3" xfId="14439" xr:uid="{7FCE4378-411F-4A95-98EA-2175D829D80E}"/>
    <cellStyle name="Normal 10 2 9 2 2 2 2 3 3" xfId="14440" xr:uid="{65875D73-28A7-471C-AF06-6DB226B06A5B}"/>
    <cellStyle name="Normal 10 2 9 2 2 2 2 3 3 2" xfId="14441" xr:uid="{1D0A28B3-DF05-4BCF-A7B7-13B0A19CFECA}"/>
    <cellStyle name="Normal 10 2 9 2 2 2 2 3 4" xfId="14442" xr:uid="{115292A4-E2FD-4781-88CB-88E1766771A9}"/>
    <cellStyle name="Normal 10 2 9 2 2 2 2 4" xfId="14443" xr:uid="{5298B918-AFE7-42FD-9055-90157249A252}"/>
    <cellStyle name="Normal 10 2 9 2 2 2 2 4 2" xfId="14444" xr:uid="{7825708E-564E-4D04-8E4B-B648D49E11EF}"/>
    <cellStyle name="Normal 10 2 9 2 2 2 2 4 2 2" xfId="14445" xr:uid="{A177DEE0-5C8B-4FF9-8F7E-CB030BCADEA4}"/>
    <cellStyle name="Normal 10 2 9 2 2 2 2 4 3" xfId="14446" xr:uid="{CDD8D38F-8B1D-4D32-A699-CD8E58FBAC0D}"/>
    <cellStyle name="Normal 10 2 9 2 2 2 2 5" xfId="14447" xr:uid="{0BD229DA-7DA9-4552-B7B7-3957C8719669}"/>
    <cellStyle name="Normal 10 2 9 2 2 2 2 5 2" xfId="14448" xr:uid="{ABCEAE93-E64C-4B5A-B41D-F0F65AB1131C}"/>
    <cellStyle name="Normal 10 2 9 2 2 2 2 6" xfId="14449" xr:uid="{E2314E21-B0CC-4A14-BDF1-D3D4C174B372}"/>
    <cellStyle name="Normal 10 2 9 2 2 2 3" xfId="14450" xr:uid="{DD84C198-12BF-4213-873B-46B327AF09A6}"/>
    <cellStyle name="Normal 10 2 9 2 2 2 3 2" xfId="14451" xr:uid="{5922D8BE-2D6D-4AEA-AE77-A53AC507502E}"/>
    <cellStyle name="Normal 10 2 9 2 2 2 3 2 2" xfId="14452" xr:uid="{4002463C-2582-45CA-A872-BFF13502D3FC}"/>
    <cellStyle name="Normal 10 2 9 2 2 2 3 2 2 2" xfId="14453" xr:uid="{1E3CA041-6722-4F75-BF59-4912EC5C4D63}"/>
    <cellStyle name="Normal 10 2 9 2 2 2 3 2 2 2 2" xfId="14454" xr:uid="{DA970FDC-FF75-4673-AA71-D77DA2F882C5}"/>
    <cellStyle name="Normal 10 2 9 2 2 2 3 2 2 3" xfId="14455" xr:uid="{E1E6CBFB-62AF-49B3-B8BD-D5E12BFE420A}"/>
    <cellStyle name="Normal 10 2 9 2 2 2 3 2 3" xfId="14456" xr:uid="{AAD50C8A-5955-47D7-82CA-4DE45CC04219}"/>
    <cellStyle name="Normal 10 2 9 2 2 2 3 2 3 2" xfId="14457" xr:uid="{425856C8-D4B5-457F-923D-B73B16054346}"/>
    <cellStyle name="Normal 10 2 9 2 2 2 3 2 4" xfId="14458" xr:uid="{B7215403-BDCB-48EB-98A7-8420E42F49ED}"/>
    <cellStyle name="Normal 10 2 9 2 2 2 3 3" xfId="14459" xr:uid="{480787E8-ED3D-4CAE-A0A3-BF44A742E2E6}"/>
    <cellStyle name="Normal 10 2 9 2 2 2 3 3 2" xfId="14460" xr:uid="{E41B1740-1229-4064-96C8-FB449EEFD354}"/>
    <cellStyle name="Normal 10 2 9 2 2 2 3 3 2 2" xfId="14461" xr:uid="{738B32B2-A38C-42D3-9C1C-958D4D867625}"/>
    <cellStyle name="Normal 10 2 9 2 2 2 3 3 3" xfId="14462" xr:uid="{FE9136C7-1739-4435-A290-178A75755897}"/>
    <cellStyle name="Normal 10 2 9 2 2 2 3 4" xfId="14463" xr:uid="{61F7A2D3-5B02-41A6-A706-452357A444A9}"/>
    <cellStyle name="Normal 10 2 9 2 2 2 3 4 2" xfId="14464" xr:uid="{DCF773DF-501A-44AC-855C-A886304D9116}"/>
    <cellStyle name="Normal 10 2 9 2 2 2 3 5" xfId="14465" xr:uid="{032FD2AA-D893-46D7-8AE0-F99D8532BA78}"/>
    <cellStyle name="Normal 10 2 9 2 2 2 4" xfId="14466" xr:uid="{41A20B74-ABBB-492C-B9B3-A0D291E3DAD5}"/>
    <cellStyle name="Normal 10 2 9 2 2 2 4 2" xfId="14467" xr:uid="{FA50807B-426F-4977-9220-3FD0A0009883}"/>
    <cellStyle name="Normal 10 2 9 2 2 2 4 2 2" xfId="14468" xr:uid="{DBD4EE13-4125-407E-9D6C-8A3A9E7723A7}"/>
    <cellStyle name="Normal 10 2 9 2 2 2 4 2 2 2" xfId="14469" xr:uid="{E4D552F6-064E-4FD3-878B-F00FC3CA695C}"/>
    <cellStyle name="Normal 10 2 9 2 2 2 4 2 3" xfId="14470" xr:uid="{29DF5312-BA25-4E45-94F0-0DCF660FD512}"/>
    <cellStyle name="Normal 10 2 9 2 2 2 4 3" xfId="14471" xr:uid="{260201CF-B9EB-4D58-8EA0-D2BCD38E8404}"/>
    <cellStyle name="Normal 10 2 9 2 2 2 4 3 2" xfId="14472" xr:uid="{7FC1056A-148E-4FF3-B75F-F8FD98B1E827}"/>
    <cellStyle name="Normal 10 2 9 2 2 2 4 4" xfId="14473" xr:uid="{36682B46-CAFE-4D48-B3D7-68FA22B5F006}"/>
    <cellStyle name="Normal 10 2 9 2 2 2 5" xfId="14474" xr:uid="{E2EADCB4-8888-444E-A1F1-E0F7FEE48E6D}"/>
    <cellStyle name="Normal 10 2 9 2 2 2 5 2" xfId="14475" xr:uid="{D893D617-F299-4FE7-BAF8-01783ED442F5}"/>
    <cellStyle name="Normal 10 2 9 2 2 2 5 2 2" xfId="14476" xr:uid="{A168BB50-EAF2-4A68-A80A-91E816D48EFC}"/>
    <cellStyle name="Normal 10 2 9 2 2 2 5 3" xfId="14477" xr:uid="{2E977F71-49DD-4EE8-BEAE-01DB617A39CF}"/>
    <cellStyle name="Normal 10 2 9 2 2 2 6" xfId="14478" xr:uid="{6016ADBA-7ADD-4812-9598-BC00A410B77F}"/>
    <cellStyle name="Normal 10 2 9 2 2 2 6 2" xfId="14479" xr:uid="{B5991D06-B9D5-4462-A3F0-9BD475BC55C7}"/>
    <cellStyle name="Normal 10 2 9 2 2 2 7" xfId="14480" xr:uid="{80EFB540-E546-41C3-B1C3-B5E60D655414}"/>
    <cellStyle name="Normal 10 2 9 2 2 3" xfId="14481" xr:uid="{D53BC68A-1B3B-48CB-885D-CD12604E56CD}"/>
    <cellStyle name="Normal 10 2 9 2 2 3 2" xfId="14482" xr:uid="{4EF745A1-CFA8-4961-8AD4-B7602DF2B02C}"/>
    <cellStyle name="Normal 10 2 9 2 2 3 2 2" xfId="14483" xr:uid="{FE750530-50CE-4502-B343-FA63ABA65E7A}"/>
    <cellStyle name="Normal 10 2 9 2 2 3 2 2 2" xfId="14484" xr:uid="{834DFB6F-7255-4753-8F04-4D55CBA5D9E8}"/>
    <cellStyle name="Normal 10 2 9 2 2 3 2 2 2 2" xfId="14485" xr:uid="{10440D10-5F51-4637-BA80-36048154A2D8}"/>
    <cellStyle name="Normal 10 2 9 2 2 3 2 2 2 2 2" xfId="14486" xr:uid="{927BE7B4-69EE-47CD-A23A-1FB2DD99B402}"/>
    <cellStyle name="Normal 10 2 9 2 2 3 2 2 2 3" xfId="14487" xr:uid="{B9838B80-B169-4B65-95FF-1696B845D35C}"/>
    <cellStyle name="Normal 10 2 9 2 2 3 2 2 3" xfId="14488" xr:uid="{ECAF0510-74ED-4709-8521-B5BDD8E47898}"/>
    <cellStyle name="Normal 10 2 9 2 2 3 2 2 3 2" xfId="14489" xr:uid="{DEEFED0C-71DB-40A9-BE49-7DBE756158A4}"/>
    <cellStyle name="Normal 10 2 9 2 2 3 2 2 4" xfId="14490" xr:uid="{2B3F7FDB-99CA-4A1B-AB5E-39886482D2C5}"/>
    <cellStyle name="Normal 10 2 9 2 2 3 2 3" xfId="14491" xr:uid="{6064A349-5138-4024-950B-B6591D4E9CF9}"/>
    <cellStyle name="Normal 10 2 9 2 2 3 2 3 2" xfId="14492" xr:uid="{4781A28E-D6C6-4A83-A43A-22008981BA81}"/>
    <cellStyle name="Normal 10 2 9 2 2 3 2 3 2 2" xfId="14493" xr:uid="{BB92D7DC-DF89-4612-9A82-0EFD9613BCBA}"/>
    <cellStyle name="Normal 10 2 9 2 2 3 2 3 3" xfId="14494" xr:uid="{166F17FF-32A8-4A2A-BBC9-BBE63D8FAD0B}"/>
    <cellStyle name="Normal 10 2 9 2 2 3 2 4" xfId="14495" xr:uid="{F5CDF4F6-8D2E-4C6C-8911-DFE6E7C4446F}"/>
    <cellStyle name="Normal 10 2 9 2 2 3 2 4 2" xfId="14496" xr:uid="{31B4DA2A-D5A2-488D-BD5D-8C2211B57AC3}"/>
    <cellStyle name="Normal 10 2 9 2 2 3 2 5" xfId="14497" xr:uid="{D01EFC7E-8128-4387-9036-8245634A47D5}"/>
    <cellStyle name="Normal 10 2 9 2 2 3 3" xfId="14498" xr:uid="{D70B0B08-2617-48F2-9B28-9DD1A734D6AB}"/>
    <cellStyle name="Normal 10 2 9 2 2 3 3 2" xfId="14499" xr:uid="{F88B4992-A965-44C6-8639-45E4211B15BF}"/>
    <cellStyle name="Normal 10 2 9 2 2 3 3 2 2" xfId="14500" xr:uid="{D2080176-E1E4-4F44-B3EB-D07D9F3814D5}"/>
    <cellStyle name="Normal 10 2 9 2 2 3 3 2 2 2" xfId="14501" xr:uid="{51852519-1E90-4B45-821F-24D0905F4453}"/>
    <cellStyle name="Normal 10 2 9 2 2 3 3 2 3" xfId="14502" xr:uid="{55AC5B7B-242B-4463-9D4F-739DBE6FDCA6}"/>
    <cellStyle name="Normal 10 2 9 2 2 3 3 3" xfId="14503" xr:uid="{3AAE2C33-02BA-4A85-9E10-AF908641CE02}"/>
    <cellStyle name="Normal 10 2 9 2 2 3 3 3 2" xfId="14504" xr:uid="{3116191E-FBB9-405F-B770-595986216954}"/>
    <cellStyle name="Normal 10 2 9 2 2 3 3 4" xfId="14505" xr:uid="{470736B4-C497-4C62-8008-7D6EEC576394}"/>
    <cellStyle name="Normal 10 2 9 2 2 3 4" xfId="14506" xr:uid="{D4381152-1034-490F-8C08-276AFD581522}"/>
    <cellStyle name="Normal 10 2 9 2 2 3 4 2" xfId="14507" xr:uid="{66AF3199-07E4-48B4-8CDE-99C5F43D6388}"/>
    <cellStyle name="Normal 10 2 9 2 2 3 4 2 2" xfId="14508" xr:uid="{7F1D6C47-0CB7-4D86-9E14-B7C9137EAA2F}"/>
    <cellStyle name="Normal 10 2 9 2 2 3 4 3" xfId="14509" xr:uid="{2F19AC14-8260-4E50-9F0B-B347BA7340E1}"/>
    <cellStyle name="Normal 10 2 9 2 2 3 5" xfId="14510" xr:uid="{C7DA9EE6-B9D4-486B-8C50-5E18AF5F9C12}"/>
    <cellStyle name="Normal 10 2 9 2 2 3 5 2" xfId="14511" xr:uid="{B30AE6D8-2678-4390-9121-61D8E0677E69}"/>
    <cellStyle name="Normal 10 2 9 2 2 3 6" xfId="14512" xr:uid="{1E53643D-E8E3-4DE7-99D9-FBFE604F5448}"/>
    <cellStyle name="Normal 10 2 9 2 2 4" xfId="14513" xr:uid="{84C5B393-68ED-4DDA-BE53-05DAC4941B10}"/>
    <cellStyle name="Normal 10 2 9 2 2 4 2" xfId="14514" xr:uid="{9BD1B510-458C-482C-A0C1-FBEC6F716586}"/>
    <cellStyle name="Normal 10 2 9 2 2 4 2 2" xfId="14515" xr:uid="{B8A99B64-7CB4-4849-B454-08E6BA9A28E6}"/>
    <cellStyle name="Normal 10 2 9 2 2 4 2 2 2" xfId="14516" xr:uid="{B44EE421-2334-4301-B712-98955662FD01}"/>
    <cellStyle name="Normal 10 2 9 2 2 4 2 2 2 2" xfId="14517" xr:uid="{4DAD50CA-3286-4D97-9471-62F209612B0E}"/>
    <cellStyle name="Normal 10 2 9 2 2 4 2 2 3" xfId="14518" xr:uid="{D1F535E9-43BC-4224-B4E1-B6CC41C50233}"/>
    <cellStyle name="Normal 10 2 9 2 2 4 2 3" xfId="14519" xr:uid="{0721590F-09E6-468A-B338-4165E0D86975}"/>
    <cellStyle name="Normal 10 2 9 2 2 4 2 3 2" xfId="14520" xr:uid="{1950B302-C15C-4801-A1CA-74CDE0A7E7D7}"/>
    <cellStyle name="Normal 10 2 9 2 2 4 2 4" xfId="14521" xr:uid="{AF1B79FD-D1CA-4C29-813A-0D3805E7E417}"/>
    <cellStyle name="Normal 10 2 9 2 2 4 3" xfId="14522" xr:uid="{5401E363-2CE8-45C5-9976-E8BF8BF87067}"/>
    <cellStyle name="Normal 10 2 9 2 2 4 3 2" xfId="14523" xr:uid="{9F4279A6-6700-434F-A1A0-E9BA3C0C8CC1}"/>
    <cellStyle name="Normal 10 2 9 2 2 4 3 2 2" xfId="14524" xr:uid="{2E8C7247-6D06-4B5B-AA54-A7DF102D6B1D}"/>
    <cellStyle name="Normal 10 2 9 2 2 4 3 3" xfId="14525" xr:uid="{7DA1C111-338F-4E64-93E6-5C3874CCE3E1}"/>
    <cellStyle name="Normal 10 2 9 2 2 4 4" xfId="14526" xr:uid="{EC321FCF-A928-4B40-8204-86239EBDEF98}"/>
    <cellStyle name="Normal 10 2 9 2 2 4 4 2" xfId="14527" xr:uid="{EBDCC6C8-727C-449C-AAA8-1F7DDC2D8EB5}"/>
    <cellStyle name="Normal 10 2 9 2 2 4 5" xfId="14528" xr:uid="{7F9CC4B5-E4E2-4805-B03C-A1CE18F3D229}"/>
    <cellStyle name="Normal 10 2 9 2 2 5" xfId="14529" xr:uid="{C60D19A6-E45C-4DCE-B644-70E6B6E9516C}"/>
    <cellStyle name="Normal 10 2 9 2 2 5 2" xfId="14530" xr:uid="{E68F6AB9-94FD-4583-9E23-1515976F5809}"/>
    <cellStyle name="Normal 10 2 9 2 2 5 2 2" xfId="14531" xr:uid="{EB713B8E-FFF7-4498-AE22-CE58AC05119B}"/>
    <cellStyle name="Normal 10 2 9 2 2 5 2 2 2" xfId="14532" xr:uid="{D8478792-579F-45CB-B203-10246EE011C0}"/>
    <cellStyle name="Normal 10 2 9 2 2 5 2 3" xfId="14533" xr:uid="{E59669F7-6ECA-4A93-96D4-619D026C8858}"/>
    <cellStyle name="Normal 10 2 9 2 2 5 3" xfId="14534" xr:uid="{FA5A41F5-124A-4208-BB65-DFB351B44E75}"/>
    <cellStyle name="Normal 10 2 9 2 2 5 3 2" xfId="14535" xr:uid="{3CA3164D-0B5E-44F5-BF8C-739CE28C89FC}"/>
    <cellStyle name="Normal 10 2 9 2 2 5 4" xfId="14536" xr:uid="{F44C5C82-837F-4603-B39A-D903416153F4}"/>
    <cellStyle name="Normal 10 2 9 2 2 6" xfId="14537" xr:uid="{AC83612D-DC8A-4AC6-A0FE-4C3EDB4AB10C}"/>
    <cellStyle name="Normal 10 2 9 2 2 6 2" xfId="14538" xr:uid="{FA8F58FC-8320-4A4F-B9B9-01B8FDCA6719}"/>
    <cellStyle name="Normal 10 2 9 2 2 6 2 2" xfId="14539" xr:uid="{0410B3CB-E31A-4F0E-8871-21BD60AD75DD}"/>
    <cellStyle name="Normal 10 2 9 2 2 6 3" xfId="14540" xr:uid="{B983FE0B-3B47-4DFB-89CE-B0C173452D97}"/>
    <cellStyle name="Normal 10 2 9 2 2 7" xfId="14541" xr:uid="{B9BA6CFD-A11A-4B90-A2AD-791FFA044510}"/>
    <cellStyle name="Normal 10 2 9 2 2 7 2" xfId="14542" xr:uid="{FA62C94E-F801-4C83-AAE3-172E1DCFFFBC}"/>
    <cellStyle name="Normal 10 2 9 2 2 8" xfId="14543" xr:uid="{F36B9974-4BF3-45FE-9798-EEB7589FB719}"/>
    <cellStyle name="Normal 10 2 9 2 3" xfId="14544" xr:uid="{7FCA8251-82EC-4988-9EF2-A6E63341D0D4}"/>
    <cellStyle name="Normal 10 2 9 2 3 2" xfId="14545" xr:uid="{5B87E7A6-7978-45A4-898B-53E26E0157C6}"/>
    <cellStyle name="Normal 10 2 9 2 3 2 2" xfId="14546" xr:uid="{C44536BA-A619-4D7A-B9F1-377C9D00E3B9}"/>
    <cellStyle name="Normal 10 2 9 2 3 2 2 2" xfId="14547" xr:uid="{3EDD25A8-D04C-4352-A9E1-CD08E92AB6D9}"/>
    <cellStyle name="Normal 10 2 9 2 3 2 2 2 2" xfId="14548" xr:uid="{86EFB843-2E8E-43D8-8376-3ADB9FA9C540}"/>
    <cellStyle name="Normal 10 2 9 2 3 2 2 2 2 2" xfId="14549" xr:uid="{E344C6B3-3E6A-4443-8C84-B540378BF488}"/>
    <cellStyle name="Normal 10 2 9 2 3 2 2 2 2 2 2" xfId="14550" xr:uid="{A0C54723-30C9-43F4-99B8-899EA39A4423}"/>
    <cellStyle name="Normal 10 2 9 2 3 2 2 2 2 3" xfId="14551" xr:uid="{45E47D94-3068-4BC3-80FE-CBE9B61AD59F}"/>
    <cellStyle name="Normal 10 2 9 2 3 2 2 2 3" xfId="14552" xr:uid="{CC1C4324-2C8F-4D7C-951E-761B4B6F2DBE}"/>
    <cellStyle name="Normal 10 2 9 2 3 2 2 2 3 2" xfId="14553" xr:uid="{737B0005-BCA5-4FC6-A564-F5B65718C249}"/>
    <cellStyle name="Normal 10 2 9 2 3 2 2 2 4" xfId="14554" xr:uid="{12C445C3-8BB9-4B06-A9F5-4B1F71800221}"/>
    <cellStyle name="Normal 10 2 9 2 3 2 2 3" xfId="14555" xr:uid="{28710656-5722-40E5-BB2B-E1419ED999DC}"/>
    <cellStyle name="Normal 10 2 9 2 3 2 2 3 2" xfId="14556" xr:uid="{10FDDC1A-702B-485D-AC93-ABD410FF8E01}"/>
    <cellStyle name="Normal 10 2 9 2 3 2 2 3 2 2" xfId="14557" xr:uid="{AC65AFDC-2199-4382-96B3-FDAEE4CFCB39}"/>
    <cellStyle name="Normal 10 2 9 2 3 2 2 3 3" xfId="14558" xr:uid="{95A53518-CCDB-482C-B044-646A4480EAD9}"/>
    <cellStyle name="Normal 10 2 9 2 3 2 2 4" xfId="14559" xr:uid="{CE613934-BF0F-45F9-BB62-742511ED7E95}"/>
    <cellStyle name="Normal 10 2 9 2 3 2 2 4 2" xfId="14560" xr:uid="{CDB396E4-DF0F-4FB1-BC6D-1B3D8A164E74}"/>
    <cellStyle name="Normal 10 2 9 2 3 2 2 5" xfId="14561" xr:uid="{60FF604C-DDDB-4263-A64A-A4EE0623B8F0}"/>
    <cellStyle name="Normal 10 2 9 2 3 2 3" xfId="14562" xr:uid="{966BC696-B763-41D2-B709-8DD8AC2AD756}"/>
    <cellStyle name="Normal 10 2 9 2 3 2 3 2" xfId="14563" xr:uid="{9DE96893-69E6-4288-A2DF-9F49BAD46BF1}"/>
    <cellStyle name="Normal 10 2 9 2 3 2 3 2 2" xfId="14564" xr:uid="{BFECAB59-9ED5-45BE-8098-5BAD4AA11BE2}"/>
    <cellStyle name="Normal 10 2 9 2 3 2 3 2 2 2" xfId="14565" xr:uid="{7012D303-9371-4754-8414-5FF1A553AF30}"/>
    <cellStyle name="Normal 10 2 9 2 3 2 3 2 3" xfId="14566" xr:uid="{1BF00320-1978-4D02-B1F9-0531421B24DC}"/>
    <cellStyle name="Normal 10 2 9 2 3 2 3 3" xfId="14567" xr:uid="{C052262A-56B4-404B-BC50-B96FBA9346A5}"/>
    <cellStyle name="Normal 10 2 9 2 3 2 3 3 2" xfId="14568" xr:uid="{D6627F38-5CE1-417F-BE80-4A6F33AD1731}"/>
    <cellStyle name="Normal 10 2 9 2 3 2 3 4" xfId="14569" xr:uid="{D905AA83-F0E0-4EF0-B162-911186D947C2}"/>
    <cellStyle name="Normal 10 2 9 2 3 2 4" xfId="14570" xr:uid="{F006E18D-30EF-457D-86FA-D4F82AE4CF2B}"/>
    <cellStyle name="Normal 10 2 9 2 3 2 4 2" xfId="14571" xr:uid="{C35DD26D-737B-4433-B6A0-AD2B7789E1E5}"/>
    <cellStyle name="Normal 10 2 9 2 3 2 4 2 2" xfId="14572" xr:uid="{A685F235-C6FB-4F8B-A6F8-D0ADD818B264}"/>
    <cellStyle name="Normal 10 2 9 2 3 2 4 3" xfId="14573" xr:uid="{E4C1DF33-7B26-4C06-9F17-2D97E8721FF8}"/>
    <cellStyle name="Normal 10 2 9 2 3 2 5" xfId="14574" xr:uid="{2CDF31EC-E67E-49DC-B047-61F679EB5FB4}"/>
    <cellStyle name="Normal 10 2 9 2 3 2 5 2" xfId="14575" xr:uid="{C211DE1A-A294-4DD2-8B2D-67F88C25F234}"/>
    <cellStyle name="Normal 10 2 9 2 3 2 6" xfId="14576" xr:uid="{C673A270-5EE4-445E-803A-967E094829A0}"/>
    <cellStyle name="Normal 10 2 9 2 3 3" xfId="14577" xr:uid="{1E210687-A2F0-48BE-B058-201243525C89}"/>
    <cellStyle name="Normal 10 2 9 2 3 3 2" xfId="14578" xr:uid="{D3E9D880-D3A8-4D28-A55C-D043C6A17E3E}"/>
    <cellStyle name="Normal 10 2 9 2 3 3 2 2" xfId="14579" xr:uid="{B86C0FA8-DBF6-4D25-8B8B-FC482C44C328}"/>
    <cellStyle name="Normal 10 2 9 2 3 3 2 2 2" xfId="14580" xr:uid="{6C1B8FB6-95D2-4D05-86DB-25E8C249F4E4}"/>
    <cellStyle name="Normal 10 2 9 2 3 3 2 2 2 2" xfId="14581" xr:uid="{8FE567F2-F732-4452-B6FE-654D8D55FD15}"/>
    <cellStyle name="Normal 10 2 9 2 3 3 2 2 3" xfId="14582" xr:uid="{492A7215-6B66-47C3-8D53-741D3D63FF73}"/>
    <cellStyle name="Normal 10 2 9 2 3 3 2 3" xfId="14583" xr:uid="{032D65B5-83D9-4E57-A8F7-B00F51DBEFB3}"/>
    <cellStyle name="Normal 10 2 9 2 3 3 2 3 2" xfId="14584" xr:uid="{AB873E59-0051-40CD-B192-4B4D69417BB1}"/>
    <cellStyle name="Normal 10 2 9 2 3 3 2 4" xfId="14585" xr:uid="{7ED15A94-10E8-4F2F-9DAE-A4A82CC49A94}"/>
    <cellStyle name="Normal 10 2 9 2 3 3 3" xfId="14586" xr:uid="{41CBFD90-B057-41F2-9960-0F206E174838}"/>
    <cellStyle name="Normal 10 2 9 2 3 3 3 2" xfId="14587" xr:uid="{21D49F7D-C89D-419C-8F52-F691A5113E21}"/>
    <cellStyle name="Normal 10 2 9 2 3 3 3 2 2" xfId="14588" xr:uid="{22729C9E-A267-4FFF-9D75-A09A6AF8D262}"/>
    <cellStyle name="Normal 10 2 9 2 3 3 3 3" xfId="14589" xr:uid="{14784231-3A4E-40D5-9432-387496949405}"/>
    <cellStyle name="Normal 10 2 9 2 3 3 4" xfId="14590" xr:uid="{7656CD90-7799-4847-845C-5F71F79EEBE1}"/>
    <cellStyle name="Normal 10 2 9 2 3 3 4 2" xfId="14591" xr:uid="{A9CF1A5D-2384-4874-9F9D-E6F9C04C0712}"/>
    <cellStyle name="Normal 10 2 9 2 3 3 5" xfId="14592" xr:uid="{D05C05C9-43EE-4648-BB3A-AC1AC0FAD032}"/>
    <cellStyle name="Normal 10 2 9 2 3 4" xfId="14593" xr:uid="{7CF7A9EC-C8F7-46EA-BD58-24392995EE15}"/>
    <cellStyle name="Normal 10 2 9 2 3 4 2" xfId="14594" xr:uid="{6C4F2401-5054-4761-B2C8-0908458A9F8C}"/>
    <cellStyle name="Normal 10 2 9 2 3 4 2 2" xfId="14595" xr:uid="{AE9BBCD1-9610-405B-BC29-EB5998D9AE76}"/>
    <cellStyle name="Normal 10 2 9 2 3 4 2 2 2" xfId="14596" xr:uid="{70294007-922D-43EA-A64B-E326CCAD0A46}"/>
    <cellStyle name="Normal 10 2 9 2 3 4 2 3" xfId="14597" xr:uid="{B3AF3A0E-E7B4-4C60-BE1D-BD0DEA84B56C}"/>
    <cellStyle name="Normal 10 2 9 2 3 4 3" xfId="14598" xr:uid="{3E637427-B305-4E7D-9CE3-81EB93BC1E19}"/>
    <cellStyle name="Normal 10 2 9 2 3 4 3 2" xfId="14599" xr:uid="{D4FEC7D5-A1E3-4A69-B96D-71550D2A7A56}"/>
    <cellStyle name="Normal 10 2 9 2 3 4 4" xfId="14600" xr:uid="{77F74D00-A8A8-4FDE-AF35-27A4179048BB}"/>
    <cellStyle name="Normal 10 2 9 2 3 5" xfId="14601" xr:uid="{B37A63A9-0015-436F-911E-0F8285787631}"/>
    <cellStyle name="Normal 10 2 9 2 3 5 2" xfId="14602" xr:uid="{0BEEDFB7-BF46-40DF-B59B-D89C8276F23A}"/>
    <cellStyle name="Normal 10 2 9 2 3 5 2 2" xfId="14603" xr:uid="{0255860A-DC36-4A20-8061-F9FCFC95C5B8}"/>
    <cellStyle name="Normal 10 2 9 2 3 5 3" xfId="14604" xr:uid="{5BE4DB08-65EF-4646-857A-A3401A904B96}"/>
    <cellStyle name="Normal 10 2 9 2 3 6" xfId="14605" xr:uid="{1F0F049F-A095-49F1-94CE-F9E25A63DACE}"/>
    <cellStyle name="Normal 10 2 9 2 3 6 2" xfId="14606" xr:uid="{55AC0F8C-7F09-4FD7-B6D4-DF6F45005E7E}"/>
    <cellStyle name="Normal 10 2 9 2 3 7" xfId="14607" xr:uid="{AE62A599-4F43-4B08-9523-613CEFA6759A}"/>
    <cellStyle name="Normal 10 2 9 2 4" xfId="14608" xr:uid="{CFEA7CDB-B84D-45E8-897A-20C210BE10D9}"/>
    <cellStyle name="Normal 10 2 9 2 4 2" xfId="14609" xr:uid="{2EF44128-E63B-4A39-B686-FC32E36B7760}"/>
    <cellStyle name="Normal 10 2 9 2 4 2 2" xfId="14610" xr:uid="{ED42473F-3521-46FA-B142-C4397AEA3D75}"/>
    <cellStyle name="Normal 10 2 9 2 4 2 2 2" xfId="14611" xr:uid="{40A075E8-20B5-44F1-A8E4-8BE4F81EF38B}"/>
    <cellStyle name="Normal 10 2 9 2 4 2 2 2 2" xfId="14612" xr:uid="{27456E22-E2DD-47AD-85AA-0B3782C3DFFA}"/>
    <cellStyle name="Normal 10 2 9 2 4 2 2 2 2 2" xfId="14613" xr:uid="{410A6A11-9BA1-43F3-B1C7-C5566F337150}"/>
    <cellStyle name="Normal 10 2 9 2 4 2 2 2 3" xfId="14614" xr:uid="{D1EE4430-8200-42D6-B7A9-87D435DAA358}"/>
    <cellStyle name="Normal 10 2 9 2 4 2 2 3" xfId="14615" xr:uid="{27DA2EDB-5F71-4AD8-8A94-5DB601097B5A}"/>
    <cellStyle name="Normal 10 2 9 2 4 2 2 3 2" xfId="14616" xr:uid="{6A69426B-7A10-4A6A-82E3-1774C1724335}"/>
    <cellStyle name="Normal 10 2 9 2 4 2 2 4" xfId="14617" xr:uid="{BA88D529-2B84-4B1E-97D2-4286BB881CB8}"/>
    <cellStyle name="Normal 10 2 9 2 4 2 3" xfId="14618" xr:uid="{A7D0489E-5AFE-4338-BACC-2431C61928B6}"/>
    <cellStyle name="Normal 10 2 9 2 4 2 3 2" xfId="14619" xr:uid="{32F966C5-6D27-4D2F-8FFF-BEEF5548DED9}"/>
    <cellStyle name="Normal 10 2 9 2 4 2 3 2 2" xfId="14620" xr:uid="{A9523445-9023-4B5D-9240-4BB57C9508FB}"/>
    <cellStyle name="Normal 10 2 9 2 4 2 3 3" xfId="14621" xr:uid="{8F8AEA15-D494-47BF-B0F4-13B335B02D8D}"/>
    <cellStyle name="Normal 10 2 9 2 4 2 4" xfId="14622" xr:uid="{8568EB8C-1AA0-49E7-8365-E370BE88CA77}"/>
    <cellStyle name="Normal 10 2 9 2 4 2 4 2" xfId="14623" xr:uid="{A573DD38-051E-42DA-9351-DD383DFDC554}"/>
    <cellStyle name="Normal 10 2 9 2 4 2 5" xfId="14624" xr:uid="{7917D328-D28D-4A57-A60E-C92BEA15E081}"/>
    <cellStyle name="Normal 10 2 9 2 4 3" xfId="14625" xr:uid="{A854C917-656D-4EA2-BD90-54D786683B14}"/>
    <cellStyle name="Normal 10 2 9 2 4 3 2" xfId="14626" xr:uid="{75567C32-DAF1-42C2-BF16-575BE1A8847D}"/>
    <cellStyle name="Normal 10 2 9 2 4 3 2 2" xfId="14627" xr:uid="{ECE5B030-1DD1-4304-A42B-290AEC9E61C8}"/>
    <cellStyle name="Normal 10 2 9 2 4 3 2 2 2" xfId="14628" xr:uid="{9E0C3005-DF00-4E52-980C-DA0B532FB94F}"/>
    <cellStyle name="Normal 10 2 9 2 4 3 2 3" xfId="14629" xr:uid="{E7078FB0-5D49-4489-99CC-45B6F3FB130F}"/>
    <cellStyle name="Normal 10 2 9 2 4 3 3" xfId="14630" xr:uid="{B756E335-CF31-4462-A1E2-18F3D343ECDB}"/>
    <cellStyle name="Normal 10 2 9 2 4 3 3 2" xfId="14631" xr:uid="{598A3A72-8A1F-49AF-A57E-3006B1E0DD4B}"/>
    <cellStyle name="Normal 10 2 9 2 4 3 4" xfId="14632" xr:uid="{19FE0035-A74C-4DC2-815F-71A5CDB391A9}"/>
    <cellStyle name="Normal 10 2 9 2 4 4" xfId="14633" xr:uid="{EC3C6839-1344-4668-8D5B-0013E968127B}"/>
    <cellStyle name="Normal 10 2 9 2 4 4 2" xfId="14634" xr:uid="{30C65EFC-B735-4D8B-8172-900E51B74CC6}"/>
    <cellStyle name="Normal 10 2 9 2 4 4 2 2" xfId="14635" xr:uid="{21D4A0B7-440D-49C0-919F-94F8B8A81180}"/>
    <cellStyle name="Normal 10 2 9 2 4 4 3" xfId="14636" xr:uid="{2592597C-939B-4CC0-BCB7-4C70ABE8FC1A}"/>
    <cellStyle name="Normal 10 2 9 2 4 5" xfId="14637" xr:uid="{7C71C4B4-FA07-4EF2-85BA-FEEF47D77669}"/>
    <cellStyle name="Normal 10 2 9 2 4 5 2" xfId="14638" xr:uid="{6F052A17-A6DC-4506-BFB8-703807067D29}"/>
    <cellStyle name="Normal 10 2 9 2 4 6" xfId="14639" xr:uid="{92E995B4-62DE-45B1-8118-61867DF3325D}"/>
    <cellStyle name="Normal 10 2 9 2 5" xfId="14640" xr:uid="{8902599D-DFE0-445A-872E-AC384D073F87}"/>
    <cellStyle name="Normal 10 2 9 2 5 2" xfId="14641" xr:uid="{0580B872-3F05-4694-831D-F4021CE3416A}"/>
    <cellStyle name="Normal 10 2 9 2 5 2 2" xfId="14642" xr:uid="{37BFB4F2-9C74-45FC-B66C-2EDB122107BA}"/>
    <cellStyle name="Normal 10 2 9 2 5 2 2 2" xfId="14643" xr:uid="{5B119E68-D43D-4AF7-B0EE-F1CFF3F1ABA1}"/>
    <cellStyle name="Normal 10 2 9 2 5 2 2 2 2" xfId="14644" xr:uid="{B09E1B65-AEAE-4BDF-A9E2-085BEEC00CA2}"/>
    <cellStyle name="Normal 10 2 9 2 5 2 2 3" xfId="14645" xr:uid="{05CC2BA7-954B-4EE8-BFCB-2D45EFD7E581}"/>
    <cellStyle name="Normal 10 2 9 2 5 2 3" xfId="14646" xr:uid="{0BA654B9-1265-47C5-9454-7F59B3679F21}"/>
    <cellStyle name="Normal 10 2 9 2 5 2 3 2" xfId="14647" xr:uid="{17EFE1E9-4443-4538-A076-82242413826A}"/>
    <cellStyle name="Normal 10 2 9 2 5 2 4" xfId="14648" xr:uid="{8599248F-69F8-49C2-86B7-F6C156E2F8D2}"/>
    <cellStyle name="Normal 10 2 9 2 5 3" xfId="14649" xr:uid="{3ED3465F-38C1-4AB7-A7F5-DF10392BF725}"/>
    <cellStyle name="Normal 10 2 9 2 5 3 2" xfId="14650" xr:uid="{B77359D9-B50D-4537-A3D7-910BFF2432FF}"/>
    <cellStyle name="Normal 10 2 9 2 5 3 2 2" xfId="14651" xr:uid="{DD3DE313-8D7E-4ABA-B0E3-AA6351AB5F9A}"/>
    <cellStyle name="Normal 10 2 9 2 5 3 3" xfId="14652" xr:uid="{D012D3C4-1264-4994-9E91-A65A02E6847C}"/>
    <cellStyle name="Normal 10 2 9 2 5 4" xfId="14653" xr:uid="{4521954B-5471-44A2-8322-B9CD1C1B0BDC}"/>
    <cellStyle name="Normal 10 2 9 2 5 4 2" xfId="14654" xr:uid="{53B068E8-F654-4F07-80CE-262CA17A8D5E}"/>
    <cellStyle name="Normal 10 2 9 2 5 5" xfId="14655" xr:uid="{ED0ECD24-A555-4801-BE0E-A80FBF6F32CF}"/>
    <cellStyle name="Normal 10 2 9 2 6" xfId="14656" xr:uid="{180691E3-D30A-4626-839A-44BDB2D32A95}"/>
    <cellStyle name="Normal 10 2 9 2 6 2" xfId="14657" xr:uid="{A08F8F49-4A9D-4C0E-9863-D72FAFF4CF08}"/>
    <cellStyle name="Normal 10 2 9 2 6 2 2" xfId="14658" xr:uid="{681DA6A4-E1BE-42E2-B6EB-F0C2289AEA46}"/>
    <cellStyle name="Normal 10 2 9 2 6 2 2 2" xfId="14659" xr:uid="{EDB7E01B-F076-4A6B-985D-69C6696C372E}"/>
    <cellStyle name="Normal 10 2 9 2 6 2 3" xfId="14660" xr:uid="{88A0B471-6462-416E-A079-17011D737514}"/>
    <cellStyle name="Normal 10 2 9 2 6 3" xfId="14661" xr:uid="{E32F3DBE-68AC-44CB-8B94-5EA3A60938E4}"/>
    <cellStyle name="Normal 10 2 9 2 6 3 2" xfId="14662" xr:uid="{57B1BC9C-DA23-4659-AC2E-1AC3C1E0CA6B}"/>
    <cellStyle name="Normal 10 2 9 2 6 4" xfId="14663" xr:uid="{C2B3CAD9-17D7-45BC-9A4F-047C75B391EC}"/>
    <cellStyle name="Normal 10 2 9 2 7" xfId="14664" xr:uid="{0BBB7A45-4D6D-4285-A09F-8FCD0B67BF1D}"/>
    <cellStyle name="Normal 10 2 9 2 7 2" xfId="14665" xr:uid="{71AD4FA4-47F4-4CF9-95FA-93F1A18E591D}"/>
    <cellStyle name="Normal 10 2 9 2 7 2 2" xfId="14666" xr:uid="{5733B03C-B93A-4CE0-9CC9-A855B00F6FB4}"/>
    <cellStyle name="Normal 10 2 9 2 7 3" xfId="14667" xr:uid="{1E4F1460-4CA7-4F07-802D-DD85E957E88F}"/>
    <cellStyle name="Normal 10 2 9 2 8" xfId="14668" xr:uid="{22B1FD1E-85FC-4492-BDB8-17E2EFF474BB}"/>
    <cellStyle name="Normal 10 2 9 2 8 2" xfId="14669" xr:uid="{9076D99C-5E10-45D4-B441-B412895D5613}"/>
    <cellStyle name="Normal 10 2 9 2 9" xfId="14670" xr:uid="{673BA2B8-8976-4B99-816E-9854F7E9D130}"/>
    <cellStyle name="Normal 10 2 9 3" xfId="14671" xr:uid="{5B4DA05A-44FB-46DB-83FE-995D62C5230A}"/>
    <cellStyle name="Normal 10 2 9 3 2" xfId="14672" xr:uid="{F3DAAB8D-3AC1-4C27-9626-1A329668A262}"/>
    <cellStyle name="Normal 10 2 9 3 2 2" xfId="14673" xr:uid="{44ACFD87-3654-4A8C-B4DA-0B216FB33CBF}"/>
    <cellStyle name="Normal 10 2 9 3 2 2 2" xfId="14674" xr:uid="{652BCCA5-34B7-4FCB-A482-CDAF8D9CB3F2}"/>
    <cellStyle name="Normal 10 2 9 3 2 2 2 2" xfId="14675" xr:uid="{C0D9B5A4-C67D-4082-B512-1C37CF550D1F}"/>
    <cellStyle name="Normal 10 2 9 3 2 2 2 2 2" xfId="14676" xr:uid="{679CA2C6-391A-425F-98BD-C5E7493C9032}"/>
    <cellStyle name="Normal 10 2 9 3 2 2 2 2 2 2" xfId="14677" xr:uid="{CC1B77CC-37FE-44B4-9211-E9133DEB2E63}"/>
    <cellStyle name="Normal 10 2 9 3 2 2 2 2 2 2 2" xfId="14678" xr:uid="{9E44E1E6-D696-459E-BF2E-0426D98E36EB}"/>
    <cellStyle name="Normal 10 2 9 3 2 2 2 2 2 3" xfId="14679" xr:uid="{7801A276-CB44-4D38-A4D1-EC63BAA1BB51}"/>
    <cellStyle name="Normal 10 2 9 3 2 2 2 2 3" xfId="14680" xr:uid="{88C1B0AC-F8BD-44EF-9056-C229905205C3}"/>
    <cellStyle name="Normal 10 2 9 3 2 2 2 2 3 2" xfId="14681" xr:uid="{C39FAA12-6F13-47FE-BA6B-5AE6EBB0D034}"/>
    <cellStyle name="Normal 10 2 9 3 2 2 2 2 4" xfId="14682" xr:uid="{63B58DF7-1402-4E3B-A676-98B5351714AC}"/>
    <cellStyle name="Normal 10 2 9 3 2 2 2 3" xfId="14683" xr:uid="{E3CAF59E-0519-428F-B83A-15A361BEDC0F}"/>
    <cellStyle name="Normal 10 2 9 3 2 2 2 3 2" xfId="14684" xr:uid="{AB31D315-C2F7-47A3-A6F1-867DBADAE3E1}"/>
    <cellStyle name="Normal 10 2 9 3 2 2 2 3 2 2" xfId="14685" xr:uid="{115E9123-6EAD-41B4-8CB6-20E3A67A9E83}"/>
    <cellStyle name="Normal 10 2 9 3 2 2 2 3 3" xfId="14686" xr:uid="{C4310537-F241-4706-8CDC-942305F3FCF3}"/>
    <cellStyle name="Normal 10 2 9 3 2 2 2 4" xfId="14687" xr:uid="{19F20A83-0C9F-423F-BD4A-3AA204098533}"/>
    <cellStyle name="Normal 10 2 9 3 2 2 2 4 2" xfId="14688" xr:uid="{98FF0DFF-7A93-46F9-8F50-52C9A1A6F8BA}"/>
    <cellStyle name="Normal 10 2 9 3 2 2 2 5" xfId="14689" xr:uid="{3DFFE301-196C-4527-B738-3E68018D0526}"/>
    <cellStyle name="Normal 10 2 9 3 2 2 3" xfId="14690" xr:uid="{E7762F6C-73BE-4AC5-9248-BC02CE566EC5}"/>
    <cellStyle name="Normal 10 2 9 3 2 2 3 2" xfId="14691" xr:uid="{95F9506E-D77E-4B7B-B4E1-9710378A3E5B}"/>
    <cellStyle name="Normal 10 2 9 3 2 2 3 2 2" xfId="14692" xr:uid="{8DC2E042-FAB6-496F-AF85-D69FB2DF6A07}"/>
    <cellStyle name="Normal 10 2 9 3 2 2 3 2 2 2" xfId="14693" xr:uid="{02B70A53-81E0-473C-AC17-2D3CD22CB737}"/>
    <cellStyle name="Normal 10 2 9 3 2 2 3 2 3" xfId="14694" xr:uid="{6F451406-840E-450E-A592-8718C6616144}"/>
    <cellStyle name="Normal 10 2 9 3 2 2 3 3" xfId="14695" xr:uid="{6EB55E4C-DA1A-4973-B0C7-655C4A158F4B}"/>
    <cellStyle name="Normal 10 2 9 3 2 2 3 3 2" xfId="14696" xr:uid="{B7CC3181-0A44-4A52-95B2-0940A1B7B393}"/>
    <cellStyle name="Normal 10 2 9 3 2 2 3 4" xfId="14697" xr:uid="{4C78583B-8920-4A29-A36D-B1387ADB03CC}"/>
    <cellStyle name="Normal 10 2 9 3 2 2 4" xfId="14698" xr:uid="{33EB5020-7956-474D-8B7C-0BD9A9BCA187}"/>
    <cellStyle name="Normal 10 2 9 3 2 2 4 2" xfId="14699" xr:uid="{78C46326-6B13-4D8B-8A15-D5A6170122D4}"/>
    <cellStyle name="Normal 10 2 9 3 2 2 4 2 2" xfId="14700" xr:uid="{5E8A680C-2B70-4AC4-B903-423982224CE6}"/>
    <cellStyle name="Normal 10 2 9 3 2 2 4 3" xfId="14701" xr:uid="{CF26274E-93D0-4252-9EA4-0175747493D4}"/>
    <cellStyle name="Normal 10 2 9 3 2 2 5" xfId="14702" xr:uid="{E30AEAE5-BC10-4143-A87A-9A1A4F9D9B5F}"/>
    <cellStyle name="Normal 10 2 9 3 2 2 5 2" xfId="14703" xr:uid="{5B805483-9121-4548-8FCB-0DCC8A7118A6}"/>
    <cellStyle name="Normal 10 2 9 3 2 2 6" xfId="14704" xr:uid="{0B300D13-0EF6-4A55-901B-616BF71326F6}"/>
    <cellStyle name="Normal 10 2 9 3 2 3" xfId="14705" xr:uid="{1BC5A1EA-1BD2-4C20-B851-C5C8F555361A}"/>
    <cellStyle name="Normal 10 2 9 3 2 3 2" xfId="14706" xr:uid="{F754BD20-33B3-4072-9385-FA9DE51BA464}"/>
    <cellStyle name="Normal 10 2 9 3 2 3 2 2" xfId="14707" xr:uid="{01BF4885-F276-4091-8EEA-431E87BAE615}"/>
    <cellStyle name="Normal 10 2 9 3 2 3 2 2 2" xfId="14708" xr:uid="{9B59F530-63FC-47B3-86A3-EFCC30DEF02D}"/>
    <cellStyle name="Normal 10 2 9 3 2 3 2 2 2 2" xfId="14709" xr:uid="{0C5B3001-9D81-48DE-82D5-C90AE5C72A59}"/>
    <cellStyle name="Normal 10 2 9 3 2 3 2 2 3" xfId="14710" xr:uid="{300D9B42-FEBE-4653-8BE2-C6A742DA0BBD}"/>
    <cellStyle name="Normal 10 2 9 3 2 3 2 3" xfId="14711" xr:uid="{02ABAEA5-CB8C-4DD7-9A10-B2BF3A65C58D}"/>
    <cellStyle name="Normal 10 2 9 3 2 3 2 3 2" xfId="14712" xr:uid="{8ECC387F-3828-4583-B215-4F2822F384C4}"/>
    <cellStyle name="Normal 10 2 9 3 2 3 2 4" xfId="14713" xr:uid="{A3EF18AC-F7D8-4A44-A14E-8DE3DFAA258B}"/>
    <cellStyle name="Normal 10 2 9 3 2 3 3" xfId="14714" xr:uid="{2470AD37-DF06-490D-9BFD-2533C768557E}"/>
    <cellStyle name="Normal 10 2 9 3 2 3 3 2" xfId="14715" xr:uid="{3ACED169-7F00-4E85-8B0A-DD448C7242CE}"/>
    <cellStyle name="Normal 10 2 9 3 2 3 3 2 2" xfId="14716" xr:uid="{02B67074-C3EE-4D39-A643-9DAF537185DE}"/>
    <cellStyle name="Normal 10 2 9 3 2 3 3 3" xfId="14717" xr:uid="{02833F19-CC80-4C0D-AC89-8A73F6FD29DF}"/>
    <cellStyle name="Normal 10 2 9 3 2 3 4" xfId="14718" xr:uid="{802C7602-4740-4D53-B786-2FE9EF04D9B2}"/>
    <cellStyle name="Normal 10 2 9 3 2 3 4 2" xfId="14719" xr:uid="{0340EBA3-8B09-46ED-8BD6-29FBAAC75902}"/>
    <cellStyle name="Normal 10 2 9 3 2 3 5" xfId="14720" xr:uid="{FACCA02D-86F2-4B9C-86B7-FD2F8A28846D}"/>
    <cellStyle name="Normal 10 2 9 3 2 4" xfId="14721" xr:uid="{8FA12A9E-F29F-467A-B113-EF7617E1DB27}"/>
    <cellStyle name="Normal 10 2 9 3 2 4 2" xfId="14722" xr:uid="{0352F1BB-8B21-4656-ACDD-CE285265765E}"/>
    <cellStyle name="Normal 10 2 9 3 2 4 2 2" xfId="14723" xr:uid="{BAC6D103-4F64-43E8-A729-402AC1CD2C8C}"/>
    <cellStyle name="Normal 10 2 9 3 2 4 2 2 2" xfId="14724" xr:uid="{9EB7AA5C-2D66-4FA9-A6A2-17429EAA883B}"/>
    <cellStyle name="Normal 10 2 9 3 2 4 2 3" xfId="14725" xr:uid="{93CF0382-3A95-45DF-B1C3-D48C08524086}"/>
    <cellStyle name="Normal 10 2 9 3 2 4 3" xfId="14726" xr:uid="{EBE02B7E-8FC8-413C-8581-F109B25E9E4A}"/>
    <cellStyle name="Normal 10 2 9 3 2 4 3 2" xfId="14727" xr:uid="{D2E5C0AF-4EE7-41CF-B248-B684B68AA9AA}"/>
    <cellStyle name="Normal 10 2 9 3 2 4 4" xfId="14728" xr:uid="{F7D61D89-773E-4A6F-AAA4-FABBC83BD68E}"/>
    <cellStyle name="Normal 10 2 9 3 2 5" xfId="14729" xr:uid="{F3B09ABF-04BE-4A16-B570-5FE410910291}"/>
    <cellStyle name="Normal 10 2 9 3 2 5 2" xfId="14730" xr:uid="{292F1D66-D313-41B8-984C-CF2DDEAC9264}"/>
    <cellStyle name="Normal 10 2 9 3 2 5 2 2" xfId="14731" xr:uid="{9F15407E-8B5E-4880-9F79-763AA7F6FD28}"/>
    <cellStyle name="Normal 10 2 9 3 2 5 3" xfId="14732" xr:uid="{E86F0969-0B3D-4896-81CF-32966C949D78}"/>
    <cellStyle name="Normal 10 2 9 3 2 6" xfId="14733" xr:uid="{70A7DDB1-BF17-4E8C-9127-268F66B6CC38}"/>
    <cellStyle name="Normal 10 2 9 3 2 6 2" xfId="14734" xr:uid="{12A9E3A9-1C69-4050-B7BC-6C621DCB1E79}"/>
    <cellStyle name="Normal 10 2 9 3 2 7" xfId="14735" xr:uid="{BF443173-C2D5-4872-980F-936A08BE729F}"/>
    <cellStyle name="Normal 10 2 9 3 3" xfId="14736" xr:uid="{056B49A8-A2B9-4FDC-90B6-906D6DB376DE}"/>
    <cellStyle name="Normal 10 2 9 3 3 2" xfId="14737" xr:uid="{C74C3367-3F1D-4325-BDEC-67AB88A12BA7}"/>
    <cellStyle name="Normal 10 2 9 3 3 2 2" xfId="14738" xr:uid="{A172DECD-78F7-417F-86BA-BDE1875FD135}"/>
    <cellStyle name="Normal 10 2 9 3 3 2 2 2" xfId="14739" xr:uid="{AC7F961F-AC06-415F-B1F5-6EE818AD83A1}"/>
    <cellStyle name="Normal 10 2 9 3 3 2 2 2 2" xfId="14740" xr:uid="{59A4AAA2-8AC1-4705-BAC2-C7888B44EFB5}"/>
    <cellStyle name="Normal 10 2 9 3 3 2 2 2 2 2" xfId="14741" xr:uid="{7DB3EDC7-2659-46EC-BFB7-057DF57E6084}"/>
    <cellStyle name="Normal 10 2 9 3 3 2 2 2 3" xfId="14742" xr:uid="{E77AAB87-7518-4A64-A051-2F43A17FECE9}"/>
    <cellStyle name="Normal 10 2 9 3 3 2 2 3" xfId="14743" xr:uid="{70351287-076F-4DF0-9924-05F73E77687B}"/>
    <cellStyle name="Normal 10 2 9 3 3 2 2 3 2" xfId="14744" xr:uid="{7E33F068-ACC9-4137-93D0-1622B040EA21}"/>
    <cellStyle name="Normal 10 2 9 3 3 2 2 4" xfId="14745" xr:uid="{1A2972FB-696F-4C06-86EF-61C2AB681F96}"/>
    <cellStyle name="Normal 10 2 9 3 3 2 3" xfId="14746" xr:uid="{C16F282A-948E-4BF2-A5BA-EAA9CB7D921B}"/>
    <cellStyle name="Normal 10 2 9 3 3 2 3 2" xfId="14747" xr:uid="{B89D4793-C029-44E3-AF05-7B0F21AF74DB}"/>
    <cellStyle name="Normal 10 2 9 3 3 2 3 2 2" xfId="14748" xr:uid="{829AC78D-4C31-4BBA-A572-D4DD1B19CA11}"/>
    <cellStyle name="Normal 10 2 9 3 3 2 3 3" xfId="14749" xr:uid="{066EB9EC-66FA-4219-A2C1-3DEC0A950340}"/>
    <cellStyle name="Normal 10 2 9 3 3 2 4" xfId="14750" xr:uid="{C307EB09-6915-485B-9096-432521114AF5}"/>
    <cellStyle name="Normal 10 2 9 3 3 2 4 2" xfId="14751" xr:uid="{0A3235AB-05D8-41DC-A6E2-0B9A372F6339}"/>
    <cellStyle name="Normal 10 2 9 3 3 2 5" xfId="14752" xr:uid="{1B28132E-7666-47C8-99EC-AF396A8A8BD6}"/>
    <cellStyle name="Normal 10 2 9 3 3 3" xfId="14753" xr:uid="{940C5DFB-9760-4C5A-94BC-E7B282FB7AFB}"/>
    <cellStyle name="Normal 10 2 9 3 3 3 2" xfId="14754" xr:uid="{DE322E88-01D7-4198-BC99-236F5D1F9148}"/>
    <cellStyle name="Normal 10 2 9 3 3 3 2 2" xfId="14755" xr:uid="{AAF30AB2-746C-481A-9922-9DC0BA32B4B9}"/>
    <cellStyle name="Normal 10 2 9 3 3 3 2 2 2" xfId="14756" xr:uid="{787B0197-8AAF-4111-910F-E4C0F59425CA}"/>
    <cellStyle name="Normal 10 2 9 3 3 3 2 3" xfId="14757" xr:uid="{4DC9FBE1-F732-4C45-9667-09C0A6A4DE3A}"/>
    <cellStyle name="Normal 10 2 9 3 3 3 3" xfId="14758" xr:uid="{39968790-62FE-43BB-8A2C-2BD14B8497E5}"/>
    <cellStyle name="Normal 10 2 9 3 3 3 3 2" xfId="14759" xr:uid="{6CCFB806-CEDA-4F75-9599-9FAFA4DDF620}"/>
    <cellStyle name="Normal 10 2 9 3 3 3 4" xfId="14760" xr:uid="{52A57A02-54CD-4F66-91B0-31F0D9138A75}"/>
    <cellStyle name="Normal 10 2 9 3 3 4" xfId="14761" xr:uid="{BBADE3CA-20F5-4D45-9C3E-A222F4BC0421}"/>
    <cellStyle name="Normal 10 2 9 3 3 4 2" xfId="14762" xr:uid="{C56CE77D-0172-49D0-AB45-B2AB806FB7E8}"/>
    <cellStyle name="Normal 10 2 9 3 3 4 2 2" xfId="14763" xr:uid="{73CC80E7-5F01-4087-8A9A-E38FB782F3EB}"/>
    <cellStyle name="Normal 10 2 9 3 3 4 3" xfId="14764" xr:uid="{64DFCE60-E76F-47BA-9DD2-A4DD55969ACF}"/>
    <cellStyle name="Normal 10 2 9 3 3 5" xfId="14765" xr:uid="{200404D0-4DC0-4173-A9FD-0867E5043C33}"/>
    <cellStyle name="Normal 10 2 9 3 3 5 2" xfId="14766" xr:uid="{DCA471A3-D546-4417-9C09-C992076BC5E3}"/>
    <cellStyle name="Normal 10 2 9 3 3 6" xfId="14767" xr:uid="{855180C8-B83D-403F-AE08-D987D384A412}"/>
    <cellStyle name="Normal 10 2 9 3 4" xfId="14768" xr:uid="{D1483AEA-B9C4-4402-88B8-7702E9D5E499}"/>
    <cellStyle name="Normal 10 2 9 3 4 2" xfId="14769" xr:uid="{60F8879F-BD3C-4816-8C4E-6EC8891387B5}"/>
    <cellStyle name="Normal 10 2 9 3 4 2 2" xfId="14770" xr:uid="{E3D0C102-2A46-4706-9647-04BFA7BAA08E}"/>
    <cellStyle name="Normal 10 2 9 3 4 2 2 2" xfId="14771" xr:uid="{BEE9A01C-5194-4BC2-BD58-A359341AEBE1}"/>
    <cellStyle name="Normal 10 2 9 3 4 2 2 2 2" xfId="14772" xr:uid="{0AD5DCF1-67B1-47BD-B236-F202935E4B18}"/>
    <cellStyle name="Normal 10 2 9 3 4 2 2 3" xfId="14773" xr:uid="{7C98DC68-F897-465D-B80A-EBF35986E623}"/>
    <cellStyle name="Normal 10 2 9 3 4 2 3" xfId="14774" xr:uid="{60C154F1-E309-435C-99CE-2B48E0924507}"/>
    <cellStyle name="Normal 10 2 9 3 4 2 3 2" xfId="14775" xr:uid="{29B118B5-621E-4527-8DC5-2828DD893741}"/>
    <cellStyle name="Normal 10 2 9 3 4 2 4" xfId="14776" xr:uid="{DDA26084-BA7B-40F2-9D5D-8671244BF2CA}"/>
    <cellStyle name="Normal 10 2 9 3 4 3" xfId="14777" xr:uid="{3B22C89A-039C-41E7-9947-6E65B162C432}"/>
    <cellStyle name="Normal 10 2 9 3 4 3 2" xfId="14778" xr:uid="{AFA6F89A-8362-44B6-8EE2-9AA4AA027BB3}"/>
    <cellStyle name="Normal 10 2 9 3 4 3 2 2" xfId="14779" xr:uid="{213981DE-48D5-41FD-A2DC-9C592C92E910}"/>
    <cellStyle name="Normal 10 2 9 3 4 3 3" xfId="14780" xr:uid="{C064D287-1794-46C9-8A64-D259FB7A8ACB}"/>
    <cellStyle name="Normal 10 2 9 3 4 4" xfId="14781" xr:uid="{D069ACFB-6F95-499C-BDA8-8E5D954E0A3B}"/>
    <cellStyle name="Normal 10 2 9 3 4 4 2" xfId="14782" xr:uid="{EED7FDA7-CF68-4BBF-BDD4-4B867035A281}"/>
    <cellStyle name="Normal 10 2 9 3 4 5" xfId="14783" xr:uid="{5A0D4EDC-BEB5-4021-952D-27CFF4186BDD}"/>
    <cellStyle name="Normal 10 2 9 3 5" xfId="14784" xr:uid="{EFC4EA28-15E6-4DD0-8C8E-90914F6C6EDD}"/>
    <cellStyle name="Normal 10 2 9 3 5 2" xfId="14785" xr:uid="{55DB6629-74AA-4D22-A76B-33F575BC4B68}"/>
    <cellStyle name="Normal 10 2 9 3 5 2 2" xfId="14786" xr:uid="{BC925B3C-09D7-4B43-B3DF-F83061CD8B88}"/>
    <cellStyle name="Normal 10 2 9 3 5 2 2 2" xfId="14787" xr:uid="{5CE02325-BCE7-40E0-93A9-0FA92D79FE69}"/>
    <cellStyle name="Normal 10 2 9 3 5 2 3" xfId="14788" xr:uid="{DA19B318-DF0E-4E18-A4E7-638F4EBE4660}"/>
    <cellStyle name="Normal 10 2 9 3 5 3" xfId="14789" xr:uid="{C3B858A9-5453-4FE4-B1FD-C2815314DFB5}"/>
    <cellStyle name="Normal 10 2 9 3 5 3 2" xfId="14790" xr:uid="{1159FEF1-6653-4738-B001-E6B9E166B3B4}"/>
    <cellStyle name="Normal 10 2 9 3 5 4" xfId="14791" xr:uid="{D953F6CB-2167-4E7B-98DF-6942F338E69B}"/>
    <cellStyle name="Normal 10 2 9 3 6" xfId="14792" xr:uid="{4D4DDED2-015C-487B-BD2D-6CA5B7467F7C}"/>
    <cellStyle name="Normal 10 2 9 3 6 2" xfId="14793" xr:uid="{08AD25E2-45FD-4929-A62B-DB7AF014777E}"/>
    <cellStyle name="Normal 10 2 9 3 6 2 2" xfId="14794" xr:uid="{37B7B0CE-EF22-4564-8FF1-548EE64C636E}"/>
    <cellStyle name="Normal 10 2 9 3 6 3" xfId="14795" xr:uid="{A0D5EC84-8145-4C73-BDE2-CF23F03555FC}"/>
    <cellStyle name="Normal 10 2 9 3 7" xfId="14796" xr:uid="{5771F220-C11A-4FB6-89FE-B39B7463BB47}"/>
    <cellStyle name="Normal 10 2 9 3 7 2" xfId="14797" xr:uid="{043FEC1A-0A53-4290-86A6-F44A8B0E8BEE}"/>
    <cellStyle name="Normal 10 2 9 3 8" xfId="14798" xr:uid="{64181550-26DB-4D2A-84E9-F607B3DE8BA7}"/>
    <cellStyle name="Normal 10 2 9 4" xfId="14799" xr:uid="{8E7C1A6A-C240-4A7B-BDC3-EBB29444B92C}"/>
    <cellStyle name="Normal 10 2 9 4 2" xfId="14800" xr:uid="{1BFEE7FD-8D43-4DD4-B6EB-5FACAD78CC2B}"/>
    <cellStyle name="Normal 10 2 9 4 2 2" xfId="14801" xr:uid="{C8A9796F-8F71-43F0-9C7E-D9FFAD4007C0}"/>
    <cellStyle name="Normal 10 2 9 4 2 2 2" xfId="14802" xr:uid="{988224AE-62A3-4D17-979E-E12975614895}"/>
    <cellStyle name="Normal 10 2 9 4 2 2 2 2" xfId="14803" xr:uid="{41100D31-5A9A-4149-A79F-7F4B19887186}"/>
    <cellStyle name="Normal 10 2 9 4 2 2 2 2 2" xfId="14804" xr:uid="{60AF1CD5-44A5-41F0-ABF8-C759BEF5C5A3}"/>
    <cellStyle name="Normal 10 2 9 4 2 2 2 2 2 2" xfId="14805" xr:uid="{4489D628-73F3-487A-AE86-9D5656973EAD}"/>
    <cellStyle name="Normal 10 2 9 4 2 2 2 2 3" xfId="14806" xr:uid="{05E91823-1CD6-45DE-8770-04294DAFDA5B}"/>
    <cellStyle name="Normal 10 2 9 4 2 2 2 3" xfId="14807" xr:uid="{3D960523-9982-4A66-AB28-EE3417607654}"/>
    <cellStyle name="Normal 10 2 9 4 2 2 2 3 2" xfId="14808" xr:uid="{CE38A3F8-2410-48FE-9B6A-F3CE87BB5029}"/>
    <cellStyle name="Normal 10 2 9 4 2 2 2 4" xfId="14809" xr:uid="{FD6DDF6C-0901-40FD-8440-91E433829B36}"/>
    <cellStyle name="Normal 10 2 9 4 2 2 3" xfId="14810" xr:uid="{32F53D32-3331-4520-BCA6-66B8EE006B0E}"/>
    <cellStyle name="Normal 10 2 9 4 2 2 3 2" xfId="14811" xr:uid="{5EB62C43-03C8-4F03-A533-86F5AE38FCC3}"/>
    <cellStyle name="Normal 10 2 9 4 2 2 3 2 2" xfId="14812" xr:uid="{3D1418BE-8EA4-494A-8EFC-90E20B89968A}"/>
    <cellStyle name="Normal 10 2 9 4 2 2 3 3" xfId="14813" xr:uid="{C74B037C-44F3-4FEA-9105-A7150D8D5875}"/>
    <cellStyle name="Normal 10 2 9 4 2 2 4" xfId="14814" xr:uid="{23BFB429-E1B6-4D24-870E-07629069B22B}"/>
    <cellStyle name="Normal 10 2 9 4 2 2 4 2" xfId="14815" xr:uid="{B386F12F-163D-49AE-A4C3-0DB69138AAA1}"/>
    <cellStyle name="Normal 10 2 9 4 2 2 5" xfId="14816" xr:uid="{17DFC879-B819-4BD5-86C3-FC2FF7B65DF2}"/>
    <cellStyle name="Normal 10 2 9 4 2 3" xfId="14817" xr:uid="{4812E01B-8DAF-499F-AEDB-6DCFCC16376E}"/>
    <cellStyle name="Normal 10 2 9 4 2 3 2" xfId="14818" xr:uid="{9C6174C3-053D-4068-ABC5-7B0DEAA20A61}"/>
    <cellStyle name="Normal 10 2 9 4 2 3 2 2" xfId="14819" xr:uid="{A64BFA44-DD0C-430B-8A69-F3327729B8F9}"/>
    <cellStyle name="Normal 10 2 9 4 2 3 2 2 2" xfId="14820" xr:uid="{7E23BC22-0777-4DF2-832F-8544BE556BED}"/>
    <cellStyle name="Normal 10 2 9 4 2 3 2 3" xfId="14821" xr:uid="{1991D71B-6F8A-4444-B29C-4150772B5592}"/>
    <cellStyle name="Normal 10 2 9 4 2 3 3" xfId="14822" xr:uid="{211D658F-DBB2-4DC6-9BCF-BD124DACEA1F}"/>
    <cellStyle name="Normal 10 2 9 4 2 3 3 2" xfId="14823" xr:uid="{325C222B-304A-4D32-A412-5C64A23333D2}"/>
    <cellStyle name="Normal 10 2 9 4 2 3 4" xfId="14824" xr:uid="{55A711BF-07EF-465A-B775-B500AA125104}"/>
    <cellStyle name="Normal 10 2 9 4 2 4" xfId="14825" xr:uid="{E4569EDF-9D78-4112-9C74-7398CCF87939}"/>
    <cellStyle name="Normal 10 2 9 4 2 4 2" xfId="14826" xr:uid="{E63D0966-9757-4017-A887-CA816045A1DA}"/>
    <cellStyle name="Normal 10 2 9 4 2 4 2 2" xfId="14827" xr:uid="{63B66951-732F-4D97-B9D8-2FC7E83F1C51}"/>
    <cellStyle name="Normal 10 2 9 4 2 4 3" xfId="14828" xr:uid="{CF0893C7-BA32-425F-A8CD-2295FBC2E382}"/>
    <cellStyle name="Normal 10 2 9 4 2 5" xfId="14829" xr:uid="{6AE9D24B-1EE5-4035-A927-92E6B06E5895}"/>
    <cellStyle name="Normal 10 2 9 4 2 5 2" xfId="14830" xr:uid="{83A083D8-0FFA-4D58-ABE0-39EED8267D27}"/>
    <cellStyle name="Normal 10 2 9 4 2 6" xfId="14831" xr:uid="{0ED437BD-7936-42F3-8893-A622E24FE144}"/>
    <cellStyle name="Normal 10 2 9 4 3" xfId="14832" xr:uid="{11C3C837-E276-4B00-B122-2D09C7A2D7D8}"/>
    <cellStyle name="Normal 10 2 9 4 3 2" xfId="14833" xr:uid="{4F47C614-191E-447E-9725-A7016320F295}"/>
    <cellStyle name="Normal 10 2 9 4 3 2 2" xfId="14834" xr:uid="{98F2499F-613D-4AF1-93A3-93701EFE9DB2}"/>
    <cellStyle name="Normal 10 2 9 4 3 2 2 2" xfId="14835" xr:uid="{C5535124-B9E0-4C20-8C7C-3F72BB7BC2C2}"/>
    <cellStyle name="Normal 10 2 9 4 3 2 2 2 2" xfId="14836" xr:uid="{83EB28A0-265E-407A-B78D-4074BECBED34}"/>
    <cellStyle name="Normal 10 2 9 4 3 2 2 3" xfId="14837" xr:uid="{6E837CB6-DCDD-4053-A96F-95F630CD5387}"/>
    <cellStyle name="Normal 10 2 9 4 3 2 3" xfId="14838" xr:uid="{897AC86B-661A-4276-8E9D-20B3B109DFF1}"/>
    <cellStyle name="Normal 10 2 9 4 3 2 3 2" xfId="14839" xr:uid="{B8A8C6C6-9FAD-4BE5-9904-8FC4441C5424}"/>
    <cellStyle name="Normal 10 2 9 4 3 2 4" xfId="14840" xr:uid="{F84610CE-D47C-48FE-8464-C8B6B3AC0030}"/>
    <cellStyle name="Normal 10 2 9 4 3 3" xfId="14841" xr:uid="{5316FCBD-B1DF-4275-B9C2-BAADA38E0B96}"/>
    <cellStyle name="Normal 10 2 9 4 3 3 2" xfId="14842" xr:uid="{11A94141-D2A1-499B-9C86-D8E51DF83D03}"/>
    <cellStyle name="Normal 10 2 9 4 3 3 2 2" xfId="14843" xr:uid="{CACDB512-B815-4A2B-B869-72F341753BFD}"/>
    <cellStyle name="Normal 10 2 9 4 3 3 3" xfId="14844" xr:uid="{B4E61441-CEA8-4B78-AC4A-BA1AE460D159}"/>
    <cellStyle name="Normal 10 2 9 4 3 4" xfId="14845" xr:uid="{921536A2-E19B-4BB4-B55D-3B82A9ED18E2}"/>
    <cellStyle name="Normal 10 2 9 4 3 4 2" xfId="14846" xr:uid="{B6521456-57DF-42F7-A33C-28C9AF83CAA5}"/>
    <cellStyle name="Normal 10 2 9 4 3 5" xfId="14847" xr:uid="{DBC5A918-36EC-4D2F-956B-9A4B793CB974}"/>
    <cellStyle name="Normal 10 2 9 4 4" xfId="14848" xr:uid="{F352EB53-BD2A-4AF4-AC8B-B1A51098F873}"/>
    <cellStyle name="Normal 10 2 9 4 4 2" xfId="14849" xr:uid="{60F82404-680E-486B-B8F3-AEFC226D1BC0}"/>
    <cellStyle name="Normal 10 2 9 4 4 2 2" xfId="14850" xr:uid="{CAB13DC5-BD6E-4D00-9E2B-8D7F7C81B9AB}"/>
    <cellStyle name="Normal 10 2 9 4 4 2 2 2" xfId="14851" xr:uid="{F1D6998A-AF28-49BF-8270-66A22A50B0FE}"/>
    <cellStyle name="Normal 10 2 9 4 4 2 3" xfId="14852" xr:uid="{F5013C4F-D6A1-410D-B3C4-2345158F1FDB}"/>
    <cellStyle name="Normal 10 2 9 4 4 3" xfId="14853" xr:uid="{FB1D6BCE-DBBB-4485-81D7-4400EBA01099}"/>
    <cellStyle name="Normal 10 2 9 4 4 3 2" xfId="14854" xr:uid="{A09FD426-4773-43D7-A8CA-F4FFFBE70531}"/>
    <cellStyle name="Normal 10 2 9 4 4 4" xfId="14855" xr:uid="{4E789E9E-55A8-41E6-A7CC-31C8A8830031}"/>
    <cellStyle name="Normal 10 2 9 4 5" xfId="14856" xr:uid="{3784F38F-1C7F-4687-B1A2-F9829FE5DC28}"/>
    <cellStyle name="Normal 10 2 9 4 5 2" xfId="14857" xr:uid="{8DF1B13B-62BB-4D52-A0D8-E4A0E76032CE}"/>
    <cellStyle name="Normal 10 2 9 4 5 2 2" xfId="14858" xr:uid="{C3F54033-663A-48D0-A82F-9A066A2DFDAB}"/>
    <cellStyle name="Normal 10 2 9 4 5 3" xfId="14859" xr:uid="{5E9F3541-0A22-41A0-9191-4A734E63682C}"/>
    <cellStyle name="Normal 10 2 9 4 6" xfId="14860" xr:uid="{96A4AAFC-7AF6-471E-8154-7465CFE128B3}"/>
    <cellStyle name="Normal 10 2 9 4 6 2" xfId="14861" xr:uid="{7F83CC50-938E-4FE1-88D0-C89EBB4D51E9}"/>
    <cellStyle name="Normal 10 2 9 4 7" xfId="14862" xr:uid="{DFC8F980-49C4-4566-85C2-C1B723D0E79C}"/>
    <cellStyle name="Normal 10 2 9 5" xfId="14863" xr:uid="{B93A91C9-5909-4282-BE7E-B4154BFED928}"/>
    <cellStyle name="Normal 10 2 9 5 2" xfId="14864" xr:uid="{3EEF0405-2FBC-4EA7-83D7-EAFA25435471}"/>
    <cellStyle name="Normal 10 2 9 5 2 2" xfId="14865" xr:uid="{92B06B53-8918-4572-90A4-EFD3EB0F3DC6}"/>
    <cellStyle name="Normal 10 2 9 5 2 2 2" xfId="14866" xr:uid="{50A8E443-4DFD-4637-A91A-16D1B04D89A9}"/>
    <cellStyle name="Normal 10 2 9 5 2 2 2 2" xfId="14867" xr:uid="{27035F40-4EE1-44BE-A4FC-172151EE5895}"/>
    <cellStyle name="Normal 10 2 9 5 2 2 2 2 2" xfId="14868" xr:uid="{DBF0EF21-ACE1-4CB7-8FF8-7DEE7B019168}"/>
    <cellStyle name="Normal 10 2 9 5 2 2 2 3" xfId="14869" xr:uid="{8D6E3D50-CA8F-450B-9E6A-3F003C58D653}"/>
    <cellStyle name="Normal 10 2 9 5 2 2 3" xfId="14870" xr:uid="{DE8FDF77-5300-42B9-9D84-613487EBAA00}"/>
    <cellStyle name="Normal 10 2 9 5 2 2 3 2" xfId="14871" xr:uid="{BF1032B3-929E-48D0-BB06-7E06ACBD5C2B}"/>
    <cellStyle name="Normal 10 2 9 5 2 2 4" xfId="14872" xr:uid="{0A47BD45-2B22-497C-8FBF-92A292D984D7}"/>
    <cellStyle name="Normal 10 2 9 5 2 3" xfId="14873" xr:uid="{E9F2E1F0-4114-440B-A347-5A9A4CE26358}"/>
    <cellStyle name="Normal 10 2 9 5 2 3 2" xfId="14874" xr:uid="{E5E0FA6E-293A-4862-B917-4F7510ED5DA7}"/>
    <cellStyle name="Normal 10 2 9 5 2 3 2 2" xfId="14875" xr:uid="{32B286E7-973F-446B-9366-F53BFD824FF7}"/>
    <cellStyle name="Normal 10 2 9 5 2 3 3" xfId="14876" xr:uid="{33CBFF87-7D13-4A50-B6DE-50C7D9F1BB4C}"/>
    <cellStyle name="Normal 10 2 9 5 2 4" xfId="14877" xr:uid="{6DD7DDA0-EED0-4BAF-9B3F-96F84D188BC6}"/>
    <cellStyle name="Normal 10 2 9 5 2 4 2" xfId="14878" xr:uid="{FE110C32-DA3A-41DE-83F6-8A23E3681142}"/>
    <cellStyle name="Normal 10 2 9 5 2 5" xfId="14879" xr:uid="{008E550A-CFCA-4A21-BECE-41640C016A1E}"/>
    <cellStyle name="Normal 10 2 9 5 3" xfId="14880" xr:uid="{1F42E355-798A-4F6D-807C-E8C50FE406EB}"/>
    <cellStyle name="Normal 10 2 9 5 3 2" xfId="14881" xr:uid="{BF2E7C3D-775F-46F9-A50C-0447A5D772A4}"/>
    <cellStyle name="Normal 10 2 9 5 3 2 2" xfId="14882" xr:uid="{807C5194-8677-4C39-9E80-DCB62B8E8604}"/>
    <cellStyle name="Normal 10 2 9 5 3 2 2 2" xfId="14883" xr:uid="{184997D7-0627-41C9-BF6C-E20E925ADBB0}"/>
    <cellStyle name="Normal 10 2 9 5 3 2 3" xfId="14884" xr:uid="{44F74E15-A0E2-4960-8B94-BFECE8E0C242}"/>
    <cellStyle name="Normal 10 2 9 5 3 3" xfId="14885" xr:uid="{B891082D-3608-406C-BD8E-EBFCC0E84737}"/>
    <cellStyle name="Normal 10 2 9 5 3 3 2" xfId="14886" xr:uid="{273F7CB0-D139-4A38-B9AD-7D01E779DD2D}"/>
    <cellStyle name="Normal 10 2 9 5 3 4" xfId="14887" xr:uid="{C301784F-0E94-48CF-A9BC-B3C63DA97C2B}"/>
    <cellStyle name="Normal 10 2 9 5 4" xfId="14888" xr:uid="{5B322CD5-8188-4844-A5CA-7180B3428522}"/>
    <cellStyle name="Normal 10 2 9 5 4 2" xfId="14889" xr:uid="{B0463898-01F9-4784-9B7E-E87BD088BCCF}"/>
    <cellStyle name="Normal 10 2 9 5 4 2 2" xfId="14890" xr:uid="{26A6AFF9-9CAE-4524-846F-9433A1204501}"/>
    <cellStyle name="Normal 10 2 9 5 4 3" xfId="14891" xr:uid="{686059F9-1516-40A9-A9C2-AAD92667ECA4}"/>
    <cellStyle name="Normal 10 2 9 5 5" xfId="14892" xr:uid="{0EC537C9-C101-4506-922C-D4FCB8ED8192}"/>
    <cellStyle name="Normal 10 2 9 5 5 2" xfId="14893" xr:uid="{0ACB8C8A-65E3-442D-86B1-27C1581BB9B6}"/>
    <cellStyle name="Normal 10 2 9 5 6" xfId="14894" xr:uid="{125976DF-A1A3-4115-BF21-F15D2E7A6399}"/>
    <cellStyle name="Normal 10 2 9 6" xfId="14895" xr:uid="{F50FE649-1A7E-45FC-8222-2DA7DC8D0953}"/>
    <cellStyle name="Normal 10 2 9 6 2" xfId="14896" xr:uid="{30CC1475-669A-4E48-B636-7A4311FCF4CA}"/>
    <cellStyle name="Normal 10 2 9 6 2 2" xfId="14897" xr:uid="{1BBDCC82-2665-4021-8318-B5355ED2D041}"/>
    <cellStyle name="Normal 10 2 9 6 2 2 2" xfId="14898" xr:uid="{9270D4F5-725C-4CDE-A2AE-6B0A6DF49927}"/>
    <cellStyle name="Normal 10 2 9 6 2 2 2 2" xfId="14899" xr:uid="{CCCE4154-114A-4AA7-9EED-392154C9A0C9}"/>
    <cellStyle name="Normal 10 2 9 6 2 2 3" xfId="14900" xr:uid="{C5D96292-0DB0-4464-9993-AF4C34EA0FAA}"/>
    <cellStyle name="Normal 10 2 9 6 2 3" xfId="14901" xr:uid="{416BAC22-9A66-4D78-96B8-121AED22A715}"/>
    <cellStyle name="Normal 10 2 9 6 2 3 2" xfId="14902" xr:uid="{BEB612FD-0986-496E-AB38-1F6461612F1E}"/>
    <cellStyle name="Normal 10 2 9 6 2 4" xfId="14903" xr:uid="{E4499D22-5B61-4D61-80A1-883B4A5B889B}"/>
    <cellStyle name="Normal 10 2 9 6 3" xfId="14904" xr:uid="{EB2D9A26-16A5-47A5-BA76-77CC71C56D89}"/>
    <cellStyle name="Normal 10 2 9 6 3 2" xfId="14905" xr:uid="{B31BB2D0-6268-4902-8ECA-2D2EEE00508F}"/>
    <cellStyle name="Normal 10 2 9 6 3 2 2" xfId="14906" xr:uid="{14AFC326-8458-49A2-B892-415BECED5B66}"/>
    <cellStyle name="Normal 10 2 9 6 3 3" xfId="14907" xr:uid="{55CD0A85-3875-41EE-A86D-A81F68CBF2C7}"/>
    <cellStyle name="Normal 10 2 9 6 4" xfId="14908" xr:uid="{A05D40CB-BD51-4ED2-A4E1-1DC6E37E5B2B}"/>
    <cellStyle name="Normal 10 2 9 6 4 2" xfId="14909" xr:uid="{9688B5C1-8400-4587-892D-91727E827ED0}"/>
    <cellStyle name="Normal 10 2 9 6 5" xfId="14910" xr:uid="{F695DA72-2C6F-49EF-A6C3-F75DE02303D0}"/>
    <cellStyle name="Normal 10 2 9 7" xfId="14911" xr:uid="{94468581-F5A7-4ED9-A67A-B9A7D0ECB5FB}"/>
    <cellStyle name="Normal 10 2 9 7 2" xfId="14912" xr:uid="{1C7CE983-EB9E-4E56-BAFC-9E7CE0659CE3}"/>
    <cellStyle name="Normal 10 2 9 7 2 2" xfId="14913" xr:uid="{727FE49D-17F4-4016-9C5E-76AB86A47D94}"/>
    <cellStyle name="Normal 10 2 9 7 2 2 2" xfId="14914" xr:uid="{270A824C-16FA-4873-884E-84C1AD99FF93}"/>
    <cellStyle name="Normal 10 2 9 7 2 3" xfId="14915" xr:uid="{CC26DC99-BEDC-4F4C-A602-7B34D79C3016}"/>
    <cellStyle name="Normal 10 2 9 7 3" xfId="14916" xr:uid="{B204B7FC-B40F-4F68-BA9F-1E317F367E9E}"/>
    <cellStyle name="Normal 10 2 9 7 3 2" xfId="14917" xr:uid="{38856BFB-1FF3-45EB-8B81-CD08865B6D0F}"/>
    <cellStyle name="Normal 10 2 9 7 4" xfId="14918" xr:uid="{7539CCD0-1739-4E21-989C-6D5017641C3F}"/>
    <cellStyle name="Normal 10 2 9 8" xfId="14919" xr:uid="{6F7DBA2D-FEF7-4759-AF92-302C41D51947}"/>
    <cellStyle name="Normal 10 2 9 8 2" xfId="14920" xr:uid="{B3AF4697-457C-4C30-80BD-88B4B6BB5E87}"/>
    <cellStyle name="Normal 10 2 9 8 2 2" xfId="14921" xr:uid="{4CE76399-9508-4E72-ADA7-874514AF7724}"/>
    <cellStyle name="Normal 10 2 9 8 3" xfId="14922" xr:uid="{FF592816-A511-4130-8424-6AE5AB15BB55}"/>
    <cellStyle name="Normal 10 2 9 9" xfId="14923" xr:uid="{7069690D-43C2-4800-A047-1554BC8F2AB7}"/>
    <cellStyle name="Normal 10 2 9 9 2" xfId="14924" xr:uid="{6B1DEFD8-C2BB-486D-BD49-1FF771179E77}"/>
    <cellStyle name="Normal 10 3" xfId="64" xr:uid="{A20E4990-3CCA-45D8-A589-FF31CE5DA6A6}"/>
    <cellStyle name="Normal 10 3 10" xfId="433" xr:uid="{C5DFD685-7A12-4DE9-983A-B9FED5C801B7}"/>
    <cellStyle name="Normal 10 3 10 2" xfId="14926" xr:uid="{E4E863FA-7406-4119-A47B-9B19ABDC5F76}"/>
    <cellStyle name="Normal 10 3 10 2 2" xfId="14927" xr:uid="{FC26E14D-C556-4425-9C4F-FA2D02AF81C7}"/>
    <cellStyle name="Normal 10 3 10 2 2 2" xfId="14928" xr:uid="{7449E7FB-0575-4642-856E-223688111F59}"/>
    <cellStyle name="Normal 10 3 10 2 2 2 2" xfId="14929" xr:uid="{B8B9B8FF-A7AE-44BB-86CD-3A5AAFF96291}"/>
    <cellStyle name="Normal 10 3 10 2 2 2 2 2" xfId="14930" xr:uid="{68682CA4-11C7-492D-9E90-FFFDA44DA3F1}"/>
    <cellStyle name="Normal 10 3 10 2 2 2 2 2 2" xfId="14931" xr:uid="{AA9432EE-828E-4C9C-B3BD-8D42AF310BA3}"/>
    <cellStyle name="Normal 10 3 10 2 2 2 2 2 2 2" xfId="14932" xr:uid="{FD07CAC0-833A-43D2-A6DC-F78788BA4791}"/>
    <cellStyle name="Normal 10 3 10 2 2 2 2 2 3" xfId="14933" xr:uid="{DD7952E0-E5B1-49B2-BB00-42DC67DF333B}"/>
    <cellStyle name="Normal 10 3 10 2 2 2 2 3" xfId="14934" xr:uid="{97DD969B-7DAA-46EF-B58D-4C26719F99FB}"/>
    <cellStyle name="Normal 10 3 10 2 2 2 2 3 2" xfId="14935" xr:uid="{7BA72EE2-214B-4178-A141-B286DE6C2BAB}"/>
    <cellStyle name="Normal 10 3 10 2 2 2 2 4" xfId="14936" xr:uid="{03A1345C-D85C-494A-B49D-ED8FCC42F3C1}"/>
    <cellStyle name="Normal 10 3 10 2 2 2 3" xfId="14937" xr:uid="{8C7546C6-D0AB-45F0-8159-A65CF1A416DE}"/>
    <cellStyle name="Normal 10 3 10 2 2 2 3 2" xfId="14938" xr:uid="{F975789C-F321-42AF-A243-D85017CE1E3F}"/>
    <cellStyle name="Normal 10 3 10 2 2 2 3 2 2" xfId="14939" xr:uid="{5A6971AE-BCBD-4036-83F8-AC2384C2C9E5}"/>
    <cellStyle name="Normal 10 3 10 2 2 2 3 3" xfId="14940" xr:uid="{FBBEADEC-A364-484A-A922-726BE577A4AF}"/>
    <cellStyle name="Normal 10 3 10 2 2 2 4" xfId="14941" xr:uid="{E3C5F579-D990-4E29-9E8A-380FC6D94360}"/>
    <cellStyle name="Normal 10 3 10 2 2 2 4 2" xfId="14942" xr:uid="{752CF74D-F6F8-44E1-A08E-0885B90E50AA}"/>
    <cellStyle name="Normal 10 3 10 2 2 2 5" xfId="14943" xr:uid="{FBA6B227-7B38-4432-8354-19E8B489B780}"/>
    <cellStyle name="Normal 10 3 10 2 2 3" xfId="14944" xr:uid="{F57E7D09-C296-436A-A6C5-148507AE62EE}"/>
    <cellStyle name="Normal 10 3 10 2 2 3 2" xfId="14945" xr:uid="{3B275344-E8C9-4D9C-92BB-1A08F07AB839}"/>
    <cellStyle name="Normal 10 3 10 2 2 3 2 2" xfId="14946" xr:uid="{97039AE9-14A7-4E77-956F-0CE86A7229BB}"/>
    <cellStyle name="Normal 10 3 10 2 2 3 2 2 2" xfId="14947" xr:uid="{76F4AC4C-0460-44A0-853C-71246DF5FAB8}"/>
    <cellStyle name="Normal 10 3 10 2 2 3 2 3" xfId="14948" xr:uid="{A2A89473-6A71-46C0-9588-695EACAC3318}"/>
    <cellStyle name="Normal 10 3 10 2 2 3 3" xfId="14949" xr:uid="{5DB3B68C-1362-4834-84E6-97642BB1E3B7}"/>
    <cellStyle name="Normal 10 3 10 2 2 3 3 2" xfId="14950" xr:uid="{CAE9CB30-16AD-4CE3-9294-0A01F33AC645}"/>
    <cellStyle name="Normal 10 3 10 2 2 3 4" xfId="14951" xr:uid="{D3AF3326-C1C9-403E-ABE2-739298F11610}"/>
    <cellStyle name="Normal 10 3 10 2 2 4" xfId="14952" xr:uid="{6E96BA74-4BC2-4E5E-A730-3E4E9233E2E3}"/>
    <cellStyle name="Normal 10 3 10 2 2 4 2" xfId="14953" xr:uid="{CA794881-BEB5-4541-9EC5-E722DC9659AB}"/>
    <cellStyle name="Normal 10 3 10 2 2 4 2 2" xfId="14954" xr:uid="{714495AB-9673-4CF5-863C-6F9333B281F6}"/>
    <cellStyle name="Normal 10 3 10 2 2 4 3" xfId="14955" xr:uid="{7935730C-38EC-424B-BB4F-93A7C5C6DFE5}"/>
    <cellStyle name="Normal 10 3 10 2 2 5" xfId="14956" xr:uid="{011790C7-6E5F-4D0E-9D44-776830E78F6B}"/>
    <cellStyle name="Normal 10 3 10 2 2 5 2" xfId="14957" xr:uid="{2B5F34F4-F4A3-4568-B3BD-71DE08CD5B89}"/>
    <cellStyle name="Normal 10 3 10 2 2 6" xfId="14958" xr:uid="{3E01B5DB-7CFC-4EDA-9A48-A160C86FDE26}"/>
    <cellStyle name="Normal 10 3 10 2 3" xfId="14959" xr:uid="{A96B1812-4662-4BE1-8284-C02020E71053}"/>
    <cellStyle name="Normal 10 3 10 2 3 2" xfId="14960" xr:uid="{6C886B1D-F7FC-49ED-90EE-E39D5923D37B}"/>
    <cellStyle name="Normal 10 3 10 2 3 2 2" xfId="14961" xr:uid="{7DE8A0BB-39D3-421E-BEDC-6D13B648CDC1}"/>
    <cellStyle name="Normal 10 3 10 2 3 2 2 2" xfId="14962" xr:uid="{C572223D-3E86-4585-916C-A6270768EA63}"/>
    <cellStyle name="Normal 10 3 10 2 3 2 2 2 2" xfId="14963" xr:uid="{FD950914-B181-44B7-BA01-3C2872921E04}"/>
    <cellStyle name="Normal 10 3 10 2 3 2 2 3" xfId="14964" xr:uid="{41B3E544-F6A6-43BE-AA8A-447CBAA964B3}"/>
    <cellStyle name="Normal 10 3 10 2 3 2 3" xfId="14965" xr:uid="{3CA68020-3C31-4F03-8623-244B16F05A78}"/>
    <cellStyle name="Normal 10 3 10 2 3 2 3 2" xfId="14966" xr:uid="{E6214F0F-6A5A-4E6C-9CF9-C98047F4169D}"/>
    <cellStyle name="Normal 10 3 10 2 3 2 4" xfId="14967" xr:uid="{C25B3912-631A-4586-8FCC-63750E2DCB26}"/>
    <cellStyle name="Normal 10 3 10 2 3 3" xfId="14968" xr:uid="{45CA46FB-56A1-4942-8639-FB3FAEB4ED95}"/>
    <cellStyle name="Normal 10 3 10 2 3 3 2" xfId="14969" xr:uid="{92FBF0BB-D6E2-45BD-BAC1-FA40D626571B}"/>
    <cellStyle name="Normal 10 3 10 2 3 3 2 2" xfId="14970" xr:uid="{1C1091C0-E17C-4F2F-8AB6-380754EE3719}"/>
    <cellStyle name="Normal 10 3 10 2 3 3 3" xfId="14971" xr:uid="{2F50E618-5580-4E49-A24E-EB4512D253BD}"/>
    <cellStyle name="Normal 10 3 10 2 3 4" xfId="14972" xr:uid="{E802EA01-D26A-45C1-A656-FC859511DCEE}"/>
    <cellStyle name="Normal 10 3 10 2 3 4 2" xfId="14973" xr:uid="{C78FD4D0-A879-4003-926F-EDD8D3388E8A}"/>
    <cellStyle name="Normal 10 3 10 2 3 5" xfId="14974" xr:uid="{63510723-1610-4B6A-A265-FC89B5030EFF}"/>
    <cellStyle name="Normal 10 3 10 2 4" xfId="14975" xr:uid="{3B494721-4771-4EED-BD7E-0C1A5BA5ED42}"/>
    <cellStyle name="Normal 10 3 10 2 4 2" xfId="14976" xr:uid="{DB313F5B-0E9A-4EF1-A2D9-1FF27CA07F12}"/>
    <cellStyle name="Normal 10 3 10 2 4 2 2" xfId="14977" xr:uid="{0406861E-828A-4654-B954-AB0C99AB8FCB}"/>
    <cellStyle name="Normal 10 3 10 2 4 2 2 2" xfId="14978" xr:uid="{44629E17-703C-4DEA-A825-0E8F47B07EF5}"/>
    <cellStyle name="Normal 10 3 10 2 4 2 3" xfId="14979" xr:uid="{3FA11869-5C41-43A4-88C5-64270AD242DF}"/>
    <cellStyle name="Normal 10 3 10 2 4 3" xfId="14980" xr:uid="{8A83FF94-29AC-4060-B5B8-2238B5FD2AF8}"/>
    <cellStyle name="Normal 10 3 10 2 4 3 2" xfId="14981" xr:uid="{087ECA7F-D912-4A78-867E-2F121CC34795}"/>
    <cellStyle name="Normal 10 3 10 2 4 4" xfId="14982" xr:uid="{39E0350A-9D8C-4E8A-A582-F776AA8733F0}"/>
    <cellStyle name="Normal 10 3 10 2 5" xfId="14983" xr:uid="{9EBD4BC1-7EEC-4248-BBE8-8FB02AA3E1C2}"/>
    <cellStyle name="Normal 10 3 10 2 5 2" xfId="14984" xr:uid="{055E5B74-5076-47A6-8A18-D8706F8C5E5D}"/>
    <cellStyle name="Normal 10 3 10 2 5 2 2" xfId="14985" xr:uid="{02101859-C26D-4524-BA6D-3D2450620920}"/>
    <cellStyle name="Normal 10 3 10 2 5 3" xfId="14986" xr:uid="{9EA3359F-9EF8-4938-8632-3E92DA436711}"/>
    <cellStyle name="Normal 10 3 10 2 6" xfId="14987" xr:uid="{02ABAADD-129E-42F8-AFEC-B696AD85C744}"/>
    <cellStyle name="Normal 10 3 10 2 6 2" xfId="14988" xr:uid="{E8D30AC3-01DF-4BB6-A88B-B328677D3BB5}"/>
    <cellStyle name="Normal 10 3 10 2 7" xfId="14989" xr:uid="{B2E9449B-403C-4A71-BDA6-7EF6455D3359}"/>
    <cellStyle name="Normal 10 3 10 3" xfId="14990" xr:uid="{F89E1398-2C8B-44C3-A311-5709C2FF0BA4}"/>
    <cellStyle name="Normal 10 3 10 3 2" xfId="14991" xr:uid="{E19BBAB4-2F33-4FC1-94FC-77C0EBD7F0EB}"/>
    <cellStyle name="Normal 10 3 10 3 2 2" xfId="14992" xr:uid="{5A7C3938-59DB-4D12-86B6-EAE32B533CE6}"/>
    <cellStyle name="Normal 10 3 10 3 2 2 2" xfId="14993" xr:uid="{51BBE959-27C7-4338-90F2-689054D1AE2C}"/>
    <cellStyle name="Normal 10 3 10 3 2 2 2 2" xfId="14994" xr:uid="{47915913-3AB1-4061-90FE-FF0C0FE1A548}"/>
    <cellStyle name="Normal 10 3 10 3 2 2 2 2 2" xfId="14995" xr:uid="{6A04B0AB-4887-4032-8179-2ED671F9296E}"/>
    <cellStyle name="Normal 10 3 10 3 2 2 2 3" xfId="14996" xr:uid="{E216C3DA-CF01-4F2C-86C6-022E1D68876E}"/>
    <cellStyle name="Normal 10 3 10 3 2 2 3" xfId="14997" xr:uid="{4CAE5629-C5A1-4E44-9808-AB9EDA3C6219}"/>
    <cellStyle name="Normal 10 3 10 3 2 2 3 2" xfId="14998" xr:uid="{2554BEAC-98BA-4ED4-B1C7-619E8FEEE301}"/>
    <cellStyle name="Normal 10 3 10 3 2 2 4" xfId="14999" xr:uid="{8FCEC0C1-3904-416C-A657-F9C96F381F46}"/>
    <cellStyle name="Normal 10 3 10 3 2 3" xfId="15000" xr:uid="{89AEA448-87FE-431D-A6DB-20459C5E46F7}"/>
    <cellStyle name="Normal 10 3 10 3 2 3 2" xfId="15001" xr:uid="{4A42C054-E19D-49DA-8897-58A5728FFB67}"/>
    <cellStyle name="Normal 10 3 10 3 2 3 2 2" xfId="15002" xr:uid="{2C49290D-341A-4C94-B80B-291EBBC491A3}"/>
    <cellStyle name="Normal 10 3 10 3 2 3 3" xfId="15003" xr:uid="{2DDC7EFB-B7AB-4DC9-A31A-A431B0D251D2}"/>
    <cellStyle name="Normal 10 3 10 3 2 4" xfId="15004" xr:uid="{CCA05450-8BF4-43C4-BA28-AFBFE1841F9B}"/>
    <cellStyle name="Normal 10 3 10 3 2 4 2" xfId="15005" xr:uid="{6E9FAF94-7ED9-483E-93E5-9CDB67176BCA}"/>
    <cellStyle name="Normal 10 3 10 3 2 5" xfId="15006" xr:uid="{0E6AD09E-E1B6-4F4B-9E80-0655A2CE92F7}"/>
    <cellStyle name="Normal 10 3 10 3 3" xfId="15007" xr:uid="{58637936-3A4E-4004-B50B-76BCEC293D32}"/>
    <cellStyle name="Normal 10 3 10 3 3 2" xfId="15008" xr:uid="{464B82E6-F544-4DD0-B5AE-E9E266DA67B2}"/>
    <cellStyle name="Normal 10 3 10 3 3 2 2" xfId="15009" xr:uid="{6719C74C-E7F8-402E-A28C-B3E2D5705E2A}"/>
    <cellStyle name="Normal 10 3 10 3 3 2 2 2" xfId="15010" xr:uid="{4EDDF9C6-15D0-44C4-9092-29377D7A23BC}"/>
    <cellStyle name="Normal 10 3 10 3 3 2 3" xfId="15011" xr:uid="{EA6E0AE9-6E7B-4EB9-AF26-A50802FB0142}"/>
    <cellStyle name="Normal 10 3 10 3 3 3" xfId="15012" xr:uid="{7EC82737-85A4-4BE9-B64A-F6F842A4554A}"/>
    <cellStyle name="Normal 10 3 10 3 3 3 2" xfId="15013" xr:uid="{72C3B514-FF90-4A28-8B58-1E8ACC9807FE}"/>
    <cellStyle name="Normal 10 3 10 3 3 4" xfId="15014" xr:uid="{E5B431DE-930D-44F2-83B4-DCF152EAC532}"/>
    <cellStyle name="Normal 10 3 10 3 4" xfId="15015" xr:uid="{3B7ADEE4-7178-4E4B-971E-76DC8859B145}"/>
    <cellStyle name="Normal 10 3 10 3 4 2" xfId="15016" xr:uid="{805C3AE6-D08D-493F-9CFD-D42BE0B87CE7}"/>
    <cellStyle name="Normal 10 3 10 3 4 2 2" xfId="15017" xr:uid="{DCC20BAC-E534-4286-A489-4CD853F6EE32}"/>
    <cellStyle name="Normal 10 3 10 3 4 3" xfId="15018" xr:uid="{F11C80E8-6074-4DBE-8F1B-1B41D05F8FAF}"/>
    <cellStyle name="Normal 10 3 10 3 5" xfId="15019" xr:uid="{5F2C3B1E-6199-4D90-8DBB-CF8833473C68}"/>
    <cellStyle name="Normal 10 3 10 3 5 2" xfId="15020" xr:uid="{C65471BD-F480-44AD-B842-D138EDA90B3A}"/>
    <cellStyle name="Normal 10 3 10 3 6" xfId="15021" xr:uid="{730713D2-D93A-4D4F-8239-F346EBCA8A23}"/>
    <cellStyle name="Normal 10 3 10 4" xfId="15022" xr:uid="{2B9FDB9D-8F0A-40B8-9788-AB8D17ACF6A3}"/>
    <cellStyle name="Normal 10 3 10 4 2" xfId="15023" xr:uid="{BD0A9406-309D-498B-89A8-4111749484A4}"/>
    <cellStyle name="Normal 10 3 10 4 2 2" xfId="15024" xr:uid="{EB3D4447-65C0-40A0-97C0-E211427773BC}"/>
    <cellStyle name="Normal 10 3 10 4 2 2 2" xfId="15025" xr:uid="{FB013455-A84E-43DC-A4DA-45FFC4BDC9BD}"/>
    <cellStyle name="Normal 10 3 10 4 2 2 2 2" xfId="15026" xr:uid="{D9FCB2E3-7DC1-48DE-83CE-40382FCD71D1}"/>
    <cellStyle name="Normal 10 3 10 4 2 2 3" xfId="15027" xr:uid="{60224899-2861-4591-80F3-84A520795697}"/>
    <cellStyle name="Normal 10 3 10 4 2 3" xfId="15028" xr:uid="{E2874C56-FF46-463B-9D75-180AFB6E7237}"/>
    <cellStyle name="Normal 10 3 10 4 2 3 2" xfId="15029" xr:uid="{D88FAC10-EF87-4D09-9B79-044F2378DF02}"/>
    <cellStyle name="Normal 10 3 10 4 2 4" xfId="15030" xr:uid="{9E63EEBF-BEBD-41BA-B1C8-7A2C39C084D5}"/>
    <cellStyle name="Normal 10 3 10 4 3" xfId="15031" xr:uid="{73CCF915-DFB9-47E4-A143-86B12E34A4AD}"/>
    <cellStyle name="Normal 10 3 10 4 3 2" xfId="15032" xr:uid="{EB4E47F5-C8EF-433D-9350-2D3B2E9957C8}"/>
    <cellStyle name="Normal 10 3 10 4 3 2 2" xfId="15033" xr:uid="{0866CC66-C47D-4B0D-BFD0-7EAC7A1C4095}"/>
    <cellStyle name="Normal 10 3 10 4 3 3" xfId="15034" xr:uid="{64D312F2-D461-47E0-9C8A-C1A4C5F44F6B}"/>
    <cellStyle name="Normal 10 3 10 4 4" xfId="15035" xr:uid="{6C1B5B9F-FC32-47DC-B0D6-6B9B3DE168D2}"/>
    <cellStyle name="Normal 10 3 10 4 4 2" xfId="15036" xr:uid="{CC82C670-A1EB-47D8-ABAC-41FC315E1D81}"/>
    <cellStyle name="Normal 10 3 10 4 5" xfId="15037" xr:uid="{0FE37D9C-492E-4F24-845B-C4AA37841D1E}"/>
    <cellStyle name="Normal 10 3 10 5" xfId="15038" xr:uid="{E213D5F9-D071-4B73-A328-C233864E03CF}"/>
    <cellStyle name="Normal 10 3 10 5 2" xfId="15039" xr:uid="{155EEF83-9877-44DA-AC65-965068975EEF}"/>
    <cellStyle name="Normal 10 3 10 5 2 2" xfId="15040" xr:uid="{8613A668-5201-423E-9296-AED12AB602DD}"/>
    <cellStyle name="Normal 10 3 10 5 2 2 2" xfId="15041" xr:uid="{76BE36A1-4026-49A4-861E-B2B1E25B1604}"/>
    <cellStyle name="Normal 10 3 10 5 2 3" xfId="15042" xr:uid="{03D7B987-08A9-4961-A719-649DF080769A}"/>
    <cellStyle name="Normal 10 3 10 5 3" xfId="15043" xr:uid="{69A3F78F-4DF5-4500-9005-BA1CB0E3973B}"/>
    <cellStyle name="Normal 10 3 10 5 3 2" xfId="15044" xr:uid="{C287F430-3D0D-4B10-9FED-D7D3C834B7E9}"/>
    <cellStyle name="Normal 10 3 10 5 4" xfId="15045" xr:uid="{B206E69C-4145-4992-84AE-E261DC62BAC3}"/>
    <cellStyle name="Normal 10 3 10 6" xfId="15046" xr:uid="{309A65A5-16EF-4675-A427-9D6FAEE8BEE6}"/>
    <cellStyle name="Normal 10 3 10 6 2" xfId="15047" xr:uid="{0E530F10-FBE5-4E5E-B504-8564280A847F}"/>
    <cellStyle name="Normal 10 3 10 6 2 2" xfId="15048" xr:uid="{98EA8D38-CAEC-4A1C-A967-C884F25C2C4A}"/>
    <cellStyle name="Normal 10 3 10 6 3" xfId="15049" xr:uid="{1259EEFA-0425-4555-B938-834CAF1936EC}"/>
    <cellStyle name="Normal 10 3 10 7" xfId="15050" xr:uid="{ADD443DB-C929-4009-A1D9-8903A90C29B3}"/>
    <cellStyle name="Normal 10 3 10 7 2" xfId="15051" xr:uid="{1C82981A-1445-4C1A-9A0F-918A0251FEFC}"/>
    <cellStyle name="Normal 10 3 10 8" xfId="15052" xr:uid="{AC02D24A-F597-4B93-8901-72068AC6F240}"/>
    <cellStyle name="Normal 10 3 10 9" xfId="14925" xr:uid="{D5FDAD0F-8F03-4B05-A45D-ACFAB80D322E}"/>
    <cellStyle name="Normal 10 3 11" xfId="15053" xr:uid="{96DA9916-35F5-4FF0-AC21-A6100F7B40DF}"/>
    <cellStyle name="Normal 10 3 11 2" xfId="15054" xr:uid="{00EF00A6-F588-4175-8F57-6E42319097D4}"/>
    <cellStyle name="Normal 10 3 11 2 2" xfId="15055" xr:uid="{85C479BA-3E92-4C09-809C-3EB65C0211D6}"/>
    <cellStyle name="Normal 10 3 11 2 2 2" xfId="15056" xr:uid="{691B3E91-867E-4C94-B29F-D2AE82D00E07}"/>
    <cellStyle name="Normal 10 3 11 2 2 2 2" xfId="15057" xr:uid="{E4D4CE47-2095-4C9C-A1BC-78AE6605ADA8}"/>
    <cellStyle name="Normal 10 3 11 2 2 2 2 2" xfId="15058" xr:uid="{978CFF5E-174F-4190-850E-7F72DA2A3E01}"/>
    <cellStyle name="Normal 10 3 11 2 2 2 2 2 2" xfId="15059" xr:uid="{4DA7E584-DEFA-44E2-961E-BA8E8FDE382E}"/>
    <cellStyle name="Normal 10 3 11 2 2 2 2 3" xfId="15060" xr:uid="{CC6AA908-BFE8-426A-94BA-59927EE18A72}"/>
    <cellStyle name="Normal 10 3 11 2 2 2 3" xfId="15061" xr:uid="{7973BB14-5925-4154-981A-757FBC98F222}"/>
    <cellStyle name="Normal 10 3 11 2 2 2 3 2" xfId="15062" xr:uid="{C0BA0F12-DDDB-48E4-8870-80A391A20CAE}"/>
    <cellStyle name="Normal 10 3 11 2 2 2 4" xfId="15063" xr:uid="{6AD38287-2143-4CA0-8B65-EE258B1ECED7}"/>
    <cellStyle name="Normal 10 3 11 2 2 3" xfId="15064" xr:uid="{4E129F0C-56BC-444C-9E4D-57F2C205BB4E}"/>
    <cellStyle name="Normal 10 3 11 2 2 3 2" xfId="15065" xr:uid="{E869061C-7A86-4E04-AC8E-66D374A619DF}"/>
    <cellStyle name="Normal 10 3 11 2 2 3 2 2" xfId="15066" xr:uid="{7DAD5223-8E10-4061-A1F5-D67C030BB9CF}"/>
    <cellStyle name="Normal 10 3 11 2 2 3 3" xfId="15067" xr:uid="{1D78DC52-7A6A-45E1-B379-6EAF1F8E2A87}"/>
    <cellStyle name="Normal 10 3 11 2 2 4" xfId="15068" xr:uid="{FB70DA54-41C3-4F14-BAE2-22DE3482A87B}"/>
    <cellStyle name="Normal 10 3 11 2 2 4 2" xfId="15069" xr:uid="{38A15CE0-DADD-45EB-9615-0A9335B80AB1}"/>
    <cellStyle name="Normal 10 3 11 2 2 5" xfId="15070" xr:uid="{189489B3-AD1D-4416-AA45-1B6C5E3418CE}"/>
    <cellStyle name="Normal 10 3 11 2 3" xfId="15071" xr:uid="{86CDDCD6-9BB0-46A0-A9B4-01CD01F4669D}"/>
    <cellStyle name="Normal 10 3 11 2 3 2" xfId="15072" xr:uid="{1F660C43-162A-4782-9701-7C2995EA4AC9}"/>
    <cellStyle name="Normal 10 3 11 2 3 2 2" xfId="15073" xr:uid="{3AACAC70-8330-4CF5-A5B9-1C780AE0AB4D}"/>
    <cellStyle name="Normal 10 3 11 2 3 2 2 2" xfId="15074" xr:uid="{3CE5F8A7-265B-4655-A205-8DEB6E9D0565}"/>
    <cellStyle name="Normal 10 3 11 2 3 2 3" xfId="15075" xr:uid="{9DF3265B-E379-4A67-A086-2AB94182949C}"/>
    <cellStyle name="Normal 10 3 11 2 3 3" xfId="15076" xr:uid="{C225E190-3720-4880-99DE-7C4851D90370}"/>
    <cellStyle name="Normal 10 3 11 2 3 3 2" xfId="15077" xr:uid="{28CCF7CF-B029-40D4-9F6C-0C9CE3AFC84D}"/>
    <cellStyle name="Normal 10 3 11 2 3 4" xfId="15078" xr:uid="{08C7902D-5A4A-4DC2-8789-5E020BAF1DE6}"/>
    <cellStyle name="Normal 10 3 11 2 4" xfId="15079" xr:uid="{D3E97277-6203-4325-BE8E-EFC3B61B666C}"/>
    <cellStyle name="Normal 10 3 11 2 4 2" xfId="15080" xr:uid="{41A6854B-B302-4463-8D5F-09D8BF90BF70}"/>
    <cellStyle name="Normal 10 3 11 2 4 2 2" xfId="15081" xr:uid="{BEA6F9C4-DE68-4423-85A6-57573BA60F76}"/>
    <cellStyle name="Normal 10 3 11 2 4 3" xfId="15082" xr:uid="{F85C0691-75E1-4FA6-A832-725E11F58076}"/>
    <cellStyle name="Normal 10 3 11 2 5" xfId="15083" xr:uid="{AC6F1989-F1E3-47FC-9670-305F60E7404E}"/>
    <cellStyle name="Normal 10 3 11 2 5 2" xfId="15084" xr:uid="{2DC9F1A4-F873-4B70-ACB6-F41303435375}"/>
    <cellStyle name="Normal 10 3 11 2 6" xfId="15085" xr:uid="{CF37E99A-1DEE-4380-A54B-7B135F94474D}"/>
    <cellStyle name="Normal 10 3 11 3" xfId="15086" xr:uid="{ED0FA4DE-FC09-4788-BB55-8BD6270B88DB}"/>
    <cellStyle name="Normal 10 3 11 3 2" xfId="15087" xr:uid="{969CE96E-F9B5-4C3D-8DCE-CAEDB899F845}"/>
    <cellStyle name="Normal 10 3 11 3 2 2" xfId="15088" xr:uid="{7CB276B0-1A1C-4F5D-9C57-204BC73FFB7F}"/>
    <cellStyle name="Normal 10 3 11 3 2 2 2" xfId="15089" xr:uid="{6BF86A59-E11A-4704-9082-EA2B754FBBB6}"/>
    <cellStyle name="Normal 10 3 11 3 2 2 2 2" xfId="15090" xr:uid="{2FE1E3CF-D8A7-45E0-B254-9530D81BA9B1}"/>
    <cellStyle name="Normal 10 3 11 3 2 2 3" xfId="15091" xr:uid="{D7A81F13-5221-489F-9D08-D143079FC389}"/>
    <cellStyle name="Normal 10 3 11 3 2 3" xfId="15092" xr:uid="{AB9C462A-B558-4B15-AE96-6AFF1E1E8316}"/>
    <cellStyle name="Normal 10 3 11 3 2 3 2" xfId="15093" xr:uid="{750819EB-9525-414B-ADBC-C7348BA9408D}"/>
    <cellStyle name="Normal 10 3 11 3 2 4" xfId="15094" xr:uid="{F07BC656-C3C1-4B27-B63A-2D16EC5A218A}"/>
    <cellStyle name="Normal 10 3 11 3 3" xfId="15095" xr:uid="{517B40B9-92BF-4468-AE18-7CACC6BCB4E1}"/>
    <cellStyle name="Normal 10 3 11 3 3 2" xfId="15096" xr:uid="{6765F31B-0675-4A33-BC88-FC6DDD0027F6}"/>
    <cellStyle name="Normal 10 3 11 3 3 2 2" xfId="15097" xr:uid="{42D240C0-B051-4620-A07F-B781038DB259}"/>
    <cellStyle name="Normal 10 3 11 3 3 3" xfId="15098" xr:uid="{51223DCB-F21F-4CC5-B26F-AC435B3DCFD4}"/>
    <cellStyle name="Normal 10 3 11 3 4" xfId="15099" xr:uid="{EBF55005-3591-43E7-A21B-2439812B56BE}"/>
    <cellStyle name="Normal 10 3 11 3 4 2" xfId="15100" xr:uid="{F6A23A64-8DB2-4EFA-84FF-A3EC2F0F42E1}"/>
    <cellStyle name="Normal 10 3 11 3 5" xfId="15101" xr:uid="{3B42D980-AD40-471B-9B9D-01850001EEB7}"/>
    <cellStyle name="Normal 10 3 11 4" xfId="15102" xr:uid="{32439668-64A2-4AF1-98FE-12705E46C88B}"/>
    <cellStyle name="Normal 10 3 11 4 2" xfId="15103" xr:uid="{1BB8D6D5-0547-42A8-AC07-5AD73427AFC5}"/>
    <cellStyle name="Normal 10 3 11 4 2 2" xfId="15104" xr:uid="{BC7FD809-D3B5-43D8-954E-53A1F8180796}"/>
    <cellStyle name="Normal 10 3 11 4 2 2 2" xfId="15105" xr:uid="{FAC236E5-3846-415F-BBCC-2195B2423F28}"/>
    <cellStyle name="Normal 10 3 11 4 2 3" xfId="15106" xr:uid="{109CAF4A-D9D0-4157-B31F-9CF175F16844}"/>
    <cellStyle name="Normal 10 3 11 4 3" xfId="15107" xr:uid="{36BFE61F-403A-49ED-B22D-60C16300B727}"/>
    <cellStyle name="Normal 10 3 11 4 3 2" xfId="15108" xr:uid="{0AEE468B-EBDF-4548-8538-C3091284C2C4}"/>
    <cellStyle name="Normal 10 3 11 4 4" xfId="15109" xr:uid="{EBE161E6-BDDB-4896-A573-F1EAE70B5D52}"/>
    <cellStyle name="Normal 10 3 11 5" xfId="15110" xr:uid="{C60CC581-5199-41CA-8BF9-471F3A865291}"/>
    <cellStyle name="Normal 10 3 11 5 2" xfId="15111" xr:uid="{4C566DC1-F6EA-4E50-824E-BD90FB10C9F3}"/>
    <cellStyle name="Normal 10 3 11 5 2 2" xfId="15112" xr:uid="{8D49837A-88A1-4C2C-BD92-B36F11E7D1AE}"/>
    <cellStyle name="Normal 10 3 11 5 3" xfId="15113" xr:uid="{79D2C150-34C1-45F6-A01F-0D902085EDC4}"/>
    <cellStyle name="Normal 10 3 11 6" xfId="15114" xr:uid="{09AA088B-BB45-43E4-AA57-2BB0CE406DF9}"/>
    <cellStyle name="Normal 10 3 11 6 2" xfId="15115" xr:uid="{B5FE3D51-52DD-4C67-A00C-C3CD56696C5C}"/>
    <cellStyle name="Normal 10 3 11 7" xfId="15116" xr:uid="{A71BBE09-FB02-472F-9DA4-25AFA5D8BC40}"/>
    <cellStyle name="Normal 10 3 12" xfId="15117" xr:uid="{DFE58390-839E-4D04-85C2-F9DDDFF6E2BF}"/>
    <cellStyle name="Normal 10 3 12 2" xfId="15118" xr:uid="{6500AA0F-B15C-419A-B77D-08A3FF7F8660}"/>
    <cellStyle name="Normal 10 3 12 2 2" xfId="15119" xr:uid="{B5B6E31F-3751-4341-92F0-289FD546BF04}"/>
    <cellStyle name="Normal 10 3 12 2 2 2" xfId="15120" xr:uid="{FBB48BA7-5D6E-4A22-A34A-5BDE3261A7E6}"/>
    <cellStyle name="Normal 10 3 12 2 2 2 2" xfId="15121" xr:uid="{589CFCED-AD34-4DF2-9718-D99EE9EE82BA}"/>
    <cellStyle name="Normal 10 3 12 2 2 2 2 2" xfId="15122" xr:uid="{5D44CBD1-1D4F-40B7-B991-83F1AAE2B35E}"/>
    <cellStyle name="Normal 10 3 12 2 2 2 3" xfId="15123" xr:uid="{F9566A35-E17E-4AFB-BAEA-62579D962005}"/>
    <cellStyle name="Normal 10 3 12 2 2 3" xfId="15124" xr:uid="{9986E27A-ECA1-42F1-A5A9-5FE791A8A50B}"/>
    <cellStyle name="Normal 10 3 12 2 2 3 2" xfId="15125" xr:uid="{ECD0A2BE-6F10-43D1-A3D8-ABEF1606BB87}"/>
    <cellStyle name="Normal 10 3 12 2 2 4" xfId="15126" xr:uid="{32DD5164-E43A-464A-8425-D8B8CF6DBFE3}"/>
    <cellStyle name="Normal 10 3 12 2 3" xfId="15127" xr:uid="{C08C881F-70E9-41EE-B5F6-44A9B0B35845}"/>
    <cellStyle name="Normal 10 3 12 2 3 2" xfId="15128" xr:uid="{95DA86D7-6E84-4EAA-8EB7-7BC3BFC451A5}"/>
    <cellStyle name="Normal 10 3 12 2 3 2 2" xfId="15129" xr:uid="{3A93030D-E2E6-4474-9E02-E20C10C2AD6B}"/>
    <cellStyle name="Normal 10 3 12 2 3 3" xfId="15130" xr:uid="{59541CBB-DB2F-4AF5-9AA7-384FA4C80660}"/>
    <cellStyle name="Normal 10 3 12 2 4" xfId="15131" xr:uid="{B8F8D0E4-DEAA-4705-ADB1-D2D3CD153A35}"/>
    <cellStyle name="Normal 10 3 12 2 4 2" xfId="15132" xr:uid="{92F3AB2F-4ADA-4A98-B9BA-CB8ACCAFCDFF}"/>
    <cellStyle name="Normal 10 3 12 2 5" xfId="15133" xr:uid="{0EDB3F35-CABA-4915-830D-5DFDA42643AD}"/>
    <cellStyle name="Normal 10 3 12 3" xfId="15134" xr:uid="{D72AF626-82D6-43E8-B880-820B9F337348}"/>
    <cellStyle name="Normal 10 3 12 3 2" xfId="15135" xr:uid="{816D84AE-469F-431C-BD9F-758254F53F29}"/>
    <cellStyle name="Normal 10 3 12 3 2 2" xfId="15136" xr:uid="{B627583E-AB5C-445B-9EC7-F5B71387752F}"/>
    <cellStyle name="Normal 10 3 12 3 2 2 2" xfId="15137" xr:uid="{26C14AF9-4BB7-4BF6-8EA5-51E4435EEDCA}"/>
    <cellStyle name="Normal 10 3 12 3 2 3" xfId="15138" xr:uid="{DB2809C1-6CDB-4EC2-B3F9-6D3C20F5451D}"/>
    <cellStyle name="Normal 10 3 12 3 3" xfId="15139" xr:uid="{2FB3EA1A-44B0-47C1-A993-C80362549B09}"/>
    <cellStyle name="Normal 10 3 12 3 3 2" xfId="15140" xr:uid="{EF4FB85A-2DD4-4B89-AB1D-A1997B958767}"/>
    <cellStyle name="Normal 10 3 12 3 4" xfId="15141" xr:uid="{1ADD8DA2-283D-4323-A043-1B97E7C2E15C}"/>
    <cellStyle name="Normal 10 3 12 4" xfId="15142" xr:uid="{AC7029D4-9E52-47F0-8F1B-83B63FDDCD7E}"/>
    <cellStyle name="Normal 10 3 12 4 2" xfId="15143" xr:uid="{12574378-9B5F-4830-AB9B-65C8E7F676D1}"/>
    <cellStyle name="Normal 10 3 12 4 2 2" xfId="15144" xr:uid="{69B44C56-7609-4035-8222-1A53B71D5744}"/>
    <cellStyle name="Normal 10 3 12 4 3" xfId="15145" xr:uid="{17D7F073-54E7-444D-805D-C0D750B4B79F}"/>
    <cellStyle name="Normal 10 3 12 5" xfId="15146" xr:uid="{67DFCE34-0D1E-4BDD-99BB-6BC9F0174E34}"/>
    <cellStyle name="Normal 10 3 12 5 2" xfId="15147" xr:uid="{67A8F6AB-57D7-4DDD-97F6-86107F97791B}"/>
    <cellStyle name="Normal 10 3 12 6" xfId="15148" xr:uid="{520B5553-A0E5-4945-9633-FDE4D05D8D04}"/>
    <cellStyle name="Normal 10 3 13" xfId="15149" xr:uid="{133FBBFE-4F45-423C-A4E0-51F4A3B84422}"/>
    <cellStyle name="Normal 10 3 13 2" xfId="15150" xr:uid="{7BD66365-6ADF-4485-A709-A5E92F7AF475}"/>
    <cellStyle name="Normal 10 3 13 2 2" xfId="15151" xr:uid="{47B56931-0D2A-48A6-870D-C557BCC53DF5}"/>
    <cellStyle name="Normal 10 3 13 2 2 2" xfId="15152" xr:uid="{90AC253E-7F72-4CE5-89D1-7D38BE0C6D5C}"/>
    <cellStyle name="Normal 10 3 13 2 2 2 2" xfId="15153" xr:uid="{6E184F44-4DA8-4421-A33D-1E796607476E}"/>
    <cellStyle name="Normal 10 3 13 2 2 3" xfId="15154" xr:uid="{8D9931C9-7226-436C-867D-F723E3545C85}"/>
    <cellStyle name="Normal 10 3 13 2 3" xfId="15155" xr:uid="{624C995E-4F28-4571-8EB8-6A8F4C266FAD}"/>
    <cellStyle name="Normal 10 3 13 2 3 2" xfId="15156" xr:uid="{611601B0-F582-4C6A-B118-A934A76F7EAE}"/>
    <cellStyle name="Normal 10 3 13 2 4" xfId="15157" xr:uid="{05852902-5E74-4764-96DB-3A5EA7952068}"/>
    <cellStyle name="Normal 10 3 13 3" xfId="15158" xr:uid="{0A7759DA-0D75-496F-8FFF-CACB1CF4CC9C}"/>
    <cellStyle name="Normal 10 3 13 3 2" xfId="15159" xr:uid="{E96F3D07-71BD-48E7-ADC2-5C6AD5FDE288}"/>
    <cellStyle name="Normal 10 3 13 3 2 2" xfId="15160" xr:uid="{F67EC04C-13BB-4A21-855E-4CA3B6D09EE3}"/>
    <cellStyle name="Normal 10 3 13 3 3" xfId="15161" xr:uid="{BCC1FB76-953D-4AE9-A167-9C285DD5AE53}"/>
    <cellStyle name="Normal 10 3 13 4" xfId="15162" xr:uid="{0F5FE5DA-A7BB-4CE6-87B6-FA934FCEAD4C}"/>
    <cellStyle name="Normal 10 3 13 4 2" xfId="15163" xr:uid="{14EF2B46-9145-48E5-9EC3-6F3661E3DFAC}"/>
    <cellStyle name="Normal 10 3 13 5" xfId="15164" xr:uid="{74EE4248-3963-4E11-9DF2-16E73175A6E0}"/>
    <cellStyle name="Normal 10 3 14" xfId="15165" xr:uid="{CB248595-01A3-493F-A6AC-D556761C026B}"/>
    <cellStyle name="Normal 10 3 14 2" xfId="15166" xr:uid="{2BA3F018-1D3F-45B9-B5FA-130C20739922}"/>
    <cellStyle name="Normal 10 3 14 2 2" xfId="15167" xr:uid="{F955DDEC-71F2-4C34-A6DE-CFEB79A492AB}"/>
    <cellStyle name="Normal 10 3 14 2 2 2" xfId="15168" xr:uid="{E34E6DB7-27AB-4433-93CA-A9E02D4C8793}"/>
    <cellStyle name="Normal 10 3 14 2 3" xfId="15169" xr:uid="{E7FD3378-6313-4376-8FC2-91252EFAA454}"/>
    <cellStyle name="Normal 10 3 14 3" xfId="15170" xr:uid="{F08FD6FF-7011-4B1F-BD25-BB4494097A84}"/>
    <cellStyle name="Normal 10 3 14 3 2" xfId="15171" xr:uid="{A385878E-2F24-4936-88E6-3B2710A7B05A}"/>
    <cellStyle name="Normal 10 3 14 4" xfId="15172" xr:uid="{CD71444F-E345-4D4E-A68C-07410647AD9D}"/>
    <cellStyle name="Normal 10 3 15" xfId="15173" xr:uid="{52CA325D-5AAC-42F3-A024-FCCD4EFF8EEE}"/>
    <cellStyle name="Normal 10 3 15 2" xfId="15174" xr:uid="{2B7016A7-46EF-46C4-A023-C591472FA3A1}"/>
    <cellStyle name="Normal 10 3 15 2 2" xfId="15175" xr:uid="{8FF2D038-4242-460E-A49F-4B8B0BDB6461}"/>
    <cellStyle name="Normal 10 3 15 3" xfId="15176" xr:uid="{B8F02197-B2AE-49C6-A08C-D6285F80A81B}"/>
    <cellStyle name="Normal 10 3 16" xfId="15177" xr:uid="{71F6F4E0-5DCF-4F65-8970-854ACF48D725}"/>
    <cellStyle name="Normal 10 3 16 2" xfId="15178" xr:uid="{CA3CF3A7-1A1E-444E-9724-21AA6F5EF0C5}"/>
    <cellStyle name="Normal 10 3 17" xfId="15179" xr:uid="{43C29A91-1685-4E64-8B9C-F2EFFFEADB5A}"/>
    <cellStyle name="Normal 10 3 18" xfId="522" xr:uid="{6187BC5F-BE70-4860-9D87-6EAFD1462CD9}"/>
    <cellStyle name="Normal 10 3 19" xfId="54794" xr:uid="{E80BD89C-54EF-40F2-8E55-3F00A1CA7FE3}"/>
    <cellStyle name="Normal 10 3 2" xfId="180" xr:uid="{15D484CC-61D9-49D4-8B56-F9665D57B1C4}"/>
    <cellStyle name="Normal 10 3 2 10" xfId="15180" xr:uid="{B7AA93E1-3AD2-4440-AE2D-E62FAF4F1BD8}"/>
    <cellStyle name="Normal 10 3 2 10 2" xfId="15181" xr:uid="{FE19F324-4F59-43DE-9EAB-1C7A390A71B0}"/>
    <cellStyle name="Normal 10 3 2 10 2 2" xfId="15182" xr:uid="{537C6B89-0036-4951-945C-3A1DF6C15543}"/>
    <cellStyle name="Normal 10 3 2 10 2 2 2" xfId="15183" xr:uid="{011CB8C5-1652-4690-9FFB-F048E71E16E7}"/>
    <cellStyle name="Normal 10 3 2 10 2 2 2 2" xfId="15184" xr:uid="{9FCEEDA0-C729-4BE1-92A9-2A7B6600290B}"/>
    <cellStyle name="Normal 10 3 2 10 2 2 2 2 2" xfId="15185" xr:uid="{1DBDEB73-1E91-4075-A5D2-CB43E9BB03B3}"/>
    <cellStyle name="Normal 10 3 2 10 2 2 2 3" xfId="15186" xr:uid="{12B3988B-8025-441D-AA26-B89A9E12EDCD}"/>
    <cellStyle name="Normal 10 3 2 10 2 2 3" xfId="15187" xr:uid="{AB847B81-C87B-438F-AADB-CA8F38554437}"/>
    <cellStyle name="Normal 10 3 2 10 2 2 3 2" xfId="15188" xr:uid="{983E8D2F-9B3B-41EB-A6E4-9913B71BEF7A}"/>
    <cellStyle name="Normal 10 3 2 10 2 2 4" xfId="15189" xr:uid="{44C26CAC-7B2C-4172-9A65-21773CDFEF92}"/>
    <cellStyle name="Normal 10 3 2 10 2 3" xfId="15190" xr:uid="{63E931B2-3A4D-415E-8AA1-11E183E008BF}"/>
    <cellStyle name="Normal 10 3 2 10 2 3 2" xfId="15191" xr:uid="{0B3BB336-39D0-41D7-B8E4-837B6224C002}"/>
    <cellStyle name="Normal 10 3 2 10 2 3 2 2" xfId="15192" xr:uid="{E9A54058-6970-4890-96D3-C83BEE71891A}"/>
    <cellStyle name="Normal 10 3 2 10 2 3 3" xfId="15193" xr:uid="{C852C270-E8D5-448E-BF20-7A25A78AADBD}"/>
    <cellStyle name="Normal 10 3 2 10 2 4" xfId="15194" xr:uid="{8A3A544D-6124-46F7-B429-D8B6D7C4D17A}"/>
    <cellStyle name="Normal 10 3 2 10 2 4 2" xfId="15195" xr:uid="{802097D1-5D1E-4D70-AAB3-F262F9B57F8B}"/>
    <cellStyle name="Normal 10 3 2 10 2 5" xfId="15196" xr:uid="{6127119B-4685-41BF-9FFF-7C3A8C367586}"/>
    <cellStyle name="Normal 10 3 2 10 3" xfId="15197" xr:uid="{120D4CFF-C3F4-453F-9CD6-D83D43189413}"/>
    <cellStyle name="Normal 10 3 2 10 3 2" xfId="15198" xr:uid="{ECE66CDB-C317-4252-89C8-3C4D3D687EBB}"/>
    <cellStyle name="Normal 10 3 2 10 3 2 2" xfId="15199" xr:uid="{1C20E2C1-D150-4BB3-93E8-FE045B439A32}"/>
    <cellStyle name="Normal 10 3 2 10 3 2 2 2" xfId="15200" xr:uid="{35431D39-CE25-4843-9C36-A92805234AC7}"/>
    <cellStyle name="Normal 10 3 2 10 3 2 3" xfId="15201" xr:uid="{E66D5E79-9425-4FF5-84FA-2E9B0658C94D}"/>
    <cellStyle name="Normal 10 3 2 10 3 3" xfId="15202" xr:uid="{44E5AF14-7F42-4CC7-8643-37AF55747638}"/>
    <cellStyle name="Normal 10 3 2 10 3 3 2" xfId="15203" xr:uid="{1464C3D7-C801-4A52-A0A6-4B40E042C9C4}"/>
    <cellStyle name="Normal 10 3 2 10 3 4" xfId="15204" xr:uid="{FAE77DB0-2999-4409-ADD5-6F66C7AD2FE7}"/>
    <cellStyle name="Normal 10 3 2 10 4" xfId="15205" xr:uid="{645253F4-D926-4369-B48E-DEF0C359D541}"/>
    <cellStyle name="Normal 10 3 2 10 4 2" xfId="15206" xr:uid="{23968678-52FC-414F-9506-1FD94C50E827}"/>
    <cellStyle name="Normal 10 3 2 10 4 2 2" xfId="15207" xr:uid="{B6AD3B97-D365-40D1-8912-BF230BF8CE09}"/>
    <cellStyle name="Normal 10 3 2 10 4 3" xfId="15208" xr:uid="{D344D6AA-729D-4718-BB2E-C274CA856D9C}"/>
    <cellStyle name="Normal 10 3 2 10 5" xfId="15209" xr:uid="{86B29D31-C9B8-4C1C-89D0-6CDF025D0859}"/>
    <cellStyle name="Normal 10 3 2 10 5 2" xfId="15210" xr:uid="{56613124-1BD9-47D1-9D43-7FFBBD17324F}"/>
    <cellStyle name="Normal 10 3 2 10 6" xfId="15211" xr:uid="{1A3EF9F4-630F-4D69-853C-5D3873E7C2C6}"/>
    <cellStyle name="Normal 10 3 2 11" xfId="15212" xr:uid="{80876FB8-1C5E-4A04-A600-C3FEBFE734A2}"/>
    <cellStyle name="Normal 10 3 2 11 2" xfId="15213" xr:uid="{9FB763BC-4CAE-4844-AC82-F6CFAA2AB82B}"/>
    <cellStyle name="Normal 10 3 2 11 2 2" xfId="15214" xr:uid="{3BEC9BB8-FFF2-4711-B4D9-E1D73E980DE5}"/>
    <cellStyle name="Normal 10 3 2 11 2 2 2" xfId="15215" xr:uid="{D9BCA2FA-26FB-485B-937D-730B396091F7}"/>
    <cellStyle name="Normal 10 3 2 11 2 2 2 2" xfId="15216" xr:uid="{5183643C-D948-45B9-880F-AB7B07C63DDD}"/>
    <cellStyle name="Normal 10 3 2 11 2 2 3" xfId="15217" xr:uid="{8A2205D7-C1FA-4EA2-BAB3-544CE7BD0998}"/>
    <cellStyle name="Normal 10 3 2 11 2 3" xfId="15218" xr:uid="{175B8FC2-A539-4D6D-B0E2-B7F0543936FA}"/>
    <cellStyle name="Normal 10 3 2 11 2 3 2" xfId="15219" xr:uid="{AF3A2865-F5C4-4B1F-A17E-74220D02E5C8}"/>
    <cellStyle name="Normal 10 3 2 11 2 4" xfId="15220" xr:uid="{2BBC9498-AECC-4D7B-B039-3B18C2FA69F6}"/>
    <cellStyle name="Normal 10 3 2 11 3" xfId="15221" xr:uid="{3760FFB9-1931-4728-A294-E42B14A32817}"/>
    <cellStyle name="Normal 10 3 2 11 3 2" xfId="15222" xr:uid="{47CFC24E-B479-4C3E-8D7E-8A3CC42B208D}"/>
    <cellStyle name="Normal 10 3 2 11 3 2 2" xfId="15223" xr:uid="{5A91F893-6DE1-48BF-9969-DA5110D0F384}"/>
    <cellStyle name="Normal 10 3 2 11 3 3" xfId="15224" xr:uid="{734B50A7-D2BB-42EF-9919-667E704D70A3}"/>
    <cellStyle name="Normal 10 3 2 11 4" xfId="15225" xr:uid="{F2ABFBD1-9486-4086-A648-34D25FBF6CB8}"/>
    <cellStyle name="Normal 10 3 2 11 4 2" xfId="15226" xr:uid="{DE69942C-BCAF-49F3-8037-CFDF9DBA0720}"/>
    <cellStyle name="Normal 10 3 2 11 5" xfId="15227" xr:uid="{1AF048E0-9555-41E6-A0FE-EC73599927F6}"/>
    <cellStyle name="Normal 10 3 2 12" xfId="15228" xr:uid="{7639E844-BB8E-442B-9104-0FD3BF149C0F}"/>
    <cellStyle name="Normal 10 3 2 12 2" xfId="15229" xr:uid="{843BB3BA-2911-4EC9-8F9D-070CE542D6AC}"/>
    <cellStyle name="Normal 10 3 2 12 2 2" xfId="15230" xr:uid="{C406C100-FD58-4DEF-9DD8-5006DBEAC306}"/>
    <cellStyle name="Normal 10 3 2 12 2 2 2" xfId="15231" xr:uid="{1C1DC4C2-F0A1-42D0-A971-06E759B2B48F}"/>
    <cellStyle name="Normal 10 3 2 12 2 3" xfId="15232" xr:uid="{086F7AF7-7D28-493D-82AB-3BF796751F05}"/>
    <cellStyle name="Normal 10 3 2 12 3" xfId="15233" xr:uid="{1A72376C-13DC-4E58-8D69-7019C961ACB0}"/>
    <cellStyle name="Normal 10 3 2 12 3 2" xfId="15234" xr:uid="{0418BD1F-2E08-499F-B184-910A8EEF462C}"/>
    <cellStyle name="Normal 10 3 2 12 4" xfId="15235" xr:uid="{FBCA2FBD-E1AD-4C9B-82F8-416CE0F0DB29}"/>
    <cellStyle name="Normal 10 3 2 13" xfId="15236" xr:uid="{9685B38E-83A7-4492-B18B-90113C2DF250}"/>
    <cellStyle name="Normal 10 3 2 13 2" xfId="15237" xr:uid="{551EBDA0-1AE3-41F1-93A5-A0A7AAED3A22}"/>
    <cellStyle name="Normal 10 3 2 13 2 2" xfId="15238" xr:uid="{81FD121C-04F4-47C6-AF7D-6DAF84CDC1CB}"/>
    <cellStyle name="Normal 10 3 2 13 3" xfId="15239" xr:uid="{4677A500-234A-4A0F-A93D-34F60C4887F7}"/>
    <cellStyle name="Normal 10 3 2 14" xfId="15240" xr:uid="{1C7A628D-B7AE-47B0-9FBB-E53411C52FF5}"/>
    <cellStyle name="Normal 10 3 2 14 2" xfId="15241" xr:uid="{8E469E48-0E2C-422C-874C-3985D3668BA9}"/>
    <cellStyle name="Normal 10 3 2 15" xfId="15242" xr:uid="{B3E81040-F487-44D6-9B60-A10D61E6BBEB}"/>
    <cellStyle name="Normal 10 3 2 16" xfId="530" xr:uid="{EEF386D8-8AE0-486E-9FCE-24B85FCE8F27}"/>
    <cellStyle name="Normal 10 3 2 17" xfId="54812" xr:uid="{A1447AF9-69AA-4F46-951F-9DA1AFF2DA83}"/>
    <cellStyle name="Normal 10 3 2 2" xfId="215" xr:uid="{EF2D7012-5DE4-4E17-9F14-8FEFC00569AD}"/>
    <cellStyle name="Normal 10 3 2 2 10" xfId="15243" xr:uid="{A9B410B7-EEBB-4A98-9739-5EC59331467F}"/>
    <cellStyle name="Normal 10 3 2 2 10 2" xfId="15244" xr:uid="{E36748BD-C7DA-4709-A8B1-3B4B0D15ADF4}"/>
    <cellStyle name="Normal 10 3 2 2 10 2 2" xfId="15245" xr:uid="{B599D0AF-3E55-40F4-97E8-5752ABBF0DF5}"/>
    <cellStyle name="Normal 10 3 2 2 10 2 2 2" xfId="15246" xr:uid="{DA8EBFEC-E242-40A9-8E25-84EF4F038410}"/>
    <cellStyle name="Normal 10 3 2 2 10 2 2 2 2" xfId="15247" xr:uid="{DC68942C-BC1C-4EBD-9B84-7C792CB531FA}"/>
    <cellStyle name="Normal 10 3 2 2 10 2 2 3" xfId="15248" xr:uid="{CE21C28A-DFC9-4FFF-927F-0972F48880EF}"/>
    <cellStyle name="Normal 10 3 2 2 10 2 3" xfId="15249" xr:uid="{79040B37-B03B-4179-A98B-A9B871EB1674}"/>
    <cellStyle name="Normal 10 3 2 2 10 2 3 2" xfId="15250" xr:uid="{4ACA39C6-D090-4E69-BCB5-1D52362D13AF}"/>
    <cellStyle name="Normal 10 3 2 2 10 2 4" xfId="15251" xr:uid="{54F513E5-EDF1-4103-AA95-2B055668B177}"/>
    <cellStyle name="Normal 10 3 2 2 10 3" xfId="15252" xr:uid="{DD25225A-AE37-4C5D-B8BF-88E2D029B058}"/>
    <cellStyle name="Normal 10 3 2 2 10 3 2" xfId="15253" xr:uid="{67894C61-5219-44D7-B37B-DF3656B125BD}"/>
    <cellStyle name="Normal 10 3 2 2 10 3 2 2" xfId="15254" xr:uid="{CAAF13A1-5E42-4216-A49A-1C5A409B7035}"/>
    <cellStyle name="Normal 10 3 2 2 10 3 3" xfId="15255" xr:uid="{A701B15C-A8F6-4A0E-B4AA-4588AF880218}"/>
    <cellStyle name="Normal 10 3 2 2 10 4" xfId="15256" xr:uid="{432DDF43-398B-483D-9EBE-E5F5B9A8B05E}"/>
    <cellStyle name="Normal 10 3 2 2 10 4 2" xfId="15257" xr:uid="{CB790841-9B2C-4315-B3D4-7E6AF9A24ADF}"/>
    <cellStyle name="Normal 10 3 2 2 10 5" xfId="15258" xr:uid="{AD66ECE0-F4CE-4A9A-B780-7367B4267FD1}"/>
    <cellStyle name="Normal 10 3 2 2 11" xfId="15259" xr:uid="{9F1B4E69-84D4-422E-8E0D-B482CFB54DE0}"/>
    <cellStyle name="Normal 10 3 2 2 11 2" xfId="15260" xr:uid="{453C2BFD-1E17-4DA7-AE36-FCCB9A38C7F2}"/>
    <cellStyle name="Normal 10 3 2 2 11 2 2" xfId="15261" xr:uid="{6FB9BADD-29D0-40C4-84C8-18EFF883DC2D}"/>
    <cellStyle name="Normal 10 3 2 2 11 2 2 2" xfId="15262" xr:uid="{869CB761-E483-4B7D-966B-E3AF6583092E}"/>
    <cellStyle name="Normal 10 3 2 2 11 2 3" xfId="15263" xr:uid="{92852C01-801E-490F-BA96-B35B396DE6DB}"/>
    <cellStyle name="Normal 10 3 2 2 11 3" xfId="15264" xr:uid="{A87A3CB7-E635-432C-8A3F-DBC6EBBB5798}"/>
    <cellStyle name="Normal 10 3 2 2 11 3 2" xfId="15265" xr:uid="{6BC29FC4-F7E9-4D3B-9146-03DC4653FC85}"/>
    <cellStyle name="Normal 10 3 2 2 11 4" xfId="15266" xr:uid="{C78EE5CD-C6A3-4577-832C-2751988FBF62}"/>
    <cellStyle name="Normal 10 3 2 2 12" xfId="15267" xr:uid="{8D73F7E7-EE16-42FC-B1F1-234192713F74}"/>
    <cellStyle name="Normal 10 3 2 2 12 2" xfId="15268" xr:uid="{190484FE-0E9D-45E8-AED1-E562C788FBC8}"/>
    <cellStyle name="Normal 10 3 2 2 12 2 2" xfId="15269" xr:uid="{07ACC8A0-43B7-4788-9BB2-EEE0DEDE1CCD}"/>
    <cellStyle name="Normal 10 3 2 2 12 3" xfId="15270" xr:uid="{0C06958C-60D5-4CE7-929E-2C55ADF2608F}"/>
    <cellStyle name="Normal 10 3 2 2 13" xfId="15271" xr:uid="{D53F661D-F769-4FBA-96CB-D592F5A6ACA9}"/>
    <cellStyle name="Normal 10 3 2 2 13 2" xfId="15272" xr:uid="{C90C8504-8F71-4C3D-A546-0DC802EFACC8}"/>
    <cellStyle name="Normal 10 3 2 2 14" xfId="15273" xr:uid="{564D5E39-1B38-4D73-9C86-5610AC997B09}"/>
    <cellStyle name="Normal 10 3 2 2 15" xfId="538" xr:uid="{75834C8F-3338-408D-A0EB-5E390D81B580}"/>
    <cellStyle name="Normal 10 3 2 2 2" xfId="231" xr:uid="{CCD25EC8-51A8-418A-B05D-82D3350B86EA}"/>
    <cellStyle name="Normal 10 3 2 2 2 10" xfId="15274" xr:uid="{5468B0A4-3DA2-42DD-B22F-5B488ED9E442}"/>
    <cellStyle name="Normal 10 3 2 2 2 11" xfId="558" xr:uid="{C0035F66-EDD4-4964-A90B-CE04CA0D6B9C}"/>
    <cellStyle name="Normal 10 3 2 2 2 2" xfId="330" xr:uid="{08681D62-9F63-463E-AE2A-E8EE9F97414B}"/>
    <cellStyle name="Normal 10 3 2 2 2 2 10" xfId="15275" xr:uid="{CA0573D4-2063-45F8-8A4E-D14B5680CCDE}"/>
    <cellStyle name="Normal 10 3 2 2 2 2 2" xfId="15276" xr:uid="{2BC38A5F-48CA-4BE7-9AE9-B7944B50F71F}"/>
    <cellStyle name="Normal 10 3 2 2 2 2 2 2" xfId="15277" xr:uid="{968D6F90-BECD-4FC6-8487-D79555C29800}"/>
    <cellStyle name="Normal 10 3 2 2 2 2 2 2 2" xfId="15278" xr:uid="{6B2B0CDE-B9D5-4BB9-99BF-BFE27C889D7F}"/>
    <cellStyle name="Normal 10 3 2 2 2 2 2 2 2 2" xfId="15279" xr:uid="{B63E197C-B63C-4C74-96AD-DEACAB21C61A}"/>
    <cellStyle name="Normal 10 3 2 2 2 2 2 2 2 2 2" xfId="15280" xr:uid="{5E544C57-40DB-42B7-9130-293658D1D785}"/>
    <cellStyle name="Normal 10 3 2 2 2 2 2 2 2 2 2 2" xfId="15281" xr:uid="{93FAD767-4BD9-4630-8D38-B092850A55EB}"/>
    <cellStyle name="Normal 10 3 2 2 2 2 2 2 2 2 2 2 2" xfId="15282" xr:uid="{10DC53E7-9AA6-4A8B-A3FA-AC2D8863417F}"/>
    <cellStyle name="Normal 10 3 2 2 2 2 2 2 2 2 2 2 2 2" xfId="15283" xr:uid="{75F610DC-2192-47AA-9523-39BC17D365D4}"/>
    <cellStyle name="Normal 10 3 2 2 2 2 2 2 2 2 2 2 3" xfId="15284" xr:uid="{338E1335-B11E-4039-B8AA-68C2033B26BD}"/>
    <cellStyle name="Normal 10 3 2 2 2 2 2 2 2 2 2 3" xfId="15285" xr:uid="{CE62376C-D5BE-4907-A1B5-3C31D94FD572}"/>
    <cellStyle name="Normal 10 3 2 2 2 2 2 2 2 2 2 3 2" xfId="15286" xr:uid="{3086387E-2FD8-496F-90E8-0D0C9AD5317D}"/>
    <cellStyle name="Normal 10 3 2 2 2 2 2 2 2 2 2 4" xfId="15287" xr:uid="{73E64EF6-C886-407E-ADFC-EA527C4FDD7B}"/>
    <cellStyle name="Normal 10 3 2 2 2 2 2 2 2 2 3" xfId="15288" xr:uid="{0633A829-47C8-4ADC-B0B1-7F952F653147}"/>
    <cellStyle name="Normal 10 3 2 2 2 2 2 2 2 2 3 2" xfId="15289" xr:uid="{6E2E4C90-A30D-4AA0-B6EB-2124FF50538C}"/>
    <cellStyle name="Normal 10 3 2 2 2 2 2 2 2 2 3 2 2" xfId="15290" xr:uid="{B12F61F0-0A09-40A7-96A0-CA60063A1C4C}"/>
    <cellStyle name="Normal 10 3 2 2 2 2 2 2 2 2 3 3" xfId="15291" xr:uid="{E266BFC1-1D54-4988-9030-23679CC6FB5F}"/>
    <cellStyle name="Normal 10 3 2 2 2 2 2 2 2 2 4" xfId="15292" xr:uid="{2A8C0EEC-631B-4919-B012-B9545695C83D}"/>
    <cellStyle name="Normal 10 3 2 2 2 2 2 2 2 2 4 2" xfId="15293" xr:uid="{1179B98D-7311-455F-9E14-F74437DF928A}"/>
    <cellStyle name="Normal 10 3 2 2 2 2 2 2 2 2 5" xfId="15294" xr:uid="{8F8FF64F-2AF7-446D-B5A9-395627BBE33D}"/>
    <cellStyle name="Normal 10 3 2 2 2 2 2 2 2 3" xfId="15295" xr:uid="{8AF7CF36-618C-4F59-8854-46F2F834A89E}"/>
    <cellStyle name="Normal 10 3 2 2 2 2 2 2 2 3 2" xfId="15296" xr:uid="{7F797657-29B3-4BCE-8A2E-C068CA89AAD1}"/>
    <cellStyle name="Normal 10 3 2 2 2 2 2 2 2 3 2 2" xfId="15297" xr:uid="{E6C19748-126F-444E-8D6F-1CA293565B76}"/>
    <cellStyle name="Normal 10 3 2 2 2 2 2 2 2 3 2 2 2" xfId="15298" xr:uid="{9B4CFC7B-EBAC-4CB7-97A8-1BE700B5D644}"/>
    <cellStyle name="Normal 10 3 2 2 2 2 2 2 2 3 2 3" xfId="15299" xr:uid="{57C76396-485D-4ADE-B37E-D692CA345C94}"/>
    <cellStyle name="Normal 10 3 2 2 2 2 2 2 2 3 3" xfId="15300" xr:uid="{EB7A7252-9C54-443E-A133-7F7020678C2B}"/>
    <cellStyle name="Normal 10 3 2 2 2 2 2 2 2 3 3 2" xfId="15301" xr:uid="{A42C390F-0651-4BF2-A1FA-0A40101F3615}"/>
    <cellStyle name="Normal 10 3 2 2 2 2 2 2 2 3 4" xfId="15302" xr:uid="{080703B2-97EA-49DD-BB9C-BF76E32D4FDB}"/>
    <cellStyle name="Normal 10 3 2 2 2 2 2 2 2 4" xfId="15303" xr:uid="{33527001-6628-4B5E-8EBB-94E0F1ED051D}"/>
    <cellStyle name="Normal 10 3 2 2 2 2 2 2 2 4 2" xfId="15304" xr:uid="{F390C272-65E7-40C7-AA0C-171C23743FB5}"/>
    <cellStyle name="Normal 10 3 2 2 2 2 2 2 2 4 2 2" xfId="15305" xr:uid="{7AB00274-7A08-4A78-9ECB-711BFC89DB71}"/>
    <cellStyle name="Normal 10 3 2 2 2 2 2 2 2 4 3" xfId="15306" xr:uid="{FFF2F6F6-5119-43C8-B2D6-D5A05B1A6F4A}"/>
    <cellStyle name="Normal 10 3 2 2 2 2 2 2 2 5" xfId="15307" xr:uid="{B7580430-FFEC-402F-B00C-1A3318726910}"/>
    <cellStyle name="Normal 10 3 2 2 2 2 2 2 2 5 2" xfId="15308" xr:uid="{952A77BE-86EE-4D29-A247-D79E349A16DD}"/>
    <cellStyle name="Normal 10 3 2 2 2 2 2 2 2 6" xfId="15309" xr:uid="{592875DD-149C-4D19-81A9-10D4AD4567E3}"/>
    <cellStyle name="Normal 10 3 2 2 2 2 2 2 3" xfId="15310" xr:uid="{1290E02F-9782-4348-9720-7C08D9356464}"/>
    <cellStyle name="Normal 10 3 2 2 2 2 2 2 3 2" xfId="15311" xr:uid="{A7AF7F69-77FB-4998-968D-9501584F1127}"/>
    <cellStyle name="Normal 10 3 2 2 2 2 2 2 3 2 2" xfId="15312" xr:uid="{B4F32084-EE22-4357-97B7-A84E98BCADE8}"/>
    <cellStyle name="Normal 10 3 2 2 2 2 2 2 3 2 2 2" xfId="15313" xr:uid="{0AF4EF96-98B8-4445-8B8E-1B85EE455719}"/>
    <cellStyle name="Normal 10 3 2 2 2 2 2 2 3 2 2 2 2" xfId="15314" xr:uid="{6103339B-FC91-4A52-AA17-7FF20C13CA2C}"/>
    <cellStyle name="Normal 10 3 2 2 2 2 2 2 3 2 2 3" xfId="15315" xr:uid="{B3A1B195-44F3-4634-9779-9B527B3D27A2}"/>
    <cellStyle name="Normal 10 3 2 2 2 2 2 2 3 2 3" xfId="15316" xr:uid="{63A850C0-5663-40CD-B121-3F8DD237D246}"/>
    <cellStyle name="Normal 10 3 2 2 2 2 2 2 3 2 3 2" xfId="15317" xr:uid="{2FE4C992-C8DE-4BF5-BDED-6A1BF682FD40}"/>
    <cellStyle name="Normal 10 3 2 2 2 2 2 2 3 2 4" xfId="15318" xr:uid="{D1AA0230-47F0-43CD-BC80-BFCB9682B7D3}"/>
    <cellStyle name="Normal 10 3 2 2 2 2 2 2 3 3" xfId="15319" xr:uid="{5B0758AB-E239-4302-9693-969CD085DBFD}"/>
    <cellStyle name="Normal 10 3 2 2 2 2 2 2 3 3 2" xfId="15320" xr:uid="{53C3E1C3-FE4B-4B23-9889-7BBCC061492B}"/>
    <cellStyle name="Normal 10 3 2 2 2 2 2 2 3 3 2 2" xfId="15321" xr:uid="{44AE9315-E3BB-494D-B1D5-03F137E6CE92}"/>
    <cellStyle name="Normal 10 3 2 2 2 2 2 2 3 3 3" xfId="15322" xr:uid="{9BA7FDAD-FD8C-4416-A61D-A905AF4D0193}"/>
    <cellStyle name="Normal 10 3 2 2 2 2 2 2 3 4" xfId="15323" xr:uid="{A68224BC-F8C4-48A5-B50A-BD5350200FEC}"/>
    <cellStyle name="Normal 10 3 2 2 2 2 2 2 3 4 2" xfId="15324" xr:uid="{87B20511-005B-4029-819A-B3E96973AE68}"/>
    <cellStyle name="Normal 10 3 2 2 2 2 2 2 3 5" xfId="15325" xr:uid="{3F60115A-F8DF-4408-827E-AFFAE65CB826}"/>
    <cellStyle name="Normal 10 3 2 2 2 2 2 2 4" xfId="15326" xr:uid="{69FD923F-879A-4727-BD5B-8A0104A09FF0}"/>
    <cellStyle name="Normal 10 3 2 2 2 2 2 2 4 2" xfId="15327" xr:uid="{3387DD4B-3DFF-4509-8A48-B84085A7E481}"/>
    <cellStyle name="Normal 10 3 2 2 2 2 2 2 4 2 2" xfId="15328" xr:uid="{7AFF4CF6-ABBD-4FCC-B2DB-1392DB573994}"/>
    <cellStyle name="Normal 10 3 2 2 2 2 2 2 4 2 2 2" xfId="15329" xr:uid="{54AF41D9-F888-4A5E-9C0F-9C10B1EFE33A}"/>
    <cellStyle name="Normal 10 3 2 2 2 2 2 2 4 2 3" xfId="15330" xr:uid="{BC07E2F9-53A6-4F7E-BE85-48072782C378}"/>
    <cellStyle name="Normal 10 3 2 2 2 2 2 2 4 3" xfId="15331" xr:uid="{D4A049B4-DE62-4510-A7B4-EF3624957603}"/>
    <cellStyle name="Normal 10 3 2 2 2 2 2 2 4 3 2" xfId="15332" xr:uid="{42520DB8-FE36-4C15-8CBB-7E161CEF5E15}"/>
    <cellStyle name="Normal 10 3 2 2 2 2 2 2 4 4" xfId="15333" xr:uid="{AAA4A9D3-C09C-496C-812A-D2A91A2E5151}"/>
    <cellStyle name="Normal 10 3 2 2 2 2 2 2 5" xfId="15334" xr:uid="{F6B38137-8E0C-44CD-B037-3A41921FA86A}"/>
    <cellStyle name="Normal 10 3 2 2 2 2 2 2 5 2" xfId="15335" xr:uid="{5691A67E-5BFF-4782-8DD3-74A0B971E220}"/>
    <cellStyle name="Normal 10 3 2 2 2 2 2 2 5 2 2" xfId="15336" xr:uid="{0613F660-231F-4961-BBE3-0E66E4EF96F9}"/>
    <cellStyle name="Normal 10 3 2 2 2 2 2 2 5 3" xfId="15337" xr:uid="{B37B7407-A453-4FB5-97E6-88244633B094}"/>
    <cellStyle name="Normal 10 3 2 2 2 2 2 2 6" xfId="15338" xr:uid="{BCEA02F4-35F3-41F3-8747-C6E4B3203896}"/>
    <cellStyle name="Normal 10 3 2 2 2 2 2 2 6 2" xfId="15339" xr:uid="{B1578844-62F3-41B9-943D-4EA325BF81C0}"/>
    <cellStyle name="Normal 10 3 2 2 2 2 2 2 7" xfId="15340" xr:uid="{627F9905-E867-4465-92EE-4E5846B3F7D4}"/>
    <cellStyle name="Normal 10 3 2 2 2 2 2 3" xfId="15341" xr:uid="{7D8B20FC-2957-4437-A3BF-FC82FC6A5182}"/>
    <cellStyle name="Normal 10 3 2 2 2 2 2 3 2" xfId="15342" xr:uid="{02F8AFEC-983F-4143-A060-26AC7407F0B2}"/>
    <cellStyle name="Normal 10 3 2 2 2 2 2 3 2 2" xfId="15343" xr:uid="{23A257AE-5FF4-4378-90C9-3BEAA385FC46}"/>
    <cellStyle name="Normal 10 3 2 2 2 2 2 3 2 2 2" xfId="15344" xr:uid="{C6956514-0A4C-45B1-8BC2-605A4F86452C}"/>
    <cellStyle name="Normal 10 3 2 2 2 2 2 3 2 2 2 2" xfId="15345" xr:uid="{86229C1D-126B-4D62-8CD4-0F16C825D957}"/>
    <cellStyle name="Normal 10 3 2 2 2 2 2 3 2 2 2 2 2" xfId="15346" xr:uid="{3C6FB2E7-AF8A-4D9B-85CC-C9715B6C47C5}"/>
    <cellStyle name="Normal 10 3 2 2 2 2 2 3 2 2 2 3" xfId="15347" xr:uid="{502364DC-36B7-4F67-AFFA-5A6289D74619}"/>
    <cellStyle name="Normal 10 3 2 2 2 2 2 3 2 2 3" xfId="15348" xr:uid="{DB7D3EEF-FEDA-4FE8-BC94-7CDAF73A8B3E}"/>
    <cellStyle name="Normal 10 3 2 2 2 2 2 3 2 2 3 2" xfId="15349" xr:uid="{AB4C32B8-CADD-4680-853C-F31F091019B1}"/>
    <cellStyle name="Normal 10 3 2 2 2 2 2 3 2 2 4" xfId="15350" xr:uid="{1D14E354-6A6A-40E7-B752-ADC9A6F48903}"/>
    <cellStyle name="Normal 10 3 2 2 2 2 2 3 2 3" xfId="15351" xr:uid="{6310E80C-593E-4EAE-AEB7-E42069D2B5D5}"/>
    <cellStyle name="Normal 10 3 2 2 2 2 2 3 2 3 2" xfId="15352" xr:uid="{10A41E9E-E632-4165-AA17-F2C2C99F724C}"/>
    <cellStyle name="Normal 10 3 2 2 2 2 2 3 2 3 2 2" xfId="15353" xr:uid="{513565B4-7565-47AA-89CE-0FAF65784955}"/>
    <cellStyle name="Normal 10 3 2 2 2 2 2 3 2 3 3" xfId="15354" xr:uid="{99879DB2-0545-4DA7-B278-0875A8D6D7C0}"/>
    <cellStyle name="Normal 10 3 2 2 2 2 2 3 2 4" xfId="15355" xr:uid="{43725683-8409-4FEF-8E25-D92A67BEC7AD}"/>
    <cellStyle name="Normal 10 3 2 2 2 2 2 3 2 4 2" xfId="15356" xr:uid="{ADFA2729-B707-4F2D-AFD2-01F4F4625571}"/>
    <cellStyle name="Normal 10 3 2 2 2 2 2 3 2 5" xfId="15357" xr:uid="{54A25681-8D96-465C-8847-80BBAA8EC41C}"/>
    <cellStyle name="Normal 10 3 2 2 2 2 2 3 3" xfId="15358" xr:uid="{42902AA0-EEC8-48CE-A63D-131FA1181C73}"/>
    <cellStyle name="Normal 10 3 2 2 2 2 2 3 3 2" xfId="15359" xr:uid="{37E914AF-BDB6-4866-A2D1-F26A6A0AAF51}"/>
    <cellStyle name="Normal 10 3 2 2 2 2 2 3 3 2 2" xfId="15360" xr:uid="{363A8DF6-1D98-40C7-B563-4B4D6F0B49EA}"/>
    <cellStyle name="Normal 10 3 2 2 2 2 2 3 3 2 2 2" xfId="15361" xr:uid="{E7524C6B-AE04-46D6-8F4A-6BA0612A11D3}"/>
    <cellStyle name="Normal 10 3 2 2 2 2 2 3 3 2 3" xfId="15362" xr:uid="{18B9B890-4E3F-4A67-A671-713C67EB51AC}"/>
    <cellStyle name="Normal 10 3 2 2 2 2 2 3 3 3" xfId="15363" xr:uid="{BD2B1D92-BD27-4F5F-81FF-09C6FAF6EE02}"/>
    <cellStyle name="Normal 10 3 2 2 2 2 2 3 3 3 2" xfId="15364" xr:uid="{83FF7004-ECE8-4F72-98C9-647F3CD18C46}"/>
    <cellStyle name="Normal 10 3 2 2 2 2 2 3 3 4" xfId="15365" xr:uid="{B0370709-A957-42F4-B943-D17727A03DAB}"/>
    <cellStyle name="Normal 10 3 2 2 2 2 2 3 4" xfId="15366" xr:uid="{A44D4E2C-2124-4D52-939A-CB6EE17091D6}"/>
    <cellStyle name="Normal 10 3 2 2 2 2 2 3 4 2" xfId="15367" xr:uid="{A00D8E27-57CC-4405-A374-97F5C2399E96}"/>
    <cellStyle name="Normal 10 3 2 2 2 2 2 3 4 2 2" xfId="15368" xr:uid="{07BA6AC3-B33B-4A5D-B90A-0F390DC5AE66}"/>
    <cellStyle name="Normal 10 3 2 2 2 2 2 3 4 3" xfId="15369" xr:uid="{A77EBAF3-A716-496C-9DAC-D3EDE8F91932}"/>
    <cellStyle name="Normal 10 3 2 2 2 2 2 3 5" xfId="15370" xr:uid="{7A60E1F0-FFE2-49E7-B6B2-D310762AF84C}"/>
    <cellStyle name="Normal 10 3 2 2 2 2 2 3 5 2" xfId="15371" xr:uid="{8FB3BD49-3EF8-418E-92BF-CD92297EBC1A}"/>
    <cellStyle name="Normal 10 3 2 2 2 2 2 3 6" xfId="15372" xr:uid="{08D6DF20-1031-479D-8A74-F4F3C34F54F7}"/>
    <cellStyle name="Normal 10 3 2 2 2 2 2 4" xfId="15373" xr:uid="{319E436A-8451-416F-B845-5F01CFB6A747}"/>
    <cellStyle name="Normal 10 3 2 2 2 2 2 4 2" xfId="15374" xr:uid="{418933F0-1121-499F-9386-5B034C943712}"/>
    <cellStyle name="Normal 10 3 2 2 2 2 2 4 2 2" xfId="15375" xr:uid="{ABE64629-78A9-4E92-B09B-8B122C94107D}"/>
    <cellStyle name="Normal 10 3 2 2 2 2 2 4 2 2 2" xfId="15376" xr:uid="{75AA9852-C878-4D47-B606-EAA20AC3653E}"/>
    <cellStyle name="Normal 10 3 2 2 2 2 2 4 2 2 2 2" xfId="15377" xr:uid="{FFBD4F44-97FD-4D60-9BBC-6EF00713DFE5}"/>
    <cellStyle name="Normal 10 3 2 2 2 2 2 4 2 2 3" xfId="15378" xr:uid="{C36AD00E-7C28-447D-B740-EA9E23EB9C19}"/>
    <cellStyle name="Normal 10 3 2 2 2 2 2 4 2 3" xfId="15379" xr:uid="{5F25524C-A9D5-41DB-A5C1-707EF4F60D61}"/>
    <cellStyle name="Normal 10 3 2 2 2 2 2 4 2 3 2" xfId="15380" xr:uid="{165802B4-A6EC-4544-B994-8B24FA446E62}"/>
    <cellStyle name="Normal 10 3 2 2 2 2 2 4 2 4" xfId="15381" xr:uid="{5204CAFF-CF01-4963-A95C-EBDB5B1B3DF9}"/>
    <cellStyle name="Normal 10 3 2 2 2 2 2 4 3" xfId="15382" xr:uid="{DA072707-DEC6-4545-A2F1-581ED18FFED4}"/>
    <cellStyle name="Normal 10 3 2 2 2 2 2 4 3 2" xfId="15383" xr:uid="{DEDAE48A-1630-493C-8828-DF80B2512E30}"/>
    <cellStyle name="Normal 10 3 2 2 2 2 2 4 3 2 2" xfId="15384" xr:uid="{2CF7B720-E24A-45E0-B29E-0FC6AE2D2D7E}"/>
    <cellStyle name="Normal 10 3 2 2 2 2 2 4 3 3" xfId="15385" xr:uid="{A41DD880-D9BE-48C9-A02D-ADC386584BA9}"/>
    <cellStyle name="Normal 10 3 2 2 2 2 2 4 4" xfId="15386" xr:uid="{900B6841-4698-48DC-80C3-A922237421B4}"/>
    <cellStyle name="Normal 10 3 2 2 2 2 2 4 4 2" xfId="15387" xr:uid="{73CAF70E-C243-4FB9-90FA-4D8CC2CCFAA4}"/>
    <cellStyle name="Normal 10 3 2 2 2 2 2 4 5" xfId="15388" xr:uid="{1D37FDFB-33A8-4C15-9423-E31BD0F7AEC3}"/>
    <cellStyle name="Normal 10 3 2 2 2 2 2 5" xfId="15389" xr:uid="{47E56063-D2FC-48ED-A821-3715ACDBCB7C}"/>
    <cellStyle name="Normal 10 3 2 2 2 2 2 5 2" xfId="15390" xr:uid="{3D0FEE28-BEE5-4176-9B90-DC7F453EFD16}"/>
    <cellStyle name="Normal 10 3 2 2 2 2 2 5 2 2" xfId="15391" xr:uid="{34DBF0C0-75E3-4649-ACEF-3767F62F7147}"/>
    <cellStyle name="Normal 10 3 2 2 2 2 2 5 2 2 2" xfId="15392" xr:uid="{687DDF74-4A20-402C-9977-6429C289F7AD}"/>
    <cellStyle name="Normal 10 3 2 2 2 2 2 5 2 3" xfId="15393" xr:uid="{CCBA99E8-7D6F-4C4A-9CAA-ED33C2A00B31}"/>
    <cellStyle name="Normal 10 3 2 2 2 2 2 5 3" xfId="15394" xr:uid="{3BF5A89C-F630-4105-80EB-18D6CBA717AC}"/>
    <cellStyle name="Normal 10 3 2 2 2 2 2 5 3 2" xfId="15395" xr:uid="{A3FA38B2-71D1-4F16-BBF9-FCEBDE3F75EB}"/>
    <cellStyle name="Normal 10 3 2 2 2 2 2 5 4" xfId="15396" xr:uid="{414E03EF-F7B7-44D0-9FAB-07C669C01333}"/>
    <cellStyle name="Normal 10 3 2 2 2 2 2 6" xfId="15397" xr:uid="{24D10301-D37B-477E-8FED-D237E25715B1}"/>
    <cellStyle name="Normal 10 3 2 2 2 2 2 6 2" xfId="15398" xr:uid="{849C4BBE-318D-4714-9C12-AAFA1730D8E2}"/>
    <cellStyle name="Normal 10 3 2 2 2 2 2 6 2 2" xfId="15399" xr:uid="{F318519C-6204-420D-BDEA-F6A5C4F2176A}"/>
    <cellStyle name="Normal 10 3 2 2 2 2 2 6 3" xfId="15400" xr:uid="{81DC1972-FC36-422A-96A9-EDAF9D2D07E2}"/>
    <cellStyle name="Normal 10 3 2 2 2 2 2 7" xfId="15401" xr:uid="{A097AF8D-12F7-417B-8399-E15F9BAB9629}"/>
    <cellStyle name="Normal 10 3 2 2 2 2 2 7 2" xfId="15402" xr:uid="{1955A457-0C6B-40B1-91D9-30B93E1B328E}"/>
    <cellStyle name="Normal 10 3 2 2 2 2 2 8" xfId="15403" xr:uid="{429374C3-DFB6-441C-916E-F2072638A806}"/>
    <cellStyle name="Normal 10 3 2 2 2 2 3" xfId="15404" xr:uid="{61A424C5-DD03-45ED-9C9D-2CBB54EABAF2}"/>
    <cellStyle name="Normal 10 3 2 2 2 2 3 2" xfId="15405" xr:uid="{25F869D3-D966-4965-B0A9-ED4DAD7675FB}"/>
    <cellStyle name="Normal 10 3 2 2 2 2 3 2 2" xfId="15406" xr:uid="{5D0CAC1A-4973-47D8-B509-B4ED8521D3B2}"/>
    <cellStyle name="Normal 10 3 2 2 2 2 3 2 2 2" xfId="15407" xr:uid="{05FE8344-628C-429E-ABE7-DDC7A4F7835A}"/>
    <cellStyle name="Normal 10 3 2 2 2 2 3 2 2 2 2" xfId="15408" xr:uid="{0DA85F58-F391-47D0-8B17-49F4B8149D2C}"/>
    <cellStyle name="Normal 10 3 2 2 2 2 3 2 2 2 2 2" xfId="15409" xr:uid="{6ACF0645-A4D0-49C0-B5AB-5AB57A5E0568}"/>
    <cellStyle name="Normal 10 3 2 2 2 2 3 2 2 2 2 2 2" xfId="15410" xr:uid="{F5E87483-88A4-417D-A4D8-080B2AE3BFB4}"/>
    <cellStyle name="Normal 10 3 2 2 2 2 3 2 2 2 2 3" xfId="15411" xr:uid="{502CDE8B-0DA7-4CBC-8A6E-4DEA5B16252C}"/>
    <cellStyle name="Normal 10 3 2 2 2 2 3 2 2 2 3" xfId="15412" xr:uid="{9EB3D21C-9C86-408C-B84B-E88F61E89431}"/>
    <cellStyle name="Normal 10 3 2 2 2 2 3 2 2 2 3 2" xfId="15413" xr:uid="{4A1001C3-A787-4284-B38B-9857EB54BD92}"/>
    <cellStyle name="Normal 10 3 2 2 2 2 3 2 2 2 4" xfId="15414" xr:uid="{AB6723AC-AAB9-4512-BD34-7D86C0CD7C4E}"/>
    <cellStyle name="Normal 10 3 2 2 2 2 3 2 2 3" xfId="15415" xr:uid="{EFC9F36D-5338-4682-AB1B-B0B9EC66199F}"/>
    <cellStyle name="Normal 10 3 2 2 2 2 3 2 2 3 2" xfId="15416" xr:uid="{966DDE85-971B-4936-A9E9-98634B46FE18}"/>
    <cellStyle name="Normal 10 3 2 2 2 2 3 2 2 3 2 2" xfId="15417" xr:uid="{18B6C937-F759-4251-A57F-E558D2D5C9E1}"/>
    <cellStyle name="Normal 10 3 2 2 2 2 3 2 2 3 3" xfId="15418" xr:uid="{0A8D811E-E1A2-4221-AA49-C5473139E06D}"/>
    <cellStyle name="Normal 10 3 2 2 2 2 3 2 2 4" xfId="15419" xr:uid="{DC976275-61EC-4181-8119-7E5D8FDD4D19}"/>
    <cellStyle name="Normal 10 3 2 2 2 2 3 2 2 4 2" xfId="15420" xr:uid="{63EF296F-C055-4C2F-AACE-1BE21E03C330}"/>
    <cellStyle name="Normal 10 3 2 2 2 2 3 2 2 5" xfId="15421" xr:uid="{49FC5555-48B3-4859-8B35-F5317537824D}"/>
    <cellStyle name="Normal 10 3 2 2 2 2 3 2 3" xfId="15422" xr:uid="{44782A6A-ADE1-4B2C-8E70-79BC20ACA98A}"/>
    <cellStyle name="Normal 10 3 2 2 2 2 3 2 3 2" xfId="15423" xr:uid="{4D4B2836-9931-4EAA-B9CF-8BA4DC36D847}"/>
    <cellStyle name="Normal 10 3 2 2 2 2 3 2 3 2 2" xfId="15424" xr:uid="{CC799103-8942-4B00-8811-5C069A624CEF}"/>
    <cellStyle name="Normal 10 3 2 2 2 2 3 2 3 2 2 2" xfId="15425" xr:uid="{72B758D7-7409-4FC0-A01C-3F1AB33D72F4}"/>
    <cellStyle name="Normal 10 3 2 2 2 2 3 2 3 2 3" xfId="15426" xr:uid="{9A5F606C-E9E2-4CF5-A74E-CB60C6F5D405}"/>
    <cellStyle name="Normal 10 3 2 2 2 2 3 2 3 3" xfId="15427" xr:uid="{DE3FE856-A521-4BCC-8A11-D86E02F82EDB}"/>
    <cellStyle name="Normal 10 3 2 2 2 2 3 2 3 3 2" xfId="15428" xr:uid="{624E8CF2-F162-4387-887C-49B6B9D36597}"/>
    <cellStyle name="Normal 10 3 2 2 2 2 3 2 3 4" xfId="15429" xr:uid="{8975B2E6-2C48-42E6-9553-725A34E32A55}"/>
    <cellStyle name="Normal 10 3 2 2 2 2 3 2 4" xfId="15430" xr:uid="{92F7E72F-A54B-4BE7-9DF2-8B7D319879E3}"/>
    <cellStyle name="Normal 10 3 2 2 2 2 3 2 4 2" xfId="15431" xr:uid="{F4A22647-2C26-4303-8762-198A165DD2AE}"/>
    <cellStyle name="Normal 10 3 2 2 2 2 3 2 4 2 2" xfId="15432" xr:uid="{8C75A012-CB15-4D28-AE2E-870CDE784A5D}"/>
    <cellStyle name="Normal 10 3 2 2 2 2 3 2 4 3" xfId="15433" xr:uid="{DB3675D7-4B80-4902-ACC5-251B58F0840B}"/>
    <cellStyle name="Normal 10 3 2 2 2 2 3 2 5" xfId="15434" xr:uid="{9A79CBDB-5CDA-496E-8FE8-32526249D93F}"/>
    <cellStyle name="Normal 10 3 2 2 2 2 3 2 5 2" xfId="15435" xr:uid="{FB684A7E-A22F-43CC-9490-5875BADDB7E1}"/>
    <cellStyle name="Normal 10 3 2 2 2 2 3 2 6" xfId="15436" xr:uid="{07F84369-44A7-4984-A24A-E39E2591574C}"/>
    <cellStyle name="Normal 10 3 2 2 2 2 3 3" xfId="15437" xr:uid="{315820B0-6E1A-4965-917C-FE181A974234}"/>
    <cellStyle name="Normal 10 3 2 2 2 2 3 3 2" xfId="15438" xr:uid="{6B31DB0E-7931-4B7E-99CE-E0C5B707BC5B}"/>
    <cellStyle name="Normal 10 3 2 2 2 2 3 3 2 2" xfId="15439" xr:uid="{E85D215A-7900-4AD1-811C-1E8124BBE5A7}"/>
    <cellStyle name="Normal 10 3 2 2 2 2 3 3 2 2 2" xfId="15440" xr:uid="{E52C4CDB-CD72-47E6-ACFC-253E995052FA}"/>
    <cellStyle name="Normal 10 3 2 2 2 2 3 3 2 2 2 2" xfId="15441" xr:uid="{81E3B5CF-C37E-4491-8608-34A2CEC8545E}"/>
    <cellStyle name="Normal 10 3 2 2 2 2 3 3 2 2 3" xfId="15442" xr:uid="{D6443AC4-377E-40CD-AA03-D2606BAE121E}"/>
    <cellStyle name="Normal 10 3 2 2 2 2 3 3 2 3" xfId="15443" xr:uid="{79A2AF22-EF4F-46EB-85B7-915C39AED243}"/>
    <cellStyle name="Normal 10 3 2 2 2 2 3 3 2 3 2" xfId="15444" xr:uid="{D0E57B73-F668-41D9-BA03-216C8A9254EA}"/>
    <cellStyle name="Normal 10 3 2 2 2 2 3 3 2 4" xfId="15445" xr:uid="{0115B65A-EFC2-4D23-8572-193024F02A97}"/>
    <cellStyle name="Normal 10 3 2 2 2 2 3 3 3" xfId="15446" xr:uid="{4173BB2B-135F-42AA-85BD-67BBB3C0EBB6}"/>
    <cellStyle name="Normal 10 3 2 2 2 2 3 3 3 2" xfId="15447" xr:uid="{1E15392B-3775-4D70-A894-1016537B3D46}"/>
    <cellStyle name="Normal 10 3 2 2 2 2 3 3 3 2 2" xfId="15448" xr:uid="{B622B05E-4BF2-480B-8F61-CB487F027B58}"/>
    <cellStyle name="Normal 10 3 2 2 2 2 3 3 3 3" xfId="15449" xr:uid="{AB51405E-795B-4FAB-907C-D3B9FBBBEDCB}"/>
    <cellStyle name="Normal 10 3 2 2 2 2 3 3 4" xfId="15450" xr:uid="{39C63DCA-9CE2-4E1F-B68F-335C24B63D08}"/>
    <cellStyle name="Normal 10 3 2 2 2 2 3 3 4 2" xfId="15451" xr:uid="{765E7DB0-7614-43B8-8308-627FCD6EB83A}"/>
    <cellStyle name="Normal 10 3 2 2 2 2 3 3 5" xfId="15452" xr:uid="{B95789F1-0F8D-4BA7-A8EA-7185019E1708}"/>
    <cellStyle name="Normal 10 3 2 2 2 2 3 4" xfId="15453" xr:uid="{2DEE8DE1-7ADC-4BD5-9078-D21BBE719ADC}"/>
    <cellStyle name="Normal 10 3 2 2 2 2 3 4 2" xfId="15454" xr:uid="{D3B5D73B-1908-4ED5-8DC1-979C8F2913CF}"/>
    <cellStyle name="Normal 10 3 2 2 2 2 3 4 2 2" xfId="15455" xr:uid="{BF1A9C1B-6803-440E-9526-9D4BF7E6C090}"/>
    <cellStyle name="Normal 10 3 2 2 2 2 3 4 2 2 2" xfId="15456" xr:uid="{7CD3E520-2293-4564-B16E-9774753F099B}"/>
    <cellStyle name="Normal 10 3 2 2 2 2 3 4 2 3" xfId="15457" xr:uid="{F737DCE3-4CFD-43A5-B8CD-3947F4BE8D90}"/>
    <cellStyle name="Normal 10 3 2 2 2 2 3 4 3" xfId="15458" xr:uid="{76C73D97-0CF8-4B25-B455-B38BD0A980EE}"/>
    <cellStyle name="Normal 10 3 2 2 2 2 3 4 3 2" xfId="15459" xr:uid="{83C3346C-71AA-4AE1-BA67-DC91CB046BAB}"/>
    <cellStyle name="Normal 10 3 2 2 2 2 3 4 4" xfId="15460" xr:uid="{FFCF9B5E-50E7-4B37-9D1C-14FF5369CBF9}"/>
    <cellStyle name="Normal 10 3 2 2 2 2 3 5" xfId="15461" xr:uid="{FFE0104D-3447-4AA1-A6AC-8EDE96948CBC}"/>
    <cellStyle name="Normal 10 3 2 2 2 2 3 5 2" xfId="15462" xr:uid="{C2508A61-3EE7-48EF-AE0B-8385DBEA70A1}"/>
    <cellStyle name="Normal 10 3 2 2 2 2 3 5 2 2" xfId="15463" xr:uid="{FBEACD71-D3CE-48C8-B677-2BDB97B4B656}"/>
    <cellStyle name="Normal 10 3 2 2 2 2 3 5 3" xfId="15464" xr:uid="{B2B0FD75-345B-4E7C-90B9-D0CFA0A6C9CD}"/>
    <cellStyle name="Normal 10 3 2 2 2 2 3 6" xfId="15465" xr:uid="{55231FC2-DEA4-4D14-9EA7-6187E39AB989}"/>
    <cellStyle name="Normal 10 3 2 2 2 2 3 6 2" xfId="15466" xr:uid="{6EF36C3D-BE5B-4FC3-AD28-0ADA57BB216D}"/>
    <cellStyle name="Normal 10 3 2 2 2 2 3 7" xfId="15467" xr:uid="{5053E122-76B0-4BF8-8FF0-AAE2CD8EABD0}"/>
    <cellStyle name="Normal 10 3 2 2 2 2 4" xfId="15468" xr:uid="{7D05227E-596A-4DAD-81A2-70E188A44949}"/>
    <cellStyle name="Normal 10 3 2 2 2 2 4 2" xfId="15469" xr:uid="{71114835-A992-4A9B-BDA3-E0E9A2E4B7F3}"/>
    <cellStyle name="Normal 10 3 2 2 2 2 4 2 2" xfId="15470" xr:uid="{541D03D0-EE97-466A-83BD-A21E88EE464B}"/>
    <cellStyle name="Normal 10 3 2 2 2 2 4 2 2 2" xfId="15471" xr:uid="{D5F7659D-6F26-4298-9BC4-4592DF1E1879}"/>
    <cellStyle name="Normal 10 3 2 2 2 2 4 2 2 2 2" xfId="15472" xr:uid="{63959912-C7E3-4714-B4F4-C8D6861A5AE4}"/>
    <cellStyle name="Normal 10 3 2 2 2 2 4 2 2 2 2 2" xfId="15473" xr:uid="{A154B2BC-B3F7-47B6-A550-2EB919D8324D}"/>
    <cellStyle name="Normal 10 3 2 2 2 2 4 2 2 2 3" xfId="15474" xr:uid="{3D35F53E-48E9-4F61-9CC4-8919F6F7C31C}"/>
    <cellStyle name="Normal 10 3 2 2 2 2 4 2 2 3" xfId="15475" xr:uid="{77B99805-868C-4175-94C8-E8A647FB0A96}"/>
    <cellStyle name="Normal 10 3 2 2 2 2 4 2 2 3 2" xfId="15476" xr:uid="{E1C02D71-3C47-4A04-B79B-88B9D4A4A7FE}"/>
    <cellStyle name="Normal 10 3 2 2 2 2 4 2 2 4" xfId="15477" xr:uid="{1A1B88FB-D35E-4266-A436-1026E4E8A10B}"/>
    <cellStyle name="Normal 10 3 2 2 2 2 4 2 3" xfId="15478" xr:uid="{BE4C78BE-0205-460B-AD35-406CA7FE7748}"/>
    <cellStyle name="Normal 10 3 2 2 2 2 4 2 3 2" xfId="15479" xr:uid="{F177684F-766A-4434-BE19-2BCA407B2087}"/>
    <cellStyle name="Normal 10 3 2 2 2 2 4 2 3 2 2" xfId="15480" xr:uid="{EB5F681F-79E7-41A4-B637-C64DD96876A6}"/>
    <cellStyle name="Normal 10 3 2 2 2 2 4 2 3 3" xfId="15481" xr:uid="{5AD5B57D-4621-4698-AC9D-A8D2E6EA70AC}"/>
    <cellStyle name="Normal 10 3 2 2 2 2 4 2 4" xfId="15482" xr:uid="{54163D0B-E2E9-441E-A6B7-0CA81CB6CC09}"/>
    <cellStyle name="Normal 10 3 2 2 2 2 4 2 4 2" xfId="15483" xr:uid="{CC691BB0-A463-4EE9-8746-CFA31C3AE557}"/>
    <cellStyle name="Normal 10 3 2 2 2 2 4 2 5" xfId="15484" xr:uid="{B5470935-20CA-4C44-A595-D606FB1E115B}"/>
    <cellStyle name="Normal 10 3 2 2 2 2 4 3" xfId="15485" xr:uid="{456FAF26-FF36-4977-BB36-7543DAA69B52}"/>
    <cellStyle name="Normal 10 3 2 2 2 2 4 3 2" xfId="15486" xr:uid="{3CE3D220-FA64-4F36-A933-950ADD722345}"/>
    <cellStyle name="Normal 10 3 2 2 2 2 4 3 2 2" xfId="15487" xr:uid="{26AD3831-0350-43DE-B6ED-AA884A572970}"/>
    <cellStyle name="Normal 10 3 2 2 2 2 4 3 2 2 2" xfId="15488" xr:uid="{9A3AD7E9-8215-4530-8616-25A41645A6C0}"/>
    <cellStyle name="Normal 10 3 2 2 2 2 4 3 2 3" xfId="15489" xr:uid="{EBED284A-E539-4EA4-AFCE-7A115E78A939}"/>
    <cellStyle name="Normal 10 3 2 2 2 2 4 3 3" xfId="15490" xr:uid="{6B3BD028-0075-4F21-85C2-817777E54361}"/>
    <cellStyle name="Normal 10 3 2 2 2 2 4 3 3 2" xfId="15491" xr:uid="{F1FAF499-24F5-49AD-9DFB-A0D1CDC29DF5}"/>
    <cellStyle name="Normal 10 3 2 2 2 2 4 3 4" xfId="15492" xr:uid="{8C25B3DF-560F-4448-8904-A0F1794FA5AC}"/>
    <cellStyle name="Normal 10 3 2 2 2 2 4 4" xfId="15493" xr:uid="{BD85036E-9C3B-4441-944F-A41E874DA876}"/>
    <cellStyle name="Normal 10 3 2 2 2 2 4 4 2" xfId="15494" xr:uid="{468C54D8-C5F8-4D4B-8D46-F8F599A7326E}"/>
    <cellStyle name="Normal 10 3 2 2 2 2 4 4 2 2" xfId="15495" xr:uid="{AB584620-F87D-4688-8381-54370E8F73DA}"/>
    <cellStyle name="Normal 10 3 2 2 2 2 4 4 3" xfId="15496" xr:uid="{D467BF49-9570-4B95-A6A7-636D009D18DD}"/>
    <cellStyle name="Normal 10 3 2 2 2 2 4 5" xfId="15497" xr:uid="{25B715FD-045B-43BF-BF90-4258D0BF0BE9}"/>
    <cellStyle name="Normal 10 3 2 2 2 2 4 5 2" xfId="15498" xr:uid="{BCAD6825-6D79-44F5-8352-E7187E17D1B3}"/>
    <cellStyle name="Normal 10 3 2 2 2 2 4 6" xfId="15499" xr:uid="{B6D5F2D9-8D47-4B57-9F26-1144B5AE0839}"/>
    <cellStyle name="Normal 10 3 2 2 2 2 5" xfId="15500" xr:uid="{B85902A5-EEDD-44BF-AF63-C0979D6DDAEE}"/>
    <cellStyle name="Normal 10 3 2 2 2 2 5 2" xfId="15501" xr:uid="{30ECB281-9B47-4604-B9EC-B198282102EB}"/>
    <cellStyle name="Normal 10 3 2 2 2 2 5 2 2" xfId="15502" xr:uid="{9D9CFE8F-200F-406E-BC59-10A3AD9402E1}"/>
    <cellStyle name="Normal 10 3 2 2 2 2 5 2 2 2" xfId="15503" xr:uid="{E9FADA1D-CC94-43F9-940A-A7FC75CC9E48}"/>
    <cellStyle name="Normal 10 3 2 2 2 2 5 2 2 2 2" xfId="15504" xr:uid="{D5C570E1-089B-40F9-9989-EA2370CA6FE9}"/>
    <cellStyle name="Normal 10 3 2 2 2 2 5 2 2 3" xfId="15505" xr:uid="{4776F32C-1534-4135-91F6-9603D511DEE5}"/>
    <cellStyle name="Normal 10 3 2 2 2 2 5 2 3" xfId="15506" xr:uid="{B7BE6BEA-F58D-40E8-9D6A-4CF7BE2914C8}"/>
    <cellStyle name="Normal 10 3 2 2 2 2 5 2 3 2" xfId="15507" xr:uid="{195496E6-BD1A-4462-BCB7-9A7131F90680}"/>
    <cellStyle name="Normal 10 3 2 2 2 2 5 2 4" xfId="15508" xr:uid="{9D4C72D2-1A99-4E61-8216-B675A6E496E6}"/>
    <cellStyle name="Normal 10 3 2 2 2 2 5 3" xfId="15509" xr:uid="{09CA7814-E52C-40FE-A571-2B3E414900BA}"/>
    <cellStyle name="Normal 10 3 2 2 2 2 5 3 2" xfId="15510" xr:uid="{78500F06-86D2-40BA-B199-007FCD1ADE62}"/>
    <cellStyle name="Normal 10 3 2 2 2 2 5 3 2 2" xfId="15511" xr:uid="{F9F537B8-B63F-4EDA-B645-BDCBF213FEDD}"/>
    <cellStyle name="Normal 10 3 2 2 2 2 5 3 3" xfId="15512" xr:uid="{60A3174F-7CB0-4F1F-8DA0-6D2DFF54A937}"/>
    <cellStyle name="Normal 10 3 2 2 2 2 5 4" xfId="15513" xr:uid="{076EC1E3-5404-4561-9BC0-A93F2231D710}"/>
    <cellStyle name="Normal 10 3 2 2 2 2 5 4 2" xfId="15514" xr:uid="{8C7A2D17-0BA1-4B39-8E4A-6CA53AEC4F55}"/>
    <cellStyle name="Normal 10 3 2 2 2 2 5 5" xfId="15515" xr:uid="{523C5710-EF88-4F2B-9EB0-72764D652C53}"/>
    <cellStyle name="Normal 10 3 2 2 2 2 6" xfId="15516" xr:uid="{2FD1F566-276E-42D1-83B6-F1D53902CC0F}"/>
    <cellStyle name="Normal 10 3 2 2 2 2 6 2" xfId="15517" xr:uid="{1411CFE9-E0F1-4EA5-8C49-8E8774D7DE67}"/>
    <cellStyle name="Normal 10 3 2 2 2 2 6 2 2" xfId="15518" xr:uid="{D252314A-B0CD-4CFD-A404-052E8A5AC215}"/>
    <cellStyle name="Normal 10 3 2 2 2 2 6 2 2 2" xfId="15519" xr:uid="{07E15D58-2B15-4A2C-A90C-953B0F21B775}"/>
    <cellStyle name="Normal 10 3 2 2 2 2 6 2 3" xfId="15520" xr:uid="{8D60BDF3-676C-4743-98B0-F5B83A94306B}"/>
    <cellStyle name="Normal 10 3 2 2 2 2 6 3" xfId="15521" xr:uid="{B64BD5E3-4190-4F49-A8ED-ABA8DEB353C4}"/>
    <cellStyle name="Normal 10 3 2 2 2 2 6 3 2" xfId="15522" xr:uid="{8541765A-0481-48B7-9868-4C608F433645}"/>
    <cellStyle name="Normal 10 3 2 2 2 2 6 4" xfId="15523" xr:uid="{EEBE608B-6952-4D0E-BD3A-46B84ABC4AD7}"/>
    <cellStyle name="Normal 10 3 2 2 2 2 7" xfId="15524" xr:uid="{316D2DB3-97FC-4C48-A9F9-D9419FE469B7}"/>
    <cellStyle name="Normal 10 3 2 2 2 2 7 2" xfId="15525" xr:uid="{23D2DF8B-7038-4EAB-8398-A8BE5BF32D3B}"/>
    <cellStyle name="Normal 10 3 2 2 2 2 7 2 2" xfId="15526" xr:uid="{D86BE3E2-D5B1-4F23-8BB4-8071F25FD1B3}"/>
    <cellStyle name="Normal 10 3 2 2 2 2 7 3" xfId="15527" xr:uid="{A7C561F9-A2B4-413F-A157-038633525888}"/>
    <cellStyle name="Normal 10 3 2 2 2 2 8" xfId="15528" xr:uid="{8DB0AADA-AC88-4C18-B4E6-AB222714F8AF}"/>
    <cellStyle name="Normal 10 3 2 2 2 2 8 2" xfId="15529" xr:uid="{869818A7-62AD-4469-8EB4-943E2F7DD5E6}"/>
    <cellStyle name="Normal 10 3 2 2 2 2 9" xfId="15530" xr:uid="{74B0763F-6001-4AEE-9A51-BE83612592F6}"/>
    <cellStyle name="Normal 10 3 2 2 2 3" xfId="466" xr:uid="{7932E7CE-C9F9-438E-A617-0DEB290B36C7}"/>
    <cellStyle name="Normal 10 3 2 2 2 3 2" xfId="15532" xr:uid="{9BD41CF5-A3D4-48DB-AEAD-889E57BEE4CC}"/>
    <cellStyle name="Normal 10 3 2 2 2 3 2 2" xfId="15533" xr:uid="{768216C6-1932-429E-9559-6A0FE4222DCA}"/>
    <cellStyle name="Normal 10 3 2 2 2 3 2 2 2" xfId="15534" xr:uid="{68949E69-DFBC-4D4D-8813-16BBD05FF7D4}"/>
    <cellStyle name="Normal 10 3 2 2 2 3 2 2 2 2" xfId="15535" xr:uid="{8FCA4B4A-EF1A-4B70-A105-E21CE561E64A}"/>
    <cellStyle name="Normal 10 3 2 2 2 3 2 2 2 2 2" xfId="15536" xr:uid="{B7D4B477-9868-4F97-9215-6BCFBCA67C32}"/>
    <cellStyle name="Normal 10 3 2 2 2 3 2 2 2 2 2 2" xfId="15537" xr:uid="{1E9095D8-A22D-42EB-ADBA-0EB513082CB7}"/>
    <cellStyle name="Normal 10 3 2 2 2 3 2 2 2 2 2 2 2" xfId="15538" xr:uid="{095D18CC-0433-4E8F-B20E-1886147CBBA3}"/>
    <cellStyle name="Normal 10 3 2 2 2 3 2 2 2 2 2 3" xfId="15539" xr:uid="{7C3B741D-AAA3-4BE3-B22F-C2C2E4785369}"/>
    <cellStyle name="Normal 10 3 2 2 2 3 2 2 2 2 3" xfId="15540" xr:uid="{7B92FA0E-312E-4061-A022-D5D5FAB597F7}"/>
    <cellStyle name="Normal 10 3 2 2 2 3 2 2 2 2 3 2" xfId="15541" xr:uid="{D5787A49-2F6F-4F40-A381-125A79A60BE5}"/>
    <cellStyle name="Normal 10 3 2 2 2 3 2 2 2 2 4" xfId="15542" xr:uid="{D7CC2E51-1889-47E4-8402-EF3C5A91B978}"/>
    <cellStyle name="Normal 10 3 2 2 2 3 2 2 2 3" xfId="15543" xr:uid="{1A201D64-76CB-4946-B206-D8CBD065EA2D}"/>
    <cellStyle name="Normal 10 3 2 2 2 3 2 2 2 3 2" xfId="15544" xr:uid="{A9D2B2A7-488F-4ED8-A02F-90BF2578DF25}"/>
    <cellStyle name="Normal 10 3 2 2 2 3 2 2 2 3 2 2" xfId="15545" xr:uid="{E9D01E62-8E67-4849-AA6E-7113F1833190}"/>
    <cellStyle name="Normal 10 3 2 2 2 3 2 2 2 3 3" xfId="15546" xr:uid="{EE7693FE-E571-4090-9461-70CDFAF706B8}"/>
    <cellStyle name="Normal 10 3 2 2 2 3 2 2 2 4" xfId="15547" xr:uid="{A7F78404-233F-4E07-9BD7-D7729B9A27C8}"/>
    <cellStyle name="Normal 10 3 2 2 2 3 2 2 2 4 2" xfId="15548" xr:uid="{1BB332CF-22DA-413B-8608-70873DB2D905}"/>
    <cellStyle name="Normal 10 3 2 2 2 3 2 2 2 5" xfId="15549" xr:uid="{01EE8368-10AF-4B6D-91EC-730B9B720705}"/>
    <cellStyle name="Normal 10 3 2 2 2 3 2 2 3" xfId="15550" xr:uid="{4C6F6120-4EAE-41B9-A50A-4BFE010C4CB2}"/>
    <cellStyle name="Normal 10 3 2 2 2 3 2 2 3 2" xfId="15551" xr:uid="{AD78E029-E6BA-4348-92B7-A0113D1BB08C}"/>
    <cellStyle name="Normal 10 3 2 2 2 3 2 2 3 2 2" xfId="15552" xr:uid="{31BA26D9-AF3A-43D4-B8A5-0B791582DF89}"/>
    <cellStyle name="Normal 10 3 2 2 2 3 2 2 3 2 2 2" xfId="15553" xr:uid="{62EE502F-9C66-426C-9278-FD5D3ED41E18}"/>
    <cellStyle name="Normal 10 3 2 2 2 3 2 2 3 2 3" xfId="15554" xr:uid="{E7FF19C5-04E4-4EF5-A680-C85AC2FF935B}"/>
    <cellStyle name="Normal 10 3 2 2 2 3 2 2 3 3" xfId="15555" xr:uid="{A790BC04-0AB9-4185-9D3B-A58040CB1409}"/>
    <cellStyle name="Normal 10 3 2 2 2 3 2 2 3 3 2" xfId="15556" xr:uid="{5C034F81-C2AD-4304-B59A-D2579BB38420}"/>
    <cellStyle name="Normal 10 3 2 2 2 3 2 2 3 4" xfId="15557" xr:uid="{C933E85E-A871-4E73-A5B7-4B65C9E3A24A}"/>
    <cellStyle name="Normal 10 3 2 2 2 3 2 2 4" xfId="15558" xr:uid="{BA00BB46-1150-47F1-9863-268199786592}"/>
    <cellStyle name="Normal 10 3 2 2 2 3 2 2 4 2" xfId="15559" xr:uid="{E78F6B5B-DD62-474A-91B6-45BAE2D5E88B}"/>
    <cellStyle name="Normal 10 3 2 2 2 3 2 2 4 2 2" xfId="15560" xr:uid="{B4E6F1A8-A977-4A86-BADE-DCC6F48D79A9}"/>
    <cellStyle name="Normal 10 3 2 2 2 3 2 2 4 3" xfId="15561" xr:uid="{F4B7948C-1DD1-4BF9-8E40-E74449812672}"/>
    <cellStyle name="Normal 10 3 2 2 2 3 2 2 5" xfId="15562" xr:uid="{9BC3F68D-E55C-42DF-8EA7-74ADB891E859}"/>
    <cellStyle name="Normal 10 3 2 2 2 3 2 2 5 2" xfId="15563" xr:uid="{04DE212E-96E1-4924-80C3-6C4F17D4AA86}"/>
    <cellStyle name="Normal 10 3 2 2 2 3 2 2 6" xfId="15564" xr:uid="{713D8EDD-326B-46F0-BB5C-A8DB8D46832D}"/>
    <cellStyle name="Normal 10 3 2 2 2 3 2 3" xfId="15565" xr:uid="{70E78155-39AE-4EBD-934F-884F37F9D461}"/>
    <cellStyle name="Normal 10 3 2 2 2 3 2 3 2" xfId="15566" xr:uid="{573E5B8D-FDB3-4BA4-ADD7-8B45FDE32444}"/>
    <cellStyle name="Normal 10 3 2 2 2 3 2 3 2 2" xfId="15567" xr:uid="{33664850-4C8B-4251-85DA-65D58CC0C756}"/>
    <cellStyle name="Normal 10 3 2 2 2 3 2 3 2 2 2" xfId="15568" xr:uid="{83859172-D1B8-4042-81E5-50DD257EDDD0}"/>
    <cellStyle name="Normal 10 3 2 2 2 3 2 3 2 2 2 2" xfId="15569" xr:uid="{DC12B5F6-7100-468A-8F3A-5B73464BE096}"/>
    <cellStyle name="Normal 10 3 2 2 2 3 2 3 2 2 3" xfId="15570" xr:uid="{FB425167-7DBC-448A-B3BA-DE1C76D034F7}"/>
    <cellStyle name="Normal 10 3 2 2 2 3 2 3 2 3" xfId="15571" xr:uid="{B320A966-1B5F-406D-BDC2-146CD7650FD6}"/>
    <cellStyle name="Normal 10 3 2 2 2 3 2 3 2 3 2" xfId="15572" xr:uid="{9643D2F9-C11D-4C5F-9F03-100DF1BB7AC1}"/>
    <cellStyle name="Normal 10 3 2 2 2 3 2 3 2 4" xfId="15573" xr:uid="{CF112800-EF62-45E3-8B61-D9DD89106779}"/>
    <cellStyle name="Normal 10 3 2 2 2 3 2 3 3" xfId="15574" xr:uid="{CB8F78C2-C606-4C48-94A5-2B0F736838F9}"/>
    <cellStyle name="Normal 10 3 2 2 2 3 2 3 3 2" xfId="15575" xr:uid="{CBA4EAE4-C36D-4660-9AB7-6E8FB39DC9FF}"/>
    <cellStyle name="Normal 10 3 2 2 2 3 2 3 3 2 2" xfId="15576" xr:uid="{65D87258-1BCD-442C-A94B-C177B9F8612A}"/>
    <cellStyle name="Normal 10 3 2 2 2 3 2 3 3 3" xfId="15577" xr:uid="{504F134F-FFA5-4981-A727-B766F19F3A51}"/>
    <cellStyle name="Normal 10 3 2 2 2 3 2 3 4" xfId="15578" xr:uid="{72DFB1CD-2CFA-4791-9581-F5B3B9E04F2B}"/>
    <cellStyle name="Normal 10 3 2 2 2 3 2 3 4 2" xfId="15579" xr:uid="{1F8A0CB7-9812-47DD-8212-029EB9DE8AD6}"/>
    <cellStyle name="Normal 10 3 2 2 2 3 2 3 5" xfId="15580" xr:uid="{946278C8-44B4-46EA-B64C-67BEE0FBDFA4}"/>
    <cellStyle name="Normal 10 3 2 2 2 3 2 4" xfId="15581" xr:uid="{BE932B50-D645-44F2-A689-D1DD93D4BAE4}"/>
    <cellStyle name="Normal 10 3 2 2 2 3 2 4 2" xfId="15582" xr:uid="{56176D3C-5617-4CA4-88E8-F4E0817E2CA0}"/>
    <cellStyle name="Normal 10 3 2 2 2 3 2 4 2 2" xfId="15583" xr:uid="{17A852DD-B270-491A-A37B-7E59D92B69AE}"/>
    <cellStyle name="Normal 10 3 2 2 2 3 2 4 2 2 2" xfId="15584" xr:uid="{32F7B00B-CB17-4F3E-A5FA-2C894AC25BB5}"/>
    <cellStyle name="Normal 10 3 2 2 2 3 2 4 2 3" xfId="15585" xr:uid="{C79625D2-C6E0-46D1-A442-46462AF11F67}"/>
    <cellStyle name="Normal 10 3 2 2 2 3 2 4 3" xfId="15586" xr:uid="{AB8F6D4C-9272-4E2A-812E-B97C55FE2239}"/>
    <cellStyle name="Normal 10 3 2 2 2 3 2 4 3 2" xfId="15587" xr:uid="{C02CAE7E-7A1E-414E-AE75-506CA1B488B6}"/>
    <cellStyle name="Normal 10 3 2 2 2 3 2 4 4" xfId="15588" xr:uid="{B99E7E11-16C4-45B3-A3EA-6FC701D7A8DB}"/>
    <cellStyle name="Normal 10 3 2 2 2 3 2 5" xfId="15589" xr:uid="{6254C1B2-7371-4AEE-9293-FC9ADEC3AB16}"/>
    <cellStyle name="Normal 10 3 2 2 2 3 2 5 2" xfId="15590" xr:uid="{B96A694E-C7E1-4CAA-B565-35FAEA300C1A}"/>
    <cellStyle name="Normal 10 3 2 2 2 3 2 5 2 2" xfId="15591" xr:uid="{99338E85-CE96-4647-8060-3D2449B7783D}"/>
    <cellStyle name="Normal 10 3 2 2 2 3 2 5 3" xfId="15592" xr:uid="{FBC34CA6-5932-4F17-8946-AEC5141676E6}"/>
    <cellStyle name="Normal 10 3 2 2 2 3 2 6" xfId="15593" xr:uid="{D88C2A6C-BB57-41DC-8490-A5CD439E1B55}"/>
    <cellStyle name="Normal 10 3 2 2 2 3 2 6 2" xfId="15594" xr:uid="{F96F5A05-EBED-4DDD-888E-ECBAFB0A9288}"/>
    <cellStyle name="Normal 10 3 2 2 2 3 2 7" xfId="15595" xr:uid="{63E977C1-010F-49E3-9174-5D3C535D0AD9}"/>
    <cellStyle name="Normal 10 3 2 2 2 3 3" xfId="15596" xr:uid="{559BC0A7-AE4B-4ECF-BDA2-4E703D3221D8}"/>
    <cellStyle name="Normal 10 3 2 2 2 3 3 2" xfId="15597" xr:uid="{9CEBD76D-CF25-4FF9-92E5-8A71854495AD}"/>
    <cellStyle name="Normal 10 3 2 2 2 3 3 2 2" xfId="15598" xr:uid="{3C1FA57A-054F-4CCE-8E9F-FE3D6FCFEC71}"/>
    <cellStyle name="Normal 10 3 2 2 2 3 3 2 2 2" xfId="15599" xr:uid="{E9303FD8-6A37-43E2-B93B-9921544627D8}"/>
    <cellStyle name="Normal 10 3 2 2 2 3 3 2 2 2 2" xfId="15600" xr:uid="{456A2387-8D95-42CC-91AF-ECF2E30D9296}"/>
    <cellStyle name="Normal 10 3 2 2 2 3 3 2 2 2 2 2" xfId="15601" xr:uid="{22707FE3-FA63-4CF4-92AF-DEDD91B3B9DB}"/>
    <cellStyle name="Normal 10 3 2 2 2 3 3 2 2 2 3" xfId="15602" xr:uid="{2059432B-B85F-47E9-BCBD-1479A8E296F1}"/>
    <cellStyle name="Normal 10 3 2 2 2 3 3 2 2 3" xfId="15603" xr:uid="{B5F671FE-9982-4B49-B10F-F3C05181657E}"/>
    <cellStyle name="Normal 10 3 2 2 2 3 3 2 2 3 2" xfId="15604" xr:uid="{92E92599-298E-4312-B6AB-CEE4A57ECE58}"/>
    <cellStyle name="Normal 10 3 2 2 2 3 3 2 2 4" xfId="15605" xr:uid="{F575D71A-88C5-4A2E-8FE4-7C295B35CED1}"/>
    <cellStyle name="Normal 10 3 2 2 2 3 3 2 3" xfId="15606" xr:uid="{2D7166C0-C6EB-4301-9DA0-469776C027A3}"/>
    <cellStyle name="Normal 10 3 2 2 2 3 3 2 3 2" xfId="15607" xr:uid="{FA66B838-8287-4B6E-97A9-9F7EE1703EBA}"/>
    <cellStyle name="Normal 10 3 2 2 2 3 3 2 3 2 2" xfId="15608" xr:uid="{5373CE64-A290-4566-913B-6D703A61E5DC}"/>
    <cellStyle name="Normal 10 3 2 2 2 3 3 2 3 3" xfId="15609" xr:uid="{DBAD7619-9CF3-44CD-9D3C-74E9F7881747}"/>
    <cellStyle name="Normal 10 3 2 2 2 3 3 2 4" xfId="15610" xr:uid="{DF32E23F-A339-42BE-B978-0FAF4D4AD56C}"/>
    <cellStyle name="Normal 10 3 2 2 2 3 3 2 4 2" xfId="15611" xr:uid="{1EBC7D1F-6604-4ABE-827B-FD3CD8F50A00}"/>
    <cellStyle name="Normal 10 3 2 2 2 3 3 2 5" xfId="15612" xr:uid="{D2B7AEA1-65BC-4A5C-852C-F22219D8C724}"/>
    <cellStyle name="Normal 10 3 2 2 2 3 3 3" xfId="15613" xr:uid="{7D75911C-E9F0-4AEF-9D39-F724641D0668}"/>
    <cellStyle name="Normal 10 3 2 2 2 3 3 3 2" xfId="15614" xr:uid="{8613CFC2-FFCB-4285-A94B-3AF86B3827F7}"/>
    <cellStyle name="Normal 10 3 2 2 2 3 3 3 2 2" xfId="15615" xr:uid="{9518104A-AD9A-4FA1-825E-E3ABAE012657}"/>
    <cellStyle name="Normal 10 3 2 2 2 3 3 3 2 2 2" xfId="15616" xr:uid="{1006E9B9-81B0-41FF-9AA9-B8E2200F6FE3}"/>
    <cellStyle name="Normal 10 3 2 2 2 3 3 3 2 3" xfId="15617" xr:uid="{ED9E9EEC-7EC2-4266-86FF-DE18D6878034}"/>
    <cellStyle name="Normal 10 3 2 2 2 3 3 3 3" xfId="15618" xr:uid="{42886FFD-9CE3-437C-91B9-CE451DA52D43}"/>
    <cellStyle name="Normal 10 3 2 2 2 3 3 3 3 2" xfId="15619" xr:uid="{7FBF9C8B-F6EA-431B-916B-BCCB1ED6A398}"/>
    <cellStyle name="Normal 10 3 2 2 2 3 3 3 4" xfId="15620" xr:uid="{2F80ED3C-AE78-4F94-A2DA-E2B9E05EDE56}"/>
    <cellStyle name="Normal 10 3 2 2 2 3 3 4" xfId="15621" xr:uid="{287BADF0-EA55-4D53-801E-48446E2D57E7}"/>
    <cellStyle name="Normal 10 3 2 2 2 3 3 4 2" xfId="15622" xr:uid="{FEC8FD15-C02D-4FA4-870E-673812F122D4}"/>
    <cellStyle name="Normal 10 3 2 2 2 3 3 4 2 2" xfId="15623" xr:uid="{E37107C6-A59E-4192-B36C-857F8E891769}"/>
    <cellStyle name="Normal 10 3 2 2 2 3 3 4 3" xfId="15624" xr:uid="{3044AD7C-712A-4C5B-ACAC-E77A6516BDDD}"/>
    <cellStyle name="Normal 10 3 2 2 2 3 3 5" xfId="15625" xr:uid="{02DC887F-3787-4F5A-8809-BC2841F3D120}"/>
    <cellStyle name="Normal 10 3 2 2 2 3 3 5 2" xfId="15626" xr:uid="{476F2F31-1694-465E-A037-6B917137393A}"/>
    <cellStyle name="Normal 10 3 2 2 2 3 3 6" xfId="15627" xr:uid="{F30C573E-C2E0-471E-8D1A-B6006AA0A3CA}"/>
    <cellStyle name="Normal 10 3 2 2 2 3 4" xfId="15628" xr:uid="{9B3E7FF0-BF32-4224-AE93-2465D82A6961}"/>
    <cellStyle name="Normal 10 3 2 2 2 3 4 2" xfId="15629" xr:uid="{A0331AF7-FD5F-4F9D-B122-FC4946882F3C}"/>
    <cellStyle name="Normal 10 3 2 2 2 3 4 2 2" xfId="15630" xr:uid="{5D44E85E-74CB-49FC-8465-093B94400408}"/>
    <cellStyle name="Normal 10 3 2 2 2 3 4 2 2 2" xfId="15631" xr:uid="{1F51E335-7E03-4DD1-B3E4-58DC56746BFF}"/>
    <cellStyle name="Normal 10 3 2 2 2 3 4 2 2 2 2" xfId="15632" xr:uid="{4290FE70-5DA0-4BFB-A57F-04341D5D1790}"/>
    <cellStyle name="Normal 10 3 2 2 2 3 4 2 2 3" xfId="15633" xr:uid="{9726231A-6678-482A-B0A5-E68E580768BE}"/>
    <cellStyle name="Normal 10 3 2 2 2 3 4 2 3" xfId="15634" xr:uid="{A6172A47-F188-4A4A-AF3B-47CDCB96074C}"/>
    <cellStyle name="Normal 10 3 2 2 2 3 4 2 3 2" xfId="15635" xr:uid="{D69FBC7B-9C1F-4D48-B344-F513FBF8431A}"/>
    <cellStyle name="Normal 10 3 2 2 2 3 4 2 4" xfId="15636" xr:uid="{B3182F38-FA34-4C99-8E02-A3EFC79007B9}"/>
    <cellStyle name="Normal 10 3 2 2 2 3 4 3" xfId="15637" xr:uid="{F61AA339-9656-4E2B-A319-460399116D81}"/>
    <cellStyle name="Normal 10 3 2 2 2 3 4 3 2" xfId="15638" xr:uid="{9EE0BB24-4F98-4C70-A5A7-D2CC7116BD27}"/>
    <cellStyle name="Normal 10 3 2 2 2 3 4 3 2 2" xfId="15639" xr:uid="{013116D0-EBBD-4503-AB04-EB1EABC13227}"/>
    <cellStyle name="Normal 10 3 2 2 2 3 4 3 3" xfId="15640" xr:uid="{51201173-2869-4C9A-B369-8F5146B9D754}"/>
    <cellStyle name="Normal 10 3 2 2 2 3 4 4" xfId="15641" xr:uid="{5AEAFD3E-DFA4-4712-A9FC-EB28AC2A0524}"/>
    <cellStyle name="Normal 10 3 2 2 2 3 4 4 2" xfId="15642" xr:uid="{528C875C-B19E-4C85-A05C-9C3F092A9484}"/>
    <cellStyle name="Normal 10 3 2 2 2 3 4 5" xfId="15643" xr:uid="{1CD6502D-C786-4702-A546-FB6590F0DE62}"/>
    <cellStyle name="Normal 10 3 2 2 2 3 5" xfId="15644" xr:uid="{E02F5B0B-459C-4A78-895F-F4DF406DB5D6}"/>
    <cellStyle name="Normal 10 3 2 2 2 3 5 2" xfId="15645" xr:uid="{C7AF34E0-224C-4D8A-B88B-4EAA5FF556E6}"/>
    <cellStyle name="Normal 10 3 2 2 2 3 5 2 2" xfId="15646" xr:uid="{BF09EEA0-EDC9-4984-8210-5BB1880DFFBC}"/>
    <cellStyle name="Normal 10 3 2 2 2 3 5 2 2 2" xfId="15647" xr:uid="{3EE70246-A612-4997-893E-748061CECAD5}"/>
    <cellStyle name="Normal 10 3 2 2 2 3 5 2 3" xfId="15648" xr:uid="{1C846740-5622-4706-BF48-0E006B6DE64A}"/>
    <cellStyle name="Normal 10 3 2 2 2 3 5 3" xfId="15649" xr:uid="{810E70D9-5179-4607-B6EC-DE4C30450F03}"/>
    <cellStyle name="Normal 10 3 2 2 2 3 5 3 2" xfId="15650" xr:uid="{2F483613-2800-4428-B89F-F601862B8ADB}"/>
    <cellStyle name="Normal 10 3 2 2 2 3 5 4" xfId="15651" xr:uid="{E7EF04BA-2FA4-4B9C-A2DD-F39B6C67E695}"/>
    <cellStyle name="Normal 10 3 2 2 2 3 6" xfId="15652" xr:uid="{B72F34B8-BF3D-4CA6-A387-B6CDA4E68FD3}"/>
    <cellStyle name="Normal 10 3 2 2 2 3 6 2" xfId="15653" xr:uid="{19F3E5AC-71FA-4A80-BA9E-9934638AE0B6}"/>
    <cellStyle name="Normal 10 3 2 2 2 3 6 2 2" xfId="15654" xr:uid="{800B9378-E311-4CD1-B2E7-D4FCD9990028}"/>
    <cellStyle name="Normal 10 3 2 2 2 3 6 3" xfId="15655" xr:uid="{D7B558AC-BEB3-4131-B75E-4A13F5F81931}"/>
    <cellStyle name="Normal 10 3 2 2 2 3 7" xfId="15656" xr:uid="{BDDE1A2F-9ED4-4FF7-9FCA-8E1E3A7157F6}"/>
    <cellStyle name="Normal 10 3 2 2 2 3 7 2" xfId="15657" xr:uid="{2C9FC0AA-B692-4CFF-8601-6CAE7E17FF78}"/>
    <cellStyle name="Normal 10 3 2 2 2 3 8" xfId="15658" xr:uid="{443465CD-9D42-40A6-B3B7-4C8BD40AAF9B}"/>
    <cellStyle name="Normal 10 3 2 2 2 3 9" xfId="15531" xr:uid="{68037529-6167-4FD5-B7D7-C97C00E237F6}"/>
    <cellStyle name="Normal 10 3 2 2 2 4" xfId="15659" xr:uid="{3F17F27E-A650-4393-9CAD-1D55848453D6}"/>
    <cellStyle name="Normal 10 3 2 2 2 4 2" xfId="15660" xr:uid="{7CF316AC-E8B3-4EC8-81E7-3C86D83160DE}"/>
    <cellStyle name="Normal 10 3 2 2 2 4 2 2" xfId="15661" xr:uid="{F3E8B9C6-3563-425C-AFA7-D405CA842855}"/>
    <cellStyle name="Normal 10 3 2 2 2 4 2 2 2" xfId="15662" xr:uid="{9575D477-1413-4EB9-84A7-720F856AB786}"/>
    <cellStyle name="Normal 10 3 2 2 2 4 2 2 2 2" xfId="15663" xr:uid="{4D74C501-A005-4D75-8F8C-552B8D2E3B9E}"/>
    <cellStyle name="Normal 10 3 2 2 2 4 2 2 2 2 2" xfId="15664" xr:uid="{8000FCE4-8521-498E-AE49-169149E3804A}"/>
    <cellStyle name="Normal 10 3 2 2 2 4 2 2 2 2 2 2" xfId="15665" xr:uid="{66152382-5730-42F1-9B6A-26E45BB116B7}"/>
    <cellStyle name="Normal 10 3 2 2 2 4 2 2 2 2 3" xfId="15666" xr:uid="{571163F7-C019-4C9B-A50F-A7DEC4699272}"/>
    <cellStyle name="Normal 10 3 2 2 2 4 2 2 2 3" xfId="15667" xr:uid="{D727C1BB-2828-4BB3-AD18-46532526720B}"/>
    <cellStyle name="Normal 10 3 2 2 2 4 2 2 2 3 2" xfId="15668" xr:uid="{B7D564F8-9484-4C2C-9A90-DF92F3DBE1FD}"/>
    <cellStyle name="Normal 10 3 2 2 2 4 2 2 2 4" xfId="15669" xr:uid="{71235F45-1739-4A49-BC58-1F8C75BF6931}"/>
    <cellStyle name="Normal 10 3 2 2 2 4 2 2 3" xfId="15670" xr:uid="{861FFE1D-0D11-4D3F-93FF-64B97D2D4E81}"/>
    <cellStyle name="Normal 10 3 2 2 2 4 2 2 3 2" xfId="15671" xr:uid="{6B5A7C75-2739-4DA1-ABA8-0265D51C7340}"/>
    <cellStyle name="Normal 10 3 2 2 2 4 2 2 3 2 2" xfId="15672" xr:uid="{EFE19716-28DE-4C02-86DC-1C7C5D14FAE6}"/>
    <cellStyle name="Normal 10 3 2 2 2 4 2 2 3 3" xfId="15673" xr:uid="{DDB367A1-DFB9-490D-A2BB-8A119A7E192F}"/>
    <cellStyle name="Normal 10 3 2 2 2 4 2 2 4" xfId="15674" xr:uid="{9AAD549C-E465-4916-8239-95C1BE8440C1}"/>
    <cellStyle name="Normal 10 3 2 2 2 4 2 2 4 2" xfId="15675" xr:uid="{E08220AA-E81F-45C6-B9AC-9BE13FDF2FE4}"/>
    <cellStyle name="Normal 10 3 2 2 2 4 2 2 5" xfId="15676" xr:uid="{519DDD75-D3DB-48C9-9389-BE71D98166F7}"/>
    <cellStyle name="Normal 10 3 2 2 2 4 2 3" xfId="15677" xr:uid="{04557F32-2271-445A-A855-B3DE7B371735}"/>
    <cellStyle name="Normal 10 3 2 2 2 4 2 3 2" xfId="15678" xr:uid="{F7B7BB35-6BCB-4D25-904A-8312A3F5E389}"/>
    <cellStyle name="Normal 10 3 2 2 2 4 2 3 2 2" xfId="15679" xr:uid="{E229003F-4A74-4BDF-ACC7-B4550E51C0AD}"/>
    <cellStyle name="Normal 10 3 2 2 2 4 2 3 2 2 2" xfId="15680" xr:uid="{977617EF-C56E-426F-8DD7-2A99084C407E}"/>
    <cellStyle name="Normal 10 3 2 2 2 4 2 3 2 3" xfId="15681" xr:uid="{DAF75AF1-D5D9-4249-BBD9-56159739E00B}"/>
    <cellStyle name="Normal 10 3 2 2 2 4 2 3 3" xfId="15682" xr:uid="{47B4ACD0-72B3-4148-B175-803E1A2DD386}"/>
    <cellStyle name="Normal 10 3 2 2 2 4 2 3 3 2" xfId="15683" xr:uid="{ACF4D653-888B-42C6-AE2B-BC4082A471E6}"/>
    <cellStyle name="Normal 10 3 2 2 2 4 2 3 4" xfId="15684" xr:uid="{16E0A9F1-C30D-467B-AC32-5E1E1A40B97E}"/>
    <cellStyle name="Normal 10 3 2 2 2 4 2 4" xfId="15685" xr:uid="{5DACCBC0-D2DD-4965-BAFC-DAB29B628B0C}"/>
    <cellStyle name="Normal 10 3 2 2 2 4 2 4 2" xfId="15686" xr:uid="{D6989C49-4A35-471A-8D38-37ED09CDC77E}"/>
    <cellStyle name="Normal 10 3 2 2 2 4 2 4 2 2" xfId="15687" xr:uid="{D241BFBE-0B9F-45F3-A6E6-D81561F6A16F}"/>
    <cellStyle name="Normal 10 3 2 2 2 4 2 4 3" xfId="15688" xr:uid="{A503E193-A1BB-4714-A83F-5EC5C761160C}"/>
    <cellStyle name="Normal 10 3 2 2 2 4 2 5" xfId="15689" xr:uid="{5DF677E3-74AE-4377-AAB8-7E71D2FBC85C}"/>
    <cellStyle name="Normal 10 3 2 2 2 4 2 5 2" xfId="15690" xr:uid="{66109D4B-6C66-44CB-9BF9-EB1B63C0C787}"/>
    <cellStyle name="Normal 10 3 2 2 2 4 2 6" xfId="15691" xr:uid="{4799E27D-7C83-47F2-ABCE-8409193196E7}"/>
    <cellStyle name="Normal 10 3 2 2 2 4 3" xfId="15692" xr:uid="{7F3EBF2F-0214-4C3D-A771-17C16970F557}"/>
    <cellStyle name="Normal 10 3 2 2 2 4 3 2" xfId="15693" xr:uid="{37EFF099-F23F-452E-A4BE-237812031E88}"/>
    <cellStyle name="Normal 10 3 2 2 2 4 3 2 2" xfId="15694" xr:uid="{6DC0C6EA-289D-42F9-8014-677556932E68}"/>
    <cellStyle name="Normal 10 3 2 2 2 4 3 2 2 2" xfId="15695" xr:uid="{AD850B00-4ECB-474A-992F-774CBC3E720C}"/>
    <cellStyle name="Normal 10 3 2 2 2 4 3 2 2 2 2" xfId="15696" xr:uid="{0DD0E075-1590-49AF-A515-1BC9EA718E88}"/>
    <cellStyle name="Normal 10 3 2 2 2 4 3 2 2 3" xfId="15697" xr:uid="{42F2A42E-F635-41EF-9CF7-86AC3CD07433}"/>
    <cellStyle name="Normal 10 3 2 2 2 4 3 2 3" xfId="15698" xr:uid="{009CEF15-B297-45BF-A97A-5E05DF6DDFCA}"/>
    <cellStyle name="Normal 10 3 2 2 2 4 3 2 3 2" xfId="15699" xr:uid="{882A1696-61C8-43A3-A1FB-C44644B0859E}"/>
    <cellStyle name="Normal 10 3 2 2 2 4 3 2 4" xfId="15700" xr:uid="{44C4047D-3B45-48B0-914C-0DF073184BEB}"/>
    <cellStyle name="Normal 10 3 2 2 2 4 3 3" xfId="15701" xr:uid="{6F00058D-D7B8-484F-8500-C11652D3788D}"/>
    <cellStyle name="Normal 10 3 2 2 2 4 3 3 2" xfId="15702" xr:uid="{4688C0FF-D8E2-4B05-A513-04B5DD586956}"/>
    <cellStyle name="Normal 10 3 2 2 2 4 3 3 2 2" xfId="15703" xr:uid="{951A5505-0431-4D9D-BF6E-C3BC87492E7C}"/>
    <cellStyle name="Normal 10 3 2 2 2 4 3 3 3" xfId="15704" xr:uid="{0929CA48-A6C8-459B-B9F6-34599A65669C}"/>
    <cellStyle name="Normal 10 3 2 2 2 4 3 4" xfId="15705" xr:uid="{CED6A86D-AEF8-473E-9797-494A94FFC4C9}"/>
    <cellStyle name="Normal 10 3 2 2 2 4 3 4 2" xfId="15706" xr:uid="{BA3C08BE-F3E9-4792-A447-002F59A87D54}"/>
    <cellStyle name="Normal 10 3 2 2 2 4 3 5" xfId="15707" xr:uid="{0F56DD03-823B-45A4-8B32-B9A2A4E78ED9}"/>
    <cellStyle name="Normal 10 3 2 2 2 4 4" xfId="15708" xr:uid="{0F885F3B-3008-4719-8E89-005EA41E8422}"/>
    <cellStyle name="Normal 10 3 2 2 2 4 4 2" xfId="15709" xr:uid="{2B865488-72F4-4C4C-8E83-FE064C415327}"/>
    <cellStyle name="Normal 10 3 2 2 2 4 4 2 2" xfId="15710" xr:uid="{A1D00853-18CE-49D9-8946-0356B553E68B}"/>
    <cellStyle name="Normal 10 3 2 2 2 4 4 2 2 2" xfId="15711" xr:uid="{7EEA94F9-5C2E-4F5B-9CBF-AB4B07BE5A66}"/>
    <cellStyle name="Normal 10 3 2 2 2 4 4 2 3" xfId="15712" xr:uid="{E152EC8A-3117-4E07-B89C-C45563D24F07}"/>
    <cellStyle name="Normal 10 3 2 2 2 4 4 3" xfId="15713" xr:uid="{6F261507-82DB-4B38-BC1C-6DFF34A2E168}"/>
    <cellStyle name="Normal 10 3 2 2 2 4 4 3 2" xfId="15714" xr:uid="{35E85F58-AA47-4C2A-8493-F8E220B105E9}"/>
    <cellStyle name="Normal 10 3 2 2 2 4 4 4" xfId="15715" xr:uid="{18D89E80-3BA1-4207-873B-B7BF70428317}"/>
    <cellStyle name="Normal 10 3 2 2 2 4 5" xfId="15716" xr:uid="{8FC676F3-2670-499D-891D-0A8C6996AC89}"/>
    <cellStyle name="Normal 10 3 2 2 2 4 5 2" xfId="15717" xr:uid="{1A6719CC-F26F-427D-94A2-892CA5AF91AB}"/>
    <cellStyle name="Normal 10 3 2 2 2 4 5 2 2" xfId="15718" xr:uid="{C7773583-9289-4B5B-97A4-D23E42F27FD0}"/>
    <cellStyle name="Normal 10 3 2 2 2 4 5 3" xfId="15719" xr:uid="{C504006B-15CB-49A7-9C41-1C84BC614EF1}"/>
    <cellStyle name="Normal 10 3 2 2 2 4 6" xfId="15720" xr:uid="{446DE7E1-AFE4-4C66-B26C-5DEB07DD6D57}"/>
    <cellStyle name="Normal 10 3 2 2 2 4 6 2" xfId="15721" xr:uid="{85AE4C85-C4D2-4145-8B5B-2B2B57701743}"/>
    <cellStyle name="Normal 10 3 2 2 2 4 7" xfId="15722" xr:uid="{657BF544-364D-4E20-ACFF-89D02038CF92}"/>
    <cellStyle name="Normal 10 3 2 2 2 5" xfId="15723" xr:uid="{3B73F7E4-A89C-429F-83EC-CA8B9CDB56DB}"/>
    <cellStyle name="Normal 10 3 2 2 2 5 2" xfId="15724" xr:uid="{C01EBE53-F53F-4539-B49C-E219BB26C12B}"/>
    <cellStyle name="Normal 10 3 2 2 2 5 2 2" xfId="15725" xr:uid="{A17A78C3-C867-400E-BA7A-678C45194960}"/>
    <cellStyle name="Normal 10 3 2 2 2 5 2 2 2" xfId="15726" xr:uid="{3E213888-6928-4DC2-B443-FC015A616D1E}"/>
    <cellStyle name="Normal 10 3 2 2 2 5 2 2 2 2" xfId="15727" xr:uid="{57829299-DD9D-4077-9465-9B69F53A42BF}"/>
    <cellStyle name="Normal 10 3 2 2 2 5 2 2 2 2 2" xfId="15728" xr:uid="{B6362E33-B851-4C93-9355-E56570FC14E4}"/>
    <cellStyle name="Normal 10 3 2 2 2 5 2 2 2 3" xfId="15729" xr:uid="{7044387B-5B15-450D-89B5-31771A9E87E1}"/>
    <cellStyle name="Normal 10 3 2 2 2 5 2 2 3" xfId="15730" xr:uid="{02E72AC0-F517-4935-9755-A7C2A091E36C}"/>
    <cellStyle name="Normal 10 3 2 2 2 5 2 2 3 2" xfId="15731" xr:uid="{F30D9A05-6A18-4187-BD81-C3EC736B7A10}"/>
    <cellStyle name="Normal 10 3 2 2 2 5 2 2 4" xfId="15732" xr:uid="{9880EBE9-2280-4CB0-8FE2-8B99150CF27D}"/>
    <cellStyle name="Normal 10 3 2 2 2 5 2 3" xfId="15733" xr:uid="{146525DF-FE21-4B5D-826F-4E0B9211F6D0}"/>
    <cellStyle name="Normal 10 3 2 2 2 5 2 3 2" xfId="15734" xr:uid="{24CB2B04-E473-4AFC-BF34-475456809734}"/>
    <cellStyle name="Normal 10 3 2 2 2 5 2 3 2 2" xfId="15735" xr:uid="{CF776B6D-FB22-4D00-B112-7F46711AAD51}"/>
    <cellStyle name="Normal 10 3 2 2 2 5 2 3 3" xfId="15736" xr:uid="{2049EF7D-69EC-44D3-BF89-AC7FD64E8F05}"/>
    <cellStyle name="Normal 10 3 2 2 2 5 2 4" xfId="15737" xr:uid="{B5074BA2-1421-43ED-A81E-DF2818780839}"/>
    <cellStyle name="Normal 10 3 2 2 2 5 2 4 2" xfId="15738" xr:uid="{868C9A9D-7F39-4D36-838B-3E1FB5633F84}"/>
    <cellStyle name="Normal 10 3 2 2 2 5 2 5" xfId="15739" xr:uid="{6947943D-430E-4FD9-83AE-5DE1FF97971A}"/>
    <cellStyle name="Normal 10 3 2 2 2 5 3" xfId="15740" xr:uid="{74C8D00F-2A40-492A-9FC1-B7038B1DBECD}"/>
    <cellStyle name="Normal 10 3 2 2 2 5 3 2" xfId="15741" xr:uid="{A5FC5D65-8783-413E-A956-FB53F085CA29}"/>
    <cellStyle name="Normal 10 3 2 2 2 5 3 2 2" xfId="15742" xr:uid="{CF479FA5-C7A5-402F-991B-563B6F151585}"/>
    <cellStyle name="Normal 10 3 2 2 2 5 3 2 2 2" xfId="15743" xr:uid="{19BDA092-C41B-4BDA-B179-4EC2DF266208}"/>
    <cellStyle name="Normal 10 3 2 2 2 5 3 2 3" xfId="15744" xr:uid="{20260380-F4F2-4F93-99D9-AE8BECEDE556}"/>
    <cellStyle name="Normal 10 3 2 2 2 5 3 3" xfId="15745" xr:uid="{29710C02-FD45-4E0E-AB57-79933F871A7F}"/>
    <cellStyle name="Normal 10 3 2 2 2 5 3 3 2" xfId="15746" xr:uid="{B3D25AA2-98FC-4ADB-B064-0AAC96A8F36C}"/>
    <cellStyle name="Normal 10 3 2 2 2 5 3 4" xfId="15747" xr:uid="{BCD903AA-712B-4FC3-BB0C-EA11DB67322F}"/>
    <cellStyle name="Normal 10 3 2 2 2 5 4" xfId="15748" xr:uid="{7A276ABA-D267-455C-AE10-4CB778DB1D3E}"/>
    <cellStyle name="Normal 10 3 2 2 2 5 4 2" xfId="15749" xr:uid="{3A676BD5-4B25-4778-8619-746B10350E6D}"/>
    <cellStyle name="Normal 10 3 2 2 2 5 4 2 2" xfId="15750" xr:uid="{6EAD7F12-D85A-4B52-9C0D-E1FB84DFAD91}"/>
    <cellStyle name="Normal 10 3 2 2 2 5 4 3" xfId="15751" xr:uid="{FDB3C61B-E0DF-4ED2-80D3-7498D77D6C15}"/>
    <cellStyle name="Normal 10 3 2 2 2 5 5" xfId="15752" xr:uid="{DA93D96A-8221-4E60-8E4D-E35E1ED6AF55}"/>
    <cellStyle name="Normal 10 3 2 2 2 5 5 2" xfId="15753" xr:uid="{57F334F2-0A3B-4E00-BBF2-338DACD54E2A}"/>
    <cellStyle name="Normal 10 3 2 2 2 5 6" xfId="15754" xr:uid="{118B4624-ABCD-4051-84A8-6611B14900A0}"/>
    <cellStyle name="Normal 10 3 2 2 2 6" xfId="15755" xr:uid="{76D84C0F-5903-4AA2-98E5-4956E67D986D}"/>
    <cellStyle name="Normal 10 3 2 2 2 6 2" xfId="15756" xr:uid="{49A26817-BDC4-4B9B-B645-94685E2D95A2}"/>
    <cellStyle name="Normal 10 3 2 2 2 6 2 2" xfId="15757" xr:uid="{80222AA4-0471-42F0-A798-455847F27D9F}"/>
    <cellStyle name="Normal 10 3 2 2 2 6 2 2 2" xfId="15758" xr:uid="{F6813D94-4AFF-4B5D-A599-DBE783EF42DA}"/>
    <cellStyle name="Normal 10 3 2 2 2 6 2 2 2 2" xfId="15759" xr:uid="{A605E6E5-7966-49A4-BE85-326168DBA0ED}"/>
    <cellStyle name="Normal 10 3 2 2 2 6 2 2 3" xfId="15760" xr:uid="{4117D164-9899-47A3-A2AB-57100C44CA6D}"/>
    <cellStyle name="Normal 10 3 2 2 2 6 2 3" xfId="15761" xr:uid="{1E0A92B5-701C-4989-835D-549025A06417}"/>
    <cellStyle name="Normal 10 3 2 2 2 6 2 3 2" xfId="15762" xr:uid="{DBA8AC9A-DF04-44F9-8FCD-18DF1A63EC89}"/>
    <cellStyle name="Normal 10 3 2 2 2 6 2 4" xfId="15763" xr:uid="{D7464687-68A7-4012-B637-E841AF11E996}"/>
    <cellStyle name="Normal 10 3 2 2 2 6 3" xfId="15764" xr:uid="{447F5AB7-5F73-4D14-A34E-8BFEC592A136}"/>
    <cellStyle name="Normal 10 3 2 2 2 6 3 2" xfId="15765" xr:uid="{2C589453-A25A-47AF-9B3C-CCC50DF32B3B}"/>
    <cellStyle name="Normal 10 3 2 2 2 6 3 2 2" xfId="15766" xr:uid="{52EC5EED-D1F6-48DE-8FBD-28B50F42F866}"/>
    <cellStyle name="Normal 10 3 2 2 2 6 3 3" xfId="15767" xr:uid="{1D2803A1-F42B-49F6-923D-CC9A9EC48FAE}"/>
    <cellStyle name="Normal 10 3 2 2 2 6 4" xfId="15768" xr:uid="{916940AE-056F-4AA4-AC90-B6474A3C5FC8}"/>
    <cellStyle name="Normal 10 3 2 2 2 6 4 2" xfId="15769" xr:uid="{D4F62B23-225D-4054-B81F-97679D58ADC5}"/>
    <cellStyle name="Normal 10 3 2 2 2 6 5" xfId="15770" xr:uid="{F60B21B6-C9A2-4340-8B3C-D6AEE1D33F87}"/>
    <cellStyle name="Normal 10 3 2 2 2 7" xfId="15771" xr:uid="{53D4FD4F-4511-49DE-9AC8-A1A7997F6C75}"/>
    <cellStyle name="Normal 10 3 2 2 2 7 2" xfId="15772" xr:uid="{5059C222-588A-4FC1-A6F0-8AAE193B9841}"/>
    <cellStyle name="Normal 10 3 2 2 2 7 2 2" xfId="15773" xr:uid="{4388047F-94EF-4609-8342-16CB3810F87C}"/>
    <cellStyle name="Normal 10 3 2 2 2 7 2 2 2" xfId="15774" xr:uid="{6D6D902D-5BC0-4D95-A6C0-8CE6B21F0246}"/>
    <cellStyle name="Normal 10 3 2 2 2 7 2 3" xfId="15775" xr:uid="{DA24D2A6-F25F-49C0-A568-A2C8F1DCD76B}"/>
    <cellStyle name="Normal 10 3 2 2 2 7 3" xfId="15776" xr:uid="{D8E1FBC5-CD76-4955-BE2E-9FC1BD5EA22F}"/>
    <cellStyle name="Normal 10 3 2 2 2 7 3 2" xfId="15777" xr:uid="{B9BFC9BD-249D-409E-B838-4251E112770D}"/>
    <cellStyle name="Normal 10 3 2 2 2 7 4" xfId="15778" xr:uid="{A05B1DFD-72BA-49DD-92EF-9D8061D2D636}"/>
    <cellStyle name="Normal 10 3 2 2 2 8" xfId="15779" xr:uid="{DEA7ADCA-C828-49C9-B96A-608B5D8286B7}"/>
    <cellStyle name="Normal 10 3 2 2 2 8 2" xfId="15780" xr:uid="{D0CB51F6-2A19-4E6A-A8AC-59CE559455C0}"/>
    <cellStyle name="Normal 10 3 2 2 2 8 2 2" xfId="15781" xr:uid="{E9CE885B-0D7A-4B49-97E7-37BFD26CEDBC}"/>
    <cellStyle name="Normal 10 3 2 2 2 8 3" xfId="15782" xr:uid="{0EF2E9DF-FCFE-4CF8-874D-C85C4E201A84}"/>
    <cellStyle name="Normal 10 3 2 2 2 9" xfId="15783" xr:uid="{9EEEFD63-D9A4-4285-A4C6-4A29F24B396E}"/>
    <cellStyle name="Normal 10 3 2 2 2 9 2" xfId="15784" xr:uid="{0AACEEE7-CEFD-407C-8BCB-01847F14EBE8}"/>
    <cellStyle name="Normal 10 3 2 2 3" xfId="247" xr:uid="{C46C6459-49B0-4D51-A833-CA2C01093A7F}"/>
    <cellStyle name="Normal 10 3 2 2 3 10" xfId="15785" xr:uid="{6E1523A0-17A1-45F4-AABB-7A8249B0ADCF}"/>
    <cellStyle name="Normal 10 3 2 2 3 11" xfId="559" xr:uid="{B89857B2-3DE1-4850-9DBE-859D03DCFC06}"/>
    <cellStyle name="Normal 10 3 2 2 3 2" xfId="331" xr:uid="{BF1ED6B8-72C9-41E0-AE7D-BAEBD004D75D}"/>
    <cellStyle name="Normal 10 3 2 2 3 2 10" xfId="15786" xr:uid="{20E59C6B-B4F6-440C-9907-D486269A180F}"/>
    <cellStyle name="Normal 10 3 2 2 3 2 2" xfId="15787" xr:uid="{8F89E32E-6E66-4FB0-8CBF-F1F2EA9CC4E2}"/>
    <cellStyle name="Normal 10 3 2 2 3 2 2 2" xfId="15788" xr:uid="{5DAD7C24-80A0-43C5-842B-4C33849B81AA}"/>
    <cellStyle name="Normal 10 3 2 2 3 2 2 2 2" xfId="15789" xr:uid="{8958637E-3244-4220-88C0-38708F2BB9E7}"/>
    <cellStyle name="Normal 10 3 2 2 3 2 2 2 2 2" xfId="15790" xr:uid="{22D14F1E-2CBE-440B-8E71-27F747A0FDC5}"/>
    <cellStyle name="Normal 10 3 2 2 3 2 2 2 2 2 2" xfId="15791" xr:uid="{2B1AEEA1-17C1-438E-B514-AFD8F89C8B1E}"/>
    <cellStyle name="Normal 10 3 2 2 3 2 2 2 2 2 2 2" xfId="15792" xr:uid="{DE38732F-9D04-4522-8E9B-CDD350CAC62B}"/>
    <cellStyle name="Normal 10 3 2 2 3 2 2 2 2 2 2 2 2" xfId="15793" xr:uid="{BEB92FC1-4174-4B4C-A4C0-76B42FF5F456}"/>
    <cellStyle name="Normal 10 3 2 2 3 2 2 2 2 2 2 2 2 2" xfId="15794" xr:uid="{A52473F1-1945-4E23-B0DA-5E8652B69CF5}"/>
    <cellStyle name="Normal 10 3 2 2 3 2 2 2 2 2 2 2 3" xfId="15795" xr:uid="{4C88CF44-7857-47F9-8700-5A955C3362F2}"/>
    <cellStyle name="Normal 10 3 2 2 3 2 2 2 2 2 2 3" xfId="15796" xr:uid="{B0EDF413-4387-4C97-8186-265D6AFEA198}"/>
    <cellStyle name="Normal 10 3 2 2 3 2 2 2 2 2 2 3 2" xfId="15797" xr:uid="{60884599-8E66-4181-BAB8-CC1BA931F2CD}"/>
    <cellStyle name="Normal 10 3 2 2 3 2 2 2 2 2 2 4" xfId="15798" xr:uid="{EABC87F3-4642-4A8B-A177-64225B200FCA}"/>
    <cellStyle name="Normal 10 3 2 2 3 2 2 2 2 2 3" xfId="15799" xr:uid="{CC12935E-5E95-4963-8A5F-003CB1FF89E0}"/>
    <cellStyle name="Normal 10 3 2 2 3 2 2 2 2 2 3 2" xfId="15800" xr:uid="{E23860E3-84F8-4262-A12B-E40B58556F2E}"/>
    <cellStyle name="Normal 10 3 2 2 3 2 2 2 2 2 3 2 2" xfId="15801" xr:uid="{5FD51DA8-A0CF-4E5C-85F4-D943FD929F30}"/>
    <cellStyle name="Normal 10 3 2 2 3 2 2 2 2 2 3 3" xfId="15802" xr:uid="{849603F9-3028-4912-A14B-7C900EADD41A}"/>
    <cellStyle name="Normal 10 3 2 2 3 2 2 2 2 2 4" xfId="15803" xr:uid="{DE44A858-6957-4C77-8AB0-8C57A9CA0B04}"/>
    <cellStyle name="Normal 10 3 2 2 3 2 2 2 2 2 4 2" xfId="15804" xr:uid="{6BB27D03-BF98-4E42-BC56-9AD57AD61BF8}"/>
    <cellStyle name="Normal 10 3 2 2 3 2 2 2 2 2 5" xfId="15805" xr:uid="{49AFCE02-C38A-4BCD-A833-2C8B5DAD5C96}"/>
    <cellStyle name="Normal 10 3 2 2 3 2 2 2 2 3" xfId="15806" xr:uid="{9E546636-F99B-4178-B2BD-B6A617FE618A}"/>
    <cellStyle name="Normal 10 3 2 2 3 2 2 2 2 3 2" xfId="15807" xr:uid="{38195726-361F-405F-BA9E-14305A8EEF87}"/>
    <cellStyle name="Normal 10 3 2 2 3 2 2 2 2 3 2 2" xfId="15808" xr:uid="{7454FFA6-D0EF-4358-A385-4C0D392FFCC5}"/>
    <cellStyle name="Normal 10 3 2 2 3 2 2 2 2 3 2 2 2" xfId="15809" xr:uid="{1E2A1B32-1027-4627-ACC7-4F9F6E767250}"/>
    <cellStyle name="Normal 10 3 2 2 3 2 2 2 2 3 2 3" xfId="15810" xr:uid="{82631B92-D3C7-470D-BA3D-48E8B02A5A7D}"/>
    <cellStyle name="Normal 10 3 2 2 3 2 2 2 2 3 3" xfId="15811" xr:uid="{D3FD2D1C-AD84-47D6-9FB1-D6B670B7DA3D}"/>
    <cellStyle name="Normal 10 3 2 2 3 2 2 2 2 3 3 2" xfId="15812" xr:uid="{E9340F86-1412-4EDD-AEBE-FF9E686B9A27}"/>
    <cellStyle name="Normal 10 3 2 2 3 2 2 2 2 3 4" xfId="15813" xr:uid="{EBE872CA-1CE5-4CBC-AF7D-AD49891C25BF}"/>
    <cellStyle name="Normal 10 3 2 2 3 2 2 2 2 4" xfId="15814" xr:uid="{01F6FC1D-643D-49EE-BB23-51D6A64FD0C2}"/>
    <cellStyle name="Normal 10 3 2 2 3 2 2 2 2 4 2" xfId="15815" xr:uid="{B26A904B-61F2-4E1A-BBCF-CE31073885BB}"/>
    <cellStyle name="Normal 10 3 2 2 3 2 2 2 2 4 2 2" xfId="15816" xr:uid="{6D3D6EF7-FFF8-4B94-AE6A-F3FB8E9EA98B}"/>
    <cellStyle name="Normal 10 3 2 2 3 2 2 2 2 4 3" xfId="15817" xr:uid="{BFDCD2A3-20E1-4786-87F7-B4CF2C8F3084}"/>
    <cellStyle name="Normal 10 3 2 2 3 2 2 2 2 5" xfId="15818" xr:uid="{6B06F40C-680A-4EA3-8F1D-7E247C10C6B9}"/>
    <cellStyle name="Normal 10 3 2 2 3 2 2 2 2 5 2" xfId="15819" xr:uid="{646E3EF4-8D4F-4BD1-AD66-8C5635DBCCA9}"/>
    <cellStyle name="Normal 10 3 2 2 3 2 2 2 2 6" xfId="15820" xr:uid="{7B672130-9B25-498F-927D-5C224013657A}"/>
    <cellStyle name="Normal 10 3 2 2 3 2 2 2 3" xfId="15821" xr:uid="{DD7A1830-59D8-413E-8C0B-7DD63F47E4BE}"/>
    <cellStyle name="Normal 10 3 2 2 3 2 2 2 3 2" xfId="15822" xr:uid="{8948D2F8-BF3D-4917-8BBF-6C47DE7109C2}"/>
    <cellStyle name="Normal 10 3 2 2 3 2 2 2 3 2 2" xfId="15823" xr:uid="{2F24FEB7-DE73-4C80-9CE9-8DBCFB129A82}"/>
    <cellStyle name="Normal 10 3 2 2 3 2 2 2 3 2 2 2" xfId="15824" xr:uid="{471FD8EE-700A-49E9-8BBE-3D9383F7F0F5}"/>
    <cellStyle name="Normal 10 3 2 2 3 2 2 2 3 2 2 2 2" xfId="15825" xr:uid="{CC09169C-8D9D-432A-8D0F-5FF2A4EB31AB}"/>
    <cellStyle name="Normal 10 3 2 2 3 2 2 2 3 2 2 3" xfId="15826" xr:uid="{C2DD522B-B6BD-49AD-8C3D-49DEEFAF290B}"/>
    <cellStyle name="Normal 10 3 2 2 3 2 2 2 3 2 3" xfId="15827" xr:uid="{089C2643-17B9-4E79-AC8F-612410B62EE2}"/>
    <cellStyle name="Normal 10 3 2 2 3 2 2 2 3 2 3 2" xfId="15828" xr:uid="{F44D1F7B-E13E-44B1-AA25-E2C67F395A61}"/>
    <cellStyle name="Normal 10 3 2 2 3 2 2 2 3 2 4" xfId="15829" xr:uid="{07BD4B51-0D98-4CA1-9938-1BD0F00E24D1}"/>
    <cellStyle name="Normal 10 3 2 2 3 2 2 2 3 3" xfId="15830" xr:uid="{1D775726-02C0-4464-99C1-7073B656EDF6}"/>
    <cellStyle name="Normal 10 3 2 2 3 2 2 2 3 3 2" xfId="15831" xr:uid="{2475B895-274F-4521-94A8-009020400A4D}"/>
    <cellStyle name="Normal 10 3 2 2 3 2 2 2 3 3 2 2" xfId="15832" xr:uid="{6BF1526D-F9CF-49C7-9CC9-FA756157683A}"/>
    <cellStyle name="Normal 10 3 2 2 3 2 2 2 3 3 3" xfId="15833" xr:uid="{69A10606-0825-4975-AE93-EAF953B445E5}"/>
    <cellStyle name="Normal 10 3 2 2 3 2 2 2 3 4" xfId="15834" xr:uid="{2BFCAB8D-5B0C-4696-AC6C-199F2A30BC67}"/>
    <cellStyle name="Normal 10 3 2 2 3 2 2 2 3 4 2" xfId="15835" xr:uid="{657D7647-B9DD-40E3-9663-32DA4159B0B3}"/>
    <cellStyle name="Normal 10 3 2 2 3 2 2 2 3 5" xfId="15836" xr:uid="{EBDB709C-9C43-4957-8DA5-A79FB59CE2A2}"/>
    <cellStyle name="Normal 10 3 2 2 3 2 2 2 4" xfId="15837" xr:uid="{6744EB29-BE86-4CB8-9524-12DFAA0C6D00}"/>
    <cellStyle name="Normal 10 3 2 2 3 2 2 2 4 2" xfId="15838" xr:uid="{F54C8E9C-1750-41B4-BB18-66A02B266D9D}"/>
    <cellStyle name="Normal 10 3 2 2 3 2 2 2 4 2 2" xfId="15839" xr:uid="{CB78F95C-65F4-4837-8B30-C8EB0E0505EC}"/>
    <cellStyle name="Normal 10 3 2 2 3 2 2 2 4 2 2 2" xfId="15840" xr:uid="{F100ADE5-5A12-43C8-A669-F0E2E4B1451E}"/>
    <cellStyle name="Normal 10 3 2 2 3 2 2 2 4 2 3" xfId="15841" xr:uid="{1D7C7544-C3A6-4632-9F7B-1D29E415B0FF}"/>
    <cellStyle name="Normal 10 3 2 2 3 2 2 2 4 3" xfId="15842" xr:uid="{D5ACFECE-C5C9-4425-B3F8-561D97F8589E}"/>
    <cellStyle name="Normal 10 3 2 2 3 2 2 2 4 3 2" xfId="15843" xr:uid="{D1212A69-D658-40C3-82BD-F0419DC4CA79}"/>
    <cellStyle name="Normal 10 3 2 2 3 2 2 2 4 4" xfId="15844" xr:uid="{A7000652-E6E9-4C3C-AA84-8A9E7CB0C85D}"/>
    <cellStyle name="Normal 10 3 2 2 3 2 2 2 5" xfId="15845" xr:uid="{7DD1DDEE-FB2D-4F6F-8C77-E5F498A41E7F}"/>
    <cellStyle name="Normal 10 3 2 2 3 2 2 2 5 2" xfId="15846" xr:uid="{7558AF6A-EF01-4F07-A977-0EF91E5813DB}"/>
    <cellStyle name="Normal 10 3 2 2 3 2 2 2 5 2 2" xfId="15847" xr:uid="{A04DCAB1-D07D-4EED-9F18-7EF10B205900}"/>
    <cellStyle name="Normal 10 3 2 2 3 2 2 2 5 3" xfId="15848" xr:uid="{BF844427-2C7E-4567-83AE-8184CB9D3CEF}"/>
    <cellStyle name="Normal 10 3 2 2 3 2 2 2 6" xfId="15849" xr:uid="{80A678A4-BDD2-440E-83F8-02513BF496F1}"/>
    <cellStyle name="Normal 10 3 2 2 3 2 2 2 6 2" xfId="15850" xr:uid="{847DD533-B40D-441D-BFF5-3C1AAEEF34A6}"/>
    <cellStyle name="Normal 10 3 2 2 3 2 2 2 7" xfId="15851" xr:uid="{390BC219-3148-42AE-A441-F411F0C0CEAF}"/>
    <cellStyle name="Normal 10 3 2 2 3 2 2 3" xfId="15852" xr:uid="{D7F64210-29D1-44DC-A4F1-362E7958E05B}"/>
    <cellStyle name="Normal 10 3 2 2 3 2 2 3 2" xfId="15853" xr:uid="{C328B60F-E733-4D86-9048-A47736194AFE}"/>
    <cellStyle name="Normal 10 3 2 2 3 2 2 3 2 2" xfId="15854" xr:uid="{783B880C-EAE3-4697-9DA5-5C97DBBA24D3}"/>
    <cellStyle name="Normal 10 3 2 2 3 2 2 3 2 2 2" xfId="15855" xr:uid="{BD9018A3-0D3E-4D0E-A6C1-AA07ECAF68ED}"/>
    <cellStyle name="Normal 10 3 2 2 3 2 2 3 2 2 2 2" xfId="15856" xr:uid="{F2066703-3D29-4298-9C2E-028396F6C4FD}"/>
    <cellStyle name="Normal 10 3 2 2 3 2 2 3 2 2 2 2 2" xfId="15857" xr:uid="{379C3199-A728-4103-AFE3-FA9493E31594}"/>
    <cellStyle name="Normal 10 3 2 2 3 2 2 3 2 2 2 3" xfId="15858" xr:uid="{BFBD5E72-8FB7-43C8-81DD-29B2A8905D18}"/>
    <cellStyle name="Normal 10 3 2 2 3 2 2 3 2 2 3" xfId="15859" xr:uid="{B7A070FC-6AB6-44D9-9FAE-AB3F443DE9BD}"/>
    <cellStyle name="Normal 10 3 2 2 3 2 2 3 2 2 3 2" xfId="15860" xr:uid="{F76E999A-B843-446F-8449-944138EB1C27}"/>
    <cellStyle name="Normal 10 3 2 2 3 2 2 3 2 2 4" xfId="15861" xr:uid="{786F0303-18E0-4C11-8EC2-BCEF3A79D5D5}"/>
    <cellStyle name="Normal 10 3 2 2 3 2 2 3 2 3" xfId="15862" xr:uid="{71A2F2C8-37B3-4F5F-985A-BA60BD2FFE5E}"/>
    <cellStyle name="Normal 10 3 2 2 3 2 2 3 2 3 2" xfId="15863" xr:uid="{419430F1-1888-49E8-A535-6913AC34E489}"/>
    <cellStyle name="Normal 10 3 2 2 3 2 2 3 2 3 2 2" xfId="15864" xr:uid="{A898BAA1-AE92-4F9D-89FC-8A0FBE0BDB6D}"/>
    <cellStyle name="Normal 10 3 2 2 3 2 2 3 2 3 3" xfId="15865" xr:uid="{0911CCFD-D29E-4594-A8C9-DC831D2A9E75}"/>
    <cellStyle name="Normal 10 3 2 2 3 2 2 3 2 4" xfId="15866" xr:uid="{73A64CDA-8147-49A8-9D02-D347FE65E5FC}"/>
    <cellStyle name="Normal 10 3 2 2 3 2 2 3 2 4 2" xfId="15867" xr:uid="{C2A70911-A3B0-4AE2-A4C9-EAE28E2AE840}"/>
    <cellStyle name="Normal 10 3 2 2 3 2 2 3 2 5" xfId="15868" xr:uid="{DED26118-DCD4-484E-BF96-A6D1FDACAFC8}"/>
    <cellStyle name="Normal 10 3 2 2 3 2 2 3 3" xfId="15869" xr:uid="{DB8FBE75-29BC-40A4-BFC4-F1EE01852481}"/>
    <cellStyle name="Normal 10 3 2 2 3 2 2 3 3 2" xfId="15870" xr:uid="{00FF09C2-2C45-4EBE-9BD3-96575C3FD441}"/>
    <cellStyle name="Normal 10 3 2 2 3 2 2 3 3 2 2" xfId="15871" xr:uid="{8E9B1632-1CC8-4672-B52E-4F7E3FA614E8}"/>
    <cellStyle name="Normal 10 3 2 2 3 2 2 3 3 2 2 2" xfId="15872" xr:uid="{DF211348-A2CA-4CC2-A56F-98A4BE0F1502}"/>
    <cellStyle name="Normal 10 3 2 2 3 2 2 3 3 2 3" xfId="15873" xr:uid="{F1A56B5A-615E-470F-A809-B3EE2D71F81D}"/>
    <cellStyle name="Normal 10 3 2 2 3 2 2 3 3 3" xfId="15874" xr:uid="{4443DD1C-A7CA-4376-BC13-11DD74EB816D}"/>
    <cellStyle name="Normal 10 3 2 2 3 2 2 3 3 3 2" xfId="15875" xr:uid="{E792A71E-A4B1-44A8-B9CE-373C7BA0E0E0}"/>
    <cellStyle name="Normal 10 3 2 2 3 2 2 3 3 4" xfId="15876" xr:uid="{C0F6EE29-BCA8-492F-8E97-031CF0508C06}"/>
    <cellStyle name="Normal 10 3 2 2 3 2 2 3 4" xfId="15877" xr:uid="{7AF7A69A-6B5E-4663-B134-AE5A8786326A}"/>
    <cellStyle name="Normal 10 3 2 2 3 2 2 3 4 2" xfId="15878" xr:uid="{FB886905-A9BA-423E-8E52-D2CD783165F8}"/>
    <cellStyle name="Normal 10 3 2 2 3 2 2 3 4 2 2" xfId="15879" xr:uid="{5A2A1F02-D8DE-480C-A674-7955214CAE67}"/>
    <cellStyle name="Normal 10 3 2 2 3 2 2 3 4 3" xfId="15880" xr:uid="{3134A84E-8410-413D-ADAD-0F6CE5045B0A}"/>
    <cellStyle name="Normal 10 3 2 2 3 2 2 3 5" xfId="15881" xr:uid="{D8B67DF9-58B9-43BB-8179-6E3E74EE36EE}"/>
    <cellStyle name="Normal 10 3 2 2 3 2 2 3 5 2" xfId="15882" xr:uid="{A70A3455-2701-4DE2-9C84-F44776263929}"/>
    <cellStyle name="Normal 10 3 2 2 3 2 2 3 6" xfId="15883" xr:uid="{2341C2D8-05A0-478C-8F8A-8D8C7A34D1F3}"/>
    <cellStyle name="Normal 10 3 2 2 3 2 2 4" xfId="15884" xr:uid="{60A18D46-C7E3-4CC1-9B2F-D970856D6EBB}"/>
    <cellStyle name="Normal 10 3 2 2 3 2 2 4 2" xfId="15885" xr:uid="{A30F74FE-8D23-40FC-B601-88B37A8A0D8E}"/>
    <cellStyle name="Normal 10 3 2 2 3 2 2 4 2 2" xfId="15886" xr:uid="{7C1270CA-8FE6-439A-9FDE-AA0D929FF7DE}"/>
    <cellStyle name="Normal 10 3 2 2 3 2 2 4 2 2 2" xfId="15887" xr:uid="{68649567-FDBC-423B-B3DF-E21F9D25098C}"/>
    <cellStyle name="Normal 10 3 2 2 3 2 2 4 2 2 2 2" xfId="15888" xr:uid="{1BC78EB7-7B25-4257-9B74-2590D0F282E0}"/>
    <cellStyle name="Normal 10 3 2 2 3 2 2 4 2 2 3" xfId="15889" xr:uid="{FD8B879E-32EE-40DE-B9C3-4E6EAB57EBD6}"/>
    <cellStyle name="Normal 10 3 2 2 3 2 2 4 2 3" xfId="15890" xr:uid="{0598C46E-992E-4832-9AE1-4D3B0E7D91B9}"/>
    <cellStyle name="Normal 10 3 2 2 3 2 2 4 2 3 2" xfId="15891" xr:uid="{2F71A96F-A81C-4232-8649-8534AC043338}"/>
    <cellStyle name="Normal 10 3 2 2 3 2 2 4 2 4" xfId="15892" xr:uid="{0CB61827-B89F-4716-B2E9-E3CCAE82940A}"/>
    <cellStyle name="Normal 10 3 2 2 3 2 2 4 3" xfId="15893" xr:uid="{B83FB2F4-D451-4FE7-88CC-3CC4518E3424}"/>
    <cellStyle name="Normal 10 3 2 2 3 2 2 4 3 2" xfId="15894" xr:uid="{48E53C0D-50AC-4B9F-AAEC-C2E0562E0CF1}"/>
    <cellStyle name="Normal 10 3 2 2 3 2 2 4 3 2 2" xfId="15895" xr:uid="{D88CF20D-1A2F-4F12-8A30-C60C402C0A73}"/>
    <cellStyle name="Normal 10 3 2 2 3 2 2 4 3 3" xfId="15896" xr:uid="{73C86A38-981C-4631-8CF7-D3F20347C945}"/>
    <cellStyle name="Normal 10 3 2 2 3 2 2 4 4" xfId="15897" xr:uid="{376AB8D7-B4A6-43F3-8EC8-53E9AE781CC1}"/>
    <cellStyle name="Normal 10 3 2 2 3 2 2 4 4 2" xfId="15898" xr:uid="{5F95A758-1207-4BEF-A653-A1431FA988C0}"/>
    <cellStyle name="Normal 10 3 2 2 3 2 2 4 5" xfId="15899" xr:uid="{B8FE14B1-30B7-436E-B9B5-773CE7FD3584}"/>
    <cellStyle name="Normal 10 3 2 2 3 2 2 5" xfId="15900" xr:uid="{81E229DF-C8A2-4F3E-B855-9F79CD2FF047}"/>
    <cellStyle name="Normal 10 3 2 2 3 2 2 5 2" xfId="15901" xr:uid="{A2FA6908-6801-440F-A7F4-DC8DF790F3D4}"/>
    <cellStyle name="Normal 10 3 2 2 3 2 2 5 2 2" xfId="15902" xr:uid="{6571317C-31C4-42F9-BB86-C449B1FCA8E1}"/>
    <cellStyle name="Normal 10 3 2 2 3 2 2 5 2 2 2" xfId="15903" xr:uid="{F1F82827-0757-4691-9EB3-987C9E0C0E91}"/>
    <cellStyle name="Normal 10 3 2 2 3 2 2 5 2 3" xfId="15904" xr:uid="{6AC68A8F-D43A-4041-B674-D5813CCAD51B}"/>
    <cellStyle name="Normal 10 3 2 2 3 2 2 5 3" xfId="15905" xr:uid="{BCD6920B-3DCD-4FE7-B02A-969D462742E7}"/>
    <cellStyle name="Normal 10 3 2 2 3 2 2 5 3 2" xfId="15906" xr:uid="{D3F17076-8351-4FA6-9DE8-2C44C916469E}"/>
    <cellStyle name="Normal 10 3 2 2 3 2 2 5 4" xfId="15907" xr:uid="{F0646C88-4708-4533-B845-05C419C6D0B1}"/>
    <cellStyle name="Normal 10 3 2 2 3 2 2 6" xfId="15908" xr:uid="{78539C99-0B59-440F-834A-DB0863EBEE24}"/>
    <cellStyle name="Normal 10 3 2 2 3 2 2 6 2" xfId="15909" xr:uid="{91B49651-193E-42BD-BFB6-1D07E972A2A7}"/>
    <cellStyle name="Normal 10 3 2 2 3 2 2 6 2 2" xfId="15910" xr:uid="{03D9A04E-2EB5-44D3-824F-52CF9DB55230}"/>
    <cellStyle name="Normal 10 3 2 2 3 2 2 6 3" xfId="15911" xr:uid="{4382B189-59AD-4501-B6AD-45FB29AB58A9}"/>
    <cellStyle name="Normal 10 3 2 2 3 2 2 7" xfId="15912" xr:uid="{DA0D00B5-A916-4727-B251-36CAE54F2066}"/>
    <cellStyle name="Normal 10 3 2 2 3 2 2 7 2" xfId="15913" xr:uid="{6772C3A3-548C-4F46-A7E9-E67829ED4400}"/>
    <cellStyle name="Normal 10 3 2 2 3 2 2 8" xfId="15914" xr:uid="{4720B82F-B5E1-4773-ABD0-01B08B400181}"/>
    <cellStyle name="Normal 10 3 2 2 3 2 3" xfId="15915" xr:uid="{02679030-F6EB-4BB0-BF03-3562884D1737}"/>
    <cellStyle name="Normal 10 3 2 2 3 2 3 2" xfId="15916" xr:uid="{2E47260D-34E1-4F4B-BDFB-8ECF653802FA}"/>
    <cellStyle name="Normal 10 3 2 2 3 2 3 2 2" xfId="15917" xr:uid="{6A54F2D8-7D3C-4F82-8AA8-6D06AE3A4BEA}"/>
    <cellStyle name="Normal 10 3 2 2 3 2 3 2 2 2" xfId="15918" xr:uid="{65DEDE3A-647F-4FD2-9A15-66D750C65613}"/>
    <cellStyle name="Normal 10 3 2 2 3 2 3 2 2 2 2" xfId="15919" xr:uid="{739D4A3A-5ADF-43AC-8F76-96494FC1CEB6}"/>
    <cellStyle name="Normal 10 3 2 2 3 2 3 2 2 2 2 2" xfId="15920" xr:uid="{BCD934F6-7539-4BE5-B3AC-541803A7FA98}"/>
    <cellStyle name="Normal 10 3 2 2 3 2 3 2 2 2 2 2 2" xfId="15921" xr:uid="{772EEFB0-0C84-4B01-9EF0-FBE4DB381759}"/>
    <cellStyle name="Normal 10 3 2 2 3 2 3 2 2 2 2 3" xfId="15922" xr:uid="{7D470824-7AFE-4D29-906D-C0BD941D5A12}"/>
    <cellStyle name="Normal 10 3 2 2 3 2 3 2 2 2 3" xfId="15923" xr:uid="{BCB72BFA-94DB-4AA0-8E6D-51A7175BC06A}"/>
    <cellStyle name="Normal 10 3 2 2 3 2 3 2 2 2 3 2" xfId="15924" xr:uid="{51251464-EDE5-46EE-BBF0-4A6847FFA231}"/>
    <cellStyle name="Normal 10 3 2 2 3 2 3 2 2 2 4" xfId="15925" xr:uid="{B325B3B9-1700-4A58-AFC1-8E30DF0B8AAA}"/>
    <cellStyle name="Normal 10 3 2 2 3 2 3 2 2 3" xfId="15926" xr:uid="{1992EAD0-8CE3-4346-86A9-AE4870B24F8C}"/>
    <cellStyle name="Normal 10 3 2 2 3 2 3 2 2 3 2" xfId="15927" xr:uid="{9B01C679-5C8E-4A84-A8CF-4027D9A064E1}"/>
    <cellStyle name="Normal 10 3 2 2 3 2 3 2 2 3 2 2" xfId="15928" xr:uid="{3400309A-481C-4A8D-BEC6-41574AED5F10}"/>
    <cellStyle name="Normal 10 3 2 2 3 2 3 2 2 3 3" xfId="15929" xr:uid="{EB6B171A-6A35-499E-8654-B05960CE2EEB}"/>
    <cellStyle name="Normal 10 3 2 2 3 2 3 2 2 4" xfId="15930" xr:uid="{8F4C3826-E8EE-4A68-8A8A-835D03569071}"/>
    <cellStyle name="Normal 10 3 2 2 3 2 3 2 2 4 2" xfId="15931" xr:uid="{EEE5F279-94AD-447D-B1E6-66791C0A2539}"/>
    <cellStyle name="Normal 10 3 2 2 3 2 3 2 2 5" xfId="15932" xr:uid="{E3C80081-2B3F-499B-9F03-3A8208CE003F}"/>
    <cellStyle name="Normal 10 3 2 2 3 2 3 2 3" xfId="15933" xr:uid="{D65C8574-8097-43EC-964A-AEC2ACC425BF}"/>
    <cellStyle name="Normal 10 3 2 2 3 2 3 2 3 2" xfId="15934" xr:uid="{9B18475D-8F91-486F-95AD-379A7A266950}"/>
    <cellStyle name="Normal 10 3 2 2 3 2 3 2 3 2 2" xfId="15935" xr:uid="{B2FDA99A-64DA-4C7E-B243-CCBC44EC7484}"/>
    <cellStyle name="Normal 10 3 2 2 3 2 3 2 3 2 2 2" xfId="15936" xr:uid="{DF09FDAE-6C33-4C6F-A374-6915A7C98C8D}"/>
    <cellStyle name="Normal 10 3 2 2 3 2 3 2 3 2 3" xfId="15937" xr:uid="{0FD2F425-8733-4DE5-8BCE-EA7DE4C9A64F}"/>
    <cellStyle name="Normal 10 3 2 2 3 2 3 2 3 3" xfId="15938" xr:uid="{0920134B-AEC6-4BFF-B6F2-750981C406AF}"/>
    <cellStyle name="Normal 10 3 2 2 3 2 3 2 3 3 2" xfId="15939" xr:uid="{EC554330-7F0F-4752-A5F0-B9000B615055}"/>
    <cellStyle name="Normal 10 3 2 2 3 2 3 2 3 4" xfId="15940" xr:uid="{69CFE220-E04E-4D47-A032-A86447F0B74B}"/>
    <cellStyle name="Normal 10 3 2 2 3 2 3 2 4" xfId="15941" xr:uid="{A5F16013-13E5-4B5B-8F87-AEF7F785E0B6}"/>
    <cellStyle name="Normal 10 3 2 2 3 2 3 2 4 2" xfId="15942" xr:uid="{57C705A5-ED75-42E1-963B-F22B77A119C2}"/>
    <cellStyle name="Normal 10 3 2 2 3 2 3 2 4 2 2" xfId="15943" xr:uid="{A42EA93A-2FDC-4B65-B611-9F17A2334E75}"/>
    <cellStyle name="Normal 10 3 2 2 3 2 3 2 4 3" xfId="15944" xr:uid="{69F67AC7-3B13-46EA-8EA5-E2645F29F86C}"/>
    <cellStyle name="Normal 10 3 2 2 3 2 3 2 5" xfId="15945" xr:uid="{1258A180-62A0-475C-B527-E72E01DBD438}"/>
    <cellStyle name="Normal 10 3 2 2 3 2 3 2 5 2" xfId="15946" xr:uid="{240A1B91-F45B-4E1E-AECD-0C56DB3E9192}"/>
    <cellStyle name="Normal 10 3 2 2 3 2 3 2 6" xfId="15947" xr:uid="{C2C35A09-179C-4E0D-A74C-4DA23B074BAC}"/>
    <cellStyle name="Normal 10 3 2 2 3 2 3 3" xfId="15948" xr:uid="{8C3D3B98-A33B-4C87-BDCD-A019081DE272}"/>
    <cellStyle name="Normal 10 3 2 2 3 2 3 3 2" xfId="15949" xr:uid="{E021CD14-D7F0-4DE7-B80D-E40E0ED44509}"/>
    <cellStyle name="Normal 10 3 2 2 3 2 3 3 2 2" xfId="15950" xr:uid="{663DD51A-F81D-4F71-9B4B-65B619CD4798}"/>
    <cellStyle name="Normal 10 3 2 2 3 2 3 3 2 2 2" xfId="15951" xr:uid="{78A7A41B-29FB-46F0-AA41-4DB9882A904F}"/>
    <cellStyle name="Normal 10 3 2 2 3 2 3 3 2 2 2 2" xfId="15952" xr:uid="{856B4DDC-11D5-4814-B0DC-974571E37A36}"/>
    <cellStyle name="Normal 10 3 2 2 3 2 3 3 2 2 3" xfId="15953" xr:uid="{6A93CC59-B948-48D1-B22E-9091C305F66E}"/>
    <cellStyle name="Normal 10 3 2 2 3 2 3 3 2 3" xfId="15954" xr:uid="{20FA4011-ABBE-4583-9DBB-5C06ED0C054C}"/>
    <cellStyle name="Normal 10 3 2 2 3 2 3 3 2 3 2" xfId="15955" xr:uid="{5B115A96-C967-49EB-91DB-2B7207BADE1A}"/>
    <cellStyle name="Normal 10 3 2 2 3 2 3 3 2 4" xfId="15956" xr:uid="{8ADAA2CD-7C63-44D8-954F-D508C968C696}"/>
    <cellStyle name="Normal 10 3 2 2 3 2 3 3 3" xfId="15957" xr:uid="{721BA4B9-6D88-4E2D-ABED-DAE990F7C0EA}"/>
    <cellStyle name="Normal 10 3 2 2 3 2 3 3 3 2" xfId="15958" xr:uid="{1D91D8AB-4CC2-423E-9258-CC44FB19B8A9}"/>
    <cellStyle name="Normal 10 3 2 2 3 2 3 3 3 2 2" xfId="15959" xr:uid="{0EC03F0C-4B6C-4F6E-A7F8-01FE5B4471FC}"/>
    <cellStyle name="Normal 10 3 2 2 3 2 3 3 3 3" xfId="15960" xr:uid="{A7EE63A2-D3A4-4351-895F-7E27A8DC179F}"/>
    <cellStyle name="Normal 10 3 2 2 3 2 3 3 4" xfId="15961" xr:uid="{37772161-670C-4808-A479-AB2F2C6F2CC9}"/>
    <cellStyle name="Normal 10 3 2 2 3 2 3 3 4 2" xfId="15962" xr:uid="{A435AF65-6157-4326-AD96-D6A057584B5B}"/>
    <cellStyle name="Normal 10 3 2 2 3 2 3 3 5" xfId="15963" xr:uid="{BB7CDC30-AF40-4C03-B5F0-F807C3A0B707}"/>
    <cellStyle name="Normal 10 3 2 2 3 2 3 4" xfId="15964" xr:uid="{A103532E-47C4-4444-80AB-EE98E1FAD25E}"/>
    <cellStyle name="Normal 10 3 2 2 3 2 3 4 2" xfId="15965" xr:uid="{0C7C5DAF-D3A3-4FE4-86B5-C1809959CD4B}"/>
    <cellStyle name="Normal 10 3 2 2 3 2 3 4 2 2" xfId="15966" xr:uid="{FD1FC4B1-45CE-4CF9-AD6C-107B80329EFA}"/>
    <cellStyle name="Normal 10 3 2 2 3 2 3 4 2 2 2" xfId="15967" xr:uid="{524818D1-567E-442C-A2E0-80D8BBB5155F}"/>
    <cellStyle name="Normal 10 3 2 2 3 2 3 4 2 3" xfId="15968" xr:uid="{88A7FC61-1501-4C67-8476-E898A48A29FD}"/>
    <cellStyle name="Normal 10 3 2 2 3 2 3 4 3" xfId="15969" xr:uid="{B330210F-97F7-47C7-BCF0-00F5721931EF}"/>
    <cellStyle name="Normal 10 3 2 2 3 2 3 4 3 2" xfId="15970" xr:uid="{AACED796-7F8D-42A7-9437-2A805FBC61DC}"/>
    <cellStyle name="Normal 10 3 2 2 3 2 3 4 4" xfId="15971" xr:uid="{6DD14EBC-05DD-42AD-B014-3ECDB9863515}"/>
    <cellStyle name="Normal 10 3 2 2 3 2 3 5" xfId="15972" xr:uid="{AB29F8F0-2260-4C5F-B166-438FFFABD8CD}"/>
    <cellStyle name="Normal 10 3 2 2 3 2 3 5 2" xfId="15973" xr:uid="{418341BD-16B1-4EBB-B3D3-9474440E4679}"/>
    <cellStyle name="Normal 10 3 2 2 3 2 3 5 2 2" xfId="15974" xr:uid="{0DC1BF2F-6A2D-4590-A086-D3B642457461}"/>
    <cellStyle name="Normal 10 3 2 2 3 2 3 5 3" xfId="15975" xr:uid="{FD63B3D0-9811-4237-8E92-8207EDEAE5FC}"/>
    <cellStyle name="Normal 10 3 2 2 3 2 3 6" xfId="15976" xr:uid="{F369BE92-0C3F-4813-8913-650048135355}"/>
    <cellStyle name="Normal 10 3 2 2 3 2 3 6 2" xfId="15977" xr:uid="{39F21AAD-0A13-44C2-96B4-C5B884D8F8C5}"/>
    <cellStyle name="Normal 10 3 2 2 3 2 3 7" xfId="15978" xr:uid="{7681967C-7FC4-4AE5-9A80-C8A34E97FB1A}"/>
    <cellStyle name="Normal 10 3 2 2 3 2 4" xfId="15979" xr:uid="{DA1F1816-B3F5-49E3-B4D2-3E68A4C0169F}"/>
    <cellStyle name="Normal 10 3 2 2 3 2 4 2" xfId="15980" xr:uid="{04A5A432-A783-42D1-BD82-0CAFAF029182}"/>
    <cellStyle name="Normal 10 3 2 2 3 2 4 2 2" xfId="15981" xr:uid="{34B16BE2-5D41-4B98-9490-8082969B3422}"/>
    <cellStyle name="Normal 10 3 2 2 3 2 4 2 2 2" xfId="15982" xr:uid="{312E5564-FB16-4B93-94A2-327EC0312FDE}"/>
    <cellStyle name="Normal 10 3 2 2 3 2 4 2 2 2 2" xfId="15983" xr:uid="{E23269EA-25AC-4DAB-813D-074E44114B56}"/>
    <cellStyle name="Normal 10 3 2 2 3 2 4 2 2 2 2 2" xfId="15984" xr:uid="{8FEEE6AE-EB3E-4E9B-B954-6EE5D29354AD}"/>
    <cellStyle name="Normal 10 3 2 2 3 2 4 2 2 2 3" xfId="15985" xr:uid="{33CD28C6-A313-4480-9692-66180F848685}"/>
    <cellStyle name="Normal 10 3 2 2 3 2 4 2 2 3" xfId="15986" xr:uid="{AF267F63-3E97-463B-8854-116FCB73E63A}"/>
    <cellStyle name="Normal 10 3 2 2 3 2 4 2 2 3 2" xfId="15987" xr:uid="{E0F64B6E-7952-45F3-877F-EA10417AD195}"/>
    <cellStyle name="Normal 10 3 2 2 3 2 4 2 2 4" xfId="15988" xr:uid="{C3BC6911-9F8C-448C-BB26-EA179E602937}"/>
    <cellStyle name="Normal 10 3 2 2 3 2 4 2 3" xfId="15989" xr:uid="{73EC7357-47A3-4373-97DA-D71C0435E6D8}"/>
    <cellStyle name="Normal 10 3 2 2 3 2 4 2 3 2" xfId="15990" xr:uid="{4EB4F10B-13AF-4D50-B3CB-12672287A19F}"/>
    <cellStyle name="Normal 10 3 2 2 3 2 4 2 3 2 2" xfId="15991" xr:uid="{5025E8C5-CB4F-47F2-B5BB-756BCFC81E5D}"/>
    <cellStyle name="Normal 10 3 2 2 3 2 4 2 3 3" xfId="15992" xr:uid="{73A7EFEF-3B28-4901-9F16-23D2CEF3AC6F}"/>
    <cellStyle name="Normal 10 3 2 2 3 2 4 2 4" xfId="15993" xr:uid="{CD27C65B-FE3D-4DDA-82D2-F1F16025886F}"/>
    <cellStyle name="Normal 10 3 2 2 3 2 4 2 4 2" xfId="15994" xr:uid="{B5173F9D-C6BD-4367-B36E-BF552A69716D}"/>
    <cellStyle name="Normal 10 3 2 2 3 2 4 2 5" xfId="15995" xr:uid="{1F00734E-2291-4F31-8152-4CF4FE8BF408}"/>
    <cellStyle name="Normal 10 3 2 2 3 2 4 3" xfId="15996" xr:uid="{F4270DB5-7279-4E3D-BF3F-02B2DA48FED8}"/>
    <cellStyle name="Normal 10 3 2 2 3 2 4 3 2" xfId="15997" xr:uid="{D891EA8D-E13E-437F-A9B7-34D8DC630317}"/>
    <cellStyle name="Normal 10 3 2 2 3 2 4 3 2 2" xfId="15998" xr:uid="{F5EFFC81-D741-4B43-85DD-1C285B167116}"/>
    <cellStyle name="Normal 10 3 2 2 3 2 4 3 2 2 2" xfId="15999" xr:uid="{E2F1FAC3-FD3B-4F96-8AA1-319627960D34}"/>
    <cellStyle name="Normal 10 3 2 2 3 2 4 3 2 3" xfId="16000" xr:uid="{84563995-2A97-4778-9890-DBEDD95B8F3C}"/>
    <cellStyle name="Normal 10 3 2 2 3 2 4 3 3" xfId="16001" xr:uid="{F9158C90-7CC8-4266-BE4E-FA0262F280F8}"/>
    <cellStyle name="Normal 10 3 2 2 3 2 4 3 3 2" xfId="16002" xr:uid="{CDEB3BE3-BBD2-4658-938B-F31331ACFCC9}"/>
    <cellStyle name="Normal 10 3 2 2 3 2 4 3 4" xfId="16003" xr:uid="{2DA9F097-5128-4C41-89A0-354A0D31DB2B}"/>
    <cellStyle name="Normal 10 3 2 2 3 2 4 4" xfId="16004" xr:uid="{8D3ED5A1-7267-4EEF-B299-25EEAB70A55C}"/>
    <cellStyle name="Normal 10 3 2 2 3 2 4 4 2" xfId="16005" xr:uid="{2AAFEC92-B805-41A4-B76C-3B5D1A05866D}"/>
    <cellStyle name="Normal 10 3 2 2 3 2 4 4 2 2" xfId="16006" xr:uid="{1A60AD0A-9A90-4DA1-9E85-6DAC5342EE4E}"/>
    <cellStyle name="Normal 10 3 2 2 3 2 4 4 3" xfId="16007" xr:uid="{0688BD4D-5303-4204-A422-B979334696CB}"/>
    <cellStyle name="Normal 10 3 2 2 3 2 4 5" xfId="16008" xr:uid="{CB0E7061-C96A-4D20-8BE4-3A9C130715AB}"/>
    <cellStyle name="Normal 10 3 2 2 3 2 4 5 2" xfId="16009" xr:uid="{90D80EF6-0638-424A-8345-A6E714B57447}"/>
    <cellStyle name="Normal 10 3 2 2 3 2 4 6" xfId="16010" xr:uid="{01CFEBBA-A3D6-4345-8C51-DB84E994B546}"/>
    <cellStyle name="Normal 10 3 2 2 3 2 5" xfId="16011" xr:uid="{83A815B1-F74A-4F60-A799-A9D9D9052BA3}"/>
    <cellStyle name="Normal 10 3 2 2 3 2 5 2" xfId="16012" xr:uid="{398F3AE3-6F44-469F-99E4-3BD2B224C12A}"/>
    <cellStyle name="Normal 10 3 2 2 3 2 5 2 2" xfId="16013" xr:uid="{8FE727F1-98DB-424B-B2A9-E9112DE7AA61}"/>
    <cellStyle name="Normal 10 3 2 2 3 2 5 2 2 2" xfId="16014" xr:uid="{2F310D52-22E2-40B0-A7D5-FED69C6C0FE7}"/>
    <cellStyle name="Normal 10 3 2 2 3 2 5 2 2 2 2" xfId="16015" xr:uid="{B7ECABF1-8A23-4385-AB3C-BC9E589F32E4}"/>
    <cellStyle name="Normal 10 3 2 2 3 2 5 2 2 3" xfId="16016" xr:uid="{2FB48F0C-9D0E-4BCE-A84C-47A29DAEF2ED}"/>
    <cellStyle name="Normal 10 3 2 2 3 2 5 2 3" xfId="16017" xr:uid="{BDB568A0-5F0E-4D21-9ED0-FD6734266B62}"/>
    <cellStyle name="Normal 10 3 2 2 3 2 5 2 3 2" xfId="16018" xr:uid="{03C65D96-6A05-4D58-A731-884F447C4D1E}"/>
    <cellStyle name="Normal 10 3 2 2 3 2 5 2 4" xfId="16019" xr:uid="{9D790FD8-9F58-4D4C-AF11-25FF02B27ACC}"/>
    <cellStyle name="Normal 10 3 2 2 3 2 5 3" xfId="16020" xr:uid="{7D548AED-468A-4705-907E-7EB3662FF42E}"/>
    <cellStyle name="Normal 10 3 2 2 3 2 5 3 2" xfId="16021" xr:uid="{47BEF248-57FB-4F8A-AF86-55B7A6D3E6AB}"/>
    <cellStyle name="Normal 10 3 2 2 3 2 5 3 2 2" xfId="16022" xr:uid="{8304D85D-DF76-4153-AA8D-ED31A78C60F6}"/>
    <cellStyle name="Normal 10 3 2 2 3 2 5 3 3" xfId="16023" xr:uid="{DC935948-7F20-4A7C-BD68-B53592A42319}"/>
    <cellStyle name="Normal 10 3 2 2 3 2 5 4" xfId="16024" xr:uid="{AE6AC49A-CBFE-471B-BDAC-023CE892C4B2}"/>
    <cellStyle name="Normal 10 3 2 2 3 2 5 4 2" xfId="16025" xr:uid="{2954C355-3D80-4134-A5C7-181D74520C2C}"/>
    <cellStyle name="Normal 10 3 2 2 3 2 5 5" xfId="16026" xr:uid="{89520298-6C8B-4C56-B210-C144FAAA11E0}"/>
    <cellStyle name="Normal 10 3 2 2 3 2 6" xfId="16027" xr:uid="{0A4541FD-E76C-4606-AFA5-8B2551E9C271}"/>
    <cellStyle name="Normal 10 3 2 2 3 2 6 2" xfId="16028" xr:uid="{4F0EA384-E752-4745-A4AE-0787AD43F2D0}"/>
    <cellStyle name="Normal 10 3 2 2 3 2 6 2 2" xfId="16029" xr:uid="{62DF671C-04D7-44B9-BFE2-671ED4EA39A5}"/>
    <cellStyle name="Normal 10 3 2 2 3 2 6 2 2 2" xfId="16030" xr:uid="{7D76D16D-EB5F-43C0-881A-7087463BB568}"/>
    <cellStyle name="Normal 10 3 2 2 3 2 6 2 3" xfId="16031" xr:uid="{0D8ADA61-799A-4D5A-9C16-E73F8A9D933B}"/>
    <cellStyle name="Normal 10 3 2 2 3 2 6 3" xfId="16032" xr:uid="{2150C564-4DC8-42A2-AAE9-576DA3C25174}"/>
    <cellStyle name="Normal 10 3 2 2 3 2 6 3 2" xfId="16033" xr:uid="{C2B8DD11-318D-4DC4-AF44-376F6BEF1A02}"/>
    <cellStyle name="Normal 10 3 2 2 3 2 6 4" xfId="16034" xr:uid="{8C68524B-9A65-429D-90F1-9ACFD99E6530}"/>
    <cellStyle name="Normal 10 3 2 2 3 2 7" xfId="16035" xr:uid="{21F47D16-C5D3-4364-A5BC-D2F0C856A4C5}"/>
    <cellStyle name="Normal 10 3 2 2 3 2 7 2" xfId="16036" xr:uid="{A1E70968-1682-483F-9198-5FCB41B15FAD}"/>
    <cellStyle name="Normal 10 3 2 2 3 2 7 2 2" xfId="16037" xr:uid="{F697CB83-6E4F-4CD7-AD59-BA110AE8FE9A}"/>
    <cellStyle name="Normal 10 3 2 2 3 2 7 3" xfId="16038" xr:uid="{010F67C4-3685-43EB-B72B-C6631E06CDEF}"/>
    <cellStyle name="Normal 10 3 2 2 3 2 8" xfId="16039" xr:uid="{FE73F8A0-886B-4B40-881C-8848DFEBB993}"/>
    <cellStyle name="Normal 10 3 2 2 3 2 8 2" xfId="16040" xr:uid="{1202047D-E94D-4BAE-8C75-A616FD6D4924}"/>
    <cellStyle name="Normal 10 3 2 2 3 2 9" xfId="16041" xr:uid="{29A80440-BBCE-43E7-8A89-313BEB6A85C5}"/>
    <cellStyle name="Normal 10 3 2 2 3 3" xfId="482" xr:uid="{9FA1D3EC-3688-4F03-B862-31589DB6A608}"/>
    <cellStyle name="Normal 10 3 2 2 3 3 2" xfId="16043" xr:uid="{6C42BA11-BD15-4D20-828A-4BE61E23FC26}"/>
    <cellStyle name="Normal 10 3 2 2 3 3 2 2" xfId="16044" xr:uid="{D48F30F4-5419-44BA-B6A0-B01ADAB3F133}"/>
    <cellStyle name="Normal 10 3 2 2 3 3 2 2 2" xfId="16045" xr:uid="{D75BCF0B-8972-46EC-96B6-00C0C2B28154}"/>
    <cellStyle name="Normal 10 3 2 2 3 3 2 2 2 2" xfId="16046" xr:uid="{AC22E61A-3D21-492E-98D5-68582D5D84D1}"/>
    <cellStyle name="Normal 10 3 2 2 3 3 2 2 2 2 2" xfId="16047" xr:uid="{B78456EC-2989-4E05-BC1E-60EE16966398}"/>
    <cellStyle name="Normal 10 3 2 2 3 3 2 2 2 2 2 2" xfId="16048" xr:uid="{25942533-7719-4021-A45B-CA09A631AE4B}"/>
    <cellStyle name="Normal 10 3 2 2 3 3 2 2 2 2 2 2 2" xfId="16049" xr:uid="{2EC78A70-FF1B-478A-9A4F-71EB0436E5EA}"/>
    <cellStyle name="Normal 10 3 2 2 3 3 2 2 2 2 2 3" xfId="16050" xr:uid="{B06CE8FA-87EF-4206-8357-58BE811A271E}"/>
    <cellStyle name="Normal 10 3 2 2 3 3 2 2 2 2 3" xfId="16051" xr:uid="{5F7E70D0-B0E1-4315-838C-223A36CACD7F}"/>
    <cellStyle name="Normal 10 3 2 2 3 3 2 2 2 2 3 2" xfId="16052" xr:uid="{5B5253A3-3B19-4A03-8B00-9535BBD0C478}"/>
    <cellStyle name="Normal 10 3 2 2 3 3 2 2 2 2 4" xfId="16053" xr:uid="{1D6C3886-42DB-45A1-AF6E-BE6A5D829770}"/>
    <cellStyle name="Normal 10 3 2 2 3 3 2 2 2 3" xfId="16054" xr:uid="{8ED38DBE-8CAC-446A-9773-01D9D924A452}"/>
    <cellStyle name="Normal 10 3 2 2 3 3 2 2 2 3 2" xfId="16055" xr:uid="{47C25ED9-DECB-43A3-A658-1398DD6824A6}"/>
    <cellStyle name="Normal 10 3 2 2 3 3 2 2 2 3 2 2" xfId="16056" xr:uid="{464EE3F7-AF80-4A9E-9F76-ECA9D50574FD}"/>
    <cellStyle name="Normal 10 3 2 2 3 3 2 2 2 3 3" xfId="16057" xr:uid="{29A45376-2A43-4227-9E74-FC11AF8EFCCF}"/>
    <cellStyle name="Normal 10 3 2 2 3 3 2 2 2 4" xfId="16058" xr:uid="{A8CBFDE2-4B49-4AB2-8548-60FCA01FAA7C}"/>
    <cellStyle name="Normal 10 3 2 2 3 3 2 2 2 4 2" xfId="16059" xr:uid="{587B439D-5CAE-4880-9050-7D5ECC0E0E43}"/>
    <cellStyle name="Normal 10 3 2 2 3 3 2 2 2 5" xfId="16060" xr:uid="{8B2489B0-1534-44D3-94AA-6AEE2E9ED94E}"/>
    <cellStyle name="Normal 10 3 2 2 3 3 2 2 3" xfId="16061" xr:uid="{7412B4D4-F146-416F-846F-E1339207B0B1}"/>
    <cellStyle name="Normal 10 3 2 2 3 3 2 2 3 2" xfId="16062" xr:uid="{51AD7269-AD27-4E14-BA94-C3E7E0851DAA}"/>
    <cellStyle name="Normal 10 3 2 2 3 3 2 2 3 2 2" xfId="16063" xr:uid="{68EA47D0-D7A7-4C48-92D9-49E62BE23C63}"/>
    <cellStyle name="Normal 10 3 2 2 3 3 2 2 3 2 2 2" xfId="16064" xr:uid="{8CF70E8D-E6A3-4BE3-BB72-6C13D2F95864}"/>
    <cellStyle name="Normal 10 3 2 2 3 3 2 2 3 2 3" xfId="16065" xr:uid="{4F718C35-2006-43BC-B0F6-2E9F205667AA}"/>
    <cellStyle name="Normal 10 3 2 2 3 3 2 2 3 3" xfId="16066" xr:uid="{2DA76412-5A59-4C44-BC6D-9D53E80D5842}"/>
    <cellStyle name="Normal 10 3 2 2 3 3 2 2 3 3 2" xfId="16067" xr:uid="{017FE5DE-B791-4586-B735-EA68A962DD1C}"/>
    <cellStyle name="Normal 10 3 2 2 3 3 2 2 3 4" xfId="16068" xr:uid="{4B519F44-4D30-4020-A5B0-CC47557F1418}"/>
    <cellStyle name="Normal 10 3 2 2 3 3 2 2 4" xfId="16069" xr:uid="{C3FB415A-6CE3-42E7-B5B3-A4C535EA461E}"/>
    <cellStyle name="Normal 10 3 2 2 3 3 2 2 4 2" xfId="16070" xr:uid="{0CFFF737-1D3A-4D61-9BB1-42DEA94CEDBE}"/>
    <cellStyle name="Normal 10 3 2 2 3 3 2 2 4 2 2" xfId="16071" xr:uid="{5B8613EC-802D-482F-A97D-D8D901F9AEE7}"/>
    <cellStyle name="Normal 10 3 2 2 3 3 2 2 4 3" xfId="16072" xr:uid="{4535FC1F-5163-4C1C-BF56-3C45B7A397DA}"/>
    <cellStyle name="Normal 10 3 2 2 3 3 2 2 5" xfId="16073" xr:uid="{1882B2F4-6EE6-47B3-811C-096F5AAF3067}"/>
    <cellStyle name="Normal 10 3 2 2 3 3 2 2 5 2" xfId="16074" xr:uid="{1FFE0CCB-DED0-4C63-B627-9A999AA1D060}"/>
    <cellStyle name="Normal 10 3 2 2 3 3 2 2 6" xfId="16075" xr:uid="{6ACBF27B-D6A4-40DC-854B-342136B84A00}"/>
    <cellStyle name="Normal 10 3 2 2 3 3 2 3" xfId="16076" xr:uid="{19F91452-9F71-46D7-A0EC-A5DCD16BE17D}"/>
    <cellStyle name="Normal 10 3 2 2 3 3 2 3 2" xfId="16077" xr:uid="{7DFA2BF3-31C8-47E0-9CBD-A7E7EF787C32}"/>
    <cellStyle name="Normal 10 3 2 2 3 3 2 3 2 2" xfId="16078" xr:uid="{A87424FC-909F-4621-A993-E2479D6BE7E1}"/>
    <cellStyle name="Normal 10 3 2 2 3 3 2 3 2 2 2" xfId="16079" xr:uid="{6910E1B9-BDD6-4FE4-AB80-1C2A48BB4CB2}"/>
    <cellStyle name="Normal 10 3 2 2 3 3 2 3 2 2 2 2" xfId="16080" xr:uid="{00D84758-BCBB-4611-8A7E-1B8D4DAF3828}"/>
    <cellStyle name="Normal 10 3 2 2 3 3 2 3 2 2 3" xfId="16081" xr:uid="{95D3E4C8-9958-4627-82FA-5895735DD187}"/>
    <cellStyle name="Normal 10 3 2 2 3 3 2 3 2 3" xfId="16082" xr:uid="{54F70B4D-FC5D-4034-B451-BC3ECE0D1E67}"/>
    <cellStyle name="Normal 10 3 2 2 3 3 2 3 2 3 2" xfId="16083" xr:uid="{0DDC02C2-6B87-4268-AF70-4BA4E99D6680}"/>
    <cellStyle name="Normal 10 3 2 2 3 3 2 3 2 4" xfId="16084" xr:uid="{84D4FF28-AEF7-4B9C-A772-F413A8C4E1D5}"/>
    <cellStyle name="Normal 10 3 2 2 3 3 2 3 3" xfId="16085" xr:uid="{BA64B7F5-B137-41FB-BEE1-EE70207B9463}"/>
    <cellStyle name="Normal 10 3 2 2 3 3 2 3 3 2" xfId="16086" xr:uid="{9CA0C5F0-2FDC-403C-B7EC-65D6A5387C33}"/>
    <cellStyle name="Normal 10 3 2 2 3 3 2 3 3 2 2" xfId="16087" xr:uid="{546F6180-7128-4F22-B048-7961E317BF8B}"/>
    <cellStyle name="Normal 10 3 2 2 3 3 2 3 3 3" xfId="16088" xr:uid="{D1BD1BCC-2D2A-479B-9C5D-37CD486DA275}"/>
    <cellStyle name="Normal 10 3 2 2 3 3 2 3 4" xfId="16089" xr:uid="{37440C5A-3D5C-41EB-A279-3983280E97F6}"/>
    <cellStyle name="Normal 10 3 2 2 3 3 2 3 4 2" xfId="16090" xr:uid="{C5B6474A-5F88-44E4-91A1-C8B913DDEDFE}"/>
    <cellStyle name="Normal 10 3 2 2 3 3 2 3 5" xfId="16091" xr:uid="{06C1D02B-45B3-4485-940E-0048CF71F741}"/>
    <cellStyle name="Normal 10 3 2 2 3 3 2 4" xfId="16092" xr:uid="{43F5378B-8E06-4C65-A737-EAE2EF93DE85}"/>
    <cellStyle name="Normal 10 3 2 2 3 3 2 4 2" xfId="16093" xr:uid="{A07F19C1-22D1-44C4-9561-7B1D6907C60F}"/>
    <cellStyle name="Normal 10 3 2 2 3 3 2 4 2 2" xfId="16094" xr:uid="{CA06F0C4-39F9-4772-8844-2924942CF2A3}"/>
    <cellStyle name="Normal 10 3 2 2 3 3 2 4 2 2 2" xfId="16095" xr:uid="{60AE1A94-ED3D-47E4-9CD6-4187F21007F7}"/>
    <cellStyle name="Normal 10 3 2 2 3 3 2 4 2 3" xfId="16096" xr:uid="{5EA994F7-899E-411B-857C-429FE6FDFE09}"/>
    <cellStyle name="Normal 10 3 2 2 3 3 2 4 3" xfId="16097" xr:uid="{C977575D-7DF8-4E3E-89E3-75F3AB414667}"/>
    <cellStyle name="Normal 10 3 2 2 3 3 2 4 3 2" xfId="16098" xr:uid="{4568172C-353D-4ADE-B831-45131714AEBB}"/>
    <cellStyle name="Normal 10 3 2 2 3 3 2 4 4" xfId="16099" xr:uid="{468F6DCC-E337-4F6F-88A8-71DABBB323EA}"/>
    <cellStyle name="Normal 10 3 2 2 3 3 2 5" xfId="16100" xr:uid="{D794F199-BF78-462A-B04E-BA0AF339F612}"/>
    <cellStyle name="Normal 10 3 2 2 3 3 2 5 2" xfId="16101" xr:uid="{E2AAFB78-D55D-464C-A3F6-7C0FE3A22905}"/>
    <cellStyle name="Normal 10 3 2 2 3 3 2 5 2 2" xfId="16102" xr:uid="{6E998752-6036-402F-B6A6-547CAE307275}"/>
    <cellStyle name="Normal 10 3 2 2 3 3 2 5 3" xfId="16103" xr:uid="{A8007E06-DB2F-4B36-ACB1-A09E9EFB61BA}"/>
    <cellStyle name="Normal 10 3 2 2 3 3 2 6" xfId="16104" xr:uid="{C83F2731-E281-4F33-985D-918D7CE8AFD5}"/>
    <cellStyle name="Normal 10 3 2 2 3 3 2 6 2" xfId="16105" xr:uid="{A519B05C-DE38-4D77-870F-39EF255A3264}"/>
    <cellStyle name="Normal 10 3 2 2 3 3 2 7" xfId="16106" xr:uid="{8ACCC3DD-BFC0-4D1F-896A-A60DEEC0420A}"/>
    <cellStyle name="Normal 10 3 2 2 3 3 3" xfId="16107" xr:uid="{70AA44B8-1D8B-4F50-99A4-B3654A2BD095}"/>
    <cellStyle name="Normal 10 3 2 2 3 3 3 2" xfId="16108" xr:uid="{D98F0749-D91B-48AC-B4DA-AE2DA8AF1D90}"/>
    <cellStyle name="Normal 10 3 2 2 3 3 3 2 2" xfId="16109" xr:uid="{5F3D3569-90E8-4CC1-8BFC-4EA7024E1072}"/>
    <cellStyle name="Normal 10 3 2 2 3 3 3 2 2 2" xfId="16110" xr:uid="{D74F8EF8-02E1-4D30-B9DA-086439BCA603}"/>
    <cellStyle name="Normal 10 3 2 2 3 3 3 2 2 2 2" xfId="16111" xr:uid="{A2C31887-59BF-4ED7-9D54-017D5442757D}"/>
    <cellStyle name="Normal 10 3 2 2 3 3 3 2 2 2 2 2" xfId="16112" xr:uid="{1512C32A-F90E-4C42-9EC2-1BBA470A916E}"/>
    <cellStyle name="Normal 10 3 2 2 3 3 3 2 2 2 3" xfId="16113" xr:uid="{171DCA09-5E0C-4F5E-BD03-2FE8CF318772}"/>
    <cellStyle name="Normal 10 3 2 2 3 3 3 2 2 3" xfId="16114" xr:uid="{C317DEA1-AEEF-40B6-BAB2-DB66A1778AB2}"/>
    <cellStyle name="Normal 10 3 2 2 3 3 3 2 2 3 2" xfId="16115" xr:uid="{1B687A4D-5A02-4FFD-B763-E1C76163A2BE}"/>
    <cellStyle name="Normal 10 3 2 2 3 3 3 2 2 4" xfId="16116" xr:uid="{692A2940-09BD-4F36-8EC7-1F4F506D8CB3}"/>
    <cellStyle name="Normal 10 3 2 2 3 3 3 2 3" xfId="16117" xr:uid="{4FCDC75F-3E86-4FD2-A696-2F48A13C84CA}"/>
    <cellStyle name="Normal 10 3 2 2 3 3 3 2 3 2" xfId="16118" xr:uid="{A50440A8-1FB5-477D-9EF0-E00108E083BB}"/>
    <cellStyle name="Normal 10 3 2 2 3 3 3 2 3 2 2" xfId="16119" xr:uid="{CEA34768-C119-4B25-8DF7-B42E9E90516D}"/>
    <cellStyle name="Normal 10 3 2 2 3 3 3 2 3 3" xfId="16120" xr:uid="{AD2E0701-BFC0-47FB-AE7D-F4B5532552D4}"/>
    <cellStyle name="Normal 10 3 2 2 3 3 3 2 4" xfId="16121" xr:uid="{694BA244-3E37-452D-BB35-05BF4A803C93}"/>
    <cellStyle name="Normal 10 3 2 2 3 3 3 2 4 2" xfId="16122" xr:uid="{86C7C826-F5ED-4405-B5BF-1F6B54DAEFEA}"/>
    <cellStyle name="Normal 10 3 2 2 3 3 3 2 5" xfId="16123" xr:uid="{D618059A-96D3-4B0F-A630-2626EB0B24C7}"/>
    <cellStyle name="Normal 10 3 2 2 3 3 3 3" xfId="16124" xr:uid="{B0E266F0-0610-4252-A7CA-25D8C4D39FC9}"/>
    <cellStyle name="Normal 10 3 2 2 3 3 3 3 2" xfId="16125" xr:uid="{55A49B55-EF2E-4974-BDB0-DCF638CE9CA1}"/>
    <cellStyle name="Normal 10 3 2 2 3 3 3 3 2 2" xfId="16126" xr:uid="{CFD3B7E4-097C-4C0B-82B8-0AA8E819D544}"/>
    <cellStyle name="Normal 10 3 2 2 3 3 3 3 2 2 2" xfId="16127" xr:uid="{530B0163-CF8B-43EF-B3E7-FD5EBBBCAF77}"/>
    <cellStyle name="Normal 10 3 2 2 3 3 3 3 2 3" xfId="16128" xr:uid="{91DE8EE7-2EB2-4C31-AF7E-2BAE3F68FAA1}"/>
    <cellStyle name="Normal 10 3 2 2 3 3 3 3 3" xfId="16129" xr:uid="{D9EFD05B-CB80-45EF-ADA4-3F040EFEEBD3}"/>
    <cellStyle name="Normal 10 3 2 2 3 3 3 3 3 2" xfId="16130" xr:uid="{3DD23FCD-1CAD-44B0-9451-F19F32D8C77B}"/>
    <cellStyle name="Normal 10 3 2 2 3 3 3 3 4" xfId="16131" xr:uid="{292B84C7-8887-44E1-BBF4-BD131FBBD6E4}"/>
    <cellStyle name="Normal 10 3 2 2 3 3 3 4" xfId="16132" xr:uid="{36ADF86A-ADCF-4F76-8F87-F92E54E6BA79}"/>
    <cellStyle name="Normal 10 3 2 2 3 3 3 4 2" xfId="16133" xr:uid="{A9F5FDD4-DF60-4F52-91A2-E3905874C0AD}"/>
    <cellStyle name="Normal 10 3 2 2 3 3 3 4 2 2" xfId="16134" xr:uid="{6A27F66D-2DF4-4F05-9289-F689C87091DA}"/>
    <cellStyle name="Normal 10 3 2 2 3 3 3 4 3" xfId="16135" xr:uid="{ECAAB0A5-565A-4FBF-81B0-9269782B2137}"/>
    <cellStyle name="Normal 10 3 2 2 3 3 3 5" xfId="16136" xr:uid="{9D984365-5998-4DE9-A504-9D2BADE55E44}"/>
    <cellStyle name="Normal 10 3 2 2 3 3 3 5 2" xfId="16137" xr:uid="{316345B0-1874-4067-B3F3-F6B9352D6FB7}"/>
    <cellStyle name="Normal 10 3 2 2 3 3 3 6" xfId="16138" xr:uid="{5FFF3E0A-0040-4A4B-AC00-8148020022C0}"/>
    <cellStyle name="Normal 10 3 2 2 3 3 4" xfId="16139" xr:uid="{28A4239A-BF8E-4CC6-BF12-4A6FDB675632}"/>
    <cellStyle name="Normal 10 3 2 2 3 3 4 2" xfId="16140" xr:uid="{B4493D42-AED4-4AF2-80C0-B7A5D1006ED6}"/>
    <cellStyle name="Normal 10 3 2 2 3 3 4 2 2" xfId="16141" xr:uid="{289EDBB9-8E40-4913-B83F-BAEC334C5FBA}"/>
    <cellStyle name="Normal 10 3 2 2 3 3 4 2 2 2" xfId="16142" xr:uid="{37E2C74C-55CD-4F92-96B3-80970E4F2629}"/>
    <cellStyle name="Normal 10 3 2 2 3 3 4 2 2 2 2" xfId="16143" xr:uid="{27AA2D4B-F0BE-4A3D-A466-400CDB08753D}"/>
    <cellStyle name="Normal 10 3 2 2 3 3 4 2 2 3" xfId="16144" xr:uid="{888D4D99-030B-4AF8-A748-28D3552B4081}"/>
    <cellStyle name="Normal 10 3 2 2 3 3 4 2 3" xfId="16145" xr:uid="{691F5832-B980-4458-B9CD-1168B60440F2}"/>
    <cellStyle name="Normal 10 3 2 2 3 3 4 2 3 2" xfId="16146" xr:uid="{714B0E7C-D1EB-453B-8F16-0BAC35933A74}"/>
    <cellStyle name="Normal 10 3 2 2 3 3 4 2 4" xfId="16147" xr:uid="{7F46984E-E088-4613-AB96-2BE3A727317A}"/>
    <cellStyle name="Normal 10 3 2 2 3 3 4 3" xfId="16148" xr:uid="{F75CBE35-2B73-4576-80D9-FE4975F0E09E}"/>
    <cellStyle name="Normal 10 3 2 2 3 3 4 3 2" xfId="16149" xr:uid="{3F00A267-3288-47E5-A950-FA5BEFD48F13}"/>
    <cellStyle name="Normal 10 3 2 2 3 3 4 3 2 2" xfId="16150" xr:uid="{425B6959-37C3-4BCA-95C7-105D0E872FF4}"/>
    <cellStyle name="Normal 10 3 2 2 3 3 4 3 3" xfId="16151" xr:uid="{6349EE0C-B7E0-4BA3-92E9-C13D4B7C47CC}"/>
    <cellStyle name="Normal 10 3 2 2 3 3 4 4" xfId="16152" xr:uid="{E09F030A-9B4F-4014-ADDA-EB9D371FDDDA}"/>
    <cellStyle name="Normal 10 3 2 2 3 3 4 4 2" xfId="16153" xr:uid="{90EB3261-63B6-408B-905A-2D468DC22CD1}"/>
    <cellStyle name="Normal 10 3 2 2 3 3 4 5" xfId="16154" xr:uid="{9A53AC76-FF5B-4A8D-A5EA-AC1C520B4D9C}"/>
    <cellStyle name="Normal 10 3 2 2 3 3 5" xfId="16155" xr:uid="{B8383A0F-09CE-4077-ABBF-0406472FB66B}"/>
    <cellStyle name="Normal 10 3 2 2 3 3 5 2" xfId="16156" xr:uid="{387EFBD4-13E5-4CB8-A845-394555846084}"/>
    <cellStyle name="Normal 10 3 2 2 3 3 5 2 2" xfId="16157" xr:uid="{C5ED82B2-9DB2-4AE7-B0DA-C8D9DAB22888}"/>
    <cellStyle name="Normal 10 3 2 2 3 3 5 2 2 2" xfId="16158" xr:uid="{2975A3E4-4701-4DD3-8B8F-58A7512FDFAD}"/>
    <cellStyle name="Normal 10 3 2 2 3 3 5 2 3" xfId="16159" xr:uid="{31EA5C51-214C-445F-9360-3708D33B64AA}"/>
    <cellStyle name="Normal 10 3 2 2 3 3 5 3" xfId="16160" xr:uid="{0649119C-D09E-431C-B4BF-D311A824F80D}"/>
    <cellStyle name="Normal 10 3 2 2 3 3 5 3 2" xfId="16161" xr:uid="{6FA930B7-5258-46D9-AEDB-D38D04AB6885}"/>
    <cellStyle name="Normal 10 3 2 2 3 3 5 4" xfId="16162" xr:uid="{9275A915-A524-4B47-86E2-FA77CA4B5E15}"/>
    <cellStyle name="Normal 10 3 2 2 3 3 6" xfId="16163" xr:uid="{4B66F4BA-181A-42C3-8B38-063C89F436A0}"/>
    <cellStyle name="Normal 10 3 2 2 3 3 6 2" xfId="16164" xr:uid="{8FD4D093-14EC-4D12-8D9A-793FFBED8530}"/>
    <cellStyle name="Normal 10 3 2 2 3 3 6 2 2" xfId="16165" xr:uid="{35CF99B1-FE4C-4B41-8167-0B0E35F8DDA6}"/>
    <cellStyle name="Normal 10 3 2 2 3 3 6 3" xfId="16166" xr:uid="{7DFDFF78-0B42-47E5-8E8F-4E374EC51E6B}"/>
    <cellStyle name="Normal 10 3 2 2 3 3 7" xfId="16167" xr:uid="{34364B02-F155-47D4-8FFF-C7D1906613DA}"/>
    <cellStyle name="Normal 10 3 2 2 3 3 7 2" xfId="16168" xr:uid="{384CED22-B8F0-4DFF-97E5-3E7665DD55FD}"/>
    <cellStyle name="Normal 10 3 2 2 3 3 8" xfId="16169" xr:uid="{131FDB65-CD04-494E-AFCE-9EEA7ED07C5A}"/>
    <cellStyle name="Normal 10 3 2 2 3 3 9" xfId="16042" xr:uid="{C56D98E1-0677-4873-BA3F-45ED620499DA}"/>
    <cellStyle name="Normal 10 3 2 2 3 4" xfId="16170" xr:uid="{E5213637-21E8-4131-9C2F-FBB68270F5F4}"/>
    <cellStyle name="Normal 10 3 2 2 3 4 2" xfId="16171" xr:uid="{AC9FB4E2-E48B-458F-8729-83AFEB28222B}"/>
    <cellStyle name="Normal 10 3 2 2 3 4 2 2" xfId="16172" xr:uid="{8A6BA1A1-7033-46A5-92CD-14781AFBA1C4}"/>
    <cellStyle name="Normal 10 3 2 2 3 4 2 2 2" xfId="16173" xr:uid="{A8258576-B29B-4B56-BC97-55EDB4D438AF}"/>
    <cellStyle name="Normal 10 3 2 2 3 4 2 2 2 2" xfId="16174" xr:uid="{79B8EEA1-D2CE-4A7B-8313-6A147A4580B7}"/>
    <cellStyle name="Normal 10 3 2 2 3 4 2 2 2 2 2" xfId="16175" xr:uid="{FCDFA2C0-4D0A-4CB7-8EB2-CC69FBA72C57}"/>
    <cellStyle name="Normal 10 3 2 2 3 4 2 2 2 2 2 2" xfId="16176" xr:uid="{74336D4B-509D-4A1C-AA80-6333B6EE666F}"/>
    <cellStyle name="Normal 10 3 2 2 3 4 2 2 2 2 3" xfId="16177" xr:uid="{EB8A365C-5F16-4B44-962B-A67F0FCBE5BC}"/>
    <cellStyle name="Normal 10 3 2 2 3 4 2 2 2 3" xfId="16178" xr:uid="{42AE152A-200B-4939-8431-5F344DEC842C}"/>
    <cellStyle name="Normal 10 3 2 2 3 4 2 2 2 3 2" xfId="16179" xr:uid="{D92CB063-5852-4316-922D-1A84187FE66F}"/>
    <cellStyle name="Normal 10 3 2 2 3 4 2 2 2 4" xfId="16180" xr:uid="{AC37963B-6BAE-4784-B4E5-0FA11440AD93}"/>
    <cellStyle name="Normal 10 3 2 2 3 4 2 2 3" xfId="16181" xr:uid="{164C3454-009E-4B0D-9B1D-3C1CE1B7F2C3}"/>
    <cellStyle name="Normal 10 3 2 2 3 4 2 2 3 2" xfId="16182" xr:uid="{5844541F-7979-4C04-8138-F636916BA357}"/>
    <cellStyle name="Normal 10 3 2 2 3 4 2 2 3 2 2" xfId="16183" xr:uid="{C6E2F246-D32D-4519-8790-6EF0687F7EFA}"/>
    <cellStyle name="Normal 10 3 2 2 3 4 2 2 3 3" xfId="16184" xr:uid="{AC2726D4-3F7E-49B7-96B3-350B5DCA12B8}"/>
    <cellStyle name="Normal 10 3 2 2 3 4 2 2 4" xfId="16185" xr:uid="{9ECB8403-F167-495B-A13F-0D767A5400F9}"/>
    <cellStyle name="Normal 10 3 2 2 3 4 2 2 4 2" xfId="16186" xr:uid="{1075E943-620C-4356-86A3-1579ED969119}"/>
    <cellStyle name="Normal 10 3 2 2 3 4 2 2 5" xfId="16187" xr:uid="{713A48F3-C3AD-4E7F-877A-2B597483B2EC}"/>
    <cellStyle name="Normal 10 3 2 2 3 4 2 3" xfId="16188" xr:uid="{79BE508D-67F9-433B-A44F-63DD5621E248}"/>
    <cellStyle name="Normal 10 3 2 2 3 4 2 3 2" xfId="16189" xr:uid="{BDCF9CFD-4109-4F01-A75B-16C345EDE422}"/>
    <cellStyle name="Normal 10 3 2 2 3 4 2 3 2 2" xfId="16190" xr:uid="{BBCE60C2-97C6-47EA-9022-8FF1A4D529DA}"/>
    <cellStyle name="Normal 10 3 2 2 3 4 2 3 2 2 2" xfId="16191" xr:uid="{08F80A20-1B6E-46B0-B0F6-4A0C40FE874F}"/>
    <cellStyle name="Normal 10 3 2 2 3 4 2 3 2 3" xfId="16192" xr:uid="{95E934C8-FBA4-444A-9E83-5E5149B1072D}"/>
    <cellStyle name="Normal 10 3 2 2 3 4 2 3 3" xfId="16193" xr:uid="{C599BDF5-FA65-4C75-97EF-399EA2E032A9}"/>
    <cellStyle name="Normal 10 3 2 2 3 4 2 3 3 2" xfId="16194" xr:uid="{2159AACA-FDB6-41AA-AC9D-B5D65F6A050D}"/>
    <cellStyle name="Normal 10 3 2 2 3 4 2 3 4" xfId="16195" xr:uid="{E7558BCA-0FE0-4179-87A1-CF6BDF1AC20E}"/>
    <cellStyle name="Normal 10 3 2 2 3 4 2 4" xfId="16196" xr:uid="{30495568-58C0-4838-85E0-75F15B461740}"/>
    <cellStyle name="Normal 10 3 2 2 3 4 2 4 2" xfId="16197" xr:uid="{003F56D7-C496-4F68-8017-3A3187195101}"/>
    <cellStyle name="Normal 10 3 2 2 3 4 2 4 2 2" xfId="16198" xr:uid="{779983E2-91F7-4866-90A4-4EB511CA97F8}"/>
    <cellStyle name="Normal 10 3 2 2 3 4 2 4 3" xfId="16199" xr:uid="{7BB5C2C4-6702-41BB-879A-8AE30728FD67}"/>
    <cellStyle name="Normal 10 3 2 2 3 4 2 5" xfId="16200" xr:uid="{1B8B22D2-AE22-42CF-BBFB-1BA609A179D5}"/>
    <cellStyle name="Normal 10 3 2 2 3 4 2 5 2" xfId="16201" xr:uid="{B91B452E-43CB-4B80-878B-E5A82B7638CB}"/>
    <cellStyle name="Normal 10 3 2 2 3 4 2 6" xfId="16202" xr:uid="{B14662CE-BA7F-405B-BEFF-DA74B0F84378}"/>
    <cellStyle name="Normal 10 3 2 2 3 4 3" xfId="16203" xr:uid="{D19894F1-C927-4BE1-9BB0-94619E527CE7}"/>
    <cellStyle name="Normal 10 3 2 2 3 4 3 2" xfId="16204" xr:uid="{8AF9C8B7-9FCC-4035-9826-D66A2B95E5F8}"/>
    <cellStyle name="Normal 10 3 2 2 3 4 3 2 2" xfId="16205" xr:uid="{5CD8988B-9EFC-4D31-824F-CD70FB2E80BC}"/>
    <cellStyle name="Normal 10 3 2 2 3 4 3 2 2 2" xfId="16206" xr:uid="{A2C3A455-8315-40CB-BBB4-0F2B36097A48}"/>
    <cellStyle name="Normal 10 3 2 2 3 4 3 2 2 2 2" xfId="16207" xr:uid="{AE035FFF-CB67-4631-AA4D-935F7E967646}"/>
    <cellStyle name="Normal 10 3 2 2 3 4 3 2 2 3" xfId="16208" xr:uid="{8C749EE9-07F0-413C-9856-074180C98D5F}"/>
    <cellStyle name="Normal 10 3 2 2 3 4 3 2 3" xfId="16209" xr:uid="{D03E511B-18EB-4F0E-BC0E-AC02E81A0DBC}"/>
    <cellStyle name="Normal 10 3 2 2 3 4 3 2 3 2" xfId="16210" xr:uid="{B65DEC2B-0845-4F7A-BB24-49A625D2BF96}"/>
    <cellStyle name="Normal 10 3 2 2 3 4 3 2 4" xfId="16211" xr:uid="{B15ECCBB-0EBA-404D-9DDC-B5162832C64C}"/>
    <cellStyle name="Normal 10 3 2 2 3 4 3 3" xfId="16212" xr:uid="{1D5B61EF-FAE6-4B00-B6C6-42A709C80E0B}"/>
    <cellStyle name="Normal 10 3 2 2 3 4 3 3 2" xfId="16213" xr:uid="{9328A4FD-D6CD-4FE3-BA0B-04BBEF99B08B}"/>
    <cellStyle name="Normal 10 3 2 2 3 4 3 3 2 2" xfId="16214" xr:uid="{84179848-2150-4D74-9BA2-90046243832B}"/>
    <cellStyle name="Normal 10 3 2 2 3 4 3 3 3" xfId="16215" xr:uid="{9C1C9F10-84D7-48D3-BDF3-E7911C91CC4E}"/>
    <cellStyle name="Normal 10 3 2 2 3 4 3 4" xfId="16216" xr:uid="{5364D8E4-B9CF-409B-8B60-4648A396C221}"/>
    <cellStyle name="Normal 10 3 2 2 3 4 3 4 2" xfId="16217" xr:uid="{4F5F8473-379A-4114-AAB1-7406E48E270D}"/>
    <cellStyle name="Normal 10 3 2 2 3 4 3 5" xfId="16218" xr:uid="{FCCACF3F-BFEA-48D0-BCD6-BC4275BB22E1}"/>
    <cellStyle name="Normal 10 3 2 2 3 4 4" xfId="16219" xr:uid="{59CD0B4D-F188-48D0-9480-BA0739BC5422}"/>
    <cellStyle name="Normal 10 3 2 2 3 4 4 2" xfId="16220" xr:uid="{0242274B-6ECA-4363-BDD6-768D5E052ECC}"/>
    <cellStyle name="Normal 10 3 2 2 3 4 4 2 2" xfId="16221" xr:uid="{412F74C2-C22B-4F33-8836-029CCD2DF26B}"/>
    <cellStyle name="Normal 10 3 2 2 3 4 4 2 2 2" xfId="16222" xr:uid="{28CD78C4-6B1E-46BF-9AEC-095AA1CEDE09}"/>
    <cellStyle name="Normal 10 3 2 2 3 4 4 2 3" xfId="16223" xr:uid="{67F29F2F-2E3F-4353-8449-2F9C80EB3468}"/>
    <cellStyle name="Normal 10 3 2 2 3 4 4 3" xfId="16224" xr:uid="{4AD00951-39CC-4259-B311-123E7DA60602}"/>
    <cellStyle name="Normal 10 3 2 2 3 4 4 3 2" xfId="16225" xr:uid="{C0B2DABB-5A28-413A-A089-B283B45A60FF}"/>
    <cellStyle name="Normal 10 3 2 2 3 4 4 4" xfId="16226" xr:uid="{832F575B-AF1B-48D2-9010-CC7EECD04930}"/>
    <cellStyle name="Normal 10 3 2 2 3 4 5" xfId="16227" xr:uid="{98092A17-38E8-4F41-A570-288A89AC9778}"/>
    <cellStyle name="Normal 10 3 2 2 3 4 5 2" xfId="16228" xr:uid="{45FEDFB3-D50C-477E-94BE-05CE8C6CC3E3}"/>
    <cellStyle name="Normal 10 3 2 2 3 4 5 2 2" xfId="16229" xr:uid="{F49C8451-E205-4506-9125-7797D5F7F77F}"/>
    <cellStyle name="Normal 10 3 2 2 3 4 5 3" xfId="16230" xr:uid="{D9F58F50-51EE-4AE7-A870-CA12546BBB01}"/>
    <cellStyle name="Normal 10 3 2 2 3 4 6" xfId="16231" xr:uid="{5ED8D49D-0854-441E-84BE-623B2791A054}"/>
    <cellStyle name="Normal 10 3 2 2 3 4 6 2" xfId="16232" xr:uid="{25922AF7-DB1B-4E96-A519-929D5C908B8F}"/>
    <cellStyle name="Normal 10 3 2 2 3 4 7" xfId="16233" xr:uid="{3B7A47ED-EF1E-4C88-982E-791D13793A4D}"/>
    <cellStyle name="Normal 10 3 2 2 3 5" xfId="16234" xr:uid="{DBF9B741-E105-4B0F-AE67-A00CA8F54F29}"/>
    <cellStyle name="Normal 10 3 2 2 3 5 2" xfId="16235" xr:uid="{1D99E603-70CB-4FD9-A0EF-1603CDC4DDDC}"/>
    <cellStyle name="Normal 10 3 2 2 3 5 2 2" xfId="16236" xr:uid="{87F30F11-03BB-4CBF-B995-94180C6B191E}"/>
    <cellStyle name="Normal 10 3 2 2 3 5 2 2 2" xfId="16237" xr:uid="{AB8B8F45-A2B7-45E4-8986-C66D25613B85}"/>
    <cellStyle name="Normal 10 3 2 2 3 5 2 2 2 2" xfId="16238" xr:uid="{B2831E53-168C-4EF7-80EF-418D2733F06E}"/>
    <cellStyle name="Normal 10 3 2 2 3 5 2 2 2 2 2" xfId="16239" xr:uid="{DF8F4FDD-0470-4749-8321-F41A340A5D6A}"/>
    <cellStyle name="Normal 10 3 2 2 3 5 2 2 2 3" xfId="16240" xr:uid="{2BE2006A-BC9B-4213-B4EE-32191BD4E818}"/>
    <cellStyle name="Normal 10 3 2 2 3 5 2 2 3" xfId="16241" xr:uid="{9A6E9791-4375-4991-82CE-C5C4CB149F81}"/>
    <cellStyle name="Normal 10 3 2 2 3 5 2 2 3 2" xfId="16242" xr:uid="{174977C3-C7C1-4D6C-97E8-CA197DBD1DEA}"/>
    <cellStyle name="Normal 10 3 2 2 3 5 2 2 4" xfId="16243" xr:uid="{B89B37F1-C180-468E-8D75-2D451C18CA53}"/>
    <cellStyle name="Normal 10 3 2 2 3 5 2 3" xfId="16244" xr:uid="{3D8C6708-6D29-4378-A7A4-C332A4B56BE7}"/>
    <cellStyle name="Normal 10 3 2 2 3 5 2 3 2" xfId="16245" xr:uid="{00007672-7210-4F20-8916-E1F5AFBF1E02}"/>
    <cellStyle name="Normal 10 3 2 2 3 5 2 3 2 2" xfId="16246" xr:uid="{323B51D7-7117-4543-97AE-4F9D19CF36C4}"/>
    <cellStyle name="Normal 10 3 2 2 3 5 2 3 3" xfId="16247" xr:uid="{71FD4A05-EF6F-487B-AA28-4FB7E4D77E51}"/>
    <cellStyle name="Normal 10 3 2 2 3 5 2 4" xfId="16248" xr:uid="{EDA28880-FE1D-427D-8629-B9D9F9DA6247}"/>
    <cellStyle name="Normal 10 3 2 2 3 5 2 4 2" xfId="16249" xr:uid="{8E906D4D-9E95-4F8B-9D5B-E65A854D170E}"/>
    <cellStyle name="Normal 10 3 2 2 3 5 2 5" xfId="16250" xr:uid="{87782374-DE1A-4A04-B0C2-B1E742271270}"/>
    <cellStyle name="Normal 10 3 2 2 3 5 3" xfId="16251" xr:uid="{BAD1A26D-DD43-4CBB-A67C-0F21236123A7}"/>
    <cellStyle name="Normal 10 3 2 2 3 5 3 2" xfId="16252" xr:uid="{739737EB-C0DE-4DE4-9AF4-F14F394847C8}"/>
    <cellStyle name="Normal 10 3 2 2 3 5 3 2 2" xfId="16253" xr:uid="{62FFB1FF-44A4-4BD7-90A7-BAD0BDBD3417}"/>
    <cellStyle name="Normal 10 3 2 2 3 5 3 2 2 2" xfId="16254" xr:uid="{4112142A-E319-4F14-9237-FBB0A40D4B0F}"/>
    <cellStyle name="Normal 10 3 2 2 3 5 3 2 3" xfId="16255" xr:uid="{E355D58D-3D8F-4A1D-987A-FA31B5844FD4}"/>
    <cellStyle name="Normal 10 3 2 2 3 5 3 3" xfId="16256" xr:uid="{381FC967-ABDA-4073-BF28-DB2D4B26F32A}"/>
    <cellStyle name="Normal 10 3 2 2 3 5 3 3 2" xfId="16257" xr:uid="{FB96F03F-6B37-4396-A890-A127EC1F8108}"/>
    <cellStyle name="Normal 10 3 2 2 3 5 3 4" xfId="16258" xr:uid="{68C89610-5013-475E-8F63-8D08FF01E72E}"/>
    <cellStyle name="Normal 10 3 2 2 3 5 4" xfId="16259" xr:uid="{3606ABE7-45B7-410A-AB10-E110F453E027}"/>
    <cellStyle name="Normal 10 3 2 2 3 5 4 2" xfId="16260" xr:uid="{263928A3-1EFB-4142-B111-261187BE359A}"/>
    <cellStyle name="Normal 10 3 2 2 3 5 4 2 2" xfId="16261" xr:uid="{217B4EEF-0ABD-4EF3-91F6-82D900469074}"/>
    <cellStyle name="Normal 10 3 2 2 3 5 4 3" xfId="16262" xr:uid="{3953ABC8-10DA-4AA1-BE8E-764D6C3DC115}"/>
    <cellStyle name="Normal 10 3 2 2 3 5 5" xfId="16263" xr:uid="{4DD72E1C-F5DC-4CE6-8FA7-4A74D9BE11F6}"/>
    <cellStyle name="Normal 10 3 2 2 3 5 5 2" xfId="16264" xr:uid="{97CF15F3-E3D2-45C0-A184-739A467CEFD8}"/>
    <cellStyle name="Normal 10 3 2 2 3 5 6" xfId="16265" xr:uid="{4B23E724-BDC5-4E55-AD7B-6DBB218D5A01}"/>
    <cellStyle name="Normal 10 3 2 2 3 6" xfId="16266" xr:uid="{DBD4E2DA-48E9-4DF1-9C4E-3B3663C1846F}"/>
    <cellStyle name="Normal 10 3 2 2 3 6 2" xfId="16267" xr:uid="{DC7F236B-CAC2-4F2F-B977-1B98A5CC82CC}"/>
    <cellStyle name="Normal 10 3 2 2 3 6 2 2" xfId="16268" xr:uid="{101A5AFA-C8F8-42E4-855C-B4B07A14392F}"/>
    <cellStyle name="Normal 10 3 2 2 3 6 2 2 2" xfId="16269" xr:uid="{B06AAD33-375F-4C57-91EC-934340FFC4DD}"/>
    <cellStyle name="Normal 10 3 2 2 3 6 2 2 2 2" xfId="16270" xr:uid="{DE4144C5-7B90-4A42-AFEF-69E90221E922}"/>
    <cellStyle name="Normal 10 3 2 2 3 6 2 2 3" xfId="16271" xr:uid="{16C631AB-1D01-4C96-802A-6F0CF8EECFE9}"/>
    <cellStyle name="Normal 10 3 2 2 3 6 2 3" xfId="16272" xr:uid="{8BC9E532-A3FD-4C81-A4AE-21B24FA932D3}"/>
    <cellStyle name="Normal 10 3 2 2 3 6 2 3 2" xfId="16273" xr:uid="{79DA767D-A5BA-4015-B5F2-E5FDCDE66D24}"/>
    <cellStyle name="Normal 10 3 2 2 3 6 2 4" xfId="16274" xr:uid="{B09BE392-86C8-43AF-9305-B7710140E0C2}"/>
    <cellStyle name="Normal 10 3 2 2 3 6 3" xfId="16275" xr:uid="{990F9C7A-C9EF-4564-8744-5EFD77150B40}"/>
    <cellStyle name="Normal 10 3 2 2 3 6 3 2" xfId="16276" xr:uid="{1DE74ED9-D1B0-4339-B330-A3FCFEEBC095}"/>
    <cellStyle name="Normal 10 3 2 2 3 6 3 2 2" xfId="16277" xr:uid="{ADF0FA36-312F-4FB6-B8CC-F04638F53AEB}"/>
    <cellStyle name="Normal 10 3 2 2 3 6 3 3" xfId="16278" xr:uid="{0C98DE97-96F6-48D2-8213-B5DA7FF2A924}"/>
    <cellStyle name="Normal 10 3 2 2 3 6 4" xfId="16279" xr:uid="{26E1417A-9501-4AE2-9B99-66DB8322A466}"/>
    <cellStyle name="Normal 10 3 2 2 3 6 4 2" xfId="16280" xr:uid="{0C7FA3F8-3556-4F35-9AD1-92B423C62B31}"/>
    <cellStyle name="Normal 10 3 2 2 3 6 5" xfId="16281" xr:uid="{D3DF13B8-03AE-4084-869A-7977C974FD77}"/>
    <cellStyle name="Normal 10 3 2 2 3 7" xfId="16282" xr:uid="{AB92D083-E831-44FD-83B5-9D6B8B7D9CFC}"/>
    <cellStyle name="Normal 10 3 2 2 3 7 2" xfId="16283" xr:uid="{3CDECAD2-302E-4DF2-90FF-558309F16660}"/>
    <cellStyle name="Normal 10 3 2 2 3 7 2 2" xfId="16284" xr:uid="{BB6B7D89-A52D-4D59-A07B-46E7F4AA060C}"/>
    <cellStyle name="Normal 10 3 2 2 3 7 2 2 2" xfId="16285" xr:uid="{B3CF021F-7597-4027-990E-9A5A710A7A74}"/>
    <cellStyle name="Normal 10 3 2 2 3 7 2 3" xfId="16286" xr:uid="{988414A7-8A6D-4902-8E28-CD0C930D6386}"/>
    <cellStyle name="Normal 10 3 2 2 3 7 3" xfId="16287" xr:uid="{646C0C7A-44F9-42B2-ABCF-BD2D0BF5C4E7}"/>
    <cellStyle name="Normal 10 3 2 2 3 7 3 2" xfId="16288" xr:uid="{B5E02399-FCF4-4100-9445-707AD240F7FE}"/>
    <cellStyle name="Normal 10 3 2 2 3 7 4" xfId="16289" xr:uid="{E7A2A754-2894-4681-9F86-062297C0DDC5}"/>
    <cellStyle name="Normal 10 3 2 2 3 8" xfId="16290" xr:uid="{7FE9138A-F587-4427-8A90-D0CA7054B69A}"/>
    <cellStyle name="Normal 10 3 2 2 3 8 2" xfId="16291" xr:uid="{61B016BE-DAA0-4445-8FE0-BC53C2278D78}"/>
    <cellStyle name="Normal 10 3 2 2 3 8 2 2" xfId="16292" xr:uid="{444C3FE4-82FF-482F-9ECA-086CBF6E3715}"/>
    <cellStyle name="Normal 10 3 2 2 3 8 3" xfId="16293" xr:uid="{09C8BA20-A820-4B9A-91B0-92D7E5C768EA}"/>
    <cellStyle name="Normal 10 3 2 2 3 9" xfId="16294" xr:uid="{78387401-5D45-45CC-939E-5F31E05F6D5E}"/>
    <cellStyle name="Normal 10 3 2 2 3 9 2" xfId="16295" xr:uid="{40B919CD-B529-4C43-95B8-E636B9F99151}"/>
    <cellStyle name="Normal 10 3 2 2 4" xfId="263" xr:uid="{8E65B260-DCA2-43E4-94A2-DD4AD3E232DA}"/>
    <cellStyle name="Normal 10 3 2 2 4 10" xfId="16296" xr:uid="{FB42FA80-4514-4204-BE0E-670D33457690}"/>
    <cellStyle name="Normal 10 3 2 2 4 11" xfId="560" xr:uid="{12E07F6E-3A81-4A5D-8995-56618EABAFF5}"/>
    <cellStyle name="Normal 10 3 2 2 4 2" xfId="332" xr:uid="{770AAA3E-A658-4972-B9F8-BAEA90815BD3}"/>
    <cellStyle name="Normal 10 3 2 2 4 2 10" xfId="16297" xr:uid="{4227E2A5-7A67-4C45-8FEB-AF79D7D83B83}"/>
    <cellStyle name="Normal 10 3 2 2 4 2 2" xfId="16298" xr:uid="{29F4DCA5-FABB-45D3-8674-0941FEE888F0}"/>
    <cellStyle name="Normal 10 3 2 2 4 2 2 2" xfId="16299" xr:uid="{E8CE23F6-580E-4BA9-8473-7C9D8782BAAB}"/>
    <cellStyle name="Normal 10 3 2 2 4 2 2 2 2" xfId="16300" xr:uid="{645E901A-81D8-436D-B25D-A9249D3FC7D9}"/>
    <cellStyle name="Normal 10 3 2 2 4 2 2 2 2 2" xfId="16301" xr:uid="{43A64D6E-45B0-4AD1-B693-AD13767FFF96}"/>
    <cellStyle name="Normal 10 3 2 2 4 2 2 2 2 2 2" xfId="16302" xr:uid="{83927517-8B32-4991-9880-00575C31699B}"/>
    <cellStyle name="Normal 10 3 2 2 4 2 2 2 2 2 2 2" xfId="16303" xr:uid="{5841B375-01DD-4846-9721-1F8E11177093}"/>
    <cellStyle name="Normal 10 3 2 2 4 2 2 2 2 2 2 2 2" xfId="16304" xr:uid="{62D8CD89-BC4F-47CF-80CF-F3D20A066382}"/>
    <cellStyle name="Normal 10 3 2 2 4 2 2 2 2 2 2 2 2 2" xfId="16305" xr:uid="{68555B93-53EE-4D85-A366-E94E8076ABD1}"/>
    <cellStyle name="Normal 10 3 2 2 4 2 2 2 2 2 2 2 3" xfId="16306" xr:uid="{31299304-9BF1-415B-BCF6-0E51E3D4EABE}"/>
    <cellStyle name="Normal 10 3 2 2 4 2 2 2 2 2 2 3" xfId="16307" xr:uid="{B367A421-71A0-4C8C-B849-EFE923013AAA}"/>
    <cellStyle name="Normal 10 3 2 2 4 2 2 2 2 2 2 3 2" xfId="16308" xr:uid="{F7DFA4BB-EF36-4111-80A3-04D59AC76F0C}"/>
    <cellStyle name="Normal 10 3 2 2 4 2 2 2 2 2 2 4" xfId="16309" xr:uid="{FD1CDA2B-355F-4E0C-92E2-8CC1DA50FA28}"/>
    <cellStyle name="Normal 10 3 2 2 4 2 2 2 2 2 3" xfId="16310" xr:uid="{620BDBF3-726A-42E6-9E40-A0C6E236460E}"/>
    <cellStyle name="Normal 10 3 2 2 4 2 2 2 2 2 3 2" xfId="16311" xr:uid="{152D82E3-770E-49AF-9CEF-0CE750117E7E}"/>
    <cellStyle name="Normal 10 3 2 2 4 2 2 2 2 2 3 2 2" xfId="16312" xr:uid="{E477C597-1AC6-418F-9F8A-C0C1E426D9FD}"/>
    <cellStyle name="Normal 10 3 2 2 4 2 2 2 2 2 3 3" xfId="16313" xr:uid="{988896BF-6889-469F-A100-327E55055CD3}"/>
    <cellStyle name="Normal 10 3 2 2 4 2 2 2 2 2 4" xfId="16314" xr:uid="{E47C4B3D-1AF2-4583-B813-EA7E6E7DAEF9}"/>
    <cellStyle name="Normal 10 3 2 2 4 2 2 2 2 2 4 2" xfId="16315" xr:uid="{AB973A0D-8878-4761-8C48-06DBDBFB040E}"/>
    <cellStyle name="Normal 10 3 2 2 4 2 2 2 2 2 5" xfId="16316" xr:uid="{1DD48E37-4261-457A-ADAD-33D0AE7ACADE}"/>
    <cellStyle name="Normal 10 3 2 2 4 2 2 2 2 3" xfId="16317" xr:uid="{EB860762-F64A-4517-AFE9-66B6CDEB3AAC}"/>
    <cellStyle name="Normal 10 3 2 2 4 2 2 2 2 3 2" xfId="16318" xr:uid="{B044FAA6-1D47-45AF-8454-6D2C96B6B80D}"/>
    <cellStyle name="Normal 10 3 2 2 4 2 2 2 2 3 2 2" xfId="16319" xr:uid="{99046BF7-7750-415D-A942-DAAFCE786FDD}"/>
    <cellStyle name="Normal 10 3 2 2 4 2 2 2 2 3 2 2 2" xfId="16320" xr:uid="{F3AA0A71-8C5A-4DBF-8305-ACFA53AB5AE5}"/>
    <cellStyle name="Normal 10 3 2 2 4 2 2 2 2 3 2 3" xfId="16321" xr:uid="{CBE3460C-6C12-4F51-AD98-9BF4718226C8}"/>
    <cellStyle name="Normal 10 3 2 2 4 2 2 2 2 3 3" xfId="16322" xr:uid="{6C4AFEAE-AD4E-4211-9C93-D31069061DBD}"/>
    <cellStyle name="Normal 10 3 2 2 4 2 2 2 2 3 3 2" xfId="16323" xr:uid="{F7C15F98-38CA-4201-BD29-C3541D174274}"/>
    <cellStyle name="Normal 10 3 2 2 4 2 2 2 2 3 4" xfId="16324" xr:uid="{7F4464D8-0B7C-4E02-BC3C-8DC32C78FCC2}"/>
    <cellStyle name="Normal 10 3 2 2 4 2 2 2 2 4" xfId="16325" xr:uid="{1D45A209-D4CF-4432-B46A-7A40A4533DC3}"/>
    <cellStyle name="Normal 10 3 2 2 4 2 2 2 2 4 2" xfId="16326" xr:uid="{FDC88ACE-4B22-4887-95B5-4E9A8CC4B6AB}"/>
    <cellStyle name="Normal 10 3 2 2 4 2 2 2 2 4 2 2" xfId="16327" xr:uid="{7331FED3-6CF0-46C3-A5A1-9645AA1C5901}"/>
    <cellStyle name="Normal 10 3 2 2 4 2 2 2 2 4 3" xfId="16328" xr:uid="{2DFA86CC-69F0-45C2-90BD-750C4E8907D0}"/>
    <cellStyle name="Normal 10 3 2 2 4 2 2 2 2 5" xfId="16329" xr:uid="{66B151E3-6CC0-4445-AF3F-455679602A66}"/>
    <cellStyle name="Normal 10 3 2 2 4 2 2 2 2 5 2" xfId="16330" xr:uid="{931F517E-AFEA-46DD-993C-8565FF3E5D0A}"/>
    <cellStyle name="Normal 10 3 2 2 4 2 2 2 2 6" xfId="16331" xr:uid="{983E3277-BCB8-463E-9817-4B5BF8992F7C}"/>
    <cellStyle name="Normal 10 3 2 2 4 2 2 2 3" xfId="16332" xr:uid="{99B8A9F9-2A7D-4442-B1A5-EECF23F2D3BA}"/>
    <cellStyle name="Normal 10 3 2 2 4 2 2 2 3 2" xfId="16333" xr:uid="{92341162-E1E8-4AC0-8E99-82E5813B0808}"/>
    <cellStyle name="Normal 10 3 2 2 4 2 2 2 3 2 2" xfId="16334" xr:uid="{A15C19DD-CA39-4430-92D2-B122C9E69AFF}"/>
    <cellStyle name="Normal 10 3 2 2 4 2 2 2 3 2 2 2" xfId="16335" xr:uid="{34461F5E-05B1-46B6-B2DA-FD57AF982278}"/>
    <cellStyle name="Normal 10 3 2 2 4 2 2 2 3 2 2 2 2" xfId="16336" xr:uid="{1001F1C0-20DD-45BF-9E59-45476F56A66A}"/>
    <cellStyle name="Normal 10 3 2 2 4 2 2 2 3 2 2 3" xfId="16337" xr:uid="{701D4954-39F2-407C-9149-4C00B22B1CEF}"/>
    <cellStyle name="Normal 10 3 2 2 4 2 2 2 3 2 3" xfId="16338" xr:uid="{F4E61F0E-FA37-4D89-B0C8-87E69B920762}"/>
    <cellStyle name="Normal 10 3 2 2 4 2 2 2 3 2 3 2" xfId="16339" xr:uid="{42633A14-A55E-4A92-864A-BD7A41E71495}"/>
    <cellStyle name="Normal 10 3 2 2 4 2 2 2 3 2 4" xfId="16340" xr:uid="{C460BCB1-7257-4F0F-8441-45AA13908557}"/>
    <cellStyle name="Normal 10 3 2 2 4 2 2 2 3 3" xfId="16341" xr:uid="{326BCA1D-79B0-44DE-ACD9-CBD35E51F2C3}"/>
    <cellStyle name="Normal 10 3 2 2 4 2 2 2 3 3 2" xfId="16342" xr:uid="{EE522ECE-BE7F-4FF6-90A4-134815D9AF84}"/>
    <cellStyle name="Normal 10 3 2 2 4 2 2 2 3 3 2 2" xfId="16343" xr:uid="{6F5CE383-2292-4119-928E-F7713D45F635}"/>
    <cellStyle name="Normal 10 3 2 2 4 2 2 2 3 3 3" xfId="16344" xr:uid="{79348A33-06D2-41ED-8149-EA003640A19A}"/>
    <cellStyle name="Normal 10 3 2 2 4 2 2 2 3 4" xfId="16345" xr:uid="{5C499D82-3264-4DC8-8029-E832FA18F5A4}"/>
    <cellStyle name="Normal 10 3 2 2 4 2 2 2 3 4 2" xfId="16346" xr:uid="{D1BD31BA-8C0D-4419-B84B-DD747919BABF}"/>
    <cellStyle name="Normal 10 3 2 2 4 2 2 2 3 5" xfId="16347" xr:uid="{CFADB436-7B98-4211-8664-55DA5B3783CB}"/>
    <cellStyle name="Normal 10 3 2 2 4 2 2 2 4" xfId="16348" xr:uid="{3C7AFB67-1C9B-4022-9D25-A28FC76A10A0}"/>
    <cellStyle name="Normal 10 3 2 2 4 2 2 2 4 2" xfId="16349" xr:uid="{920E3049-E769-4CB6-B2F0-A87DA8E13579}"/>
    <cellStyle name="Normal 10 3 2 2 4 2 2 2 4 2 2" xfId="16350" xr:uid="{A5C76B23-0911-498C-8745-B25C247DAEB3}"/>
    <cellStyle name="Normal 10 3 2 2 4 2 2 2 4 2 2 2" xfId="16351" xr:uid="{B63A8D4A-D6AA-4D7C-B18F-224F516A21DB}"/>
    <cellStyle name="Normal 10 3 2 2 4 2 2 2 4 2 3" xfId="16352" xr:uid="{AF1E6956-193E-4ACF-B61C-CC2FA6BCDFBD}"/>
    <cellStyle name="Normal 10 3 2 2 4 2 2 2 4 3" xfId="16353" xr:uid="{04CA4488-A691-4A21-BF23-5A615C16F08B}"/>
    <cellStyle name="Normal 10 3 2 2 4 2 2 2 4 3 2" xfId="16354" xr:uid="{31D122BA-2D53-47CF-94EA-0B517D0C096F}"/>
    <cellStyle name="Normal 10 3 2 2 4 2 2 2 4 4" xfId="16355" xr:uid="{7F27FAAE-FB63-4921-8433-9D83B9C127E7}"/>
    <cellStyle name="Normal 10 3 2 2 4 2 2 2 5" xfId="16356" xr:uid="{30C978AE-B15C-422B-86AE-47A0458EA3A3}"/>
    <cellStyle name="Normal 10 3 2 2 4 2 2 2 5 2" xfId="16357" xr:uid="{01EFEC0A-6BC4-445E-8115-AD701A2468D0}"/>
    <cellStyle name="Normal 10 3 2 2 4 2 2 2 5 2 2" xfId="16358" xr:uid="{D6979BE8-EE7A-481E-88AE-08A39A21C87A}"/>
    <cellStyle name="Normal 10 3 2 2 4 2 2 2 5 3" xfId="16359" xr:uid="{18BE5A28-6750-4A67-8406-6418F982C9A7}"/>
    <cellStyle name="Normal 10 3 2 2 4 2 2 2 6" xfId="16360" xr:uid="{ED036A9E-C3A5-439E-B28F-A5CC22807E2E}"/>
    <cellStyle name="Normal 10 3 2 2 4 2 2 2 6 2" xfId="16361" xr:uid="{F79A1B0A-F058-4DAF-A40C-789A84578BFD}"/>
    <cellStyle name="Normal 10 3 2 2 4 2 2 2 7" xfId="16362" xr:uid="{98019BBC-9612-487A-B461-5B72300C64F5}"/>
    <cellStyle name="Normal 10 3 2 2 4 2 2 3" xfId="16363" xr:uid="{A6328446-0A8D-42D8-8B87-B1B1894DBBFF}"/>
    <cellStyle name="Normal 10 3 2 2 4 2 2 3 2" xfId="16364" xr:uid="{92B1ECCA-B08F-4E09-AAAF-359E6FB4C5DB}"/>
    <cellStyle name="Normal 10 3 2 2 4 2 2 3 2 2" xfId="16365" xr:uid="{B8424E51-6A3A-4F40-92D4-849D54CCF5DE}"/>
    <cellStyle name="Normal 10 3 2 2 4 2 2 3 2 2 2" xfId="16366" xr:uid="{3D26CF02-2278-4F99-8A87-D5BB5CE94EEB}"/>
    <cellStyle name="Normal 10 3 2 2 4 2 2 3 2 2 2 2" xfId="16367" xr:uid="{F1A4C91F-22E8-458F-8245-5740A717581F}"/>
    <cellStyle name="Normal 10 3 2 2 4 2 2 3 2 2 2 2 2" xfId="16368" xr:uid="{0D8FB86C-0984-4B82-9288-344DC0C0EC20}"/>
    <cellStyle name="Normal 10 3 2 2 4 2 2 3 2 2 2 3" xfId="16369" xr:uid="{779E1064-04CF-4602-93DE-402C99674D9F}"/>
    <cellStyle name="Normal 10 3 2 2 4 2 2 3 2 2 3" xfId="16370" xr:uid="{83599553-5577-4F0C-AFEB-F48CA2640BC9}"/>
    <cellStyle name="Normal 10 3 2 2 4 2 2 3 2 2 3 2" xfId="16371" xr:uid="{FDC49D08-70C7-438C-B9F4-B1EACDBE40DF}"/>
    <cellStyle name="Normal 10 3 2 2 4 2 2 3 2 2 4" xfId="16372" xr:uid="{82E3B9D1-9F41-46A4-AF1C-1B3885BB4E09}"/>
    <cellStyle name="Normal 10 3 2 2 4 2 2 3 2 3" xfId="16373" xr:uid="{B66D7D12-54A3-4B86-8914-E6F29D4ED92A}"/>
    <cellStyle name="Normal 10 3 2 2 4 2 2 3 2 3 2" xfId="16374" xr:uid="{9ECBE7C7-1AE1-42C1-8B18-40705EF2B20B}"/>
    <cellStyle name="Normal 10 3 2 2 4 2 2 3 2 3 2 2" xfId="16375" xr:uid="{08302C4F-6DAB-4917-AC14-D898C9B1725A}"/>
    <cellStyle name="Normal 10 3 2 2 4 2 2 3 2 3 3" xfId="16376" xr:uid="{47AFFBFC-6D18-4AB0-AA9F-C5196E6FD0DA}"/>
    <cellStyle name="Normal 10 3 2 2 4 2 2 3 2 4" xfId="16377" xr:uid="{1243D1BF-6DC6-4E96-8C69-545F47AEB2A1}"/>
    <cellStyle name="Normal 10 3 2 2 4 2 2 3 2 4 2" xfId="16378" xr:uid="{795B30CA-DF7E-4E0C-842C-FEF37C6E95CF}"/>
    <cellStyle name="Normal 10 3 2 2 4 2 2 3 2 5" xfId="16379" xr:uid="{E128A5EB-84F5-4DEA-81F2-4F007154592A}"/>
    <cellStyle name="Normal 10 3 2 2 4 2 2 3 3" xfId="16380" xr:uid="{CA1D74A5-8353-400E-B071-2C19D483A64D}"/>
    <cellStyle name="Normal 10 3 2 2 4 2 2 3 3 2" xfId="16381" xr:uid="{9385A0D2-D497-41B8-BE0A-87F39209BABF}"/>
    <cellStyle name="Normal 10 3 2 2 4 2 2 3 3 2 2" xfId="16382" xr:uid="{887C843B-13B9-4EC5-A2BC-B739F7005B63}"/>
    <cellStyle name="Normal 10 3 2 2 4 2 2 3 3 2 2 2" xfId="16383" xr:uid="{D0E197F5-B79D-4075-8EDB-6D98397121EF}"/>
    <cellStyle name="Normal 10 3 2 2 4 2 2 3 3 2 3" xfId="16384" xr:uid="{8844A3E6-3285-4D64-A36D-2EBF80BADEA7}"/>
    <cellStyle name="Normal 10 3 2 2 4 2 2 3 3 3" xfId="16385" xr:uid="{8849BD67-6457-4BFC-8684-1C1B58F8EA8A}"/>
    <cellStyle name="Normal 10 3 2 2 4 2 2 3 3 3 2" xfId="16386" xr:uid="{CF296AFF-5C13-4706-82A7-ACE3198C339E}"/>
    <cellStyle name="Normal 10 3 2 2 4 2 2 3 3 4" xfId="16387" xr:uid="{C3A44773-4438-45D0-83CB-F6D3BFA71A5A}"/>
    <cellStyle name="Normal 10 3 2 2 4 2 2 3 4" xfId="16388" xr:uid="{AC45D26C-F3EE-4FF0-BB98-5BB93910E89B}"/>
    <cellStyle name="Normal 10 3 2 2 4 2 2 3 4 2" xfId="16389" xr:uid="{7270304E-5184-455D-81E4-F557C3ACE1BC}"/>
    <cellStyle name="Normal 10 3 2 2 4 2 2 3 4 2 2" xfId="16390" xr:uid="{5D5310CB-51CB-407A-8314-01DCD5765092}"/>
    <cellStyle name="Normal 10 3 2 2 4 2 2 3 4 3" xfId="16391" xr:uid="{C66169BE-B4C4-4F24-BBE7-B763A9864F7F}"/>
    <cellStyle name="Normal 10 3 2 2 4 2 2 3 5" xfId="16392" xr:uid="{77ADABDC-5F91-482E-8A0D-7B4B502CE0EA}"/>
    <cellStyle name="Normal 10 3 2 2 4 2 2 3 5 2" xfId="16393" xr:uid="{FB5E53A2-1B0B-4E29-8636-52689B28021E}"/>
    <cellStyle name="Normal 10 3 2 2 4 2 2 3 6" xfId="16394" xr:uid="{0813039F-0A56-4076-8D52-0AD59F8F834E}"/>
    <cellStyle name="Normal 10 3 2 2 4 2 2 4" xfId="16395" xr:uid="{A646E559-D009-4B6B-BC23-5FBA716D2E7A}"/>
    <cellStyle name="Normal 10 3 2 2 4 2 2 4 2" xfId="16396" xr:uid="{70FA4823-FF7B-4AB6-A6E1-6610921512DA}"/>
    <cellStyle name="Normal 10 3 2 2 4 2 2 4 2 2" xfId="16397" xr:uid="{7B5F87B5-6413-49E7-B7D1-1AF0BE4135BA}"/>
    <cellStyle name="Normal 10 3 2 2 4 2 2 4 2 2 2" xfId="16398" xr:uid="{AED8E279-898B-4C4F-964D-B184CA676DF7}"/>
    <cellStyle name="Normal 10 3 2 2 4 2 2 4 2 2 2 2" xfId="16399" xr:uid="{D6E1C25C-8E04-4E01-A5D0-FCA641C34974}"/>
    <cellStyle name="Normal 10 3 2 2 4 2 2 4 2 2 3" xfId="16400" xr:uid="{D9F5BC6C-8EDF-4636-A986-0161BE891B70}"/>
    <cellStyle name="Normal 10 3 2 2 4 2 2 4 2 3" xfId="16401" xr:uid="{5E4BF045-F40F-4CD7-9FA6-CE3D80352121}"/>
    <cellStyle name="Normal 10 3 2 2 4 2 2 4 2 3 2" xfId="16402" xr:uid="{A0227589-C4D8-4D05-BCAE-173EB969EE53}"/>
    <cellStyle name="Normal 10 3 2 2 4 2 2 4 2 4" xfId="16403" xr:uid="{65100B2B-4178-43FA-A0B1-7A565C089AB6}"/>
    <cellStyle name="Normal 10 3 2 2 4 2 2 4 3" xfId="16404" xr:uid="{B29D01A1-CB59-492F-A3B4-54FDBA59F320}"/>
    <cellStyle name="Normal 10 3 2 2 4 2 2 4 3 2" xfId="16405" xr:uid="{AA05C6FE-321F-4223-9EAA-931C28318F1C}"/>
    <cellStyle name="Normal 10 3 2 2 4 2 2 4 3 2 2" xfId="16406" xr:uid="{1622C4C4-0E5C-4084-BD9A-3A11B8A9B4DB}"/>
    <cellStyle name="Normal 10 3 2 2 4 2 2 4 3 3" xfId="16407" xr:uid="{80FC33CD-4C31-40A2-874D-70506F5BDB82}"/>
    <cellStyle name="Normal 10 3 2 2 4 2 2 4 4" xfId="16408" xr:uid="{E6CE3F97-34ED-4EFF-A46A-7F90DA119BA4}"/>
    <cellStyle name="Normal 10 3 2 2 4 2 2 4 4 2" xfId="16409" xr:uid="{A051E61D-9D62-45E7-8864-88EADF11602D}"/>
    <cellStyle name="Normal 10 3 2 2 4 2 2 4 5" xfId="16410" xr:uid="{C19E03FE-88AC-4B40-BBFD-FDE913FF0A81}"/>
    <cellStyle name="Normal 10 3 2 2 4 2 2 5" xfId="16411" xr:uid="{7DFC795D-F548-44AE-9C7D-B2A8B648910B}"/>
    <cellStyle name="Normal 10 3 2 2 4 2 2 5 2" xfId="16412" xr:uid="{189B50FC-ABB7-41C2-A721-CDBAAA8F0730}"/>
    <cellStyle name="Normal 10 3 2 2 4 2 2 5 2 2" xfId="16413" xr:uid="{293C5523-56F6-4EB8-8803-EDFB9A648CA7}"/>
    <cellStyle name="Normal 10 3 2 2 4 2 2 5 2 2 2" xfId="16414" xr:uid="{311A557C-3959-445D-9C11-9E270684E154}"/>
    <cellStyle name="Normal 10 3 2 2 4 2 2 5 2 3" xfId="16415" xr:uid="{7EDB30FD-3785-49FF-8B30-E2D384414D67}"/>
    <cellStyle name="Normal 10 3 2 2 4 2 2 5 3" xfId="16416" xr:uid="{8D96439C-F3FB-4962-9308-13F0A9C8C5E6}"/>
    <cellStyle name="Normal 10 3 2 2 4 2 2 5 3 2" xfId="16417" xr:uid="{B9AE2CFE-B059-4724-AD55-1E9DB838617D}"/>
    <cellStyle name="Normal 10 3 2 2 4 2 2 5 4" xfId="16418" xr:uid="{8735C8B5-D538-40F7-B273-6D1E4DA4F689}"/>
    <cellStyle name="Normal 10 3 2 2 4 2 2 6" xfId="16419" xr:uid="{E0C15A4B-5536-4C30-9403-5F24CA4945C2}"/>
    <cellStyle name="Normal 10 3 2 2 4 2 2 6 2" xfId="16420" xr:uid="{9E3D9C07-57D5-4F80-AEBC-EEDE7AF822F3}"/>
    <cellStyle name="Normal 10 3 2 2 4 2 2 6 2 2" xfId="16421" xr:uid="{238C3E9B-2C5C-436B-9EFB-D87EDF614BD8}"/>
    <cellStyle name="Normal 10 3 2 2 4 2 2 6 3" xfId="16422" xr:uid="{3F96AA47-3AAD-4763-9047-56CE7ACDD2FD}"/>
    <cellStyle name="Normal 10 3 2 2 4 2 2 7" xfId="16423" xr:uid="{60AABD74-6F68-4C70-8EBA-73E199D823B8}"/>
    <cellStyle name="Normal 10 3 2 2 4 2 2 7 2" xfId="16424" xr:uid="{BCA1EFFD-BC5C-44CB-921A-2150EFD37C1B}"/>
    <cellStyle name="Normal 10 3 2 2 4 2 2 8" xfId="16425" xr:uid="{C67555F8-E466-46EB-AFC0-673BFC120E7D}"/>
    <cellStyle name="Normal 10 3 2 2 4 2 3" xfId="16426" xr:uid="{CB926357-ECAF-44F4-8044-807377584350}"/>
    <cellStyle name="Normal 10 3 2 2 4 2 3 2" xfId="16427" xr:uid="{5DBDE24B-CCF6-4603-98DA-740FE4B04A6F}"/>
    <cellStyle name="Normal 10 3 2 2 4 2 3 2 2" xfId="16428" xr:uid="{8500A9AE-ABBD-4992-83C5-07338F21D9A1}"/>
    <cellStyle name="Normal 10 3 2 2 4 2 3 2 2 2" xfId="16429" xr:uid="{B1E44C5C-4A1D-4138-A20A-0ADF38558A98}"/>
    <cellStyle name="Normal 10 3 2 2 4 2 3 2 2 2 2" xfId="16430" xr:uid="{DCA6C94E-5B00-40E9-849F-ADE1B735B5C3}"/>
    <cellStyle name="Normal 10 3 2 2 4 2 3 2 2 2 2 2" xfId="16431" xr:uid="{BFCCE9D2-454A-4FAA-BB57-418352CBF752}"/>
    <cellStyle name="Normal 10 3 2 2 4 2 3 2 2 2 2 2 2" xfId="16432" xr:uid="{67017FEF-B98E-46EC-8A0B-82F4DF3EAEE2}"/>
    <cellStyle name="Normal 10 3 2 2 4 2 3 2 2 2 2 3" xfId="16433" xr:uid="{43A4CA0D-7CCB-438C-9F59-7C48A7D8ABDB}"/>
    <cellStyle name="Normal 10 3 2 2 4 2 3 2 2 2 3" xfId="16434" xr:uid="{940F5B0D-A3FC-488F-9C93-943FDA8EA1F6}"/>
    <cellStyle name="Normal 10 3 2 2 4 2 3 2 2 2 3 2" xfId="16435" xr:uid="{1D5CE932-CD02-45E7-B05A-E5A1743A560E}"/>
    <cellStyle name="Normal 10 3 2 2 4 2 3 2 2 2 4" xfId="16436" xr:uid="{82354040-0263-4306-89DD-F0F907CF6D90}"/>
    <cellStyle name="Normal 10 3 2 2 4 2 3 2 2 3" xfId="16437" xr:uid="{06887A63-9F4E-4144-90E4-F1E112E42346}"/>
    <cellStyle name="Normal 10 3 2 2 4 2 3 2 2 3 2" xfId="16438" xr:uid="{7CDCD001-9CF0-4149-AD86-9B934CBF87E8}"/>
    <cellStyle name="Normal 10 3 2 2 4 2 3 2 2 3 2 2" xfId="16439" xr:uid="{5A535DE1-62F9-4156-9DBB-D3DD506E45E4}"/>
    <cellStyle name="Normal 10 3 2 2 4 2 3 2 2 3 3" xfId="16440" xr:uid="{01A88317-7F70-4A30-898B-921B79E2B2D9}"/>
    <cellStyle name="Normal 10 3 2 2 4 2 3 2 2 4" xfId="16441" xr:uid="{03EE8808-389B-4E43-AEA8-570F7F106901}"/>
    <cellStyle name="Normal 10 3 2 2 4 2 3 2 2 4 2" xfId="16442" xr:uid="{5CECF9FC-3590-440C-9EA1-F30D0E9106E2}"/>
    <cellStyle name="Normal 10 3 2 2 4 2 3 2 2 5" xfId="16443" xr:uid="{50388F55-DA42-4CF0-B864-A52C255F48CB}"/>
    <cellStyle name="Normal 10 3 2 2 4 2 3 2 3" xfId="16444" xr:uid="{40FB2D9E-5AF2-443F-B523-C4B8C8B3E02F}"/>
    <cellStyle name="Normal 10 3 2 2 4 2 3 2 3 2" xfId="16445" xr:uid="{0E4102D7-3AF9-449D-B16B-AB0E7CB1F9E1}"/>
    <cellStyle name="Normal 10 3 2 2 4 2 3 2 3 2 2" xfId="16446" xr:uid="{D3D3DB06-FF0F-4EFA-B39F-C94EBC3225E9}"/>
    <cellStyle name="Normal 10 3 2 2 4 2 3 2 3 2 2 2" xfId="16447" xr:uid="{25C05B78-32F2-4C62-89E6-DFC7461E71F5}"/>
    <cellStyle name="Normal 10 3 2 2 4 2 3 2 3 2 3" xfId="16448" xr:uid="{BFEF3B1C-96DA-4C98-BEFF-E5645FD60BDC}"/>
    <cellStyle name="Normal 10 3 2 2 4 2 3 2 3 3" xfId="16449" xr:uid="{233F7DDB-D0F7-4440-916B-92B8BA6D1A58}"/>
    <cellStyle name="Normal 10 3 2 2 4 2 3 2 3 3 2" xfId="16450" xr:uid="{61768F4C-A5BE-44C7-A509-59C873C49553}"/>
    <cellStyle name="Normal 10 3 2 2 4 2 3 2 3 4" xfId="16451" xr:uid="{DAE6EE05-8C53-44F8-BE00-B9C3F05E990F}"/>
    <cellStyle name="Normal 10 3 2 2 4 2 3 2 4" xfId="16452" xr:uid="{6FB923DB-4A55-41AA-969D-28F2E4790312}"/>
    <cellStyle name="Normal 10 3 2 2 4 2 3 2 4 2" xfId="16453" xr:uid="{BD2CDD1F-8C86-4E3F-80AF-221822B87BA9}"/>
    <cellStyle name="Normal 10 3 2 2 4 2 3 2 4 2 2" xfId="16454" xr:uid="{BA7CC9EF-46E9-497D-89D7-241BC1AF6136}"/>
    <cellStyle name="Normal 10 3 2 2 4 2 3 2 4 3" xfId="16455" xr:uid="{7722D8A4-879B-45A6-ABF0-AF8F4B62DC52}"/>
    <cellStyle name="Normal 10 3 2 2 4 2 3 2 5" xfId="16456" xr:uid="{CEB6A210-539F-4272-85E8-0A3E05933ED5}"/>
    <cellStyle name="Normal 10 3 2 2 4 2 3 2 5 2" xfId="16457" xr:uid="{44CEF01F-CBA7-422C-AAD6-D0DE0CFBB7ED}"/>
    <cellStyle name="Normal 10 3 2 2 4 2 3 2 6" xfId="16458" xr:uid="{74705C73-5087-47E5-84E3-6A7B30815952}"/>
    <cellStyle name="Normal 10 3 2 2 4 2 3 3" xfId="16459" xr:uid="{C6FB8098-8ECD-451C-8683-EA6FE84A16FE}"/>
    <cellStyle name="Normal 10 3 2 2 4 2 3 3 2" xfId="16460" xr:uid="{3E5C04DF-408A-4C76-8195-A2202903CB16}"/>
    <cellStyle name="Normal 10 3 2 2 4 2 3 3 2 2" xfId="16461" xr:uid="{010A5991-804C-4C41-8230-9ED0C70DAE2C}"/>
    <cellStyle name="Normal 10 3 2 2 4 2 3 3 2 2 2" xfId="16462" xr:uid="{AFDFE202-F0A1-4C14-A649-AED66D4ED338}"/>
    <cellStyle name="Normal 10 3 2 2 4 2 3 3 2 2 2 2" xfId="16463" xr:uid="{9CB0321E-678D-4451-8E01-669BC17938C0}"/>
    <cellStyle name="Normal 10 3 2 2 4 2 3 3 2 2 3" xfId="16464" xr:uid="{F373DD73-D942-48E9-B1ED-41BC3FB4DCA8}"/>
    <cellStyle name="Normal 10 3 2 2 4 2 3 3 2 3" xfId="16465" xr:uid="{37F42651-CEB8-4C60-842F-6803C9D6D79F}"/>
    <cellStyle name="Normal 10 3 2 2 4 2 3 3 2 3 2" xfId="16466" xr:uid="{B04EB4EC-5811-46B8-869D-4A312F8BE337}"/>
    <cellStyle name="Normal 10 3 2 2 4 2 3 3 2 4" xfId="16467" xr:uid="{C57B0292-F3B6-463D-903B-095B49449E13}"/>
    <cellStyle name="Normal 10 3 2 2 4 2 3 3 3" xfId="16468" xr:uid="{8D5A6512-86A0-434D-A9F6-1426EFF37042}"/>
    <cellStyle name="Normal 10 3 2 2 4 2 3 3 3 2" xfId="16469" xr:uid="{4771B1A7-B09F-4D7C-B78A-8802C46B630B}"/>
    <cellStyle name="Normal 10 3 2 2 4 2 3 3 3 2 2" xfId="16470" xr:uid="{CE4CC950-ACC6-4FE5-B33F-502232C61DAF}"/>
    <cellStyle name="Normal 10 3 2 2 4 2 3 3 3 3" xfId="16471" xr:uid="{814E81FB-82EE-42AE-AF47-0DB89951A24F}"/>
    <cellStyle name="Normal 10 3 2 2 4 2 3 3 4" xfId="16472" xr:uid="{A7B37470-4A20-48E7-9033-0B7DEE9E7F5E}"/>
    <cellStyle name="Normal 10 3 2 2 4 2 3 3 4 2" xfId="16473" xr:uid="{39491123-50C9-45E0-BD4A-5A620126D46C}"/>
    <cellStyle name="Normal 10 3 2 2 4 2 3 3 5" xfId="16474" xr:uid="{2A105630-0B88-4C88-B324-23341E6BA2A0}"/>
    <cellStyle name="Normal 10 3 2 2 4 2 3 4" xfId="16475" xr:uid="{99A9866E-00D5-4F0F-BA5B-0923771E0F60}"/>
    <cellStyle name="Normal 10 3 2 2 4 2 3 4 2" xfId="16476" xr:uid="{D5C11132-2603-4606-979C-A044564C5DA2}"/>
    <cellStyle name="Normal 10 3 2 2 4 2 3 4 2 2" xfId="16477" xr:uid="{7EC50446-FE19-4CBB-9BEE-23B8E7FEE710}"/>
    <cellStyle name="Normal 10 3 2 2 4 2 3 4 2 2 2" xfId="16478" xr:uid="{8FF23577-2CE9-4A5E-8147-C2CF0B313D61}"/>
    <cellStyle name="Normal 10 3 2 2 4 2 3 4 2 3" xfId="16479" xr:uid="{0D1982ED-EA38-4E72-A386-D06692507F15}"/>
    <cellStyle name="Normal 10 3 2 2 4 2 3 4 3" xfId="16480" xr:uid="{EA0D7237-3E5A-4F3C-BAF2-DA84EB810AEB}"/>
    <cellStyle name="Normal 10 3 2 2 4 2 3 4 3 2" xfId="16481" xr:uid="{28ECEE73-0DAB-44D4-A446-0D22E82C7624}"/>
    <cellStyle name="Normal 10 3 2 2 4 2 3 4 4" xfId="16482" xr:uid="{026AD92F-DDA3-4B74-A1C3-722CF424BFA9}"/>
    <cellStyle name="Normal 10 3 2 2 4 2 3 5" xfId="16483" xr:uid="{B8E27AB1-29B0-4AF8-983A-ABA00F6BA350}"/>
    <cellStyle name="Normal 10 3 2 2 4 2 3 5 2" xfId="16484" xr:uid="{BC373D1A-37C2-4B73-94BC-D56AB9261FC6}"/>
    <cellStyle name="Normal 10 3 2 2 4 2 3 5 2 2" xfId="16485" xr:uid="{3ED45A23-C428-405F-B5A2-57B7A4673A2C}"/>
    <cellStyle name="Normal 10 3 2 2 4 2 3 5 3" xfId="16486" xr:uid="{0D5451BF-D838-4FD0-81C4-6E0B9177EC18}"/>
    <cellStyle name="Normal 10 3 2 2 4 2 3 6" xfId="16487" xr:uid="{7916A00E-B8EA-430C-B0FB-464213CF13A2}"/>
    <cellStyle name="Normal 10 3 2 2 4 2 3 6 2" xfId="16488" xr:uid="{3A868A2F-FBF7-4394-95AC-15B5210257CA}"/>
    <cellStyle name="Normal 10 3 2 2 4 2 3 7" xfId="16489" xr:uid="{71D28384-AD87-4D92-A7C1-376EC3CD9460}"/>
    <cellStyle name="Normal 10 3 2 2 4 2 4" xfId="16490" xr:uid="{9F446154-71FF-4FBD-8A28-1B966C4E44E4}"/>
    <cellStyle name="Normal 10 3 2 2 4 2 4 2" xfId="16491" xr:uid="{CDB5D545-E031-4A73-87ED-8474D223093F}"/>
    <cellStyle name="Normal 10 3 2 2 4 2 4 2 2" xfId="16492" xr:uid="{3295EC95-4834-4505-A0E7-91D64C00F945}"/>
    <cellStyle name="Normal 10 3 2 2 4 2 4 2 2 2" xfId="16493" xr:uid="{7411A9DC-92C9-4615-AF3E-305B97CD6767}"/>
    <cellStyle name="Normal 10 3 2 2 4 2 4 2 2 2 2" xfId="16494" xr:uid="{54C241B6-EFC3-4219-9A81-AC2BD64D1B04}"/>
    <cellStyle name="Normal 10 3 2 2 4 2 4 2 2 2 2 2" xfId="16495" xr:uid="{515CE455-2C0D-4C79-B86F-DEA1D264884F}"/>
    <cellStyle name="Normal 10 3 2 2 4 2 4 2 2 2 3" xfId="16496" xr:uid="{56A977B1-A701-4ECC-839F-55F57FB00EF7}"/>
    <cellStyle name="Normal 10 3 2 2 4 2 4 2 2 3" xfId="16497" xr:uid="{0490AE1D-2A37-42FB-AE05-A07969EFAB98}"/>
    <cellStyle name="Normal 10 3 2 2 4 2 4 2 2 3 2" xfId="16498" xr:uid="{B197822B-5582-4052-8E64-0ED561B48134}"/>
    <cellStyle name="Normal 10 3 2 2 4 2 4 2 2 4" xfId="16499" xr:uid="{3C3CE0C9-DAB5-46A2-930E-FCE730C1086D}"/>
    <cellStyle name="Normal 10 3 2 2 4 2 4 2 3" xfId="16500" xr:uid="{323735A3-E0BF-4F9C-A6D9-78EEB4677AFA}"/>
    <cellStyle name="Normal 10 3 2 2 4 2 4 2 3 2" xfId="16501" xr:uid="{4A39B7FB-1850-4B3D-ACD7-E19CD010A99C}"/>
    <cellStyle name="Normal 10 3 2 2 4 2 4 2 3 2 2" xfId="16502" xr:uid="{A49363A2-634E-44AA-A475-8FA0D8D1DA24}"/>
    <cellStyle name="Normal 10 3 2 2 4 2 4 2 3 3" xfId="16503" xr:uid="{5CB69F2F-17F3-475C-B5A7-AE16F9FE6C9B}"/>
    <cellStyle name="Normal 10 3 2 2 4 2 4 2 4" xfId="16504" xr:uid="{1575C283-EFCC-40D6-A975-4C0FDCB3F272}"/>
    <cellStyle name="Normal 10 3 2 2 4 2 4 2 4 2" xfId="16505" xr:uid="{6CC77399-87CA-4B92-BF71-39BFC7F05A0D}"/>
    <cellStyle name="Normal 10 3 2 2 4 2 4 2 5" xfId="16506" xr:uid="{BA8485AB-A91D-438E-B1E6-A3756EC3F3CA}"/>
    <cellStyle name="Normal 10 3 2 2 4 2 4 3" xfId="16507" xr:uid="{6A0D6673-28F9-4C85-A870-45154507E7BE}"/>
    <cellStyle name="Normal 10 3 2 2 4 2 4 3 2" xfId="16508" xr:uid="{0FAD9961-18A7-4A59-A335-3E1855AD5D9C}"/>
    <cellStyle name="Normal 10 3 2 2 4 2 4 3 2 2" xfId="16509" xr:uid="{D7BF0D9F-D881-42A4-9156-5DC1E8CE96AF}"/>
    <cellStyle name="Normal 10 3 2 2 4 2 4 3 2 2 2" xfId="16510" xr:uid="{E679EAC0-1EBF-44F8-92D5-BA5B1AB4C404}"/>
    <cellStyle name="Normal 10 3 2 2 4 2 4 3 2 3" xfId="16511" xr:uid="{638D6114-205F-4794-A21A-C057D90825DA}"/>
    <cellStyle name="Normal 10 3 2 2 4 2 4 3 3" xfId="16512" xr:uid="{6A1F38A6-5AFE-4F7E-B330-00276AD8E1C3}"/>
    <cellStyle name="Normal 10 3 2 2 4 2 4 3 3 2" xfId="16513" xr:uid="{AC0DA07D-97E6-4A44-825B-E840A5AED982}"/>
    <cellStyle name="Normal 10 3 2 2 4 2 4 3 4" xfId="16514" xr:uid="{44321120-43EE-4E7C-88EE-967A0BE84AD6}"/>
    <cellStyle name="Normal 10 3 2 2 4 2 4 4" xfId="16515" xr:uid="{760F2DC4-7393-46DB-836B-829C8F759228}"/>
    <cellStyle name="Normal 10 3 2 2 4 2 4 4 2" xfId="16516" xr:uid="{BC11C57D-BD8D-4755-B22A-493432464FFB}"/>
    <cellStyle name="Normal 10 3 2 2 4 2 4 4 2 2" xfId="16517" xr:uid="{B4B48CD0-8145-4ABE-99C6-6FACCAB98EC5}"/>
    <cellStyle name="Normal 10 3 2 2 4 2 4 4 3" xfId="16518" xr:uid="{A1D12B5C-C71D-4C16-B1CB-073DD9B9504D}"/>
    <cellStyle name="Normal 10 3 2 2 4 2 4 5" xfId="16519" xr:uid="{8401AEF0-1A6F-46D9-9B14-3410E1AEBBA1}"/>
    <cellStyle name="Normal 10 3 2 2 4 2 4 5 2" xfId="16520" xr:uid="{E099C376-7AAE-4254-BA31-0B2869C42E67}"/>
    <cellStyle name="Normal 10 3 2 2 4 2 4 6" xfId="16521" xr:uid="{2EEF5795-F89A-43B9-8BA3-02BC6C196058}"/>
    <cellStyle name="Normal 10 3 2 2 4 2 5" xfId="16522" xr:uid="{12835242-7D24-4BAB-81DD-382D59855EDB}"/>
    <cellStyle name="Normal 10 3 2 2 4 2 5 2" xfId="16523" xr:uid="{2C14B404-9B1D-4CAB-B612-11023B413F13}"/>
    <cellStyle name="Normal 10 3 2 2 4 2 5 2 2" xfId="16524" xr:uid="{A783B681-A68E-4CE5-9FFD-6887D235C83A}"/>
    <cellStyle name="Normal 10 3 2 2 4 2 5 2 2 2" xfId="16525" xr:uid="{014F75A4-9127-405F-9D1C-182E637974C9}"/>
    <cellStyle name="Normal 10 3 2 2 4 2 5 2 2 2 2" xfId="16526" xr:uid="{3C1395B6-CC11-49B1-A8DF-C14A08C3116E}"/>
    <cellStyle name="Normal 10 3 2 2 4 2 5 2 2 3" xfId="16527" xr:uid="{C2A2129E-B3C0-417A-83F3-DE1C10439A15}"/>
    <cellStyle name="Normal 10 3 2 2 4 2 5 2 3" xfId="16528" xr:uid="{126C6A2D-362E-47C9-8170-0DC442321351}"/>
    <cellStyle name="Normal 10 3 2 2 4 2 5 2 3 2" xfId="16529" xr:uid="{BADCFD6C-1262-4394-845F-5D43DCB69F27}"/>
    <cellStyle name="Normal 10 3 2 2 4 2 5 2 4" xfId="16530" xr:uid="{56C66CE9-340D-47C6-8492-D09DB3612430}"/>
    <cellStyle name="Normal 10 3 2 2 4 2 5 3" xfId="16531" xr:uid="{1348647E-4B8C-43F5-AB2D-2F0579608233}"/>
    <cellStyle name="Normal 10 3 2 2 4 2 5 3 2" xfId="16532" xr:uid="{32FBD88B-5313-4AED-9B3F-6585544AACA5}"/>
    <cellStyle name="Normal 10 3 2 2 4 2 5 3 2 2" xfId="16533" xr:uid="{50786111-7337-460F-A090-5AD3047C3341}"/>
    <cellStyle name="Normal 10 3 2 2 4 2 5 3 3" xfId="16534" xr:uid="{94CC4408-1810-42FE-A818-280949579742}"/>
    <cellStyle name="Normal 10 3 2 2 4 2 5 4" xfId="16535" xr:uid="{E571D06B-1A98-4DD6-A913-FAA8DCFE38EA}"/>
    <cellStyle name="Normal 10 3 2 2 4 2 5 4 2" xfId="16536" xr:uid="{0FE963A2-DB99-43CE-B9E4-02E91CFB483C}"/>
    <cellStyle name="Normal 10 3 2 2 4 2 5 5" xfId="16537" xr:uid="{C82359B4-8770-4CE7-BA1F-975CE2C8205F}"/>
    <cellStyle name="Normal 10 3 2 2 4 2 6" xfId="16538" xr:uid="{EC1754E7-C159-45D6-884A-6E68D10A24DB}"/>
    <cellStyle name="Normal 10 3 2 2 4 2 6 2" xfId="16539" xr:uid="{E20BBCE1-FB58-4F17-852D-D1E8756C763C}"/>
    <cellStyle name="Normal 10 3 2 2 4 2 6 2 2" xfId="16540" xr:uid="{2BE11B0B-5AB7-4B8C-A01F-93723C169857}"/>
    <cellStyle name="Normal 10 3 2 2 4 2 6 2 2 2" xfId="16541" xr:uid="{120BD214-6DA8-42D6-A13A-5452303E5349}"/>
    <cellStyle name="Normal 10 3 2 2 4 2 6 2 3" xfId="16542" xr:uid="{915EB0C4-B923-4967-B10B-95B871C47131}"/>
    <cellStyle name="Normal 10 3 2 2 4 2 6 3" xfId="16543" xr:uid="{74AE0E51-E2E9-4508-B866-FA177B4D855B}"/>
    <cellStyle name="Normal 10 3 2 2 4 2 6 3 2" xfId="16544" xr:uid="{35468C84-12B7-443A-9990-069365B764C0}"/>
    <cellStyle name="Normal 10 3 2 2 4 2 6 4" xfId="16545" xr:uid="{FCC8D9EE-A61B-489F-A48F-3F87D38BBD3C}"/>
    <cellStyle name="Normal 10 3 2 2 4 2 7" xfId="16546" xr:uid="{2C980262-3B73-45EC-881A-14BE099BC883}"/>
    <cellStyle name="Normal 10 3 2 2 4 2 7 2" xfId="16547" xr:uid="{E867501B-2199-48F8-AED1-0B6D91689859}"/>
    <cellStyle name="Normal 10 3 2 2 4 2 7 2 2" xfId="16548" xr:uid="{C7A19C13-2168-4A8A-A03E-4E726EB60FA7}"/>
    <cellStyle name="Normal 10 3 2 2 4 2 7 3" xfId="16549" xr:uid="{E1987EBB-DAB0-4C8E-834B-B597CFC5F476}"/>
    <cellStyle name="Normal 10 3 2 2 4 2 8" xfId="16550" xr:uid="{1244CBAC-F18C-408D-9CF2-DA5C06F6CD2A}"/>
    <cellStyle name="Normal 10 3 2 2 4 2 8 2" xfId="16551" xr:uid="{2281BF01-FBFD-48A9-A4DE-6043383DAF89}"/>
    <cellStyle name="Normal 10 3 2 2 4 2 9" xfId="16552" xr:uid="{02E47167-9C94-40DE-B423-44DB21D8B2C4}"/>
    <cellStyle name="Normal 10 3 2 2 4 3" xfId="498" xr:uid="{159D8DD8-E096-4587-9345-92CB7248261F}"/>
    <cellStyle name="Normal 10 3 2 2 4 3 2" xfId="16554" xr:uid="{FF085076-FDF0-416F-BA91-F5AF406DC1E6}"/>
    <cellStyle name="Normal 10 3 2 2 4 3 2 2" xfId="16555" xr:uid="{E743ABB8-1AE1-4F30-970A-965E5BBF84A3}"/>
    <cellStyle name="Normal 10 3 2 2 4 3 2 2 2" xfId="16556" xr:uid="{2E27B494-1CCB-4A61-B9C8-460296FFA594}"/>
    <cellStyle name="Normal 10 3 2 2 4 3 2 2 2 2" xfId="16557" xr:uid="{954D5060-2527-4FF3-99A2-11C132BF97F0}"/>
    <cellStyle name="Normal 10 3 2 2 4 3 2 2 2 2 2" xfId="16558" xr:uid="{139AACF1-2393-43F8-B269-14AFC545B7ED}"/>
    <cellStyle name="Normal 10 3 2 2 4 3 2 2 2 2 2 2" xfId="16559" xr:uid="{95FC78CD-17C9-4D70-A75E-2C567318C419}"/>
    <cellStyle name="Normal 10 3 2 2 4 3 2 2 2 2 2 2 2" xfId="16560" xr:uid="{C24CF523-D204-4645-9DD8-102026CFFCC7}"/>
    <cellStyle name="Normal 10 3 2 2 4 3 2 2 2 2 2 3" xfId="16561" xr:uid="{7F4FFAFB-886D-4093-9323-E8B48F1AE685}"/>
    <cellStyle name="Normal 10 3 2 2 4 3 2 2 2 2 3" xfId="16562" xr:uid="{95CA329F-DEC3-4AE4-B0D0-4DB6A33690E1}"/>
    <cellStyle name="Normal 10 3 2 2 4 3 2 2 2 2 3 2" xfId="16563" xr:uid="{3CA34378-DE78-40C0-862C-17DCE292C7DA}"/>
    <cellStyle name="Normal 10 3 2 2 4 3 2 2 2 2 4" xfId="16564" xr:uid="{567FB69A-5E62-48F9-8431-B7FA574039A9}"/>
    <cellStyle name="Normal 10 3 2 2 4 3 2 2 2 3" xfId="16565" xr:uid="{BBD62D5D-BBEE-4A13-8466-A74B65A33A1C}"/>
    <cellStyle name="Normal 10 3 2 2 4 3 2 2 2 3 2" xfId="16566" xr:uid="{D95912E8-4008-476C-A59F-DE8F9CCCD6AB}"/>
    <cellStyle name="Normal 10 3 2 2 4 3 2 2 2 3 2 2" xfId="16567" xr:uid="{704E2594-6DCF-4D9A-BDE6-D1F920354875}"/>
    <cellStyle name="Normal 10 3 2 2 4 3 2 2 2 3 3" xfId="16568" xr:uid="{B853C511-B8AD-489E-AB3F-A039F2871F51}"/>
    <cellStyle name="Normal 10 3 2 2 4 3 2 2 2 4" xfId="16569" xr:uid="{82B3F8D0-23EB-4601-AB3A-09B6F56037E1}"/>
    <cellStyle name="Normal 10 3 2 2 4 3 2 2 2 4 2" xfId="16570" xr:uid="{095F9059-4C2D-401E-A252-EA4D487D3838}"/>
    <cellStyle name="Normal 10 3 2 2 4 3 2 2 2 5" xfId="16571" xr:uid="{09B0861A-5ECE-4984-9FD5-5772A7E49C1A}"/>
    <cellStyle name="Normal 10 3 2 2 4 3 2 2 3" xfId="16572" xr:uid="{2CC405AC-F4F2-4B9B-B0BD-F2ABFC44F60B}"/>
    <cellStyle name="Normal 10 3 2 2 4 3 2 2 3 2" xfId="16573" xr:uid="{CC9A5DE3-39F8-41EE-82B1-32B1912B5B73}"/>
    <cellStyle name="Normal 10 3 2 2 4 3 2 2 3 2 2" xfId="16574" xr:uid="{FCE21DEC-D52E-4FF7-9CB4-93B029335443}"/>
    <cellStyle name="Normal 10 3 2 2 4 3 2 2 3 2 2 2" xfId="16575" xr:uid="{7EBB8049-D722-478E-9221-C7D5814E4764}"/>
    <cellStyle name="Normal 10 3 2 2 4 3 2 2 3 2 3" xfId="16576" xr:uid="{A1E4DA85-A2A3-484C-B45B-86DD197621DA}"/>
    <cellStyle name="Normal 10 3 2 2 4 3 2 2 3 3" xfId="16577" xr:uid="{A72A7BE7-E641-4E2B-B5E1-C82B66AFBB2E}"/>
    <cellStyle name="Normal 10 3 2 2 4 3 2 2 3 3 2" xfId="16578" xr:uid="{CB0DDCFE-8E2A-4E3F-BA86-028B8577BD13}"/>
    <cellStyle name="Normal 10 3 2 2 4 3 2 2 3 4" xfId="16579" xr:uid="{932902A2-A3AC-47AF-B490-031E4A1BD18D}"/>
    <cellStyle name="Normal 10 3 2 2 4 3 2 2 4" xfId="16580" xr:uid="{36845511-6509-4DB0-B741-7EAB4779D7F4}"/>
    <cellStyle name="Normal 10 3 2 2 4 3 2 2 4 2" xfId="16581" xr:uid="{987151F4-294F-45E4-A5EC-FC6D0B434C8A}"/>
    <cellStyle name="Normal 10 3 2 2 4 3 2 2 4 2 2" xfId="16582" xr:uid="{A5A93922-1633-409B-B33E-7E4F3D66D5AE}"/>
    <cellStyle name="Normal 10 3 2 2 4 3 2 2 4 3" xfId="16583" xr:uid="{51ED91DF-D5A8-433A-9382-F38C9B768991}"/>
    <cellStyle name="Normal 10 3 2 2 4 3 2 2 5" xfId="16584" xr:uid="{57BB7646-202E-407F-A786-0FEEF76D008E}"/>
    <cellStyle name="Normal 10 3 2 2 4 3 2 2 5 2" xfId="16585" xr:uid="{F900A071-680A-4799-A1ED-695F8572130A}"/>
    <cellStyle name="Normal 10 3 2 2 4 3 2 2 6" xfId="16586" xr:uid="{F4704BBF-CC4C-499C-BE68-981BCD80DF8E}"/>
    <cellStyle name="Normal 10 3 2 2 4 3 2 3" xfId="16587" xr:uid="{63F72D0B-5A03-4047-80A6-CABA6408E31E}"/>
    <cellStyle name="Normal 10 3 2 2 4 3 2 3 2" xfId="16588" xr:uid="{BF98B9F6-4FE0-4327-A7E7-566BF6BD3B0E}"/>
    <cellStyle name="Normal 10 3 2 2 4 3 2 3 2 2" xfId="16589" xr:uid="{898127FD-D3EF-4703-9083-F359AE37329B}"/>
    <cellStyle name="Normal 10 3 2 2 4 3 2 3 2 2 2" xfId="16590" xr:uid="{7656C2DF-67D1-49D2-924E-F7C6DACD876C}"/>
    <cellStyle name="Normal 10 3 2 2 4 3 2 3 2 2 2 2" xfId="16591" xr:uid="{CFF3279A-7820-404A-9C76-D2A4B1C9E83C}"/>
    <cellStyle name="Normal 10 3 2 2 4 3 2 3 2 2 3" xfId="16592" xr:uid="{12DDCBB8-2B90-45C2-BDAA-272AE0372B8B}"/>
    <cellStyle name="Normal 10 3 2 2 4 3 2 3 2 3" xfId="16593" xr:uid="{02DAB708-98F1-4B3A-A967-5B744CF68F81}"/>
    <cellStyle name="Normal 10 3 2 2 4 3 2 3 2 3 2" xfId="16594" xr:uid="{6511D960-7708-4383-B30B-67E9E3BB3E65}"/>
    <cellStyle name="Normal 10 3 2 2 4 3 2 3 2 4" xfId="16595" xr:uid="{00B97B22-5352-4302-8BF8-6BEA424F8F58}"/>
    <cellStyle name="Normal 10 3 2 2 4 3 2 3 3" xfId="16596" xr:uid="{3C98A8E3-260E-4E8B-91B3-081A9B6DE446}"/>
    <cellStyle name="Normal 10 3 2 2 4 3 2 3 3 2" xfId="16597" xr:uid="{250FA156-469C-4A55-8BF5-DDD62B8CEE05}"/>
    <cellStyle name="Normal 10 3 2 2 4 3 2 3 3 2 2" xfId="16598" xr:uid="{8A070B9C-884A-455D-BD70-BBD9AC7E6D30}"/>
    <cellStyle name="Normal 10 3 2 2 4 3 2 3 3 3" xfId="16599" xr:uid="{33A0D416-0465-4A1B-9939-F515E6D182B9}"/>
    <cellStyle name="Normal 10 3 2 2 4 3 2 3 4" xfId="16600" xr:uid="{B3368BDF-DF95-4F48-A517-E38FD9E17C21}"/>
    <cellStyle name="Normal 10 3 2 2 4 3 2 3 4 2" xfId="16601" xr:uid="{B0FB9EE9-FA05-4A24-A954-9C89F4D23961}"/>
    <cellStyle name="Normal 10 3 2 2 4 3 2 3 5" xfId="16602" xr:uid="{75684185-6634-445D-8426-AA7BB2FA2FB6}"/>
    <cellStyle name="Normal 10 3 2 2 4 3 2 4" xfId="16603" xr:uid="{636BB945-A9C4-4B45-9063-ADEDAF81DB3E}"/>
    <cellStyle name="Normal 10 3 2 2 4 3 2 4 2" xfId="16604" xr:uid="{62C0BF0F-A93C-40DF-8EB6-00332A055599}"/>
    <cellStyle name="Normal 10 3 2 2 4 3 2 4 2 2" xfId="16605" xr:uid="{FDFE3C6D-6BEC-478B-ACAB-74CDEC750B5C}"/>
    <cellStyle name="Normal 10 3 2 2 4 3 2 4 2 2 2" xfId="16606" xr:uid="{B4B35628-EAEC-459A-97B2-BB029E6FFCD8}"/>
    <cellStyle name="Normal 10 3 2 2 4 3 2 4 2 3" xfId="16607" xr:uid="{989A9E8B-0ED4-4ED1-BBAC-9C36FAC46F87}"/>
    <cellStyle name="Normal 10 3 2 2 4 3 2 4 3" xfId="16608" xr:uid="{DBC7EAC6-EE5C-409C-87EC-99DD6ED70875}"/>
    <cellStyle name="Normal 10 3 2 2 4 3 2 4 3 2" xfId="16609" xr:uid="{7C5501C6-894F-4E15-A40E-A407868AA170}"/>
    <cellStyle name="Normal 10 3 2 2 4 3 2 4 4" xfId="16610" xr:uid="{91C190A5-D197-4965-A731-7B6E3092C2AB}"/>
    <cellStyle name="Normal 10 3 2 2 4 3 2 5" xfId="16611" xr:uid="{6E9667E8-4101-43ED-A83D-DC74457C42DD}"/>
    <cellStyle name="Normal 10 3 2 2 4 3 2 5 2" xfId="16612" xr:uid="{6EE9C52C-B4B5-467A-9856-49F4739DC4F8}"/>
    <cellStyle name="Normal 10 3 2 2 4 3 2 5 2 2" xfId="16613" xr:uid="{CE8B86AA-6889-4D11-950C-666674B93F79}"/>
    <cellStyle name="Normal 10 3 2 2 4 3 2 5 3" xfId="16614" xr:uid="{3BA56592-F304-408E-B255-B466AE988060}"/>
    <cellStyle name="Normal 10 3 2 2 4 3 2 6" xfId="16615" xr:uid="{ECF25788-B55E-4574-BC02-F9B06B1A9075}"/>
    <cellStyle name="Normal 10 3 2 2 4 3 2 6 2" xfId="16616" xr:uid="{602D8AD0-88A9-4C8F-9CEF-E696B94ABEAD}"/>
    <cellStyle name="Normal 10 3 2 2 4 3 2 7" xfId="16617" xr:uid="{56E11124-DD67-436D-ACCF-57EA5F25DC2D}"/>
    <cellStyle name="Normal 10 3 2 2 4 3 3" xfId="16618" xr:uid="{3302C9E3-553E-450E-8E3D-D27009C0A9AE}"/>
    <cellStyle name="Normal 10 3 2 2 4 3 3 2" xfId="16619" xr:uid="{C9A0B340-C22A-4E30-A53D-CFB14DF17685}"/>
    <cellStyle name="Normal 10 3 2 2 4 3 3 2 2" xfId="16620" xr:uid="{FC9239B6-D82B-4BFE-BC88-31A4484F5D38}"/>
    <cellStyle name="Normal 10 3 2 2 4 3 3 2 2 2" xfId="16621" xr:uid="{B5603B91-0683-492C-B602-C96CBB5AF167}"/>
    <cellStyle name="Normal 10 3 2 2 4 3 3 2 2 2 2" xfId="16622" xr:uid="{4F312143-9B30-4C6C-8351-BDE26A49BED6}"/>
    <cellStyle name="Normal 10 3 2 2 4 3 3 2 2 2 2 2" xfId="16623" xr:uid="{7EFA1922-D11E-4A41-A551-7337B0AF32BB}"/>
    <cellStyle name="Normal 10 3 2 2 4 3 3 2 2 2 3" xfId="16624" xr:uid="{7B1593D0-416E-480A-BCEA-3114D9534B26}"/>
    <cellStyle name="Normal 10 3 2 2 4 3 3 2 2 3" xfId="16625" xr:uid="{79DCB37F-5AF0-4CAC-8ECE-A850748B6191}"/>
    <cellStyle name="Normal 10 3 2 2 4 3 3 2 2 3 2" xfId="16626" xr:uid="{1CD258FF-A36A-4D2F-9FAB-A75208157082}"/>
    <cellStyle name="Normal 10 3 2 2 4 3 3 2 2 4" xfId="16627" xr:uid="{FFFF1490-BFB1-4601-8EB3-E211724D7392}"/>
    <cellStyle name="Normal 10 3 2 2 4 3 3 2 3" xfId="16628" xr:uid="{295D28FA-BEA7-4417-A494-7CEDAD7970DE}"/>
    <cellStyle name="Normal 10 3 2 2 4 3 3 2 3 2" xfId="16629" xr:uid="{6A5CCCEC-4336-4A01-A39F-683F9DDCF562}"/>
    <cellStyle name="Normal 10 3 2 2 4 3 3 2 3 2 2" xfId="16630" xr:uid="{F8CC9F28-88E0-4577-87AC-68915EC46A17}"/>
    <cellStyle name="Normal 10 3 2 2 4 3 3 2 3 3" xfId="16631" xr:uid="{84FC97B5-E8D3-4B2C-856A-EED76F964173}"/>
    <cellStyle name="Normal 10 3 2 2 4 3 3 2 4" xfId="16632" xr:uid="{6E505E11-770D-4C8A-B7CA-433C040CAFCD}"/>
    <cellStyle name="Normal 10 3 2 2 4 3 3 2 4 2" xfId="16633" xr:uid="{46999297-2237-40A3-BEC7-B50D2D3DF593}"/>
    <cellStyle name="Normal 10 3 2 2 4 3 3 2 5" xfId="16634" xr:uid="{8F3826DD-594E-4CDD-B7D5-CFDED2932096}"/>
    <cellStyle name="Normal 10 3 2 2 4 3 3 3" xfId="16635" xr:uid="{96401338-BCCB-4E2F-B310-0A7E354B4E52}"/>
    <cellStyle name="Normal 10 3 2 2 4 3 3 3 2" xfId="16636" xr:uid="{CCBD5A24-4909-4944-82E0-B89012931066}"/>
    <cellStyle name="Normal 10 3 2 2 4 3 3 3 2 2" xfId="16637" xr:uid="{6C929627-BB0E-4A0D-9DAC-9D305529D951}"/>
    <cellStyle name="Normal 10 3 2 2 4 3 3 3 2 2 2" xfId="16638" xr:uid="{4EC6747E-D9D9-467F-B6BF-45435609EF8F}"/>
    <cellStyle name="Normal 10 3 2 2 4 3 3 3 2 3" xfId="16639" xr:uid="{464340FF-3F90-442A-9208-C61DEF218A7C}"/>
    <cellStyle name="Normal 10 3 2 2 4 3 3 3 3" xfId="16640" xr:uid="{D3D0BEE3-D6DA-4841-B5A8-5C914A242419}"/>
    <cellStyle name="Normal 10 3 2 2 4 3 3 3 3 2" xfId="16641" xr:uid="{439AAD2C-8EC1-44A3-87F1-414B53604703}"/>
    <cellStyle name="Normal 10 3 2 2 4 3 3 3 4" xfId="16642" xr:uid="{4561E0A0-8F57-4C6F-A58D-F2647E20481B}"/>
    <cellStyle name="Normal 10 3 2 2 4 3 3 4" xfId="16643" xr:uid="{89C7E27E-BA05-4630-9389-54DF2B182BEA}"/>
    <cellStyle name="Normal 10 3 2 2 4 3 3 4 2" xfId="16644" xr:uid="{B85EE73D-CC52-4AED-893D-1F6155F5A3D4}"/>
    <cellStyle name="Normal 10 3 2 2 4 3 3 4 2 2" xfId="16645" xr:uid="{DBDE5CA7-971C-4272-921B-6DEE1B5F07F5}"/>
    <cellStyle name="Normal 10 3 2 2 4 3 3 4 3" xfId="16646" xr:uid="{F519EBF6-6A65-4C9A-9571-AEB6069026EF}"/>
    <cellStyle name="Normal 10 3 2 2 4 3 3 5" xfId="16647" xr:uid="{7B7817C7-71E3-4889-8F44-3549112B465C}"/>
    <cellStyle name="Normal 10 3 2 2 4 3 3 5 2" xfId="16648" xr:uid="{F51CD0DF-3EEE-49EB-9B2E-52192E4A9EB0}"/>
    <cellStyle name="Normal 10 3 2 2 4 3 3 6" xfId="16649" xr:uid="{724D712E-8CD8-469A-974B-B173DB340D1A}"/>
    <cellStyle name="Normal 10 3 2 2 4 3 4" xfId="16650" xr:uid="{2880179A-4455-473A-B135-E4943ABA1E16}"/>
    <cellStyle name="Normal 10 3 2 2 4 3 4 2" xfId="16651" xr:uid="{6BB8D20D-E8D6-47C6-B87B-8A16B61ABA07}"/>
    <cellStyle name="Normal 10 3 2 2 4 3 4 2 2" xfId="16652" xr:uid="{31CF6491-0738-4413-8247-4116AB91C288}"/>
    <cellStyle name="Normal 10 3 2 2 4 3 4 2 2 2" xfId="16653" xr:uid="{0E5EE645-A617-4D3E-A4BC-0D1CF4E3645C}"/>
    <cellStyle name="Normal 10 3 2 2 4 3 4 2 2 2 2" xfId="16654" xr:uid="{D653B8B7-6537-4F69-AB2A-409F13406A6C}"/>
    <cellStyle name="Normal 10 3 2 2 4 3 4 2 2 3" xfId="16655" xr:uid="{B6121A6F-1448-4C99-BBF8-1110A89B953C}"/>
    <cellStyle name="Normal 10 3 2 2 4 3 4 2 3" xfId="16656" xr:uid="{4F9A408B-9653-4076-B0AC-51CC6DD9148F}"/>
    <cellStyle name="Normal 10 3 2 2 4 3 4 2 3 2" xfId="16657" xr:uid="{4CDE111D-CC8E-423C-9F0C-129CF44F037B}"/>
    <cellStyle name="Normal 10 3 2 2 4 3 4 2 4" xfId="16658" xr:uid="{AC379442-E112-42CF-977E-088DADC06DBB}"/>
    <cellStyle name="Normal 10 3 2 2 4 3 4 3" xfId="16659" xr:uid="{4EAC4B4F-9A14-4E29-A89A-4DD429979DD9}"/>
    <cellStyle name="Normal 10 3 2 2 4 3 4 3 2" xfId="16660" xr:uid="{B2E9760D-BA19-4D98-82EA-81D954E34B8C}"/>
    <cellStyle name="Normal 10 3 2 2 4 3 4 3 2 2" xfId="16661" xr:uid="{EBD14063-DF9D-4FF1-B62C-A8A11C48A88F}"/>
    <cellStyle name="Normal 10 3 2 2 4 3 4 3 3" xfId="16662" xr:uid="{EA52483F-D1C9-4080-95CB-F5D727768CCC}"/>
    <cellStyle name="Normal 10 3 2 2 4 3 4 4" xfId="16663" xr:uid="{A679DC51-922E-4E60-8E3E-462AD4C47012}"/>
    <cellStyle name="Normal 10 3 2 2 4 3 4 4 2" xfId="16664" xr:uid="{0815B6BE-04DF-4A41-9F78-1E81784CA69C}"/>
    <cellStyle name="Normal 10 3 2 2 4 3 4 5" xfId="16665" xr:uid="{72AE3E6B-7258-480C-9CA2-FB15FFB7C22F}"/>
    <cellStyle name="Normal 10 3 2 2 4 3 5" xfId="16666" xr:uid="{026345C4-B8C2-4CA3-92E3-DF8C1BA20734}"/>
    <cellStyle name="Normal 10 3 2 2 4 3 5 2" xfId="16667" xr:uid="{D07448FE-E160-4113-82B6-E19BAABEA254}"/>
    <cellStyle name="Normal 10 3 2 2 4 3 5 2 2" xfId="16668" xr:uid="{7C04B8F2-C149-4873-8BA1-1DF288785E0A}"/>
    <cellStyle name="Normal 10 3 2 2 4 3 5 2 2 2" xfId="16669" xr:uid="{CA1F7707-3F6B-46C8-9DD6-DBEC18A0573B}"/>
    <cellStyle name="Normal 10 3 2 2 4 3 5 2 3" xfId="16670" xr:uid="{87DBCE07-BB71-4C6B-A63D-276ADBA2C5B8}"/>
    <cellStyle name="Normal 10 3 2 2 4 3 5 3" xfId="16671" xr:uid="{4E89A6C5-70F1-4675-92E1-C099F0DBC075}"/>
    <cellStyle name="Normal 10 3 2 2 4 3 5 3 2" xfId="16672" xr:uid="{E293E7C4-722C-4340-868C-0F12D8F441ED}"/>
    <cellStyle name="Normal 10 3 2 2 4 3 5 4" xfId="16673" xr:uid="{7A34C0C9-12D6-4938-B360-BEEB204B213A}"/>
    <cellStyle name="Normal 10 3 2 2 4 3 6" xfId="16674" xr:uid="{7291251B-A07F-4715-A8BF-A2DFDFFB9E15}"/>
    <cellStyle name="Normal 10 3 2 2 4 3 6 2" xfId="16675" xr:uid="{DFAAE1B8-2AE3-496C-B5A8-E34D6780B915}"/>
    <cellStyle name="Normal 10 3 2 2 4 3 6 2 2" xfId="16676" xr:uid="{1F309509-CFCD-4A91-A857-1027B123094A}"/>
    <cellStyle name="Normal 10 3 2 2 4 3 6 3" xfId="16677" xr:uid="{7B8BBB91-E7E3-41CF-B5C8-02F89AC867D0}"/>
    <cellStyle name="Normal 10 3 2 2 4 3 7" xfId="16678" xr:uid="{0DD30C9D-6503-4008-9F82-C37D2ACBE54E}"/>
    <cellStyle name="Normal 10 3 2 2 4 3 7 2" xfId="16679" xr:uid="{70B75102-4456-4788-A64A-FADE7B634DE1}"/>
    <cellStyle name="Normal 10 3 2 2 4 3 8" xfId="16680" xr:uid="{8F56C30A-2220-414A-ABFA-FEEF310B78EB}"/>
    <cellStyle name="Normal 10 3 2 2 4 3 9" xfId="16553" xr:uid="{AFC575FB-A86E-41C7-8FA6-C5ECDD8BAA53}"/>
    <cellStyle name="Normal 10 3 2 2 4 4" xfId="16681" xr:uid="{2FE0D02F-DD11-4031-8660-B7B7A0EB996B}"/>
    <cellStyle name="Normal 10 3 2 2 4 4 2" xfId="16682" xr:uid="{2F8DB638-A09E-494A-A442-8DA081A3B453}"/>
    <cellStyle name="Normal 10 3 2 2 4 4 2 2" xfId="16683" xr:uid="{734D68F4-DCD5-4001-8457-20B84F372D7A}"/>
    <cellStyle name="Normal 10 3 2 2 4 4 2 2 2" xfId="16684" xr:uid="{6511A51C-FEF1-4437-BEA7-449808DD284C}"/>
    <cellStyle name="Normal 10 3 2 2 4 4 2 2 2 2" xfId="16685" xr:uid="{DD9C8B24-9ABD-43DC-BF47-54B463603452}"/>
    <cellStyle name="Normal 10 3 2 2 4 4 2 2 2 2 2" xfId="16686" xr:uid="{17AB85CE-FE78-4959-926B-480324A26271}"/>
    <cellStyle name="Normal 10 3 2 2 4 4 2 2 2 2 2 2" xfId="16687" xr:uid="{657534BD-AFDD-4A7E-B765-2903303046CC}"/>
    <cellStyle name="Normal 10 3 2 2 4 4 2 2 2 2 3" xfId="16688" xr:uid="{9D030E0A-9D9A-4B2F-85CD-8131CD3C4DC4}"/>
    <cellStyle name="Normal 10 3 2 2 4 4 2 2 2 3" xfId="16689" xr:uid="{6D62994C-62C7-4F72-B40F-EA6D241DA038}"/>
    <cellStyle name="Normal 10 3 2 2 4 4 2 2 2 3 2" xfId="16690" xr:uid="{400E408A-5CC2-42D2-A18B-6395AEAE0188}"/>
    <cellStyle name="Normal 10 3 2 2 4 4 2 2 2 4" xfId="16691" xr:uid="{C3CC2AAC-2D31-41E7-BFD1-FD4AB58E9AD1}"/>
    <cellStyle name="Normal 10 3 2 2 4 4 2 2 3" xfId="16692" xr:uid="{E8F4ADCD-A636-4561-950E-F5FB133308C2}"/>
    <cellStyle name="Normal 10 3 2 2 4 4 2 2 3 2" xfId="16693" xr:uid="{FD94D780-5DAD-44FB-BA59-6E4D5AC58249}"/>
    <cellStyle name="Normal 10 3 2 2 4 4 2 2 3 2 2" xfId="16694" xr:uid="{3843E3A0-2959-44C1-A3C7-99324D39839B}"/>
    <cellStyle name="Normal 10 3 2 2 4 4 2 2 3 3" xfId="16695" xr:uid="{A4F2873D-EB06-411C-A144-62FA798E71E4}"/>
    <cellStyle name="Normal 10 3 2 2 4 4 2 2 4" xfId="16696" xr:uid="{59C1CF0D-577F-4D4D-B107-A32E4E4257A8}"/>
    <cellStyle name="Normal 10 3 2 2 4 4 2 2 4 2" xfId="16697" xr:uid="{F1D3C708-BD90-418A-B845-492C5CC92919}"/>
    <cellStyle name="Normal 10 3 2 2 4 4 2 2 5" xfId="16698" xr:uid="{AA91BDDE-ACF7-4A69-8FD8-6751438364C5}"/>
    <cellStyle name="Normal 10 3 2 2 4 4 2 3" xfId="16699" xr:uid="{F8267338-C963-493F-8B74-2AC4C84401FC}"/>
    <cellStyle name="Normal 10 3 2 2 4 4 2 3 2" xfId="16700" xr:uid="{015F0B87-1C13-4DF3-BCA7-49D2F281044D}"/>
    <cellStyle name="Normal 10 3 2 2 4 4 2 3 2 2" xfId="16701" xr:uid="{9D9EEC24-F886-45EA-8CF3-B14193876953}"/>
    <cellStyle name="Normal 10 3 2 2 4 4 2 3 2 2 2" xfId="16702" xr:uid="{04BD92A8-48A0-4745-B7A1-4A17D5F55DE2}"/>
    <cellStyle name="Normal 10 3 2 2 4 4 2 3 2 3" xfId="16703" xr:uid="{2A6531A1-CEDA-4324-A9F9-F02ECE63D0D6}"/>
    <cellStyle name="Normal 10 3 2 2 4 4 2 3 3" xfId="16704" xr:uid="{8693CEEF-1CFC-453E-ACEA-45E351D1719D}"/>
    <cellStyle name="Normal 10 3 2 2 4 4 2 3 3 2" xfId="16705" xr:uid="{6DF2E529-93C2-4F3F-80D2-8659AC623012}"/>
    <cellStyle name="Normal 10 3 2 2 4 4 2 3 4" xfId="16706" xr:uid="{EB241AAD-16FF-4812-A356-4F7144E6FBD1}"/>
    <cellStyle name="Normal 10 3 2 2 4 4 2 4" xfId="16707" xr:uid="{BA238C1F-A986-4CFF-B08C-D83EE72323FC}"/>
    <cellStyle name="Normal 10 3 2 2 4 4 2 4 2" xfId="16708" xr:uid="{08AD128D-868C-47D6-99D7-C5024E50FE55}"/>
    <cellStyle name="Normal 10 3 2 2 4 4 2 4 2 2" xfId="16709" xr:uid="{9D115C21-031A-4C4D-A24A-484DA21EDA3D}"/>
    <cellStyle name="Normal 10 3 2 2 4 4 2 4 3" xfId="16710" xr:uid="{6957203D-E097-45E1-8CA7-9D2D06931C17}"/>
    <cellStyle name="Normal 10 3 2 2 4 4 2 5" xfId="16711" xr:uid="{B5F5A72A-4FCF-411D-B300-126AE97E650A}"/>
    <cellStyle name="Normal 10 3 2 2 4 4 2 5 2" xfId="16712" xr:uid="{AC4A9AB6-5415-4184-8F2F-45BB65E0A40A}"/>
    <cellStyle name="Normal 10 3 2 2 4 4 2 6" xfId="16713" xr:uid="{B6F1D00A-B915-4EDE-8FB2-88295B978132}"/>
    <cellStyle name="Normal 10 3 2 2 4 4 3" xfId="16714" xr:uid="{65B7CF79-0C6E-4879-9F09-72EFF9A57FA6}"/>
    <cellStyle name="Normal 10 3 2 2 4 4 3 2" xfId="16715" xr:uid="{5F16C557-ACB4-4EBB-9FDA-D66F7D65CA9E}"/>
    <cellStyle name="Normal 10 3 2 2 4 4 3 2 2" xfId="16716" xr:uid="{AA27F322-F39D-4EEF-9FF4-F03EA6463B3C}"/>
    <cellStyle name="Normal 10 3 2 2 4 4 3 2 2 2" xfId="16717" xr:uid="{1972AE99-ADB0-4AFF-B28A-5C758E6531B9}"/>
    <cellStyle name="Normal 10 3 2 2 4 4 3 2 2 2 2" xfId="16718" xr:uid="{FF90EE6C-B5DF-4F89-8083-1956F5ADEAAC}"/>
    <cellStyle name="Normal 10 3 2 2 4 4 3 2 2 3" xfId="16719" xr:uid="{21E48FB7-3AFB-409B-A6CB-CAE8D4379556}"/>
    <cellStyle name="Normal 10 3 2 2 4 4 3 2 3" xfId="16720" xr:uid="{909C62D9-F417-4DE4-976F-2C98129955A0}"/>
    <cellStyle name="Normal 10 3 2 2 4 4 3 2 3 2" xfId="16721" xr:uid="{A6C3FDD0-200C-4C27-A8F8-11DD2BC7B6BB}"/>
    <cellStyle name="Normal 10 3 2 2 4 4 3 2 4" xfId="16722" xr:uid="{3717C239-58CF-4724-973A-16303585F6EF}"/>
    <cellStyle name="Normal 10 3 2 2 4 4 3 3" xfId="16723" xr:uid="{4BE2FA31-2545-425F-81C1-377035E7C69B}"/>
    <cellStyle name="Normal 10 3 2 2 4 4 3 3 2" xfId="16724" xr:uid="{E3655B14-A269-4130-89C4-CFAA2FADD0A4}"/>
    <cellStyle name="Normal 10 3 2 2 4 4 3 3 2 2" xfId="16725" xr:uid="{27B297D3-2242-4305-B138-C30017C068EA}"/>
    <cellStyle name="Normal 10 3 2 2 4 4 3 3 3" xfId="16726" xr:uid="{96153A04-51E0-4971-8452-3F0778AD3E21}"/>
    <cellStyle name="Normal 10 3 2 2 4 4 3 4" xfId="16727" xr:uid="{B7751EC6-A313-4006-87D7-47C236D723D5}"/>
    <cellStyle name="Normal 10 3 2 2 4 4 3 4 2" xfId="16728" xr:uid="{F8D34909-210E-4B25-B806-6404F5291161}"/>
    <cellStyle name="Normal 10 3 2 2 4 4 3 5" xfId="16729" xr:uid="{767CD42C-F08C-416C-9BAE-8CEFBD55F32B}"/>
    <cellStyle name="Normal 10 3 2 2 4 4 4" xfId="16730" xr:uid="{A31320A2-EB9C-4983-8F23-93C1D8CF1A38}"/>
    <cellStyle name="Normal 10 3 2 2 4 4 4 2" xfId="16731" xr:uid="{46197AC1-4B93-4FB6-948E-F065EB7BAC58}"/>
    <cellStyle name="Normal 10 3 2 2 4 4 4 2 2" xfId="16732" xr:uid="{B5DDD8A8-0FDE-4088-BF91-6534BCD23180}"/>
    <cellStyle name="Normal 10 3 2 2 4 4 4 2 2 2" xfId="16733" xr:uid="{076326A4-DEE7-4D4D-9C9C-82A60F7EAD1C}"/>
    <cellStyle name="Normal 10 3 2 2 4 4 4 2 3" xfId="16734" xr:uid="{9493C9B6-3904-4635-A614-1CF38972331F}"/>
    <cellStyle name="Normal 10 3 2 2 4 4 4 3" xfId="16735" xr:uid="{5CCBEBCE-CB8F-4D42-9601-8C184C247DED}"/>
    <cellStyle name="Normal 10 3 2 2 4 4 4 3 2" xfId="16736" xr:uid="{64062233-02EB-449B-8836-0A156D02226E}"/>
    <cellStyle name="Normal 10 3 2 2 4 4 4 4" xfId="16737" xr:uid="{1916CE69-D4CA-433F-8236-13AEF014D07E}"/>
    <cellStyle name="Normal 10 3 2 2 4 4 5" xfId="16738" xr:uid="{D009BEA0-9302-47FA-A524-3D5DB73C9ECE}"/>
    <cellStyle name="Normal 10 3 2 2 4 4 5 2" xfId="16739" xr:uid="{B37C5D93-3840-4C89-9490-611FF2E9272B}"/>
    <cellStyle name="Normal 10 3 2 2 4 4 5 2 2" xfId="16740" xr:uid="{3DD11BAD-68B5-4F7E-A26C-9D5D83B484CD}"/>
    <cellStyle name="Normal 10 3 2 2 4 4 5 3" xfId="16741" xr:uid="{3D1A0B02-6EE3-4B03-98F4-ECD891216C0C}"/>
    <cellStyle name="Normal 10 3 2 2 4 4 6" xfId="16742" xr:uid="{5BAC7761-2660-486B-9394-3066BBEC19D0}"/>
    <cellStyle name="Normal 10 3 2 2 4 4 6 2" xfId="16743" xr:uid="{17BB6DA8-079D-4E68-B624-F14E03441BC2}"/>
    <cellStyle name="Normal 10 3 2 2 4 4 7" xfId="16744" xr:uid="{959CC2A0-6299-4F21-A5A5-8850E983D567}"/>
    <cellStyle name="Normal 10 3 2 2 4 5" xfId="16745" xr:uid="{70282B00-376D-4EDD-9AE4-D306D3B37AD7}"/>
    <cellStyle name="Normal 10 3 2 2 4 5 2" xfId="16746" xr:uid="{B4450483-2904-48E5-A178-F02DA4DF23E8}"/>
    <cellStyle name="Normal 10 3 2 2 4 5 2 2" xfId="16747" xr:uid="{99727F82-04C4-4FF2-BCA1-2B2D48AAD72F}"/>
    <cellStyle name="Normal 10 3 2 2 4 5 2 2 2" xfId="16748" xr:uid="{46FC9162-A371-454C-900D-2E923D4865B1}"/>
    <cellStyle name="Normal 10 3 2 2 4 5 2 2 2 2" xfId="16749" xr:uid="{EC3A1310-60D8-4DB6-9BDE-F2ED9D77DB8C}"/>
    <cellStyle name="Normal 10 3 2 2 4 5 2 2 2 2 2" xfId="16750" xr:uid="{CE82214C-6AE9-4F39-8AAB-F0CC7D697945}"/>
    <cellStyle name="Normal 10 3 2 2 4 5 2 2 2 3" xfId="16751" xr:uid="{514D596A-902B-4EF8-ACA6-ADE05283D5C0}"/>
    <cellStyle name="Normal 10 3 2 2 4 5 2 2 3" xfId="16752" xr:uid="{8C8C0B2E-0285-4550-A55A-4B18A7AC2B0C}"/>
    <cellStyle name="Normal 10 3 2 2 4 5 2 2 3 2" xfId="16753" xr:uid="{2D56F466-A020-47A4-B45B-D7039124AEA0}"/>
    <cellStyle name="Normal 10 3 2 2 4 5 2 2 4" xfId="16754" xr:uid="{446DD8FC-79EF-4AE7-B0E3-FC666D189712}"/>
    <cellStyle name="Normal 10 3 2 2 4 5 2 3" xfId="16755" xr:uid="{829A33EA-173D-4782-9031-61F32B69E723}"/>
    <cellStyle name="Normal 10 3 2 2 4 5 2 3 2" xfId="16756" xr:uid="{CC3D4CAB-FE13-4F0C-AC95-2D23FC9D0FD3}"/>
    <cellStyle name="Normal 10 3 2 2 4 5 2 3 2 2" xfId="16757" xr:uid="{1EC05FB4-2CF4-4F28-956B-BEFE0E0F2C05}"/>
    <cellStyle name="Normal 10 3 2 2 4 5 2 3 3" xfId="16758" xr:uid="{66EEC873-8146-40D6-942E-692AEE0ADCDC}"/>
    <cellStyle name="Normal 10 3 2 2 4 5 2 4" xfId="16759" xr:uid="{4131BDE7-4CF5-43CE-A24A-0EEE826F4203}"/>
    <cellStyle name="Normal 10 3 2 2 4 5 2 4 2" xfId="16760" xr:uid="{A20FBAA4-C165-430E-9938-84199F03C8AD}"/>
    <cellStyle name="Normal 10 3 2 2 4 5 2 5" xfId="16761" xr:uid="{BD358D48-C177-45AF-A4C6-391E8C99ECFB}"/>
    <cellStyle name="Normal 10 3 2 2 4 5 3" xfId="16762" xr:uid="{B32B4772-37DD-4407-A810-E3456B54B6D7}"/>
    <cellStyle name="Normal 10 3 2 2 4 5 3 2" xfId="16763" xr:uid="{7CC2B2F3-C728-4C95-B13C-0AE924684502}"/>
    <cellStyle name="Normal 10 3 2 2 4 5 3 2 2" xfId="16764" xr:uid="{12B2A8B3-12E8-43A7-9209-6228CA690C71}"/>
    <cellStyle name="Normal 10 3 2 2 4 5 3 2 2 2" xfId="16765" xr:uid="{521EE4D3-EBA0-40B2-BEE8-4DE87D18BE5B}"/>
    <cellStyle name="Normal 10 3 2 2 4 5 3 2 3" xfId="16766" xr:uid="{822D78AC-0121-403E-BF67-EC006CA03A13}"/>
    <cellStyle name="Normal 10 3 2 2 4 5 3 3" xfId="16767" xr:uid="{37EFFBFE-101C-42B0-BA2E-A97AAEC9FC14}"/>
    <cellStyle name="Normal 10 3 2 2 4 5 3 3 2" xfId="16768" xr:uid="{EA0059B7-1BA6-484D-94C6-5B27FE43ADD7}"/>
    <cellStyle name="Normal 10 3 2 2 4 5 3 4" xfId="16769" xr:uid="{D056AAB1-C26D-497F-8A95-1E3E51C9E810}"/>
    <cellStyle name="Normal 10 3 2 2 4 5 4" xfId="16770" xr:uid="{72C557FE-683B-4A35-B5D0-B50AC3014BE1}"/>
    <cellStyle name="Normal 10 3 2 2 4 5 4 2" xfId="16771" xr:uid="{D4F4341F-A010-4997-B178-A4579C6C8EDB}"/>
    <cellStyle name="Normal 10 3 2 2 4 5 4 2 2" xfId="16772" xr:uid="{D88E26FA-D440-4DD5-8705-FC695483408F}"/>
    <cellStyle name="Normal 10 3 2 2 4 5 4 3" xfId="16773" xr:uid="{343A8151-2F4C-4808-91AE-D6AF4225E5CB}"/>
    <cellStyle name="Normal 10 3 2 2 4 5 5" xfId="16774" xr:uid="{E6BE3FF0-584E-4CBA-993F-9248319A9BDC}"/>
    <cellStyle name="Normal 10 3 2 2 4 5 5 2" xfId="16775" xr:uid="{075DA069-A27D-434C-BFF9-C9BC3F17CD82}"/>
    <cellStyle name="Normal 10 3 2 2 4 5 6" xfId="16776" xr:uid="{BF44867F-3CF7-4446-82C6-0B23E6A07DAE}"/>
    <cellStyle name="Normal 10 3 2 2 4 6" xfId="16777" xr:uid="{8479B454-8D3E-4502-BE2F-8C26738D8C2C}"/>
    <cellStyle name="Normal 10 3 2 2 4 6 2" xfId="16778" xr:uid="{AE3B3C80-20B6-47DE-B74D-3368A32DCD7A}"/>
    <cellStyle name="Normal 10 3 2 2 4 6 2 2" xfId="16779" xr:uid="{E634EF8F-E483-442F-B848-3B500D953315}"/>
    <cellStyle name="Normal 10 3 2 2 4 6 2 2 2" xfId="16780" xr:uid="{4304259E-D016-4BEF-99C2-BA37CAEB5B58}"/>
    <cellStyle name="Normal 10 3 2 2 4 6 2 2 2 2" xfId="16781" xr:uid="{1F2E0B51-B9C1-4483-8BA9-DC27AAE6CB06}"/>
    <cellStyle name="Normal 10 3 2 2 4 6 2 2 3" xfId="16782" xr:uid="{B527C816-94C5-4B1F-8574-26B8EBAD9E06}"/>
    <cellStyle name="Normal 10 3 2 2 4 6 2 3" xfId="16783" xr:uid="{8D4167CF-E65E-40B5-A6EF-30FC1693F227}"/>
    <cellStyle name="Normal 10 3 2 2 4 6 2 3 2" xfId="16784" xr:uid="{5D4B6A6F-764C-4A42-AB4C-4A4B4C412BE1}"/>
    <cellStyle name="Normal 10 3 2 2 4 6 2 4" xfId="16785" xr:uid="{6550C3B8-8B82-49C9-9889-0E91090BDB8A}"/>
    <cellStyle name="Normal 10 3 2 2 4 6 3" xfId="16786" xr:uid="{86D37ACC-64F6-4C12-810B-6BA3B5604B1D}"/>
    <cellStyle name="Normal 10 3 2 2 4 6 3 2" xfId="16787" xr:uid="{E02C5EBC-5349-40D1-9C9B-C79103DBE2D6}"/>
    <cellStyle name="Normal 10 3 2 2 4 6 3 2 2" xfId="16788" xr:uid="{A16BEC28-5F2C-4D75-87EA-B99E22B3246A}"/>
    <cellStyle name="Normal 10 3 2 2 4 6 3 3" xfId="16789" xr:uid="{50F92C82-8507-4211-8B0B-1AA7241FE74B}"/>
    <cellStyle name="Normal 10 3 2 2 4 6 4" xfId="16790" xr:uid="{B6F7AE2F-5212-49F7-B977-4A03DBB5185C}"/>
    <cellStyle name="Normal 10 3 2 2 4 6 4 2" xfId="16791" xr:uid="{EA5B6BD9-9828-43FA-9A65-4E47D6752E85}"/>
    <cellStyle name="Normal 10 3 2 2 4 6 5" xfId="16792" xr:uid="{11BA2174-F9EB-4266-8817-F42ACDA45C2A}"/>
    <cellStyle name="Normal 10 3 2 2 4 7" xfId="16793" xr:uid="{1231F642-648B-4E65-B9F6-43CB242523F7}"/>
    <cellStyle name="Normal 10 3 2 2 4 7 2" xfId="16794" xr:uid="{381CDB6E-751A-4093-A13A-92EB01BF0233}"/>
    <cellStyle name="Normal 10 3 2 2 4 7 2 2" xfId="16795" xr:uid="{0807F7E2-5F12-42B8-8BE5-060781066374}"/>
    <cellStyle name="Normal 10 3 2 2 4 7 2 2 2" xfId="16796" xr:uid="{69F61BEB-01CA-43CA-96F5-A62BD00258D2}"/>
    <cellStyle name="Normal 10 3 2 2 4 7 2 3" xfId="16797" xr:uid="{95BDA2A0-00C9-4896-9A60-34B3FF2EAC67}"/>
    <cellStyle name="Normal 10 3 2 2 4 7 3" xfId="16798" xr:uid="{0EA44AFD-5DAB-4CBE-B46F-546967163EF4}"/>
    <cellStyle name="Normal 10 3 2 2 4 7 3 2" xfId="16799" xr:uid="{9FBC0343-3AB6-47DF-B429-BE6EE85BE42A}"/>
    <cellStyle name="Normal 10 3 2 2 4 7 4" xfId="16800" xr:uid="{ACC52E01-CDC2-40EA-88B8-37C2A720E47A}"/>
    <cellStyle name="Normal 10 3 2 2 4 8" xfId="16801" xr:uid="{86E62CA6-E2E2-4CF9-9E83-7B1CED736F4D}"/>
    <cellStyle name="Normal 10 3 2 2 4 8 2" xfId="16802" xr:uid="{2FD66A3A-07F8-4B7F-82AB-E64B4F16A725}"/>
    <cellStyle name="Normal 10 3 2 2 4 8 2 2" xfId="16803" xr:uid="{73ED5AC0-5EA0-46B1-B241-E26C9C175E8B}"/>
    <cellStyle name="Normal 10 3 2 2 4 8 3" xfId="16804" xr:uid="{B5B548BC-0E2C-4116-87B3-357353CA19CC}"/>
    <cellStyle name="Normal 10 3 2 2 4 9" xfId="16805" xr:uid="{4B6BACF8-1BD8-4885-BB4B-03FBCE677D06}"/>
    <cellStyle name="Normal 10 3 2 2 4 9 2" xfId="16806" xr:uid="{A42FB333-F44F-43EF-927F-D4729897F2E6}"/>
    <cellStyle name="Normal 10 3 2 2 5" xfId="279" xr:uid="{58367CE2-E82A-42EF-8855-0E1395C90EC7}"/>
    <cellStyle name="Normal 10 3 2 2 5 10" xfId="16807" xr:uid="{0601A013-81E4-4414-91C8-0E4AD76F9436}"/>
    <cellStyle name="Normal 10 3 2 2 5 11" xfId="561" xr:uid="{36A72DB0-0CDE-44B4-89FA-1E24AC08CAAD}"/>
    <cellStyle name="Normal 10 3 2 2 5 2" xfId="333" xr:uid="{7454817E-EA25-4CA2-90E5-5CED9452B6CC}"/>
    <cellStyle name="Normal 10 3 2 2 5 2 10" xfId="16808" xr:uid="{32812944-BF7B-4425-8329-5086A5E6C114}"/>
    <cellStyle name="Normal 10 3 2 2 5 2 2" xfId="16809" xr:uid="{020734AF-199E-483E-9F70-6A6FABAA36BC}"/>
    <cellStyle name="Normal 10 3 2 2 5 2 2 2" xfId="16810" xr:uid="{71560DBE-0EF0-4D5E-AB6C-21F8D751E11E}"/>
    <cellStyle name="Normal 10 3 2 2 5 2 2 2 2" xfId="16811" xr:uid="{BF4E1449-DEFF-4E2B-95B8-0E3953B037FF}"/>
    <cellStyle name="Normal 10 3 2 2 5 2 2 2 2 2" xfId="16812" xr:uid="{71286086-E07D-47A1-8407-05B61B5559DC}"/>
    <cellStyle name="Normal 10 3 2 2 5 2 2 2 2 2 2" xfId="16813" xr:uid="{2FD88F2C-5D9A-4EAE-BAE5-7D1BACE3565D}"/>
    <cellStyle name="Normal 10 3 2 2 5 2 2 2 2 2 2 2" xfId="16814" xr:uid="{290C5581-482D-43CA-AC3F-2B2033EA4934}"/>
    <cellStyle name="Normal 10 3 2 2 5 2 2 2 2 2 2 2 2" xfId="16815" xr:uid="{0BA8CCDA-75EC-4743-AA84-9B090C4AF036}"/>
    <cellStyle name="Normal 10 3 2 2 5 2 2 2 2 2 2 2 2 2" xfId="16816" xr:uid="{F2DB1F3F-2815-4CA0-A121-DDDEE166FF72}"/>
    <cellStyle name="Normal 10 3 2 2 5 2 2 2 2 2 2 2 3" xfId="16817" xr:uid="{2DF587DA-0B4D-4D8E-93DE-6100A98E3891}"/>
    <cellStyle name="Normal 10 3 2 2 5 2 2 2 2 2 2 3" xfId="16818" xr:uid="{04AA326E-3275-4A94-BB8D-4219648CE5F3}"/>
    <cellStyle name="Normal 10 3 2 2 5 2 2 2 2 2 2 3 2" xfId="16819" xr:uid="{48D36900-0563-4983-8F60-74B2CA4B98BD}"/>
    <cellStyle name="Normal 10 3 2 2 5 2 2 2 2 2 2 4" xfId="16820" xr:uid="{A0A81CED-81CC-4C24-9A2A-8F01DF207FCF}"/>
    <cellStyle name="Normal 10 3 2 2 5 2 2 2 2 2 3" xfId="16821" xr:uid="{95302543-EE6A-49AE-8431-9524FD42F33A}"/>
    <cellStyle name="Normal 10 3 2 2 5 2 2 2 2 2 3 2" xfId="16822" xr:uid="{3F06FD15-24F0-457B-9231-9FDFA0F2E096}"/>
    <cellStyle name="Normal 10 3 2 2 5 2 2 2 2 2 3 2 2" xfId="16823" xr:uid="{B5C96891-C59A-4480-9C49-7615101D24FE}"/>
    <cellStyle name="Normal 10 3 2 2 5 2 2 2 2 2 3 3" xfId="16824" xr:uid="{FB64E29D-1F89-40DB-A689-77358479D95B}"/>
    <cellStyle name="Normal 10 3 2 2 5 2 2 2 2 2 4" xfId="16825" xr:uid="{3A0E9883-5BDC-47AC-9B26-A91F7F4C0901}"/>
    <cellStyle name="Normal 10 3 2 2 5 2 2 2 2 2 4 2" xfId="16826" xr:uid="{6BC8E529-6A5D-41A2-9022-FDE3B904939D}"/>
    <cellStyle name="Normal 10 3 2 2 5 2 2 2 2 2 5" xfId="16827" xr:uid="{785D5B48-AA6C-4F2E-B354-359FA5A826A1}"/>
    <cellStyle name="Normal 10 3 2 2 5 2 2 2 2 3" xfId="16828" xr:uid="{500F2CED-BE4D-421A-9D0A-2839C3C626B9}"/>
    <cellStyle name="Normal 10 3 2 2 5 2 2 2 2 3 2" xfId="16829" xr:uid="{85F02EBE-9047-4687-BC70-F5990044B7A6}"/>
    <cellStyle name="Normal 10 3 2 2 5 2 2 2 2 3 2 2" xfId="16830" xr:uid="{59BAC163-E889-4CCC-83B2-5AD3A94A0492}"/>
    <cellStyle name="Normal 10 3 2 2 5 2 2 2 2 3 2 2 2" xfId="16831" xr:uid="{35B6EE14-2328-4091-BE9A-D0055FFB4ABD}"/>
    <cellStyle name="Normal 10 3 2 2 5 2 2 2 2 3 2 3" xfId="16832" xr:uid="{E4B0E38C-B4FC-450B-B24D-29F51FA74D7E}"/>
    <cellStyle name="Normal 10 3 2 2 5 2 2 2 2 3 3" xfId="16833" xr:uid="{02027601-9B1D-4669-95A1-BDE12DB31955}"/>
    <cellStyle name="Normal 10 3 2 2 5 2 2 2 2 3 3 2" xfId="16834" xr:uid="{FFEFC89D-3825-4DA6-9A8A-4403995D6511}"/>
    <cellStyle name="Normal 10 3 2 2 5 2 2 2 2 3 4" xfId="16835" xr:uid="{D3E56D55-3362-4D4E-9522-7256C62F22F3}"/>
    <cellStyle name="Normal 10 3 2 2 5 2 2 2 2 4" xfId="16836" xr:uid="{4DF5EE86-6815-4FB2-82A2-EF78E745DA5F}"/>
    <cellStyle name="Normal 10 3 2 2 5 2 2 2 2 4 2" xfId="16837" xr:uid="{F3EF241F-0620-4CA0-A0E5-7D749CABC87D}"/>
    <cellStyle name="Normal 10 3 2 2 5 2 2 2 2 4 2 2" xfId="16838" xr:uid="{97D6768D-46F0-4B7A-B712-51F07ACF9E31}"/>
    <cellStyle name="Normal 10 3 2 2 5 2 2 2 2 4 3" xfId="16839" xr:uid="{E2B3A110-DD9A-484D-9B6F-98987F2B4AE2}"/>
    <cellStyle name="Normal 10 3 2 2 5 2 2 2 2 5" xfId="16840" xr:uid="{73C7665A-2FFE-4F5A-8029-18DC1579A4B1}"/>
    <cellStyle name="Normal 10 3 2 2 5 2 2 2 2 5 2" xfId="16841" xr:uid="{7CE3CCD9-965B-46A9-81B5-D0F92CA867F2}"/>
    <cellStyle name="Normal 10 3 2 2 5 2 2 2 2 6" xfId="16842" xr:uid="{424BB380-6084-4259-8E85-A809FD37F1BC}"/>
    <cellStyle name="Normal 10 3 2 2 5 2 2 2 3" xfId="16843" xr:uid="{B043E79E-AC56-4EB6-8F19-4476F9EB724B}"/>
    <cellStyle name="Normal 10 3 2 2 5 2 2 2 3 2" xfId="16844" xr:uid="{6A2F9777-0F40-4537-9245-A4EDF481755C}"/>
    <cellStyle name="Normal 10 3 2 2 5 2 2 2 3 2 2" xfId="16845" xr:uid="{A8FB1796-AECC-44FE-BD54-5165A2411C38}"/>
    <cellStyle name="Normal 10 3 2 2 5 2 2 2 3 2 2 2" xfId="16846" xr:uid="{007BF34B-4491-4FED-A64A-3A5D3A358BC7}"/>
    <cellStyle name="Normal 10 3 2 2 5 2 2 2 3 2 2 2 2" xfId="16847" xr:uid="{F8F26C82-36A9-4F3B-8210-61B6F4BE7139}"/>
    <cellStyle name="Normal 10 3 2 2 5 2 2 2 3 2 2 3" xfId="16848" xr:uid="{829ABDED-DA91-4A70-BC44-1C71A9F14F6C}"/>
    <cellStyle name="Normal 10 3 2 2 5 2 2 2 3 2 3" xfId="16849" xr:uid="{EE8B282A-0C6E-4398-A364-3F91E2FB01FB}"/>
    <cellStyle name="Normal 10 3 2 2 5 2 2 2 3 2 3 2" xfId="16850" xr:uid="{A98C4E4E-3AF4-4112-8291-1D3F21201E8A}"/>
    <cellStyle name="Normal 10 3 2 2 5 2 2 2 3 2 4" xfId="16851" xr:uid="{89BEA2EB-EFFB-4040-94A7-0F1532BB1488}"/>
    <cellStyle name="Normal 10 3 2 2 5 2 2 2 3 3" xfId="16852" xr:uid="{D72F7331-DF01-40B0-9AA7-A42AD98EFAD7}"/>
    <cellStyle name="Normal 10 3 2 2 5 2 2 2 3 3 2" xfId="16853" xr:uid="{2FBB8F8F-C168-4625-8BB3-C3C903E5CBDA}"/>
    <cellStyle name="Normal 10 3 2 2 5 2 2 2 3 3 2 2" xfId="16854" xr:uid="{ACDCE25F-CB5B-4CCD-8969-D78FDB8EB13D}"/>
    <cellStyle name="Normal 10 3 2 2 5 2 2 2 3 3 3" xfId="16855" xr:uid="{D2BCA80D-A386-44FD-BE59-9F41247F8E43}"/>
    <cellStyle name="Normal 10 3 2 2 5 2 2 2 3 4" xfId="16856" xr:uid="{C97FE54C-54EC-4D1D-ABB4-A02D356A252C}"/>
    <cellStyle name="Normal 10 3 2 2 5 2 2 2 3 4 2" xfId="16857" xr:uid="{2F9E30AE-4923-4D99-AA02-EAF5DB95B739}"/>
    <cellStyle name="Normal 10 3 2 2 5 2 2 2 3 5" xfId="16858" xr:uid="{C5544BC4-EFD5-4D60-8AB7-48728C6C0C39}"/>
    <cellStyle name="Normal 10 3 2 2 5 2 2 2 4" xfId="16859" xr:uid="{F5A4A81D-AE0F-4C44-B3CF-12202D57982D}"/>
    <cellStyle name="Normal 10 3 2 2 5 2 2 2 4 2" xfId="16860" xr:uid="{B447B189-1A55-4626-A43A-A26BD394AFF0}"/>
    <cellStyle name="Normal 10 3 2 2 5 2 2 2 4 2 2" xfId="16861" xr:uid="{C6A3D0D1-1EB4-4901-AD4B-A7FD2C541568}"/>
    <cellStyle name="Normal 10 3 2 2 5 2 2 2 4 2 2 2" xfId="16862" xr:uid="{71BFEF17-FEBE-4643-B364-6BAD7C525CD1}"/>
    <cellStyle name="Normal 10 3 2 2 5 2 2 2 4 2 3" xfId="16863" xr:uid="{691559E1-86CD-4EC3-AB71-190ED457BB7A}"/>
    <cellStyle name="Normal 10 3 2 2 5 2 2 2 4 3" xfId="16864" xr:uid="{D3FB872D-839D-4750-9442-9EBBC8792EBE}"/>
    <cellStyle name="Normal 10 3 2 2 5 2 2 2 4 3 2" xfId="16865" xr:uid="{35BEF5BE-D770-4AAF-A957-29FAAD59ED9C}"/>
    <cellStyle name="Normal 10 3 2 2 5 2 2 2 4 4" xfId="16866" xr:uid="{9954F6AA-5E6C-4FE1-B931-DB5B09E22745}"/>
    <cellStyle name="Normal 10 3 2 2 5 2 2 2 5" xfId="16867" xr:uid="{FF017FE4-0838-44AD-95C7-DD8E2E1745E7}"/>
    <cellStyle name="Normal 10 3 2 2 5 2 2 2 5 2" xfId="16868" xr:uid="{ADA9A7B8-71AB-44D8-937E-DDF752494363}"/>
    <cellStyle name="Normal 10 3 2 2 5 2 2 2 5 2 2" xfId="16869" xr:uid="{32285686-3D77-4ACB-8BA0-A31CEACED6D8}"/>
    <cellStyle name="Normal 10 3 2 2 5 2 2 2 5 3" xfId="16870" xr:uid="{8D96292E-7C43-4B20-A100-A09D82120AE1}"/>
    <cellStyle name="Normal 10 3 2 2 5 2 2 2 6" xfId="16871" xr:uid="{0E6FB933-0B03-4AE6-9DA0-D8776AED7933}"/>
    <cellStyle name="Normal 10 3 2 2 5 2 2 2 6 2" xfId="16872" xr:uid="{7183554A-2FB5-4D6B-A641-C071ED7BEB99}"/>
    <cellStyle name="Normal 10 3 2 2 5 2 2 2 7" xfId="16873" xr:uid="{0EC15759-AF01-415E-9856-D21F1FFC2076}"/>
    <cellStyle name="Normal 10 3 2 2 5 2 2 3" xfId="16874" xr:uid="{81731D80-9E6C-4756-A868-424599E4FE42}"/>
    <cellStyle name="Normal 10 3 2 2 5 2 2 3 2" xfId="16875" xr:uid="{0F01CFAC-6010-4118-A40F-0B26325B082F}"/>
    <cellStyle name="Normal 10 3 2 2 5 2 2 3 2 2" xfId="16876" xr:uid="{410A155A-C237-49F9-A8AD-308FCF6A2C06}"/>
    <cellStyle name="Normal 10 3 2 2 5 2 2 3 2 2 2" xfId="16877" xr:uid="{2034F741-B60D-4A30-897E-12FEC2471F31}"/>
    <cellStyle name="Normal 10 3 2 2 5 2 2 3 2 2 2 2" xfId="16878" xr:uid="{10EF4773-0F02-453A-A1DB-C3234E08128E}"/>
    <cellStyle name="Normal 10 3 2 2 5 2 2 3 2 2 2 2 2" xfId="16879" xr:uid="{08FFD448-D62D-4CB6-A451-8F7D75A0DEB8}"/>
    <cellStyle name="Normal 10 3 2 2 5 2 2 3 2 2 2 3" xfId="16880" xr:uid="{2783E8F0-46A9-4E21-83FB-D8E243286781}"/>
    <cellStyle name="Normal 10 3 2 2 5 2 2 3 2 2 3" xfId="16881" xr:uid="{9CC1B964-C146-457B-81DD-2D0306FB75E0}"/>
    <cellStyle name="Normal 10 3 2 2 5 2 2 3 2 2 3 2" xfId="16882" xr:uid="{DF27848C-CC4C-40D7-9B8B-8F44A798DDAA}"/>
    <cellStyle name="Normal 10 3 2 2 5 2 2 3 2 2 4" xfId="16883" xr:uid="{69E0214A-FAB9-4B12-BB53-8C60C869B746}"/>
    <cellStyle name="Normal 10 3 2 2 5 2 2 3 2 3" xfId="16884" xr:uid="{10B89D67-0B98-410C-AFDF-F934D88E5275}"/>
    <cellStyle name="Normal 10 3 2 2 5 2 2 3 2 3 2" xfId="16885" xr:uid="{EF3AAAAF-0925-4B65-A8D2-B0E95115C4E2}"/>
    <cellStyle name="Normal 10 3 2 2 5 2 2 3 2 3 2 2" xfId="16886" xr:uid="{BBF956A6-2802-4CC2-81E0-0F002A93633C}"/>
    <cellStyle name="Normal 10 3 2 2 5 2 2 3 2 3 3" xfId="16887" xr:uid="{0E14AAB3-6F49-4A71-BF2D-00AC025AD929}"/>
    <cellStyle name="Normal 10 3 2 2 5 2 2 3 2 4" xfId="16888" xr:uid="{A1083C49-B14F-49FD-9D26-2059ADB7A454}"/>
    <cellStyle name="Normal 10 3 2 2 5 2 2 3 2 4 2" xfId="16889" xr:uid="{02A4FD50-10BC-4081-BEB5-D8BB03BEE001}"/>
    <cellStyle name="Normal 10 3 2 2 5 2 2 3 2 5" xfId="16890" xr:uid="{9FBB7695-A20C-4040-8C51-57287DB3C75E}"/>
    <cellStyle name="Normal 10 3 2 2 5 2 2 3 3" xfId="16891" xr:uid="{1CCA659C-5F2C-4BEA-A9C3-1932AC2A8E99}"/>
    <cellStyle name="Normal 10 3 2 2 5 2 2 3 3 2" xfId="16892" xr:uid="{E76CE426-9939-48DF-A7CF-9FA865BB3492}"/>
    <cellStyle name="Normal 10 3 2 2 5 2 2 3 3 2 2" xfId="16893" xr:uid="{277C8FCF-0B00-4CAB-A4CB-A56FDBFAE6B8}"/>
    <cellStyle name="Normal 10 3 2 2 5 2 2 3 3 2 2 2" xfId="16894" xr:uid="{B2D6E543-5E38-48FA-85FC-4E4D87944E75}"/>
    <cellStyle name="Normal 10 3 2 2 5 2 2 3 3 2 3" xfId="16895" xr:uid="{028D2917-0DC6-4CF0-B28A-75245C36F5A0}"/>
    <cellStyle name="Normal 10 3 2 2 5 2 2 3 3 3" xfId="16896" xr:uid="{990CF1FB-8699-4ABA-A136-4BB9F98E1CC1}"/>
    <cellStyle name="Normal 10 3 2 2 5 2 2 3 3 3 2" xfId="16897" xr:uid="{BDCC2FF4-445F-47C1-AE21-9F7695F52231}"/>
    <cellStyle name="Normal 10 3 2 2 5 2 2 3 3 4" xfId="16898" xr:uid="{C30EB8FC-2178-40F7-87DC-E29C1F6D0469}"/>
    <cellStyle name="Normal 10 3 2 2 5 2 2 3 4" xfId="16899" xr:uid="{2E82DCCB-D522-4208-AA82-4CDBB1DB549C}"/>
    <cellStyle name="Normal 10 3 2 2 5 2 2 3 4 2" xfId="16900" xr:uid="{97B823BC-23C9-4881-AA05-EED04F3D38A9}"/>
    <cellStyle name="Normal 10 3 2 2 5 2 2 3 4 2 2" xfId="16901" xr:uid="{168FAAB7-A664-42B5-B288-9EC3F5001410}"/>
    <cellStyle name="Normal 10 3 2 2 5 2 2 3 4 3" xfId="16902" xr:uid="{5C184B22-0614-4C0A-AD0F-48D82C545E16}"/>
    <cellStyle name="Normal 10 3 2 2 5 2 2 3 5" xfId="16903" xr:uid="{A314CA3D-5CD3-4921-A4D1-A075A5D58492}"/>
    <cellStyle name="Normal 10 3 2 2 5 2 2 3 5 2" xfId="16904" xr:uid="{6D0A7570-01D4-4EA5-9049-333573F214D6}"/>
    <cellStyle name="Normal 10 3 2 2 5 2 2 3 6" xfId="16905" xr:uid="{F5B2DEE0-021C-4793-B852-B5E263FB1821}"/>
    <cellStyle name="Normal 10 3 2 2 5 2 2 4" xfId="16906" xr:uid="{875C05AA-4FFE-478F-BD0F-0C6473ACBA36}"/>
    <cellStyle name="Normal 10 3 2 2 5 2 2 4 2" xfId="16907" xr:uid="{92D09092-FCAC-4D05-98EF-E05E1B46F3FF}"/>
    <cellStyle name="Normal 10 3 2 2 5 2 2 4 2 2" xfId="16908" xr:uid="{5578968D-BE71-4B7D-AA0E-31E09367E4A2}"/>
    <cellStyle name="Normal 10 3 2 2 5 2 2 4 2 2 2" xfId="16909" xr:uid="{C8D88175-531D-426E-BD94-9A23E424A20C}"/>
    <cellStyle name="Normal 10 3 2 2 5 2 2 4 2 2 2 2" xfId="16910" xr:uid="{C68D7D20-BE43-45A8-8403-27BAB81850C0}"/>
    <cellStyle name="Normal 10 3 2 2 5 2 2 4 2 2 3" xfId="16911" xr:uid="{FB560E22-6CF5-43D7-B5AD-B51129576A21}"/>
    <cellStyle name="Normal 10 3 2 2 5 2 2 4 2 3" xfId="16912" xr:uid="{0591A65B-379D-440A-9582-CD93197C7DB3}"/>
    <cellStyle name="Normal 10 3 2 2 5 2 2 4 2 3 2" xfId="16913" xr:uid="{ACF54AE8-8F43-47FD-9DA3-63823BA6663D}"/>
    <cellStyle name="Normal 10 3 2 2 5 2 2 4 2 4" xfId="16914" xr:uid="{A4968BAE-B747-41A9-A94D-0D8BF9598AFC}"/>
    <cellStyle name="Normal 10 3 2 2 5 2 2 4 3" xfId="16915" xr:uid="{EE91AA6D-A590-4BF2-A3B4-A6EB12270F3B}"/>
    <cellStyle name="Normal 10 3 2 2 5 2 2 4 3 2" xfId="16916" xr:uid="{C4E7B61A-5162-44CB-A99D-3F3053FC63C2}"/>
    <cellStyle name="Normal 10 3 2 2 5 2 2 4 3 2 2" xfId="16917" xr:uid="{5D2477F9-3B1B-4A8A-8C31-53C72835678E}"/>
    <cellStyle name="Normal 10 3 2 2 5 2 2 4 3 3" xfId="16918" xr:uid="{73980F08-DDB7-4D1D-8E9B-A224068E66F7}"/>
    <cellStyle name="Normal 10 3 2 2 5 2 2 4 4" xfId="16919" xr:uid="{5F57322E-C483-44B0-A582-D5C5C91B1168}"/>
    <cellStyle name="Normal 10 3 2 2 5 2 2 4 4 2" xfId="16920" xr:uid="{458C8714-65A8-48D6-9991-2345FA11517D}"/>
    <cellStyle name="Normal 10 3 2 2 5 2 2 4 5" xfId="16921" xr:uid="{E503D1EC-5BDE-49DB-A826-48243505D604}"/>
    <cellStyle name="Normal 10 3 2 2 5 2 2 5" xfId="16922" xr:uid="{11541D0B-180F-4153-876B-4E40D89290F2}"/>
    <cellStyle name="Normal 10 3 2 2 5 2 2 5 2" xfId="16923" xr:uid="{FE916261-C1CB-4AA1-823A-A7A32230F76A}"/>
    <cellStyle name="Normal 10 3 2 2 5 2 2 5 2 2" xfId="16924" xr:uid="{FF2BBD22-5A90-4D31-BE39-A3941AC96896}"/>
    <cellStyle name="Normal 10 3 2 2 5 2 2 5 2 2 2" xfId="16925" xr:uid="{1D039D81-A1AD-4DDA-9121-281AB9B8804B}"/>
    <cellStyle name="Normal 10 3 2 2 5 2 2 5 2 3" xfId="16926" xr:uid="{88D79634-0784-4BBB-A67A-6B35F8BA6FFB}"/>
    <cellStyle name="Normal 10 3 2 2 5 2 2 5 3" xfId="16927" xr:uid="{2320F368-18FD-46C6-B345-D29143620622}"/>
    <cellStyle name="Normal 10 3 2 2 5 2 2 5 3 2" xfId="16928" xr:uid="{A932C6D1-7CAC-47E7-BA83-178D6EFCD291}"/>
    <cellStyle name="Normal 10 3 2 2 5 2 2 5 4" xfId="16929" xr:uid="{97A46A87-52D6-4A03-B542-5BD6ECBB95ED}"/>
    <cellStyle name="Normal 10 3 2 2 5 2 2 6" xfId="16930" xr:uid="{BA8C9F1B-D4EE-4C15-8D8F-FC8C52BDDCC2}"/>
    <cellStyle name="Normal 10 3 2 2 5 2 2 6 2" xfId="16931" xr:uid="{0D6B9470-6D3B-48A1-B7B8-70DC2DAB69AD}"/>
    <cellStyle name="Normal 10 3 2 2 5 2 2 6 2 2" xfId="16932" xr:uid="{0ED8C994-B2BA-4A50-8272-510E821A6AFB}"/>
    <cellStyle name="Normal 10 3 2 2 5 2 2 6 3" xfId="16933" xr:uid="{A8E6A86B-FBDB-4C8D-ADD2-523FA09D67FE}"/>
    <cellStyle name="Normal 10 3 2 2 5 2 2 7" xfId="16934" xr:uid="{E5E377DA-F004-4321-B179-472D3B3873A3}"/>
    <cellStyle name="Normal 10 3 2 2 5 2 2 7 2" xfId="16935" xr:uid="{83786BDC-6EDE-4EED-B375-3C032887F7CD}"/>
    <cellStyle name="Normal 10 3 2 2 5 2 2 8" xfId="16936" xr:uid="{184EFE54-F519-479C-B397-B8B94FE65CC8}"/>
    <cellStyle name="Normal 10 3 2 2 5 2 3" xfId="16937" xr:uid="{CA0DCE67-1060-424E-9ECD-D0E1ECD538AD}"/>
    <cellStyle name="Normal 10 3 2 2 5 2 3 2" xfId="16938" xr:uid="{9CF8C8A1-39B9-42B3-B7DE-1E535E7A656D}"/>
    <cellStyle name="Normal 10 3 2 2 5 2 3 2 2" xfId="16939" xr:uid="{EED9B777-F73E-4028-8066-8E2CCB5BB7C0}"/>
    <cellStyle name="Normal 10 3 2 2 5 2 3 2 2 2" xfId="16940" xr:uid="{3FF7696B-B003-4D32-9C3C-03509D653F0C}"/>
    <cellStyle name="Normal 10 3 2 2 5 2 3 2 2 2 2" xfId="16941" xr:uid="{8B7A7F3A-511E-4323-BDDC-A21BA4D71E6A}"/>
    <cellStyle name="Normal 10 3 2 2 5 2 3 2 2 2 2 2" xfId="16942" xr:uid="{23983CC6-6269-4E03-8678-303C744F78DA}"/>
    <cellStyle name="Normal 10 3 2 2 5 2 3 2 2 2 2 2 2" xfId="16943" xr:uid="{6C06C1E6-0A5E-4A4A-B23E-758474113E22}"/>
    <cellStyle name="Normal 10 3 2 2 5 2 3 2 2 2 2 3" xfId="16944" xr:uid="{ABE414FB-79E1-45B4-B21D-EDC0D2194082}"/>
    <cellStyle name="Normal 10 3 2 2 5 2 3 2 2 2 3" xfId="16945" xr:uid="{025738D8-C906-45E0-B25E-4108A2782A98}"/>
    <cellStyle name="Normal 10 3 2 2 5 2 3 2 2 2 3 2" xfId="16946" xr:uid="{E0C190EB-042B-4021-AD6F-F2540C122170}"/>
    <cellStyle name="Normal 10 3 2 2 5 2 3 2 2 2 4" xfId="16947" xr:uid="{DDC8FEE8-9D5E-46C8-9718-0ABB7D0579EC}"/>
    <cellStyle name="Normal 10 3 2 2 5 2 3 2 2 3" xfId="16948" xr:uid="{EF9A9E7B-7EE7-47DB-BD55-B28B5B4ED080}"/>
    <cellStyle name="Normal 10 3 2 2 5 2 3 2 2 3 2" xfId="16949" xr:uid="{290F5D4B-D140-4C80-A48D-E41478214D83}"/>
    <cellStyle name="Normal 10 3 2 2 5 2 3 2 2 3 2 2" xfId="16950" xr:uid="{86C9E5C5-704D-4973-9E82-48EB5F6367D7}"/>
    <cellStyle name="Normal 10 3 2 2 5 2 3 2 2 3 3" xfId="16951" xr:uid="{50E2B1E6-73A6-4767-A4D1-CE2DDF739304}"/>
    <cellStyle name="Normal 10 3 2 2 5 2 3 2 2 4" xfId="16952" xr:uid="{76EB21F9-3BD0-4A2F-AF08-F48BFC11F07F}"/>
    <cellStyle name="Normal 10 3 2 2 5 2 3 2 2 4 2" xfId="16953" xr:uid="{2C632B62-02B5-4D88-81AC-6B98DDDF8AFE}"/>
    <cellStyle name="Normal 10 3 2 2 5 2 3 2 2 5" xfId="16954" xr:uid="{7B1CB084-2F2D-4D72-830A-2808FC83A6C0}"/>
    <cellStyle name="Normal 10 3 2 2 5 2 3 2 3" xfId="16955" xr:uid="{404A9CFB-7100-4A56-8ADF-94B3F54937E1}"/>
    <cellStyle name="Normal 10 3 2 2 5 2 3 2 3 2" xfId="16956" xr:uid="{DF1C799C-78B8-4397-B112-B776593DB63D}"/>
    <cellStyle name="Normal 10 3 2 2 5 2 3 2 3 2 2" xfId="16957" xr:uid="{8B8838F5-8EC7-47DB-91D3-4C76A3610EE2}"/>
    <cellStyle name="Normal 10 3 2 2 5 2 3 2 3 2 2 2" xfId="16958" xr:uid="{D0E17663-2321-44EF-8CF1-9E1CFB97C3A8}"/>
    <cellStyle name="Normal 10 3 2 2 5 2 3 2 3 2 3" xfId="16959" xr:uid="{FFD9610B-0B0A-47E5-9136-BA856B992F48}"/>
    <cellStyle name="Normal 10 3 2 2 5 2 3 2 3 3" xfId="16960" xr:uid="{A6F53A64-8CF3-4DF8-8FA3-2A9F622B2DDE}"/>
    <cellStyle name="Normal 10 3 2 2 5 2 3 2 3 3 2" xfId="16961" xr:uid="{C69D6EEE-C916-4EA6-A846-62A3478A2518}"/>
    <cellStyle name="Normal 10 3 2 2 5 2 3 2 3 4" xfId="16962" xr:uid="{D1559B99-558C-416A-9E66-F83367CCF68C}"/>
    <cellStyle name="Normal 10 3 2 2 5 2 3 2 4" xfId="16963" xr:uid="{FCCC31F9-3F18-49BC-9A42-CCDC6D055ED0}"/>
    <cellStyle name="Normal 10 3 2 2 5 2 3 2 4 2" xfId="16964" xr:uid="{DE922B2D-9743-4D9C-9986-040A9AFCF958}"/>
    <cellStyle name="Normal 10 3 2 2 5 2 3 2 4 2 2" xfId="16965" xr:uid="{B312D7CD-FAD5-4E35-A9E4-5EE2DA0E4D68}"/>
    <cellStyle name="Normal 10 3 2 2 5 2 3 2 4 3" xfId="16966" xr:uid="{2D4D1101-A2C3-4D27-9C9B-2659B4EF4906}"/>
    <cellStyle name="Normal 10 3 2 2 5 2 3 2 5" xfId="16967" xr:uid="{4D016400-2E6A-4E09-8B5E-23AF09CF2AE8}"/>
    <cellStyle name="Normal 10 3 2 2 5 2 3 2 5 2" xfId="16968" xr:uid="{39A24A27-AF78-4835-9D11-97EA8F219A4B}"/>
    <cellStyle name="Normal 10 3 2 2 5 2 3 2 6" xfId="16969" xr:uid="{F3C57ED3-BD43-4258-B4E3-17DF3538C3E7}"/>
    <cellStyle name="Normal 10 3 2 2 5 2 3 3" xfId="16970" xr:uid="{238984CB-4DD9-4E7F-995E-B564013F65BF}"/>
    <cellStyle name="Normal 10 3 2 2 5 2 3 3 2" xfId="16971" xr:uid="{1D5C0A8F-D871-4113-B9FB-20D302EBB385}"/>
    <cellStyle name="Normal 10 3 2 2 5 2 3 3 2 2" xfId="16972" xr:uid="{092AC897-344D-4BE8-9E51-6FE49BE2AA7E}"/>
    <cellStyle name="Normal 10 3 2 2 5 2 3 3 2 2 2" xfId="16973" xr:uid="{71992C44-2A44-492A-88B1-8D1605DB0D67}"/>
    <cellStyle name="Normal 10 3 2 2 5 2 3 3 2 2 2 2" xfId="16974" xr:uid="{84CB6624-A232-4E59-BAAE-B88C70178137}"/>
    <cellStyle name="Normal 10 3 2 2 5 2 3 3 2 2 3" xfId="16975" xr:uid="{04191518-3645-418D-9716-E23F1BF2B5CB}"/>
    <cellStyle name="Normal 10 3 2 2 5 2 3 3 2 3" xfId="16976" xr:uid="{09E58CEB-6A78-47FF-AF3F-57E38716B6B7}"/>
    <cellStyle name="Normal 10 3 2 2 5 2 3 3 2 3 2" xfId="16977" xr:uid="{365AD97D-E8F2-4DE5-BFA5-F24A9CB6F887}"/>
    <cellStyle name="Normal 10 3 2 2 5 2 3 3 2 4" xfId="16978" xr:uid="{342CDA68-261A-4EDF-9222-C126C1D51BFD}"/>
    <cellStyle name="Normal 10 3 2 2 5 2 3 3 3" xfId="16979" xr:uid="{E7445C60-841D-40FC-A6FA-4AFFA46FDDC9}"/>
    <cellStyle name="Normal 10 3 2 2 5 2 3 3 3 2" xfId="16980" xr:uid="{E40BFE66-E86F-434B-8E5A-9A1C4037B4D8}"/>
    <cellStyle name="Normal 10 3 2 2 5 2 3 3 3 2 2" xfId="16981" xr:uid="{448E1422-3DEA-47E3-A9D8-AEF4B64D1AF4}"/>
    <cellStyle name="Normal 10 3 2 2 5 2 3 3 3 3" xfId="16982" xr:uid="{04C48CC4-8E96-4E18-A587-D6E66DB048E7}"/>
    <cellStyle name="Normal 10 3 2 2 5 2 3 3 4" xfId="16983" xr:uid="{8F28B8E1-8BF7-4B87-89CF-7E8B11F0CFD8}"/>
    <cellStyle name="Normal 10 3 2 2 5 2 3 3 4 2" xfId="16984" xr:uid="{69C736A9-6F69-4491-B8FE-5B012F54119E}"/>
    <cellStyle name="Normal 10 3 2 2 5 2 3 3 5" xfId="16985" xr:uid="{F590DFE6-87CE-4563-B1E9-059A7481C159}"/>
    <cellStyle name="Normal 10 3 2 2 5 2 3 4" xfId="16986" xr:uid="{176DCB78-5E84-4A6D-B171-A58527C51EBF}"/>
    <cellStyle name="Normal 10 3 2 2 5 2 3 4 2" xfId="16987" xr:uid="{F8F6D7AD-5F6E-480D-B527-FC10DED7D917}"/>
    <cellStyle name="Normal 10 3 2 2 5 2 3 4 2 2" xfId="16988" xr:uid="{89B6611F-9DE3-4B12-827A-B930BA3F18CF}"/>
    <cellStyle name="Normal 10 3 2 2 5 2 3 4 2 2 2" xfId="16989" xr:uid="{7043706C-D795-4213-A403-A364213A2C7F}"/>
    <cellStyle name="Normal 10 3 2 2 5 2 3 4 2 3" xfId="16990" xr:uid="{C36B8AC0-10BA-4BBA-87F7-2640AA29BFD1}"/>
    <cellStyle name="Normal 10 3 2 2 5 2 3 4 3" xfId="16991" xr:uid="{33CCE80E-84D2-4CEE-94BC-F931E0C167F3}"/>
    <cellStyle name="Normal 10 3 2 2 5 2 3 4 3 2" xfId="16992" xr:uid="{9F2315E7-1DDD-46C2-8C96-E1AA5DA6FE82}"/>
    <cellStyle name="Normal 10 3 2 2 5 2 3 4 4" xfId="16993" xr:uid="{1B4AD9CC-60D3-43F8-B6C1-F8794823849D}"/>
    <cellStyle name="Normal 10 3 2 2 5 2 3 5" xfId="16994" xr:uid="{A24A183D-C4A4-48B4-8249-F27EDF12CD36}"/>
    <cellStyle name="Normal 10 3 2 2 5 2 3 5 2" xfId="16995" xr:uid="{AAEEBBE9-E18F-493B-A46C-8B442CFF760B}"/>
    <cellStyle name="Normal 10 3 2 2 5 2 3 5 2 2" xfId="16996" xr:uid="{F84ADD77-5D71-44BB-9700-0CC2F85EC222}"/>
    <cellStyle name="Normal 10 3 2 2 5 2 3 5 3" xfId="16997" xr:uid="{22B371E8-F36F-49D9-BD82-DFC491C63EA9}"/>
    <cellStyle name="Normal 10 3 2 2 5 2 3 6" xfId="16998" xr:uid="{5010975A-4777-4664-9834-71F0CE0EB9A5}"/>
    <cellStyle name="Normal 10 3 2 2 5 2 3 6 2" xfId="16999" xr:uid="{C06EF218-2DF7-46E4-8A4F-23CCF25250CD}"/>
    <cellStyle name="Normal 10 3 2 2 5 2 3 7" xfId="17000" xr:uid="{F3DCA549-BF1B-48CD-853E-5547F2BE3FCA}"/>
    <cellStyle name="Normal 10 3 2 2 5 2 4" xfId="17001" xr:uid="{D0C5F956-50EA-477F-886E-DF4BAC710BCB}"/>
    <cellStyle name="Normal 10 3 2 2 5 2 4 2" xfId="17002" xr:uid="{A95D0650-8B2E-4144-AB9C-EFF5723F68EE}"/>
    <cellStyle name="Normal 10 3 2 2 5 2 4 2 2" xfId="17003" xr:uid="{08599712-053D-4634-B823-060553FBEF13}"/>
    <cellStyle name="Normal 10 3 2 2 5 2 4 2 2 2" xfId="17004" xr:uid="{94969796-C2D4-40B5-BD6D-A0674EABC37A}"/>
    <cellStyle name="Normal 10 3 2 2 5 2 4 2 2 2 2" xfId="17005" xr:uid="{626318EC-ABF3-45CF-B87F-5BA5FAE6D7BE}"/>
    <cellStyle name="Normal 10 3 2 2 5 2 4 2 2 2 2 2" xfId="17006" xr:uid="{DF620201-2988-4E7B-B47A-0B6234857EDB}"/>
    <cellStyle name="Normal 10 3 2 2 5 2 4 2 2 2 3" xfId="17007" xr:uid="{86866E45-DE00-4277-A9A8-3833D78E9427}"/>
    <cellStyle name="Normal 10 3 2 2 5 2 4 2 2 3" xfId="17008" xr:uid="{ADBED709-82C0-4698-9F2A-9120F71E28F9}"/>
    <cellStyle name="Normal 10 3 2 2 5 2 4 2 2 3 2" xfId="17009" xr:uid="{A01F0C1E-3DA2-4038-B8ED-49D9703B0192}"/>
    <cellStyle name="Normal 10 3 2 2 5 2 4 2 2 4" xfId="17010" xr:uid="{860DC75C-42A1-41B4-B607-7E3995944459}"/>
    <cellStyle name="Normal 10 3 2 2 5 2 4 2 3" xfId="17011" xr:uid="{ACA4A078-38AF-4C22-B47F-B228B44B31A2}"/>
    <cellStyle name="Normal 10 3 2 2 5 2 4 2 3 2" xfId="17012" xr:uid="{C067C60F-2AAE-4CD2-BD94-59C978032D30}"/>
    <cellStyle name="Normal 10 3 2 2 5 2 4 2 3 2 2" xfId="17013" xr:uid="{04C07CA3-E857-40DD-9C4F-19C986181F5E}"/>
    <cellStyle name="Normal 10 3 2 2 5 2 4 2 3 3" xfId="17014" xr:uid="{E5124084-A2B7-444A-86DC-54FC682C584F}"/>
    <cellStyle name="Normal 10 3 2 2 5 2 4 2 4" xfId="17015" xr:uid="{1D7D816A-C48A-4CE2-A9F1-9960F3DB3076}"/>
    <cellStyle name="Normal 10 3 2 2 5 2 4 2 4 2" xfId="17016" xr:uid="{22958F5F-2C55-499A-9A1C-F4E6A7C27EE6}"/>
    <cellStyle name="Normal 10 3 2 2 5 2 4 2 5" xfId="17017" xr:uid="{E3D8E9DF-C6EC-40AB-B27A-8C1F927202CF}"/>
    <cellStyle name="Normal 10 3 2 2 5 2 4 3" xfId="17018" xr:uid="{08139A5D-3F5D-4496-BB6C-7112081C2092}"/>
    <cellStyle name="Normal 10 3 2 2 5 2 4 3 2" xfId="17019" xr:uid="{A976DF71-2269-41F9-A492-4FA7CC07C26A}"/>
    <cellStyle name="Normal 10 3 2 2 5 2 4 3 2 2" xfId="17020" xr:uid="{DA0F9CF5-2565-4889-A235-DD1F8F6D690E}"/>
    <cellStyle name="Normal 10 3 2 2 5 2 4 3 2 2 2" xfId="17021" xr:uid="{7E185C4B-CE66-42DF-81AF-258B53D89A65}"/>
    <cellStyle name="Normal 10 3 2 2 5 2 4 3 2 3" xfId="17022" xr:uid="{AF78E9C6-91A1-4159-A4EF-DCF5F8791DB3}"/>
    <cellStyle name="Normal 10 3 2 2 5 2 4 3 3" xfId="17023" xr:uid="{582A5353-C7C4-4BDE-AA6D-39BD4F5104C8}"/>
    <cellStyle name="Normal 10 3 2 2 5 2 4 3 3 2" xfId="17024" xr:uid="{623F9D99-E3A1-47A5-B956-2EE3A002EA17}"/>
    <cellStyle name="Normal 10 3 2 2 5 2 4 3 4" xfId="17025" xr:uid="{AA53DD8D-7872-4923-9A16-2F5062CF1CBA}"/>
    <cellStyle name="Normal 10 3 2 2 5 2 4 4" xfId="17026" xr:uid="{CDBC17E8-10B0-4373-8219-CA9459B3C883}"/>
    <cellStyle name="Normal 10 3 2 2 5 2 4 4 2" xfId="17027" xr:uid="{20BB305F-EDE8-4D96-A461-3ECA2FEA1712}"/>
    <cellStyle name="Normal 10 3 2 2 5 2 4 4 2 2" xfId="17028" xr:uid="{B4BB300A-FE67-4C54-8CD8-36B0902BCA2E}"/>
    <cellStyle name="Normal 10 3 2 2 5 2 4 4 3" xfId="17029" xr:uid="{4BDC614E-D66E-432B-BB0A-75DBFA7B0CF5}"/>
    <cellStyle name="Normal 10 3 2 2 5 2 4 5" xfId="17030" xr:uid="{DE839FBA-4F2E-4CE3-A4FD-5D55ED7ED9E3}"/>
    <cellStyle name="Normal 10 3 2 2 5 2 4 5 2" xfId="17031" xr:uid="{3FD2CC74-E43A-4A11-808D-0A7AD6EA51A1}"/>
    <cellStyle name="Normal 10 3 2 2 5 2 4 6" xfId="17032" xr:uid="{01B0D26F-2EB4-49D0-AE82-61BEF8B7417F}"/>
    <cellStyle name="Normal 10 3 2 2 5 2 5" xfId="17033" xr:uid="{4E0AF2EB-21FA-4440-A327-DE0D91003CF8}"/>
    <cellStyle name="Normal 10 3 2 2 5 2 5 2" xfId="17034" xr:uid="{0D3D30DA-7EC8-4193-B1FC-15C9764DC238}"/>
    <cellStyle name="Normal 10 3 2 2 5 2 5 2 2" xfId="17035" xr:uid="{6825A8E3-4244-4805-A607-542F9C056527}"/>
    <cellStyle name="Normal 10 3 2 2 5 2 5 2 2 2" xfId="17036" xr:uid="{AA2A4895-69A7-42D1-A028-227D05898550}"/>
    <cellStyle name="Normal 10 3 2 2 5 2 5 2 2 2 2" xfId="17037" xr:uid="{13B543A5-5922-4DBF-898C-5E5E66DC4C6B}"/>
    <cellStyle name="Normal 10 3 2 2 5 2 5 2 2 3" xfId="17038" xr:uid="{83EC0B10-0F18-4F74-8768-4C0783985B78}"/>
    <cellStyle name="Normal 10 3 2 2 5 2 5 2 3" xfId="17039" xr:uid="{3C9292B8-74B9-45D0-93E3-26283B2B0CED}"/>
    <cellStyle name="Normal 10 3 2 2 5 2 5 2 3 2" xfId="17040" xr:uid="{0152C9E4-5D45-41B0-8E0E-86BA8F9EAB25}"/>
    <cellStyle name="Normal 10 3 2 2 5 2 5 2 4" xfId="17041" xr:uid="{28CF21F5-6AC9-418E-8876-A3A425F07040}"/>
    <cellStyle name="Normal 10 3 2 2 5 2 5 3" xfId="17042" xr:uid="{84EE5EC8-8DF3-4A32-9CB9-2C51479F19BF}"/>
    <cellStyle name="Normal 10 3 2 2 5 2 5 3 2" xfId="17043" xr:uid="{8C40C09E-CA6B-4D27-82BD-FF7B1A011AD3}"/>
    <cellStyle name="Normal 10 3 2 2 5 2 5 3 2 2" xfId="17044" xr:uid="{324816F9-C693-4AFC-8FC4-1E76C6190FAD}"/>
    <cellStyle name="Normal 10 3 2 2 5 2 5 3 3" xfId="17045" xr:uid="{0EBE6D69-4279-487E-AF64-5624D7BC9EDB}"/>
    <cellStyle name="Normal 10 3 2 2 5 2 5 4" xfId="17046" xr:uid="{9583BCD1-EED7-4A2C-9F19-B9CA6AC4EC6D}"/>
    <cellStyle name="Normal 10 3 2 2 5 2 5 4 2" xfId="17047" xr:uid="{0DAE63D0-D062-4AC9-A086-AF5E7FE4928F}"/>
    <cellStyle name="Normal 10 3 2 2 5 2 5 5" xfId="17048" xr:uid="{9169269D-CFEE-43FF-8B8B-6173BF267168}"/>
    <cellStyle name="Normal 10 3 2 2 5 2 6" xfId="17049" xr:uid="{8AC534A9-84EF-45A1-9A0F-E4FD97415390}"/>
    <cellStyle name="Normal 10 3 2 2 5 2 6 2" xfId="17050" xr:uid="{7E765DF7-C3A7-489A-895D-CC7A17C8893B}"/>
    <cellStyle name="Normal 10 3 2 2 5 2 6 2 2" xfId="17051" xr:uid="{A8E804EB-5718-458B-8217-D27CE6C5A4E2}"/>
    <cellStyle name="Normal 10 3 2 2 5 2 6 2 2 2" xfId="17052" xr:uid="{E03CF4B7-B18A-4A6A-AA7D-B71DA3755BB4}"/>
    <cellStyle name="Normal 10 3 2 2 5 2 6 2 3" xfId="17053" xr:uid="{D4F51F96-3E8E-4040-AECB-8C2EA7C17E26}"/>
    <cellStyle name="Normal 10 3 2 2 5 2 6 3" xfId="17054" xr:uid="{182E486C-1C15-4948-8B49-D0BCC157DEB4}"/>
    <cellStyle name="Normal 10 3 2 2 5 2 6 3 2" xfId="17055" xr:uid="{E5E8C449-2286-4292-A71A-8FE1CF1E83C5}"/>
    <cellStyle name="Normal 10 3 2 2 5 2 6 4" xfId="17056" xr:uid="{8C3FF90E-D371-477F-BBDC-31AF8B7BE4FE}"/>
    <cellStyle name="Normal 10 3 2 2 5 2 7" xfId="17057" xr:uid="{2BD5DC70-0145-4B12-BDDF-48F278296729}"/>
    <cellStyle name="Normal 10 3 2 2 5 2 7 2" xfId="17058" xr:uid="{BAD8D8C5-C284-4888-BB63-E30F6F728743}"/>
    <cellStyle name="Normal 10 3 2 2 5 2 7 2 2" xfId="17059" xr:uid="{B27C734B-ED4A-4750-A15E-B2B03189CB9F}"/>
    <cellStyle name="Normal 10 3 2 2 5 2 7 3" xfId="17060" xr:uid="{837B3668-2417-4DCD-8D6D-A685A632C2E4}"/>
    <cellStyle name="Normal 10 3 2 2 5 2 8" xfId="17061" xr:uid="{EC14C864-0BA5-4D63-8A37-D6EFC51A8FD2}"/>
    <cellStyle name="Normal 10 3 2 2 5 2 8 2" xfId="17062" xr:uid="{3377732F-98F1-49D0-A13D-2ACB58FB36AF}"/>
    <cellStyle name="Normal 10 3 2 2 5 2 9" xfId="17063" xr:uid="{F054D3EE-A6D8-48FC-B3B9-79014018048E}"/>
    <cellStyle name="Normal 10 3 2 2 5 3" xfId="514" xr:uid="{34906415-10AC-40CD-87E2-1FE10826ACCA}"/>
    <cellStyle name="Normal 10 3 2 2 5 3 2" xfId="17065" xr:uid="{B4EBA19C-EC47-4BDF-A4FC-3A4BE0DD7E08}"/>
    <cellStyle name="Normal 10 3 2 2 5 3 2 2" xfId="17066" xr:uid="{87D89713-DF7E-4DDB-A950-8D7166FD4C1C}"/>
    <cellStyle name="Normal 10 3 2 2 5 3 2 2 2" xfId="17067" xr:uid="{04BFBE06-C13A-4322-B452-526D32B91FAE}"/>
    <cellStyle name="Normal 10 3 2 2 5 3 2 2 2 2" xfId="17068" xr:uid="{6DEB593C-A1BC-4E75-869C-E136AFEB069B}"/>
    <cellStyle name="Normal 10 3 2 2 5 3 2 2 2 2 2" xfId="17069" xr:uid="{80BC1414-BB85-4F3F-9F77-67C6E5EF699F}"/>
    <cellStyle name="Normal 10 3 2 2 5 3 2 2 2 2 2 2" xfId="17070" xr:uid="{DCACB6DE-E1F2-4C6F-BB34-2EDE77CE1703}"/>
    <cellStyle name="Normal 10 3 2 2 5 3 2 2 2 2 2 2 2" xfId="17071" xr:uid="{F9A745BA-A696-4588-BDC6-216278922E2B}"/>
    <cellStyle name="Normal 10 3 2 2 5 3 2 2 2 2 2 3" xfId="17072" xr:uid="{380C7822-9FBC-4B6F-8293-03CB09D45157}"/>
    <cellStyle name="Normal 10 3 2 2 5 3 2 2 2 2 3" xfId="17073" xr:uid="{221AC341-83DB-4311-B7BE-F94B7C597149}"/>
    <cellStyle name="Normal 10 3 2 2 5 3 2 2 2 2 3 2" xfId="17074" xr:uid="{6B25AB65-C07F-4C7A-9E20-72F690CAA1B4}"/>
    <cellStyle name="Normal 10 3 2 2 5 3 2 2 2 2 4" xfId="17075" xr:uid="{2B3CB3A3-5859-4EAB-8030-A440967817A3}"/>
    <cellStyle name="Normal 10 3 2 2 5 3 2 2 2 3" xfId="17076" xr:uid="{64378FD6-7346-4F96-A239-96386CAB9FE6}"/>
    <cellStyle name="Normal 10 3 2 2 5 3 2 2 2 3 2" xfId="17077" xr:uid="{56C2B3A4-0E8F-4A45-84B9-AF55A47B0E5F}"/>
    <cellStyle name="Normal 10 3 2 2 5 3 2 2 2 3 2 2" xfId="17078" xr:uid="{EC80A139-A4FD-461E-A01B-FB0DF062307B}"/>
    <cellStyle name="Normal 10 3 2 2 5 3 2 2 2 3 3" xfId="17079" xr:uid="{3F3B0515-9B71-4AF3-9AE7-2E86482AB8EB}"/>
    <cellStyle name="Normal 10 3 2 2 5 3 2 2 2 4" xfId="17080" xr:uid="{036309EB-53B6-43DE-97E6-B94FD3AAA980}"/>
    <cellStyle name="Normal 10 3 2 2 5 3 2 2 2 4 2" xfId="17081" xr:uid="{9F29D5D6-9FDC-4E84-AD04-82ABBEDD5599}"/>
    <cellStyle name="Normal 10 3 2 2 5 3 2 2 2 5" xfId="17082" xr:uid="{FE6C1C06-4665-4BC2-9237-AE59171DD982}"/>
    <cellStyle name="Normal 10 3 2 2 5 3 2 2 3" xfId="17083" xr:uid="{233F885F-1CAB-4CA6-8511-70DAFE4AA070}"/>
    <cellStyle name="Normal 10 3 2 2 5 3 2 2 3 2" xfId="17084" xr:uid="{15B2751F-BE4A-4A7C-A88E-7F4A89B33D4C}"/>
    <cellStyle name="Normal 10 3 2 2 5 3 2 2 3 2 2" xfId="17085" xr:uid="{61F98D36-C246-4B8B-AB9B-54652EA328A1}"/>
    <cellStyle name="Normal 10 3 2 2 5 3 2 2 3 2 2 2" xfId="17086" xr:uid="{FC3BC3D3-5784-4410-8247-86E1C3A2190B}"/>
    <cellStyle name="Normal 10 3 2 2 5 3 2 2 3 2 3" xfId="17087" xr:uid="{86E212AF-8771-4CC4-94C9-A4E2D352359F}"/>
    <cellStyle name="Normal 10 3 2 2 5 3 2 2 3 3" xfId="17088" xr:uid="{5EE9652F-70C2-460D-914A-0868DA15ADE0}"/>
    <cellStyle name="Normal 10 3 2 2 5 3 2 2 3 3 2" xfId="17089" xr:uid="{DFD201B9-6788-490A-91DF-C3AB87A36832}"/>
    <cellStyle name="Normal 10 3 2 2 5 3 2 2 3 4" xfId="17090" xr:uid="{E89DDFAC-CB78-402C-B1EF-7C6A521B335F}"/>
    <cellStyle name="Normal 10 3 2 2 5 3 2 2 4" xfId="17091" xr:uid="{A329DC39-FE78-404A-91A2-945B851E77E7}"/>
    <cellStyle name="Normal 10 3 2 2 5 3 2 2 4 2" xfId="17092" xr:uid="{25F17E2D-5C66-4EF6-BA92-56B025601331}"/>
    <cellStyle name="Normal 10 3 2 2 5 3 2 2 4 2 2" xfId="17093" xr:uid="{C94AC88D-73AC-4296-8D3B-5F35C68DAF54}"/>
    <cellStyle name="Normal 10 3 2 2 5 3 2 2 4 3" xfId="17094" xr:uid="{AD77108C-5CCA-4356-A8CC-D5AF4F6A4BEE}"/>
    <cellStyle name="Normal 10 3 2 2 5 3 2 2 5" xfId="17095" xr:uid="{4B04E327-AE96-4D07-B18F-BD3E9FEDFDDC}"/>
    <cellStyle name="Normal 10 3 2 2 5 3 2 2 5 2" xfId="17096" xr:uid="{A96BAE1E-60D5-4AE2-A62F-05DA7D6A1A81}"/>
    <cellStyle name="Normal 10 3 2 2 5 3 2 2 6" xfId="17097" xr:uid="{CE7BFB36-5134-47B8-9EBD-058757FE343E}"/>
    <cellStyle name="Normal 10 3 2 2 5 3 2 3" xfId="17098" xr:uid="{B24E401B-8D49-4F58-B8D4-FF60D4E62B74}"/>
    <cellStyle name="Normal 10 3 2 2 5 3 2 3 2" xfId="17099" xr:uid="{E5F24BF8-EDF9-4049-BDF0-4E3FDA3543C1}"/>
    <cellStyle name="Normal 10 3 2 2 5 3 2 3 2 2" xfId="17100" xr:uid="{E480A4D3-10BD-494A-A14C-95496FEEF601}"/>
    <cellStyle name="Normal 10 3 2 2 5 3 2 3 2 2 2" xfId="17101" xr:uid="{DA7ACC0A-DA54-44B3-A2F0-85E9DCA6DF94}"/>
    <cellStyle name="Normal 10 3 2 2 5 3 2 3 2 2 2 2" xfId="17102" xr:uid="{E908B8C1-C13D-41F6-88C9-0123DBF2A2E5}"/>
    <cellStyle name="Normal 10 3 2 2 5 3 2 3 2 2 3" xfId="17103" xr:uid="{36EDF3AA-ADF4-4BB8-B16B-732453B8516A}"/>
    <cellStyle name="Normal 10 3 2 2 5 3 2 3 2 3" xfId="17104" xr:uid="{170E44A6-42CA-4276-86B1-7D6CCEE3C311}"/>
    <cellStyle name="Normal 10 3 2 2 5 3 2 3 2 3 2" xfId="17105" xr:uid="{10877D44-4344-4836-B111-2AFAA7FDE472}"/>
    <cellStyle name="Normal 10 3 2 2 5 3 2 3 2 4" xfId="17106" xr:uid="{69518AB1-B36C-4C3D-9AF9-6FB01CFD21C8}"/>
    <cellStyle name="Normal 10 3 2 2 5 3 2 3 3" xfId="17107" xr:uid="{F8AC2465-E1A2-4101-8211-AB7C285DD2C2}"/>
    <cellStyle name="Normal 10 3 2 2 5 3 2 3 3 2" xfId="17108" xr:uid="{3E437E5E-350C-40A0-BCC6-4824A5F02B57}"/>
    <cellStyle name="Normal 10 3 2 2 5 3 2 3 3 2 2" xfId="17109" xr:uid="{2F8378AE-C0A5-4996-862F-C586FD004B0D}"/>
    <cellStyle name="Normal 10 3 2 2 5 3 2 3 3 3" xfId="17110" xr:uid="{6D4B6BAF-A504-42B3-9787-1CDEA4B5ABD0}"/>
    <cellStyle name="Normal 10 3 2 2 5 3 2 3 4" xfId="17111" xr:uid="{C51DD496-49E8-4966-B04B-D5717C38072B}"/>
    <cellStyle name="Normal 10 3 2 2 5 3 2 3 4 2" xfId="17112" xr:uid="{A23E9A55-76F6-4560-8A1A-FE5F8FCE44FC}"/>
    <cellStyle name="Normal 10 3 2 2 5 3 2 3 5" xfId="17113" xr:uid="{EC27DCE8-D2DD-4355-AA00-F4B5352BBBBB}"/>
    <cellStyle name="Normal 10 3 2 2 5 3 2 4" xfId="17114" xr:uid="{46D196AB-B40F-46F4-8A7B-3210C3774B7F}"/>
    <cellStyle name="Normal 10 3 2 2 5 3 2 4 2" xfId="17115" xr:uid="{A1589FA0-7628-4E82-9197-5584F7ADE43B}"/>
    <cellStyle name="Normal 10 3 2 2 5 3 2 4 2 2" xfId="17116" xr:uid="{9B64F1C0-597E-4E86-8D48-43D7C7FDCFD7}"/>
    <cellStyle name="Normal 10 3 2 2 5 3 2 4 2 2 2" xfId="17117" xr:uid="{08AFEED7-BC0E-4B0E-9D43-4874A265471E}"/>
    <cellStyle name="Normal 10 3 2 2 5 3 2 4 2 3" xfId="17118" xr:uid="{B8E7711E-EBBA-45B9-9D8F-C153007F8DFD}"/>
    <cellStyle name="Normal 10 3 2 2 5 3 2 4 3" xfId="17119" xr:uid="{6A0CE11F-A5A6-44D9-861B-3764B2618884}"/>
    <cellStyle name="Normal 10 3 2 2 5 3 2 4 3 2" xfId="17120" xr:uid="{FBCF51F8-3CF9-4963-B70B-221B7248869A}"/>
    <cellStyle name="Normal 10 3 2 2 5 3 2 4 4" xfId="17121" xr:uid="{6FD0B7B5-427D-4DE3-9EA9-8DFFCBC3ABA1}"/>
    <cellStyle name="Normal 10 3 2 2 5 3 2 5" xfId="17122" xr:uid="{C05F5A02-D179-46C7-9102-F4D56C33C12A}"/>
    <cellStyle name="Normal 10 3 2 2 5 3 2 5 2" xfId="17123" xr:uid="{C95E2553-BAC5-4183-B99C-21F56AC6BC66}"/>
    <cellStyle name="Normal 10 3 2 2 5 3 2 5 2 2" xfId="17124" xr:uid="{DD1ACFBE-C671-4D4F-A972-DF7FB7818A25}"/>
    <cellStyle name="Normal 10 3 2 2 5 3 2 5 3" xfId="17125" xr:uid="{66B24349-CE1A-4F60-A1C8-9720D1303626}"/>
    <cellStyle name="Normal 10 3 2 2 5 3 2 6" xfId="17126" xr:uid="{F6591784-9308-4D34-A070-1BC193F8FC3F}"/>
    <cellStyle name="Normal 10 3 2 2 5 3 2 6 2" xfId="17127" xr:uid="{BC93DB48-409A-4E5B-B806-610698C34119}"/>
    <cellStyle name="Normal 10 3 2 2 5 3 2 7" xfId="17128" xr:uid="{D1D84F95-CD92-4E96-8169-FFBFBB2218B5}"/>
    <cellStyle name="Normal 10 3 2 2 5 3 3" xfId="17129" xr:uid="{8673F230-D3AC-48CA-A9B1-B823002268A3}"/>
    <cellStyle name="Normal 10 3 2 2 5 3 3 2" xfId="17130" xr:uid="{169B4380-A809-4AD2-8DFE-0E0B2678662E}"/>
    <cellStyle name="Normal 10 3 2 2 5 3 3 2 2" xfId="17131" xr:uid="{970DF792-F0FE-4BB5-9BE6-611702B86ECD}"/>
    <cellStyle name="Normal 10 3 2 2 5 3 3 2 2 2" xfId="17132" xr:uid="{C298558F-E31C-4A57-8CB2-0166894CC9D8}"/>
    <cellStyle name="Normal 10 3 2 2 5 3 3 2 2 2 2" xfId="17133" xr:uid="{A18D5BC0-F8EB-41A6-9897-BDCC23DABB06}"/>
    <cellStyle name="Normal 10 3 2 2 5 3 3 2 2 2 2 2" xfId="17134" xr:uid="{9412F9F2-6068-40AA-80F7-6B6705BD2B2B}"/>
    <cellStyle name="Normal 10 3 2 2 5 3 3 2 2 2 3" xfId="17135" xr:uid="{F2C33A48-0C7F-4D0B-B0EF-0359AA520611}"/>
    <cellStyle name="Normal 10 3 2 2 5 3 3 2 2 3" xfId="17136" xr:uid="{401B7654-8CBA-4D39-B1FB-2EBBDDD803F9}"/>
    <cellStyle name="Normal 10 3 2 2 5 3 3 2 2 3 2" xfId="17137" xr:uid="{4BCE5793-EF84-4239-8CFD-B708C7EE42DD}"/>
    <cellStyle name="Normal 10 3 2 2 5 3 3 2 2 4" xfId="17138" xr:uid="{55EA8C70-6041-4F80-B471-DCAA155B4C5A}"/>
    <cellStyle name="Normal 10 3 2 2 5 3 3 2 3" xfId="17139" xr:uid="{E8F96748-86D4-41FA-9153-2B51578AD405}"/>
    <cellStyle name="Normal 10 3 2 2 5 3 3 2 3 2" xfId="17140" xr:uid="{B243188E-866A-40E6-A555-C3619A4C11D7}"/>
    <cellStyle name="Normal 10 3 2 2 5 3 3 2 3 2 2" xfId="17141" xr:uid="{56AED0AE-050A-4DB3-BB55-4EDAD70E6BE6}"/>
    <cellStyle name="Normal 10 3 2 2 5 3 3 2 3 3" xfId="17142" xr:uid="{EDD03591-3931-42F6-AD64-03DF9399AE1B}"/>
    <cellStyle name="Normal 10 3 2 2 5 3 3 2 4" xfId="17143" xr:uid="{992C5CA3-30F9-4C86-983C-42ED19167AA5}"/>
    <cellStyle name="Normal 10 3 2 2 5 3 3 2 4 2" xfId="17144" xr:uid="{8BD233B0-15BC-4203-8915-D1A7F1A7A3DC}"/>
    <cellStyle name="Normal 10 3 2 2 5 3 3 2 5" xfId="17145" xr:uid="{52F96531-4220-4DC9-8307-3DF6CC9875C5}"/>
    <cellStyle name="Normal 10 3 2 2 5 3 3 3" xfId="17146" xr:uid="{F8BC0E71-B708-4DE3-B3CD-F1DE00D5DBAF}"/>
    <cellStyle name="Normal 10 3 2 2 5 3 3 3 2" xfId="17147" xr:uid="{0B09A307-E868-4E0A-819D-F47CDD608F39}"/>
    <cellStyle name="Normal 10 3 2 2 5 3 3 3 2 2" xfId="17148" xr:uid="{DA0CF525-FAD9-4B60-B176-FD5168890FE0}"/>
    <cellStyle name="Normal 10 3 2 2 5 3 3 3 2 2 2" xfId="17149" xr:uid="{F4CEF48C-E7F7-46C4-B03C-440EDB70D19B}"/>
    <cellStyle name="Normal 10 3 2 2 5 3 3 3 2 3" xfId="17150" xr:uid="{5386AB69-682D-447B-8AE2-0A8656FD1C4E}"/>
    <cellStyle name="Normal 10 3 2 2 5 3 3 3 3" xfId="17151" xr:uid="{356B47C4-AA65-4832-B2BE-29E753355AB2}"/>
    <cellStyle name="Normal 10 3 2 2 5 3 3 3 3 2" xfId="17152" xr:uid="{F195B348-D213-4490-BB34-220AC3EF7819}"/>
    <cellStyle name="Normal 10 3 2 2 5 3 3 3 4" xfId="17153" xr:uid="{99D8A7FF-02D0-45B1-B4F0-72F9B2B29145}"/>
    <cellStyle name="Normal 10 3 2 2 5 3 3 4" xfId="17154" xr:uid="{47FEFA9A-FB0E-4806-93C9-53F8C2FE0AE4}"/>
    <cellStyle name="Normal 10 3 2 2 5 3 3 4 2" xfId="17155" xr:uid="{58DFD9AE-3EE0-41E2-A651-647D33126F02}"/>
    <cellStyle name="Normal 10 3 2 2 5 3 3 4 2 2" xfId="17156" xr:uid="{2B8C30C0-9B66-487F-BB2D-F033091ADE27}"/>
    <cellStyle name="Normal 10 3 2 2 5 3 3 4 3" xfId="17157" xr:uid="{F1B43A81-B2ED-428F-824B-52D5D7B22210}"/>
    <cellStyle name="Normal 10 3 2 2 5 3 3 5" xfId="17158" xr:uid="{C8956E39-B376-42F6-BE38-F5E25E2981AE}"/>
    <cellStyle name="Normal 10 3 2 2 5 3 3 5 2" xfId="17159" xr:uid="{E67A5618-6431-44DE-BF4D-3C5B5E893049}"/>
    <cellStyle name="Normal 10 3 2 2 5 3 3 6" xfId="17160" xr:uid="{86246429-4B7D-491D-A060-72575C1BE646}"/>
    <cellStyle name="Normal 10 3 2 2 5 3 4" xfId="17161" xr:uid="{833A7C1F-0310-4CE8-8758-97A11DD54FE6}"/>
    <cellStyle name="Normal 10 3 2 2 5 3 4 2" xfId="17162" xr:uid="{166820C5-1BC6-4D3D-A624-E6CF903F8C18}"/>
    <cellStyle name="Normal 10 3 2 2 5 3 4 2 2" xfId="17163" xr:uid="{B23CB2C2-F661-4CBD-B367-099A9867348A}"/>
    <cellStyle name="Normal 10 3 2 2 5 3 4 2 2 2" xfId="17164" xr:uid="{DA29E69D-21C9-446D-B703-8658E888D863}"/>
    <cellStyle name="Normal 10 3 2 2 5 3 4 2 2 2 2" xfId="17165" xr:uid="{62461147-D454-4F69-AAD8-E46FE221DAB8}"/>
    <cellStyle name="Normal 10 3 2 2 5 3 4 2 2 3" xfId="17166" xr:uid="{FBD62539-2E66-4441-943B-56F057ED0F49}"/>
    <cellStyle name="Normal 10 3 2 2 5 3 4 2 3" xfId="17167" xr:uid="{B1D9DF25-851F-4D89-A50B-F607EB428B88}"/>
    <cellStyle name="Normal 10 3 2 2 5 3 4 2 3 2" xfId="17168" xr:uid="{162D0848-00F9-4E4F-9FB8-21963A14E8C8}"/>
    <cellStyle name="Normal 10 3 2 2 5 3 4 2 4" xfId="17169" xr:uid="{F9FE223C-398D-413E-A1C1-0980D16717F1}"/>
    <cellStyle name="Normal 10 3 2 2 5 3 4 3" xfId="17170" xr:uid="{5F021C6E-B1D4-437E-B175-7E43FB49C082}"/>
    <cellStyle name="Normal 10 3 2 2 5 3 4 3 2" xfId="17171" xr:uid="{CBDFC1B4-F8D8-47D0-8F1D-6701A440C8AB}"/>
    <cellStyle name="Normal 10 3 2 2 5 3 4 3 2 2" xfId="17172" xr:uid="{7C0D6279-9EC4-43FA-AE1B-46FC202C5CAC}"/>
    <cellStyle name="Normal 10 3 2 2 5 3 4 3 3" xfId="17173" xr:uid="{2381BD29-43BD-458C-AE27-9A66372152A9}"/>
    <cellStyle name="Normal 10 3 2 2 5 3 4 4" xfId="17174" xr:uid="{962602D8-F299-44C8-AA1B-F6C712D2A77E}"/>
    <cellStyle name="Normal 10 3 2 2 5 3 4 4 2" xfId="17175" xr:uid="{6130771E-FEF7-483A-8CBC-BFC6B47F3C27}"/>
    <cellStyle name="Normal 10 3 2 2 5 3 4 5" xfId="17176" xr:uid="{769FEAE2-AAF9-402B-8C27-8F63EAE25772}"/>
    <cellStyle name="Normal 10 3 2 2 5 3 5" xfId="17177" xr:uid="{26085492-0D6D-4413-953E-F18A3BA7FB28}"/>
    <cellStyle name="Normal 10 3 2 2 5 3 5 2" xfId="17178" xr:uid="{D80196EB-4328-4254-B05E-80A0338CC010}"/>
    <cellStyle name="Normal 10 3 2 2 5 3 5 2 2" xfId="17179" xr:uid="{2A7BD015-4F52-41EB-9119-769EA052E0F4}"/>
    <cellStyle name="Normal 10 3 2 2 5 3 5 2 2 2" xfId="17180" xr:uid="{FDACC373-BD8A-4D7A-8859-F51DDA9CD8E4}"/>
    <cellStyle name="Normal 10 3 2 2 5 3 5 2 3" xfId="17181" xr:uid="{1B8212E7-6AAC-4CB1-91D6-8A67F8FBCA72}"/>
    <cellStyle name="Normal 10 3 2 2 5 3 5 3" xfId="17182" xr:uid="{F38A63DB-7DA2-41BA-9563-F87A18E97383}"/>
    <cellStyle name="Normal 10 3 2 2 5 3 5 3 2" xfId="17183" xr:uid="{9AB8A7DB-7406-406E-9887-FEF700D64DEB}"/>
    <cellStyle name="Normal 10 3 2 2 5 3 5 4" xfId="17184" xr:uid="{EFBE8C35-D18D-4636-A035-80374028C4E6}"/>
    <cellStyle name="Normal 10 3 2 2 5 3 6" xfId="17185" xr:uid="{5EF13F0B-A338-48E0-90E5-4E3B63C79890}"/>
    <cellStyle name="Normal 10 3 2 2 5 3 6 2" xfId="17186" xr:uid="{407F61B1-AF8E-44B4-A715-F25E8D41C509}"/>
    <cellStyle name="Normal 10 3 2 2 5 3 6 2 2" xfId="17187" xr:uid="{A8721C57-4861-4822-8E0E-21117A14808B}"/>
    <cellStyle name="Normal 10 3 2 2 5 3 6 3" xfId="17188" xr:uid="{071C47D0-E95B-46C4-B091-2147DB185C7B}"/>
    <cellStyle name="Normal 10 3 2 2 5 3 7" xfId="17189" xr:uid="{277798FE-E7FA-47E4-B094-5A316FE4A7CB}"/>
    <cellStyle name="Normal 10 3 2 2 5 3 7 2" xfId="17190" xr:uid="{A437DA5C-1B1D-4FFD-A4D5-16A923A7E150}"/>
    <cellStyle name="Normal 10 3 2 2 5 3 8" xfId="17191" xr:uid="{92EE0080-BA87-4CCB-B2EA-BD9076564F36}"/>
    <cellStyle name="Normal 10 3 2 2 5 3 9" xfId="17064" xr:uid="{342D195F-D721-456D-99AA-5EA7762981F7}"/>
    <cellStyle name="Normal 10 3 2 2 5 4" xfId="17192" xr:uid="{C16B20A8-F2D8-4215-AC63-6AAE301AA508}"/>
    <cellStyle name="Normal 10 3 2 2 5 4 2" xfId="17193" xr:uid="{8AB5380C-B27D-4D63-B4B7-88C7E2BAF6E4}"/>
    <cellStyle name="Normal 10 3 2 2 5 4 2 2" xfId="17194" xr:uid="{4243698C-1D21-4519-860A-3475484F61C5}"/>
    <cellStyle name="Normal 10 3 2 2 5 4 2 2 2" xfId="17195" xr:uid="{9C356C8A-C3A9-4DBE-BFF3-DEFC950EA6C4}"/>
    <cellStyle name="Normal 10 3 2 2 5 4 2 2 2 2" xfId="17196" xr:uid="{9A8183A3-68D1-47D2-BF54-F502CB136770}"/>
    <cellStyle name="Normal 10 3 2 2 5 4 2 2 2 2 2" xfId="17197" xr:uid="{14EC2E66-DD88-46E5-A74A-D187962E7C09}"/>
    <cellStyle name="Normal 10 3 2 2 5 4 2 2 2 2 2 2" xfId="17198" xr:uid="{0F555381-A339-406D-B8BD-5348B64E8A0C}"/>
    <cellStyle name="Normal 10 3 2 2 5 4 2 2 2 2 3" xfId="17199" xr:uid="{203FA8A5-8EF1-4910-A453-49E888F85189}"/>
    <cellStyle name="Normal 10 3 2 2 5 4 2 2 2 3" xfId="17200" xr:uid="{F71A3BC4-70F3-4460-8F81-9EF1E88E0F66}"/>
    <cellStyle name="Normal 10 3 2 2 5 4 2 2 2 3 2" xfId="17201" xr:uid="{84AD42E5-96C6-4083-AEF4-5AE954DDA307}"/>
    <cellStyle name="Normal 10 3 2 2 5 4 2 2 2 4" xfId="17202" xr:uid="{A60EA92B-FFC3-4F1E-A357-FCE211338281}"/>
    <cellStyle name="Normal 10 3 2 2 5 4 2 2 3" xfId="17203" xr:uid="{625C0DB2-66A7-4489-BE50-BE7A2995D53B}"/>
    <cellStyle name="Normal 10 3 2 2 5 4 2 2 3 2" xfId="17204" xr:uid="{0A71E88C-2FB7-4831-A5E7-C18814B1AE39}"/>
    <cellStyle name="Normal 10 3 2 2 5 4 2 2 3 2 2" xfId="17205" xr:uid="{AFA169A0-686D-4D4B-A4C4-4965C2FB7003}"/>
    <cellStyle name="Normal 10 3 2 2 5 4 2 2 3 3" xfId="17206" xr:uid="{A151D71E-B8E5-415B-9F28-E3EA2A203317}"/>
    <cellStyle name="Normal 10 3 2 2 5 4 2 2 4" xfId="17207" xr:uid="{2EA71296-FAEF-487B-A12C-A7FB124FA20A}"/>
    <cellStyle name="Normal 10 3 2 2 5 4 2 2 4 2" xfId="17208" xr:uid="{DBA0947F-730E-417E-9A6A-75FBCB431AB3}"/>
    <cellStyle name="Normal 10 3 2 2 5 4 2 2 5" xfId="17209" xr:uid="{54466C07-2107-4AC2-A6CB-4B910099A56D}"/>
    <cellStyle name="Normal 10 3 2 2 5 4 2 3" xfId="17210" xr:uid="{7936B8B4-65AD-4AA4-93D4-6578AE4A24D1}"/>
    <cellStyle name="Normal 10 3 2 2 5 4 2 3 2" xfId="17211" xr:uid="{BDAD713B-CA5C-4319-BE03-44ED8D4D86B9}"/>
    <cellStyle name="Normal 10 3 2 2 5 4 2 3 2 2" xfId="17212" xr:uid="{478AC756-89E3-414F-A1D0-EA8EA9F0A23A}"/>
    <cellStyle name="Normal 10 3 2 2 5 4 2 3 2 2 2" xfId="17213" xr:uid="{B9262953-DBFC-4030-ABE7-6417DDAEDEA3}"/>
    <cellStyle name="Normal 10 3 2 2 5 4 2 3 2 3" xfId="17214" xr:uid="{3A26B985-03D7-45E8-995E-FF9D9FADFD59}"/>
    <cellStyle name="Normal 10 3 2 2 5 4 2 3 3" xfId="17215" xr:uid="{163E35DF-969C-4A42-8A69-DEFCE1452A3B}"/>
    <cellStyle name="Normal 10 3 2 2 5 4 2 3 3 2" xfId="17216" xr:uid="{950EC734-E869-4A66-9508-E2CD720A8D17}"/>
    <cellStyle name="Normal 10 3 2 2 5 4 2 3 4" xfId="17217" xr:uid="{04DF2DB7-52A5-4DD6-9EBF-439AF943614C}"/>
    <cellStyle name="Normal 10 3 2 2 5 4 2 4" xfId="17218" xr:uid="{4B9F8D5D-0283-4004-A232-24746E7BE332}"/>
    <cellStyle name="Normal 10 3 2 2 5 4 2 4 2" xfId="17219" xr:uid="{4B8B9F72-928A-4539-9754-1E8611965028}"/>
    <cellStyle name="Normal 10 3 2 2 5 4 2 4 2 2" xfId="17220" xr:uid="{C6772D91-CF84-43E9-B486-21363B6C7A0C}"/>
    <cellStyle name="Normal 10 3 2 2 5 4 2 4 3" xfId="17221" xr:uid="{EB74D3F5-9F01-4D9E-A588-84D6EB049144}"/>
    <cellStyle name="Normal 10 3 2 2 5 4 2 5" xfId="17222" xr:uid="{E716A071-FE43-476A-930E-71ED82E0DEED}"/>
    <cellStyle name="Normal 10 3 2 2 5 4 2 5 2" xfId="17223" xr:uid="{9DBA92F8-8323-4398-8F78-3D7007704B6A}"/>
    <cellStyle name="Normal 10 3 2 2 5 4 2 6" xfId="17224" xr:uid="{0926398A-4169-4263-B860-54B7E9D4AFA7}"/>
    <cellStyle name="Normal 10 3 2 2 5 4 3" xfId="17225" xr:uid="{B31EC982-4097-4CDA-B67A-DD3BFD2DA4E1}"/>
    <cellStyle name="Normal 10 3 2 2 5 4 3 2" xfId="17226" xr:uid="{23EE7EEE-554B-4A42-B6B5-D7892E485CF0}"/>
    <cellStyle name="Normal 10 3 2 2 5 4 3 2 2" xfId="17227" xr:uid="{4789F50F-DF66-4EE8-800D-40623DC16F62}"/>
    <cellStyle name="Normal 10 3 2 2 5 4 3 2 2 2" xfId="17228" xr:uid="{EBBD7BC7-AB7C-4913-A9B3-46E4DA7BFA2E}"/>
    <cellStyle name="Normal 10 3 2 2 5 4 3 2 2 2 2" xfId="17229" xr:uid="{5CBFED6B-01A8-420B-8753-A2C4B5C18739}"/>
    <cellStyle name="Normal 10 3 2 2 5 4 3 2 2 3" xfId="17230" xr:uid="{C13B0643-F93F-4234-899E-5B860E1D3FD5}"/>
    <cellStyle name="Normal 10 3 2 2 5 4 3 2 3" xfId="17231" xr:uid="{784AA408-DCD2-43C2-8EB6-D70C73E487B9}"/>
    <cellStyle name="Normal 10 3 2 2 5 4 3 2 3 2" xfId="17232" xr:uid="{7AB8107B-92EC-499B-BDBF-F2C7F7BEBFBD}"/>
    <cellStyle name="Normal 10 3 2 2 5 4 3 2 4" xfId="17233" xr:uid="{4FB3813F-2074-4F8C-ACBD-93953C41239D}"/>
    <cellStyle name="Normal 10 3 2 2 5 4 3 3" xfId="17234" xr:uid="{616F1FBE-4E94-431A-9955-F3FE31AF73E5}"/>
    <cellStyle name="Normal 10 3 2 2 5 4 3 3 2" xfId="17235" xr:uid="{49DD71A3-4673-4845-8688-404594D19B41}"/>
    <cellStyle name="Normal 10 3 2 2 5 4 3 3 2 2" xfId="17236" xr:uid="{EF8FA1C6-F53A-43C7-969B-260983B6515C}"/>
    <cellStyle name="Normal 10 3 2 2 5 4 3 3 3" xfId="17237" xr:uid="{423D061F-37A5-4328-BC8B-75B607ABF0A1}"/>
    <cellStyle name="Normal 10 3 2 2 5 4 3 4" xfId="17238" xr:uid="{F88601F4-5821-4A5C-90E3-ECDE9F3AA33E}"/>
    <cellStyle name="Normal 10 3 2 2 5 4 3 4 2" xfId="17239" xr:uid="{883E683E-7C75-40A9-959E-8B2071C38818}"/>
    <cellStyle name="Normal 10 3 2 2 5 4 3 5" xfId="17240" xr:uid="{663BE8D4-ABD2-4062-92EF-E824AA8A353E}"/>
    <cellStyle name="Normal 10 3 2 2 5 4 4" xfId="17241" xr:uid="{717FE3A0-F98F-43FE-8103-FA13E9AA34AB}"/>
    <cellStyle name="Normal 10 3 2 2 5 4 4 2" xfId="17242" xr:uid="{E7E91E52-502A-4843-9DDE-ABB5992CE8C3}"/>
    <cellStyle name="Normal 10 3 2 2 5 4 4 2 2" xfId="17243" xr:uid="{F422DD45-61D8-453E-B956-687FDB8372B1}"/>
    <cellStyle name="Normal 10 3 2 2 5 4 4 2 2 2" xfId="17244" xr:uid="{23866120-A342-4D8C-88A4-93F3B128C949}"/>
    <cellStyle name="Normal 10 3 2 2 5 4 4 2 3" xfId="17245" xr:uid="{040C254D-F802-45F4-85E9-853AF185E6EA}"/>
    <cellStyle name="Normal 10 3 2 2 5 4 4 3" xfId="17246" xr:uid="{8C670B6B-32FD-49AA-A447-3102D6D1AA49}"/>
    <cellStyle name="Normal 10 3 2 2 5 4 4 3 2" xfId="17247" xr:uid="{84CED1B7-99DB-4C49-AE7B-DB1BA4A6EE44}"/>
    <cellStyle name="Normal 10 3 2 2 5 4 4 4" xfId="17248" xr:uid="{38E52009-355F-41C0-A320-2D2C4C6F10B9}"/>
    <cellStyle name="Normal 10 3 2 2 5 4 5" xfId="17249" xr:uid="{A276456F-FE5B-4999-AADF-0064AC067385}"/>
    <cellStyle name="Normal 10 3 2 2 5 4 5 2" xfId="17250" xr:uid="{35C735AC-B056-4614-BAF0-EC302AB090BD}"/>
    <cellStyle name="Normal 10 3 2 2 5 4 5 2 2" xfId="17251" xr:uid="{DCAAC468-196C-49A4-860B-98D98C1DCE40}"/>
    <cellStyle name="Normal 10 3 2 2 5 4 5 3" xfId="17252" xr:uid="{848FF7C3-19F7-48BC-8FCC-2B8611986393}"/>
    <cellStyle name="Normal 10 3 2 2 5 4 6" xfId="17253" xr:uid="{6A4B3D81-36AE-47F5-A229-56345DFF0B9F}"/>
    <cellStyle name="Normal 10 3 2 2 5 4 6 2" xfId="17254" xr:uid="{6F8B68C8-09D7-483D-B0B7-E9F25132EEFB}"/>
    <cellStyle name="Normal 10 3 2 2 5 4 7" xfId="17255" xr:uid="{3B5FF9FD-7238-4B52-BD3B-B2CB21B7CDA2}"/>
    <cellStyle name="Normal 10 3 2 2 5 5" xfId="17256" xr:uid="{C35DB069-D657-4A46-A5F1-7ADAB0643E7A}"/>
    <cellStyle name="Normal 10 3 2 2 5 5 2" xfId="17257" xr:uid="{E80F3844-991E-4D92-8E83-CE82AE49C57E}"/>
    <cellStyle name="Normal 10 3 2 2 5 5 2 2" xfId="17258" xr:uid="{B96F852D-44B0-4561-8198-1785F986B9D7}"/>
    <cellStyle name="Normal 10 3 2 2 5 5 2 2 2" xfId="17259" xr:uid="{A888FABD-FB84-474D-AEC3-97636D0072F0}"/>
    <cellStyle name="Normal 10 3 2 2 5 5 2 2 2 2" xfId="17260" xr:uid="{B7A17784-79FA-48CB-AC47-7279FE728E72}"/>
    <cellStyle name="Normal 10 3 2 2 5 5 2 2 2 2 2" xfId="17261" xr:uid="{882A38EC-FF99-46E8-A4B1-26D2BF9C6CF2}"/>
    <cellStyle name="Normal 10 3 2 2 5 5 2 2 2 3" xfId="17262" xr:uid="{390E81D7-4ED3-4AD4-A736-C4505C3D9CF4}"/>
    <cellStyle name="Normal 10 3 2 2 5 5 2 2 3" xfId="17263" xr:uid="{5AB728AC-EBCF-4462-8CC2-63FF973A81CF}"/>
    <cellStyle name="Normal 10 3 2 2 5 5 2 2 3 2" xfId="17264" xr:uid="{793FEFE9-7F61-4230-A9E4-F10D338C4810}"/>
    <cellStyle name="Normal 10 3 2 2 5 5 2 2 4" xfId="17265" xr:uid="{083575FF-5C4C-41E0-85BC-090E6D87C882}"/>
    <cellStyle name="Normal 10 3 2 2 5 5 2 3" xfId="17266" xr:uid="{23FFD1EE-0CA3-4FD1-9D48-79ED6A7A9CD3}"/>
    <cellStyle name="Normal 10 3 2 2 5 5 2 3 2" xfId="17267" xr:uid="{58BF9580-AA9F-4161-A432-9B32E0998293}"/>
    <cellStyle name="Normal 10 3 2 2 5 5 2 3 2 2" xfId="17268" xr:uid="{03987829-EE8E-44DA-BC2D-05C0F02EE0A8}"/>
    <cellStyle name="Normal 10 3 2 2 5 5 2 3 3" xfId="17269" xr:uid="{819B2516-A5C0-49B0-ACD2-220428EAECBD}"/>
    <cellStyle name="Normal 10 3 2 2 5 5 2 4" xfId="17270" xr:uid="{773CAB1C-44BD-4AFF-9EE2-53FEEE6AD5D5}"/>
    <cellStyle name="Normal 10 3 2 2 5 5 2 4 2" xfId="17271" xr:uid="{9AFCC793-6CD7-49C8-83FA-3A463E04DA55}"/>
    <cellStyle name="Normal 10 3 2 2 5 5 2 5" xfId="17272" xr:uid="{5ECD8452-E7A3-456D-9926-A01E95700488}"/>
    <cellStyle name="Normal 10 3 2 2 5 5 3" xfId="17273" xr:uid="{16CDC6E6-33C3-421B-8DD5-F6BDF11EDF5C}"/>
    <cellStyle name="Normal 10 3 2 2 5 5 3 2" xfId="17274" xr:uid="{EA7B9C2F-0C28-4489-B4D9-359D610A0900}"/>
    <cellStyle name="Normal 10 3 2 2 5 5 3 2 2" xfId="17275" xr:uid="{DF475BFE-27BD-434B-860B-1D1F9FDBF385}"/>
    <cellStyle name="Normal 10 3 2 2 5 5 3 2 2 2" xfId="17276" xr:uid="{B956B5DD-E4ED-4A0C-9E65-379BB844853B}"/>
    <cellStyle name="Normal 10 3 2 2 5 5 3 2 3" xfId="17277" xr:uid="{D7993FB7-9C6F-4E37-A4C7-482247652455}"/>
    <cellStyle name="Normal 10 3 2 2 5 5 3 3" xfId="17278" xr:uid="{0F8A6958-8B7E-43B4-A39A-5222F5D078F9}"/>
    <cellStyle name="Normal 10 3 2 2 5 5 3 3 2" xfId="17279" xr:uid="{2CC84071-3C0E-44A0-8A0A-DA8CE7642375}"/>
    <cellStyle name="Normal 10 3 2 2 5 5 3 4" xfId="17280" xr:uid="{BD6B1764-0BB6-4633-81CF-8AD743797411}"/>
    <cellStyle name="Normal 10 3 2 2 5 5 4" xfId="17281" xr:uid="{B1472EF6-6643-4C6F-A2A0-78A3D1C873E2}"/>
    <cellStyle name="Normal 10 3 2 2 5 5 4 2" xfId="17282" xr:uid="{D6403D05-B081-4C4A-A5DF-8E0BDF3FAF98}"/>
    <cellStyle name="Normal 10 3 2 2 5 5 4 2 2" xfId="17283" xr:uid="{37607188-E4F6-4EBD-BF9A-2452F56BEF4B}"/>
    <cellStyle name="Normal 10 3 2 2 5 5 4 3" xfId="17284" xr:uid="{1408BB08-F5FE-46D7-ADD2-E0E04C1794BF}"/>
    <cellStyle name="Normal 10 3 2 2 5 5 5" xfId="17285" xr:uid="{73AFA49C-F08F-4269-BA15-F90D9047A511}"/>
    <cellStyle name="Normal 10 3 2 2 5 5 5 2" xfId="17286" xr:uid="{B280AF29-3EF4-4FFF-8343-93DAC97CC6CA}"/>
    <cellStyle name="Normal 10 3 2 2 5 5 6" xfId="17287" xr:uid="{26FF9086-952A-4A19-AF14-63D99649EF73}"/>
    <cellStyle name="Normal 10 3 2 2 5 6" xfId="17288" xr:uid="{9969D1BA-30A5-47DA-BF3B-A67FB36C9887}"/>
    <cellStyle name="Normal 10 3 2 2 5 6 2" xfId="17289" xr:uid="{E6748C70-2685-4C2C-A2FA-6EE7288DFAAE}"/>
    <cellStyle name="Normal 10 3 2 2 5 6 2 2" xfId="17290" xr:uid="{3934E1D6-5B80-4232-90C6-D4FFA03EA449}"/>
    <cellStyle name="Normal 10 3 2 2 5 6 2 2 2" xfId="17291" xr:uid="{571352B0-0101-4838-8105-314C613285FE}"/>
    <cellStyle name="Normal 10 3 2 2 5 6 2 2 2 2" xfId="17292" xr:uid="{9F4763F2-5C42-4BFB-8E0E-137101DA349A}"/>
    <cellStyle name="Normal 10 3 2 2 5 6 2 2 3" xfId="17293" xr:uid="{47A985D1-24D9-4974-AEF4-EA9EAD13CD96}"/>
    <cellStyle name="Normal 10 3 2 2 5 6 2 3" xfId="17294" xr:uid="{284F21EF-283E-43FA-8F05-BDCECBC89805}"/>
    <cellStyle name="Normal 10 3 2 2 5 6 2 3 2" xfId="17295" xr:uid="{E467EA41-0121-4D2D-B0E9-7A1D5842A513}"/>
    <cellStyle name="Normal 10 3 2 2 5 6 2 4" xfId="17296" xr:uid="{87C87DE8-73A6-49A1-B028-847F84B67D4E}"/>
    <cellStyle name="Normal 10 3 2 2 5 6 3" xfId="17297" xr:uid="{2002B331-AB65-4340-8693-1CC7ABA82393}"/>
    <cellStyle name="Normal 10 3 2 2 5 6 3 2" xfId="17298" xr:uid="{BCF2BB99-D778-49B6-946D-B68873C94EFA}"/>
    <cellStyle name="Normal 10 3 2 2 5 6 3 2 2" xfId="17299" xr:uid="{0A1AC982-924E-4073-AE97-AE4610B45496}"/>
    <cellStyle name="Normal 10 3 2 2 5 6 3 3" xfId="17300" xr:uid="{9E63B9A5-E2B8-45FB-97EC-E9E495B415EE}"/>
    <cellStyle name="Normal 10 3 2 2 5 6 4" xfId="17301" xr:uid="{422B7C63-650B-4B76-891D-86E9EE3F67F4}"/>
    <cellStyle name="Normal 10 3 2 2 5 6 4 2" xfId="17302" xr:uid="{43B18017-0BF7-418B-A4AA-B3FAD2DC294E}"/>
    <cellStyle name="Normal 10 3 2 2 5 6 5" xfId="17303" xr:uid="{28494DE0-9F4E-479A-B255-F0E0E5D81695}"/>
    <cellStyle name="Normal 10 3 2 2 5 7" xfId="17304" xr:uid="{ABA4F66C-1CD7-40D3-B586-E09395085CEB}"/>
    <cellStyle name="Normal 10 3 2 2 5 7 2" xfId="17305" xr:uid="{CC0F602F-4812-49AB-BECA-5C92220D1C9B}"/>
    <cellStyle name="Normal 10 3 2 2 5 7 2 2" xfId="17306" xr:uid="{C5215D12-03B6-404E-BEDA-E392F6BD0B67}"/>
    <cellStyle name="Normal 10 3 2 2 5 7 2 2 2" xfId="17307" xr:uid="{D4461E2F-2AD4-4869-BB27-75F7A9690DFF}"/>
    <cellStyle name="Normal 10 3 2 2 5 7 2 3" xfId="17308" xr:uid="{0BE5707B-4BAD-45F7-B0B0-8D6BDED9EACB}"/>
    <cellStyle name="Normal 10 3 2 2 5 7 3" xfId="17309" xr:uid="{6747CCEA-327D-4292-AD2B-AD726A7C7E70}"/>
    <cellStyle name="Normal 10 3 2 2 5 7 3 2" xfId="17310" xr:uid="{3FD9DD77-302F-47D3-92D9-124598E5DD35}"/>
    <cellStyle name="Normal 10 3 2 2 5 7 4" xfId="17311" xr:uid="{F0757089-2F23-4E47-B2EF-167FB4362B08}"/>
    <cellStyle name="Normal 10 3 2 2 5 8" xfId="17312" xr:uid="{EF6B6083-FD7B-47AD-9621-ADD42E3107B4}"/>
    <cellStyle name="Normal 10 3 2 2 5 8 2" xfId="17313" xr:uid="{B0E97E06-27F8-4747-9002-0736A2B61593}"/>
    <cellStyle name="Normal 10 3 2 2 5 8 2 2" xfId="17314" xr:uid="{3322ED6F-83F5-457B-9C5F-4777EC4AF0D6}"/>
    <cellStyle name="Normal 10 3 2 2 5 8 3" xfId="17315" xr:uid="{0A83C0A7-AD0A-4AD0-9D61-7145EBC597F2}"/>
    <cellStyle name="Normal 10 3 2 2 5 9" xfId="17316" xr:uid="{C8E5A67A-8830-4FA0-B129-864A75A04C3A}"/>
    <cellStyle name="Normal 10 3 2 2 5 9 2" xfId="17317" xr:uid="{BB7DE9F2-D6E5-4CD0-8A3B-2E37A1F0E2B4}"/>
    <cellStyle name="Normal 10 3 2 2 6" xfId="329" xr:uid="{1B10FC26-9DF0-4BB4-B05B-D57F6BE91BDF}"/>
    <cellStyle name="Normal 10 3 2 2 6 10" xfId="17318" xr:uid="{BFDFCDBE-3623-44BF-BFDC-D1DC1DD8BCB0}"/>
    <cellStyle name="Normal 10 3 2 2 6 2" xfId="17319" xr:uid="{6FDA0B1E-C46E-482B-8045-07C34D11A0F6}"/>
    <cellStyle name="Normal 10 3 2 2 6 2 2" xfId="17320" xr:uid="{F19C29A9-EE4E-4211-9CBA-230316FE834B}"/>
    <cellStyle name="Normal 10 3 2 2 6 2 2 2" xfId="17321" xr:uid="{CD948FCD-AD08-460B-982C-75756E2EFCB1}"/>
    <cellStyle name="Normal 10 3 2 2 6 2 2 2 2" xfId="17322" xr:uid="{40472F1F-9043-40C6-9EA0-D7ED79A56866}"/>
    <cellStyle name="Normal 10 3 2 2 6 2 2 2 2 2" xfId="17323" xr:uid="{D2F83C96-43B5-4149-9A89-6BB58ABFE59F}"/>
    <cellStyle name="Normal 10 3 2 2 6 2 2 2 2 2 2" xfId="17324" xr:uid="{5740E496-01A6-42D0-AE06-BEE516EA7BAF}"/>
    <cellStyle name="Normal 10 3 2 2 6 2 2 2 2 2 2 2" xfId="17325" xr:uid="{4988927F-D10C-4C1B-92D1-F70177883DB7}"/>
    <cellStyle name="Normal 10 3 2 2 6 2 2 2 2 2 2 2 2" xfId="17326" xr:uid="{54CD02AA-C30F-4118-A6E8-D2C62EE2D9B7}"/>
    <cellStyle name="Normal 10 3 2 2 6 2 2 2 2 2 2 3" xfId="17327" xr:uid="{A1F859C4-6A6A-44AA-B658-D3DF8616E48B}"/>
    <cellStyle name="Normal 10 3 2 2 6 2 2 2 2 2 3" xfId="17328" xr:uid="{F2479BC3-6C0A-4704-9E57-567B1CCA61A9}"/>
    <cellStyle name="Normal 10 3 2 2 6 2 2 2 2 2 3 2" xfId="17329" xr:uid="{4DC1EF29-05D0-4D6C-BC6C-C017978C4F45}"/>
    <cellStyle name="Normal 10 3 2 2 6 2 2 2 2 2 4" xfId="17330" xr:uid="{F4C36E78-5432-4C17-B330-C248F45A72FD}"/>
    <cellStyle name="Normal 10 3 2 2 6 2 2 2 2 3" xfId="17331" xr:uid="{C33D1F8E-7F33-420E-86B8-34E84A196A3D}"/>
    <cellStyle name="Normal 10 3 2 2 6 2 2 2 2 3 2" xfId="17332" xr:uid="{CFAAFB03-1577-4632-964B-FFCCD5A0FE10}"/>
    <cellStyle name="Normal 10 3 2 2 6 2 2 2 2 3 2 2" xfId="17333" xr:uid="{2952C809-DE3C-460B-9D82-AEBCA7A9D8B3}"/>
    <cellStyle name="Normal 10 3 2 2 6 2 2 2 2 3 3" xfId="17334" xr:uid="{2CAA3A0F-4DDA-49D7-A8F9-4A0008EDC79C}"/>
    <cellStyle name="Normal 10 3 2 2 6 2 2 2 2 4" xfId="17335" xr:uid="{1F5E1EEE-AB35-4F79-8E51-985C1E6E1174}"/>
    <cellStyle name="Normal 10 3 2 2 6 2 2 2 2 4 2" xfId="17336" xr:uid="{FE9F0B95-7315-4C7E-887D-BC5167DE7B36}"/>
    <cellStyle name="Normal 10 3 2 2 6 2 2 2 2 5" xfId="17337" xr:uid="{1C9CF882-46C3-4502-A698-A4B0018C2007}"/>
    <cellStyle name="Normal 10 3 2 2 6 2 2 2 3" xfId="17338" xr:uid="{A5B172FE-9288-496F-B6D9-E2FD76CB3A9F}"/>
    <cellStyle name="Normal 10 3 2 2 6 2 2 2 3 2" xfId="17339" xr:uid="{9F36125F-F6CD-4EE4-BB67-18E889076283}"/>
    <cellStyle name="Normal 10 3 2 2 6 2 2 2 3 2 2" xfId="17340" xr:uid="{88977A49-E3EA-4B69-9706-236616074847}"/>
    <cellStyle name="Normal 10 3 2 2 6 2 2 2 3 2 2 2" xfId="17341" xr:uid="{D60799AE-9C13-4C1C-A294-A5A8F2A8A27C}"/>
    <cellStyle name="Normal 10 3 2 2 6 2 2 2 3 2 3" xfId="17342" xr:uid="{D290806F-B63B-4047-ADBC-9E299B210BB8}"/>
    <cellStyle name="Normal 10 3 2 2 6 2 2 2 3 3" xfId="17343" xr:uid="{323B9CB9-306A-46AC-B10B-8BDB1224BE73}"/>
    <cellStyle name="Normal 10 3 2 2 6 2 2 2 3 3 2" xfId="17344" xr:uid="{40BEF9DA-8F02-4B15-AA0E-2F181A966E94}"/>
    <cellStyle name="Normal 10 3 2 2 6 2 2 2 3 4" xfId="17345" xr:uid="{C5581277-F528-4953-A728-5E8557436D22}"/>
    <cellStyle name="Normal 10 3 2 2 6 2 2 2 4" xfId="17346" xr:uid="{324A23F6-A9F4-4EF4-AF83-E7AD1DE7D6E0}"/>
    <cellStyle name="Normal 10 3 2 2 6 2 2 2 4 2" xfId="17347" xr:uid="{240EBDC4-3727-41B3-9657-465385E44F9D}"/>
    <cellStyle name="Normal 10 3 2 2 6 2 2 2 4 2 2" xfId="17348" xr:uid="{E4A766BD-E333-4B61-980D-A8BDF37D431D}"/>
    <cellStyle name="Normal 10 3 2 2 6 2 2 2 4 3" xfId="17349" xr:uid="{52BBFD21-D587-4A70-8C8F-1EE6058200C2}"/>
    <cellStyle name="Normal 10 3 2 2 6 2 2 2 5" xfId="17350" xr:uid="{EC2E9CDE-8B98-412C-8FB1-08D5D9ED51B3}"/>
    <cellStyle name="Normal 10 3 2 2 6 2 2 2 5 2" xfId="17351" xr:uid="{686DB6EE-9B4B-489B-8324-9B5518B84EA9}"/>
    <cellStyle name="Normal 10 3 2 2 6 2 2 2 6" xfId="17352" xr:uid="{3DCAC79E-E8BA-45BB-A5F0-D185D0698E15}"/>
    <cellStyle name="Normal 10 3 2 2 6 2 2 3" xfId="17353" xr:uid="{3E73C851-48FE-47C6-A9DA-B759F1E8CB11}"/>
    <cellStyle name="Normal 10 3 2 2 6 2 2 3 2" xfId="17354" xr:uid="{498339A7-AD40-42CB-80D2-2F7BACEEEF78}"/>
    <cellStyle name="Normal 10 3 2 2 6 2 2 3 2 2" xfId="17355" xr:uid="{682EA3F3-C221-40F0-8AC7-0E228F3584B4}"/>
    <cellStyle name="Normal 10 3 2 2 6 2 2 3 2 2 2" xfId="17356" xr:uid="{94BF36A8-DAE9-4B62-ACF3-685A0CD95BD7}"/>
    <cellStyle name="Normal 10 3 2 2 6 2 2 3 2 2 2 2" xfId="17357" xr:uid="{6BE8B1AD-A1B8-412C-B8F3-2B6629CFFA55}"/>
    <cellStyle name="Normal 10 3 2 2 6 2 2 3 2 2 3" xfId="17358" xr:uid="{8E7D1ADF-9930-4899-BD38-1458F963C8DF}"/>
    <cellStyle name="Normal 10 3 2 2 6 2 2 3 2 3" xfId="17359" xr:uid="{9D36E8E1-65AC-4C48-8139-E70C14EA4C6F}"/>
    <cellStyle name="Normal 10 3 2 2 6 2 2 3 2 3 2" xfId="17360" xr:uid="{D16B0618-F259-42AA-BFFC-5D76141278D2}"/>
    <cellStyle name="Normal 10 3 2 2 6 2 2 3 2 4" xfId="17361" xr:uid="{A3FF7F39-F5CA-4D6A-9258-D11C1BE58072}"/>
    <cellStyle name="Normal 10 3 2 2 6 2 2 3 3" xfId="17362" xr:uid="{B41D4A6D-C69D-4484-A832-17494565A52C}"/>
    <cellStyle name="Normal 10 3 2 2 6 2 2 3 3 2" xfId="17363" xr:uid="{1FA747C2-BBFE-4B83-8662-2B60ED13AC02}"/>
    <cellStyle name="Normal 10 3 2 2 6 2 2 3 3 2 2" xfId="17364" xr:uid="{BE6520F7-813A-4AD6-99D1-CF3F526DC526}"/>
    <cellStyle name="Normal 10 3 2 2 6 2 2 3 3 3" xfId="17365" xr:uid="{4C48B1B6-241D-4951-84A8-51113D179A92}"/>
    <cellStyle name="Normal 10 3 2 2 6 2 2 3 4" xfId="17366" xr:uid="{0100F1C5-47EF-41C0-8C0D-52C93BAB14EB}"/>
    <cellStyle name="Normal 10 3 2 2 6 2 2 3 4 2" xfId="17367" xr:uid="{4999CC3B-16BA-44D3-BA07-2DB94B63BAE0}"/>
    <cellStyle name="Normal 10 3 2 2 6 2 2 3 5" xfId="17368" xr:uid="{7BA6AE5E-2CAC-4CFE-BA5F-1261689E55FC}"/>
    <cellStyle name="Normal 10 3 2 2 6 2 2 4" xfId="17369" xr:uid="{2F1C14E1-7A9D-4BDA-B693-10A89B4F4814}"/>
    <cellStyle name="Normal 10 3 2 2 6 2 2 4 2" xfId="17370" xr:uid="{DD250435-7A9F-4E1E-BED0-A7C50428A676}"/>
    <cellStyle name="Normal 10 3 2 2 6 2 2 4 2 2" xfId="17371" xr:uid="{45045EC8-DC82-4099-9826-68A3FBC68057}"/>
    <cellStyle name="Normal 10 3 2 2 6 2 2 4 2 2 2" xfId="17372" xr:uid="{95A55361-47BF-4482-8E8E-DB591AC27DD2}"/>
    <cellStyle name="Normal 10 3 2 2 6 2 2 4 2 3" xfId="17373" xr:uid="{0F51728D-2809-4EE1-B53A-D5D6F8A4E171}"/>
    <cellStyle name="Normal 10 3 2 2 6 2 2 4 3" xfId="17374" xr:uid="{04F921F2-C666-4D16-BE58-D4A5287A52DE}"/>
    <cellStyle name="Normal 10 3 2 2 6 2 2 4 3 2" xfId="17375" xr:uid="{2B6DA072-750A-4241-B552-715CB25C726D}"/>
    <cellStyle name="Normal 10 3 2 2 6 2 2 4 4" xfId="17376" xr:uid="{36DC186A-AEEB-43D5-840A-4FDD5AA0A280}"/>
    <cellStyle name="Normal 10 3 2 2 6 2 2 5" xfId="17377" xr:uid="{AE9A3863-5BE0-4C85-8C67-FB008A4E8AB2}"/>
    <cellStyle name="Normal 10 3 2 2 6 2 2 5 2" xfId="17378" xr:uid="{653AA977-24E8-4911-B50B-0F471D6DD56C}"/>
    <cellStyle name="Normal 10 3 2 2 6 2 2 5 2 2" xfId="17379" xr:uid="{A88CC8CE-C717-442F-9055-329A76F2363D}"/>
    <cellStyle name="Normal 10 3 2 2 6 2 2 5 3" xfId="17380" xr:uid="{B9E3ED89-33E6-484A-A45A-D8324FCEA2A3}"/>
    <cellStyle name="Normal 10 3 2 2 6 2 2 6" xfId="17381" xr:uid="{70DD28D1-22FB-417B-9480-3CE2E160CC42}"/>
    <cellStyle name="Normal 10 3 2 2 6 2 2 6 2" xfId="17382" xr:uid="{B853F92A-95C8-4F43-9EC9-BFF6E5F635BB}"/>
    <cellStyle name="Normal 10 3 2 2 6 2 2 7" xfId="17383" xr:uid="{1CDD7A5E-0DAF-4192-BFE2-A7EF19B0F60C}"/>
    <cellStyle name="Normal 10 3 2 2 6 2 3" xfId="17384" xr:uid="{A7026521-ACA2-46DB-A9FF-094F823B4E11}"/>
    <cellStyle name="Normal 10 3 2 2 6 2 3 2" xfId="17385" xr:uid="{25830AA2-3F43-4441-8E86-5C35FFB543E8}"/>
    <cellStyle name="Normal 10 3 2 2 6 2 3 2 2" xfId="17386" xr:uid="{E740B9D0-8B74-46A6-8982-9D5C113AB84A}"/>
    <cellStyle name="Normal 10 3 2 2 6 2 3 2 2 2" xfId="17387" xr:uid="{9AC92D92-7554-4A36-8609-385D8606C9EB}"/>
    <cellStyle name="Normal 10 3 2 2 6 2 3 2 2 2 2" xfId="17388" xr:uid="{C75E18FE-E078-4CB0-9714-A1D0F39FB0CD}"/>
    <cellStyle name="Normal 10 3 2 2 6 2 3 2 2 2 2 2" xfId="17389" xr:uid="{8F091CF2-A532-4E79-BA20-8970FEEEF063}"/>
    <cellStyle name="Normal 10 3 2 2 6 2 3 2 2 2 3" xfId="17390" xr:uid="{73C80BB0-15B4-465D-B6D3-6ED6B4533443}"/>
    <cellStyle name="Normal 10 3 2 2 6 2 3 2 2 3" xfId="17391" xr:uid="{F2C8D9AB-0527-454D-AA16-C9217F7E2148}"/>
    <cellStyle name="Normal 10 3 2 2 6 2 3 2 2 3 2" xfId="17392" xr:uid="{4BB31620-02B0-465A-B74A-33D4EA45E0E1}"/>
    <cellStyle name="Normal 10 3 2 2 6 2 3 2 2 4" xfId="17393" xr:uid="{B4E9191D-7E93-4C0E-B11E-0ED89693E113}"/>
    <cellStyle name="Normal 10 3 2 2 6 2 3 2 3" xfId="17394" xr:uid="{BA5C2E6E-9A7F-42E3-8DC0-6192E38C2F6B}"/>
    <cellStyle name="Normal 10 3 2 2 6 2 3 2 3 2" xfId="17395" xr:uid="{5F67EE0D-1C5F-4A2C-8478-75EF77182A9A}"/>
    <cellStyle name="Normal 10 3 2 2 6 2 3 2 3 2 2" xfId="17396" xr:uid="{A91F429A-E94A-47BF-A455-E3D1165AE28B}"/>
    <cellStyle name="Normal 10 3 2 2 6 2 3 2 3 3" xfId="17397" xr:uid="{21303645-8894-4223-9571-0F4D6683D9F2}"/>
    <cellStyle name="Normal 10 3 2 2 6 2 3 2 4" xfId="17398" xr:uid="{A6D2FA21-A35A-4821-8238-4A486F1C7D13}"/>
    <cellStyle name="Normal 10 3 2 2 6 2 3 2 4 2" xfId="17399" xr:uid="{6EAD5B22-3453-47F3-BC5E-6BCE2AC51A04}"/>
    <cellStyle name="Normal 10 3 2 2 6 2 3 2 5" xfId="17400" xr:uid="{5239CFF2-837A-4B34-91CA-731F5C746B5B}"/>
    <cellStyle name="Normal 10 3 2 2 6 2 3 3" xfId="17401" xr:uid="{4E8478C2-EC68-4A7E-AECB-875DB16D517E}"/>
    <cellStyle name="Normal 10 3 2 2 6 2 3 3 2" xfId="17402" xr:uid="{3A450FC9-ED8C-4703-BBF5-26E96646FC3F}"/>
    <cellStyle name="Normal 10 3 2 2 6 2 3 3 2 2" xfId="17403" xr:uid="{6EAD2C5F-9EE4-4E7A-A383-42792C850525}"/>
    <cellStyle name="Normal 10 3 2 2 6 2 3 3 2 2 2" xfId="17404" xr:uid="{BAC2A254-86D3-4971-ADDA-6764C8321B3C}"/>
    <cellStyle name="Normal 10 3 2 2 6 2 3 3 2 3" xfId="17405" xr:uid="{DD7EA71C-A5EB-4A06-B83A-D022F1B44368}"/>
    <cellStyle name="Normal 10 3 2 2 6 2 3 3 3" xfId="17406" xr:uid="{75FC0BC7-DAB5-4433-91C2-42AFAB35FBA4}"/>
    <cellStyle name="Normal 10 3 2 2 6 2 3 3 3 2" xfId="17407" xr:uid="{61175EAA-27D7-479B-93FC-2CAB25FF7488}"/>
    <cellStyle name="Normal 10 3 2 2 6 2 3 3 4" xfId="17408" xr:uid="{5D143881-43F2-406B-A854-146B85B230C7}"/>
    <cellStyle name="Normal 10 3 2 2 6 2 3 4" xfId="17409" xr:uid="{7B355F0A-F689-4C3E-9DB2-A6ADC3C72DAB}"/>
    <cellStyle name="Normal 10 3 2 2 6 2 3 4 2" xfId="17410" xr:uid="{628750C3-E6BC-4DA8-9116-31B0F6DFE1E2}"/>
    <cellStyle name="Normal 10 3 2 2 6 2 3 4 2 2" xfId="17411" xr:uid="{82EC1816-638D-47F7-BAE0-AF8DA75962CD}"/>
    <cellStyle name="Normal 10 3 2 2 6 2 3 4 3" xfId="17412" xr:uid="{DE7A168F-87F7-412A-BC52-699095DA9F7C}"/>
    <cellStyle name="Normal 10 3 2 2 6 2 3 5" xfId="17413" xr:uid="{75E71BD5-F8E7-4279-87DA-5CFF876BBEB1}"/>
    <cellStyle name="Normal 10 3 2 2 6 2 3 5 2" xfId="17414" xr:uid="{63A7995E-7BC5-4EB7-8D60-44B0F0A7A7C6}"/>
    <cellStyle name="Normal 10 3 2 2 6 2 3 6" xfId="17415" xr:uid="{ACDD8F4E-F62F-47CA-A191-DCFBF49CDB37}"/>
    <cellStyle name="Normal 10 3 2 2 6 2 4" xfId="17416" xr:uid="{73B52D01-0544-446B-B520-FB5D0CB0E1FE}"/>
    <cellStyle name="Normal 10 3 2 2 6 2 4 2" xfId="17417" xr:uid="{CA4611FA-9294-421F-9BFC-763C5A66D53C}"/>
    <cellStyle name="Normal 10 3 2 2 6 2 4 2 2" xfId="17418" xr:uid="{986380A5-BD91-4E23-B0C0-6396F53888A9}"/>
    <cellStyle name="Normal 10 3 2 2 6 2 4 2 2 2" xfId="17419" xr:uid="{7AAEA2F7-B2D0-49E2-9E5C-81BD5C56510A}"/>
    <cellStyle name="Normal 10 3 2 2 6 2 4 2 2 2 2" xfId="17420" xr:uid="{266BB923-9B84-4593-842A-E44434649799}"/>
    <cellStyle name="Normal 10 3 2 2 6 2 4 2 2 3" xfId="17421" xr:uid="{8DC3F180-135C-4F3F-9278-A18DA596C241}"/>
    <cellStyle name="Normal 10 3 2 2 6 2 4 2 3" xfId="17422" xr:uid="{674D6F47-AE4E-4463-AFDF-5014E24E96E0}"/>
    <cellStyle name="Normal 10 3 2 2 6 2 4 2 3 2" xfId="17423" xr:uid="{E5BC2571-7B76-4B98-A6F9-972FF9C3B6DE}"/>
    <cellStyle name="Normal 10 3 2 2 6 2 4 2 4" xfId="17424" xr:uid="{A5AD50BA-63B8-4435-ADED-6AFE44CFCF16}"/>
    <cellStyle name="Normal 10 3 2 2 6 2 4 3" xfId="17425" xr:uid="{5EBB0276-CD95-44A7-B1FC-AC589B4A7E69}"/>
    <cellStyle name="Normal 10 3 2 2 6 2 4 3 2" xfId="17426" xr:uid="{DF737203-FAB9-442D-A8C7-D6C6F16968A2}"/>
    <cellStyle name="Normal 10 3 2 2 6 2 4 3 2 2" xfId="17427" xr:uid="{2C39463A-0578-4056-B3B1-61B2ED7CD873}"/>
    <cellStyle name="Normal 10 3 2 2 6 2 4 3 3" xfId="17428" xr:uid="{1D01725A-F371-4023-9D08-B511D2684571}"/>
    <cellStyle name="Normal 10 3 2 2 6 2 4 4" xfId="17429" xr:uid="{AC3006E2-376A-4BFD-867B-0B8FDCB6701B}"/>
    <cellStyle name="Normal 10 3 2 2 6 2 4 4 2" xfId="17430" xr:uid="{AFDB7BBD-80F0-4BAE-8CDC-6618DD2716AD}"/>
    <cellStyle name="Normal 10 3 2 2 6 2 4 5" xfId="17431" xr:uid="{BFF4B817-0C23-4E75-B95F-7480672F1920}"/>
    <cellStyle name="Normal 10 3 2 2 6 2 5" xfId="17432" xr:uid="{366B46DE-8746-47E1-8865-EAB0A6123D35}"/>
    <cellStyle name="Normal 10 3 2 2 6 2 5 2" xfId="17433" xr:uid="{08D5747A-6447-4E4C-8E84-18FD681CA555}"/>
    <cellStyle name="Normal 10 3 2 2 6 2 5 2 2" xfId="17434" xr:uid="{8D637B10-001B-4960-9476-3B2DABF4835C}"/>
    <cellStyle name="Normal 10 3 2 2 6 2 5 2 2 2" xfId="17435" xr:uid="{5520B7A5-578C-441A-8F0E-F7FD579B8E6A}"/>
    <cellStyle name="Normal 10 3 2 2 6 2 5 2 3" xfId="17436" xr:uid="{24E694AC-3692-475E-B254-AA318CA15D5C}"/>
    <cellStyle name="Normal 10 3 2 2 6 2 5 3" xfId="17437" xr:uid="{3CA8B085-6EF5-48AF-8D7A-F15C07345325}"/>
    <cellStyle name="Normal 10 3 2 2 6 2 5 3 2" xfId="17438" xr:uid="{FB86D751-7F10-487F-832D-2E30C652B8E3}"/>
    <cellStyle name="Normal 10 3 2 2 6 2 5 4" xfId="17439" xr:uid="{CE370120-6940-4AC2-92ED-49AFCD6AE37C}"/>
    <cellStyle name="Normal 10 3 2 2 6 2 6" xfId="17440" xr:uid="{20A8DC8D-6922-47DA-98C8-7EA0EAF2DAAA}"/>
    <cellStyle name="Normal 10 3 2 2 6 2 6 2" xfId="17441" xr:uid="{011B397C-5C5C-4299-824D-FBE94A4B767C}"/>
    <cellStyle name="Normal 10 3 2 2 6 2 6 2 2" xfId="17442" xr:uid="{B211CED7-FA28-4722-83EB-27945BC30408}"/>
    <cellStyle name="Normal 10 3 2 2 6 2 6 3" xfId="17443" xr:uid="{D7DAAB3E-752C-490D-BE80-B7B869C9AF7E}"/>
    <cellStyle name="Normal 10 3 2 2 6 2 7" xfId="17444" xr:uid="{E3443335-BD54-41FE-B7AD-88BA1E8F604D}"/>
    <cellStyle name="Normal 10 3 2 2 6 2 7 2" xfId="17445" xr:uid="{CBF91306-1626-4B7D-8CA0-D9FB1D517E6C}"/>
    <cellStyle name="Normal 10 3 2 2 6 2 8" xfId="17446" xr:uid="{6436CF17-81C8-42BF-9094-2F1ADE7D9384}"/>
    <cellStyle name="Normal 10 3 2 2 6 3" xfId="17447" xr:uid="{D9D8F321-7B54-44AF-BA94-8999D0F22A83}"/>
    <cellStyle name="Normal 10 3 2 2 6 3 2" xfId="17448" xr:uid="{DD126469-5654-43F5-AAA8-143438DE073B}"/>
    <cellStyle name="Normal 10 3 2 2 6 3 2 2" xfId="17449" xr:uid="{00B379DD-F58B-4E9B-8748-ABAB6F8EDBF3}"/>
    <cellStyle name="Normal 10 3 2 2 6 3 2 2 2" xfId="17450" xr:uid="{0F9F0C24-F439-4599-874E-99487D17E905}"/>
    <cellStyle name="Normal 10 3 2 2 6 3 2 2 2 2" xfId="17451" xr:uid="{7169B11A-C88B-4835-9122-A559DD9009BF}"/>
    <cellStyle name="Normal 10 3 2 2 6 3 2 2 2 2 2" xfId="17452" xr:uid="{562CCB8B-DF90-4783-A9B9-B7BCE81BC5BE}"/>
    <cellStyle name="Normal 10 3 2 2 6 3 2 2 2 2 2 2" xfId="17453" xr:uid="{9316D1C6-EF27-4504-B447-7F702C287CC7}"/>
    <cellStyle name="Normal 10 3 2 2 6 3 2 2 2 2 3" xfId="17454" xr:uid="{7D5958DB-57C2-4637-9475-8854D5E32BE0}"/>
    <cellStyle name="Normal 10 3 2 2 6 3 2 2 2 3" xfId="17455" xr:uid="{DEFDA721-87E5-40A3-A6FD-064F8069696F}"/>
    <cellStyle name="Normal 10 3 2 2 6 3 2 2 2 3 2" xfId="17456" xr:uid="{5B370B7E-85CE-4348-B792-EBAB17330012}"/>
    <cellStyle name="Normal 10 3 2 2 6 3 2 2 2 4" xfId="17457" xr:uid="{BE6E067D-8DB5-4897-90C9-6CC4A21CEF09}"/>
    <cellStyle name="Normal 10 3 2 2 6 3 2 2 3" xfId="17458" xr:uid="{62B141F9-3E8E-47BE-AF11-26D2F0F809A7}"/>
    <cellStyle name="Normal 10 3 2 2 6 3 2 2 3 2" xfId="17459" xr:uid="{8AB6CE80-9092-4A78-9A95-44F7E5A636E4}"/>
    <cellStyle name="Normal 10 3 2 2 6 3 2 2 3 2 2" xfId="17460" xr:uid="{9418F459-712C-410E-9AF9-321BB9BCDAA8}"/>
    <cellStyle name="Normal 10 3 2 2 6 3 2 2 3 3" xfId="17461" xr:uid="{3EF8FB7B-1C94-4C12-90EB-A215EC2BA7BD}"/>
    <cellStyle name="Normal 10 3 2 2 6 3 2 2 4" xfId="17462" xr:uid="{A499F6FA-DD41-4595-88E8-8F3846A793BB}"/>
    <cellStyle name="Normal 10 3 2 2 6 3 2 2 4 2" xfId="17463" xr:uid="{8D515B5A-FE0F-4668-9607-3303FD93E9DF}"/>
    <cellStyle name="Normal 10 3 2 2 6 3 2 2 5" xfId="17464" xr:uid="{646578CA-130F-4889-8992-2D1FE1A3249C}"/>
    <cellStyle name="Normal 10 3 2 2 6 3 2 3" xfId="17465" xr:uid="{52242EC9-7ACA-41FF-B50D-202B561B22A9}"/>
    <cellStyle name="Normal 10 3 2 2 6 3 2 3 2" xfId="17466" xr:uid="{336CB9EA-9C24-4A96-8DCF-5C294C6B6243}"/>
    <cellStyle name="Normal 10 3 2 2 6 3 2 3 2 2" xfId="17467" xr:uid="{852F8E4B-BE8F-47ED-A029-ABD76042ABA5}"/>
    <cellStyle name="Normal 10 3 2 2 6 3 2 3 2 2 2" xfId="17468" xr:uid="{228303C2-43BD-4AA3-A5E8-C0D461356456}"/>
    <cellStyle name="Normal 10 3 2 2 6 3 2 3 2 3" xfId="17469" xr:uid="{AD88758B-93BF-4FAE-99D7-53869CD912E4}"/>
    <cellStyle name="Normal 10 3 2 2 6 3 2 3 3" xfId="17470" xr:uid="{6FF2D4D8-DC18-4FA9-BE17-ED44840F3B71}"/>
    <cellStyle name="Normal 10 3 2 2 6 3 2 3 3 2" xfId="17471" xr:uid="{C107A551-B9FF-4212-A543-EB5360389AF0}"/>
    <cellStyle name="Normal 10 3 2 2 6 3 2 3 4" xfId="17472" xr:uid="{A2495BE3-BC28-43BD-BCD2-3F21428F7B95}"/>
    <cellStyle name="Normal 10 3 2 2 6 3 2 4" xfId="17473" xr:uid="{30361697-EAD1-471F-A58A-751050A56BB9}"/>
    <cellStyle name="Normal 10 3 2 2 6 3 2 4 2" xfId="17474" xr:uid="{52F7D3BB-59CA-4ABF-942A-F0B8226E4EC7}"/>
    <cellStyle name="Normal 10 3 2 2 6 3 2 4 2 2" xfId="17475" xr:uid="{D6EB95FD-F354-4BD3-BEF9-A71F83083684}"/>
    <cellStyle name="Normal 10 3 2 2 6 3 2 4 3" xfId="17476" xr:uid="{D3C4782A-892B-40EE-AFA5-DAA681835BF8}"/>
    <cellStyle name="Normal 10 3 2 2 6 3 2 5" xfId="17477" xr:uid="{89CA242A-BF25-446B-A8C9-F960270B9CF9}"/>
    <cellStyle name="Normal 10 3 2 2 6 3 2 5 2" xfId="17478" xr:uid="{BAE2255C-4763-4C3D-8BD6-67BC3D2CE550}"/>
    <cellStyle name="Normal 10 3 2 2 6 3 2 6" xfId="17479" xr:uid="{ABA8D200-C549-490F-8B40-28A38C3611C5}"/>
    <cellStyle name="Normal 10 3 2 2 6 3 3" xfId="17480" xr:uid="{5FC9715C-C682-41A4-AE3D-35131ECA29A1}"/>
    <cellStyle name="Normal 10 3 2 2 6 3 3 2" xfId="17481" xr:uid="{834ECF25-4489-4289-BAFA-F3D6BDBA2A13}"/>
    <cellStyle name="Normal 10 3 2 2 6 3 3 2 2" xfId="17482" xr:uid="{8BC843E0-AEF2-491A-B5EA-C845D053A04B}"/>
    <cellStyle name="Normal 10 3 2 2 6 3 3 2 2 2" xfId="17483" xr:uid="{B51B5C8A-FA2A-42EB-94B6-40A5DE84C480}"/>
    <cellStyle name="Normal 10 3 2 2 6 3 3 2 2 2 2" xfId="17484" xr:uid="{B9917157-97B3-4183-AB55-A85213EA93C9}"/>
    <cellStyle name="Normal 10 3 2 2 6 3 3 2 2 3" xfId="17485" xr:uid="{03B2B1BD-8220-47A5-84D0-2CFC5AA8F199}"/>
    <cellStyle name="Normal 10 3 2 2 6 3 3 2 3" xfId="17486" xr:uid="{55A55905-B0FC-49F0-87BA-E57381769D95}"/>
    <cellStyle name="Normal 10 3 2 2 6 3 3 2 3 2" xfId="17487" xr:uid="{3C70E554-20A8-481E-ABF9-01A29223D5BC}"/>
    <cellStyle name="Normal 10 3 2 2 6 3 3 2 4" xfId="17488" xr:uid="{FF4AF697-9F42-4DC6-8BCE-17F11FE079DB}"/>
    <cellStyle name="Normal 10 3 2 2 6 3 3 3" xfId="17489" xr:uid="{6373DD32-C35E-4A02-8B98-D9D98F005106}"/>
    <cellStyle name="Normal 10 3 2 2 6 3 3 3 2" xfId="17490" xr:uid="{B6947D6C-854C-4E50-B6D6-329DC865FBD4}"/>
    <cellStyle name="Normal 10 3 2 2 6 3 3 3 2 2" xfId="17491" xr:uid="{B15EE786-901C-44ED-8F5A-8F09E06AB6D0}"/>
    <cellStyle name="Normal 10 3 2 2 6 3 3 3 3" xfId="17492" xr:uid="{C235DA5D-98BF-4638-9EA6-000B20338DC3}"/>
    <cellStyle name="Normal 10 3 2 2 6 3 3 4" xfId="17493" xr:uid="{786FC6C1-A7A8-418E-B06B-6CD8CEEB6AA5}"/>
    <cellStyle name="Normal 10 3 2 2 6 3 3 4 2" xfId="17494" xr:uid="{25090BE1-CA2F-4530-8E28-E1594C6EF419}"/>
    <cellStyle name="Normal 10 3 2 2 6 3 3 5" xfId="17495" xr:uid="{F1996C2D-9CE9-4B5B-8A15-AF8F90F3CA15}"/>
    <cellStyle name="Normal 10 3 2 2 6 3 4" xfId="17496" xr:uid="{750AD912-DDB7-4D71-A882-6962774036C9}"/>
    <cellStyle name="Normal 10 3 2 2 6 3 4 2" xfId="17497" xr:uid="{1C3D5D90-64DD-4AC7-822B-0E1715EE8E80}"/>
    <cellStyle name="Normal 10 3 2 2 6 3 4 2 2" xfId="17498" xr:uid="{295514D5-B8F6-403C-B7B1-997A08534B8E}"/>
    <cellStyle name="Normal 10 3 2 2 6 3 4 2 2 2" xfId="17499" xr:uid="{5D12263C-CB11-44FA-A873-A4DEE9C1C5A0}"/>
    <cellStyle name="Normal 10 3 2 2 6 3 4 2 3" xfId="17500" xr:uid="{9E17630B-8149-45E1-88D1-CB5645395266}"/>
    <cellStyle name="Normal 10 3 2 2 6 3 4 3" xfId="17501" xr:uid="{AB7E4B06-7DC3-4E4B-8D18-2AA3A42BFAF3}"/>
    <cellStyle name="Normal 10 3 2 2 6 3 4 3 2" xfId="17502" xr:uid="{91F7EA71-DA5D-4F71-A830-CC091C13D93D}"/>
    <cellStyle name="Normal 10 3 2 2 6 3 4 4" xfId="17503" xr:uid="{E3FAA745-454B-4131-AD94-CE746368309A}"/>
    <cellStyle name="Normal 10 3 2 2 6 3 5" xfId="17504" xr:uid="{713F717B-6B57-4D69-8BF0-124605CF9373}"/>
    <cellStyle name="Normal 10 3 2 2 6 3 5 2" xfId="17505" xr:uid="{3CA4124C-F5B7-49A1-B5D7-B63A509307A9}"/>
    <cellStyle name="Normal 10 3 2 2 6 3 5 2 2" xfId="17506" xr:uid="{598F4AC3-A483-4FA5-8C5B-DCB46B379837}"/>
    <cellStyle name="Normal 10 3 2 2 6 3 5 3" xfId="17507" xr:uid="{2984B224-44AC-4E70-AE71-3A072DD89E4E}"/>
    <cellStyle name="Normal 10 3 2 2 6 3 6" xfId="17508" xr:uid="{22658F43-6DE7-48E3-B47C-306B82E78553}"/>
    <cellStyle name="Normal 10 3 2 2 6 3 6 2" xfId="17509" xr:uid="{B42DFD5F-248E-4ABD-A2E7-56B17083EC59}"/>
    <cellStyle name="Normal 10 3 2 2 6 3 7" xfId="17510" xr:uid="{E80BC91F-2F46-402B-AB6B-A6CFE944EDA0}"/>
    <cellStyle name="Normal 10 3 2 2 6 4" xfId="17511" xr:uid="{29A390D8-2CC6-44E3-99E3-7DD8E67277BF}"/>
    <cellStyle name="Normal 10 3 2 2 6 4 2" xfId="17512" xr:uid="{4949D848-29A6-44DB-898B-5E2182216241}"/>
    <cellStyle name="Normal 10 3 2 2 6 4 2 2" xfId="17513" xr:uid="{B4C2BE13-61EF-48A2-9B7A-6259B8856289}"/>
    <cellStyle name="Normal 10 3 2 2 6 4 2 2 2" xfId="17514" xr:uid="{DDBCA365-76F3-49FE-A9BD-269C2B1FCC33}"/>
    <cellStyle name="Normal 10 3 2 2 6 4 2 2 2 2" xfId="17515" xr:uid="{0FBDE9A4-BB45-421C-AC9A-203BA7235D2A}"/>
    <cellStyle name="Normal 10 3 2 2 6 4 2 2 2 2 2" xfId="17516" xr:uid="{2CBDA9A3-5932-45C8-8C2F-CD2059F0FED0}"/>
    <cellStyle name="Normal 10 3 2 2 6 4 2 2 2 3" xfId="17517" xr:uid="{128A78CE-F5A7-415A-B36F-32249A99C492}"/>
    <cellStyle name="Normal 10 3 2 2 6 4 2 2 3" xfId="17518" xr:uid="{E71C5FD4-8572-4611-BC31-76E3505B1BB8}"/>
    <cellStyle name="Normal 10 3 2 2 6 4 2 2 3 2" xfId="17519" xr:uid="{248803A7-25D1-4B76-9C5C-2C89A37A36D9}"/>
    <cellStyle name="Normal 10 3 2 2 6 4 2 2 4" xfId="17520" xr:uid="{8770CCCA-0764-4244-94F0-9A3F80E8D48F}"/>
    <cellStyle name="Normal 10 3 2 2 6 4 2 3" xfId="17521" xr:uid="{311702DC-7678-4411-888D-71F7BCDBF8C6}"/>
    <cellStyle name="Normal 10 3 2 2 6 4 2 3 2" xfId="17522" xr:uid="{A144855E-F419-4296-82AC-6C311725CB35}"/>
    <cellStyle name="Normal 10 3 2 2 6 4 2 3 2 2" xfId="17523" xr:uid="{BC000F68-8EC1-4F67-ACC7-13EC6865508F}"/>
    <cellStyle name="Normal 10 3 2 2 6 4 2 3 3" xfId="17524" xr:uid="{49047050-4775-4D51-9E5D-89E13608737F}"/>
    <cellStyle name="Normal 10 3 2 2 6 4 2 4" xfId="17525" xr:uid="{248DDEC6-0A4B-4EB4-8FCC-17528DAE066E}"/>
    <cellStyle name="Normal 10 3 2 2 6 4 2 4 2" xfId="17526" xr:uid="{D3E60520-10A9-49BA-B34F-BDCAB3F54813}"/>
    <cellStyle name="Normal 10 3 2 2 6 4 2 5" xfId="17527" xr:uid="{36761B4A-3663-4D96-B5B8-C6EEE0B58711}"/>
    <cellStyle name="Normal 10 3 2 2 6 4 3" xfId="17528" xr:uid="{AACEB434-8992-4BDA-B6CB-34EA0EEEF4CF}"/>
    <cellStyle name="Normal 10 3 2 2 6 4 3 2" xfId="17529" xr:uid="{4B6539CD-F15D-4AF4-AE96-5413492960DF}"/>
    <cellStyle name="Normal 10 3 2 2 6 4 3 2 2" xfId="17530" xr:uid="{C4180F86-B191-4F45-8571-D93D4840DE92}"/>
    <cellStyle name="Normal 10 3 2 2 6 4 3 2 2 2" xfId="17531" xr:uid="{C1ED1B9B-2B4E-47E9-9E50-50C0349F7F58}"/>
    <cellStyle name="Normal 10 3 2 2 6 4 3 2 3" xfId="17532" xr:uid="{6D10589F-7CB8-48EB-9B04-C4764B533EBA}"/>
    <cellStyle name="Normal 10 3 2 2 6 4 3 3" xfId="17533" xr:uid="{8F56EDBD-D010-4613-98B3-7A4F1E18E6A2}"/>
    <cellStyle name="Normal 10 3 2 2 6 4 3 3 2" xfId="17534" xr:uid="{DDBA5CF5-882A-4783-ABEA-942E86C3C97F}"/>
    <cellStyle name="Normal 10 3 2 2 6 4 3 4" xfId="17535" xr:uid="{BEBC19AE-ECA8-432B-B960-757B0A87043F}"/>
    <cellStyle name="Normal 10 3 2 2 6 4 4" xfId="17536" xr:uid="{96C28AB6-3E2B-4CC5-8C62-C97D5C5A8F89}"/>
    <cellStyle name="Normal 10 3 2 2 6 4 4 2" xfId="17537" xr:uid="{782AF5A9-6B7A-4C46-9043-12157D5BBE57}"/>
    <cellStyle name="Normal 10 3 2 2 6 4 4 2 2" xfId="17538" xr:uid="{ABE088F6-7C76-4278-9135-62DEA7D79664}"/>
    <cellStyle name="Normal 10 3 2 2 6 4 4 3" xfId="17539" xr:uid="{A9BECCAE-355D-4DEB-A293-65564985A59F}"/>
    <cellStyle name="Normal 10 3 2 2 6 4 5" xfId="17540" xr:uid="{BBF31087-F1F1-4893-828A-3E3B36E261DE}"/>
    <cellStyle name="Normal 10 3 2 2 6 4 5 2" xfId="17541" xr:uid="{5C98D50B-FC0C-49C2-A836-76F467A43520}"/>
    <cellStyle name="Normal 10 3 2 2 6 4 6" xfId="17542" xr:uid="{BDE1E3C5-2593-4D32-BFC3-1A206E3284E5}"/>
    <cellStyle name="Normal 10 3 2 2 6 5" xfId="17543" xr:uid="{3385CA40-155C-44FC-9AB9-011484D76033}"/>
    <cellStyle name="Normal 10 3 2 2 6 5 2" xfId="17544" xr:uid="{390ED56C-544F-4D9D-B940-CAFDDE792161}"/>
    <cellStyle name="Normal 10 3 2 2 6 5 2 2" xfId="17545" xr:uid="{F0BDA34B-AEE1-4286-B242-488090949703}"/>
    <cellStyle name="Normal 10 3 2 2 6 5 2 2 2" xfId="17546" xr:uid="{DE2AD581-640F-482F-89D3-88500D2FE8A7}"/>
    <cellStyle name="Normal 10 3 2 2 6 5 2 2 2 2" xfId="17547" xr:uid="{00BEE9AE-E7AF-4CA1-9152-C95A67D45C6F}"/>
    <cellStyle name="Normal 10 3 2 2 6 5 2 2 3" xfId="17548" xr:uid="{3E69A509-7F6A-44D8-ACC6-1DABA049924E}"/>
    <cellStyle name="Normal 10 3 2 2 6 5 2 3" xfId="17549" xr:uid="{2519916F-60B4-4992-8BD8-168FD1FE26D9}"/>
    <cellStyle name="Normal 10 3 2 2 6 5 2 3 2" xfId="17550" xr:uid="{8027E3A8-E243-4DF4-BF93-E485A42A0E07}"/>
    <cellStyle name="Normal 10 3 2 2 6 5 2 4" xfId="17551" xr:uid="{D4E37DDF-54DE-4CA3-8E26-E87DD805C8BB}"/>
    <cellStyle name="Normal 10 3 2 2 6 5 3" xfId="17552" xr:uid="{A71585C1-C051-41A2-854C-53F4DA8C3D49}"/>
    <cellStyle name="Normal 10 3 2 2 6 5 3 2" xfId="17553" xr:uid="{F7AB16A8-579A-41EB-9CA3-79905819E377}"/>
    <cellStyle name="Normal 10 3 2 2 6 5 3 2 2" xfId="17554" xr:uid="{C701AFD6-919D-4171-AB5F-C0338E78E5D5}"/>
    <cellStyle name="Normal 10 3 2 2 6 5 3 3" xfId="17555" xr:uid="{22928946-5B1D-44BF-A471-FBA4845B3147}"/>
    <cellStyle name="Normal 10 3 2 2 6 5 4" xfId="17556" xr:uid="{5C0B0C3C-0B2C-4D63-9DE9-94B4EFFB9049}"/>
    <cellStyle name="Normal 10 3 2 2 6 5 4 2" xfId="17557" xr:uid="{DE90224A-3272-464B-B612-5A155A3B7364}"/>
    <cellStyle name="Normal 10 3 2 2 6 5 5" xfId="17558" xr:uid="{9377B427-791B-4B2C-800D-028DDB1E01F7}"/>
    <cellStyle name="Normal 10 3 2 2 6 6" xfId="17559" xr:uid="{982572FF-0F03-4FE2-849D-04FEDCD4C820}"/>
    <cellStyle name="Normal 10 3 2 2 6 6 2" xfId="17560" xr:uid="{406CFCD3-5248-42C2-B7B4-1273BD0C1B01}"/>
    <cellStyle name="Normal 10 3 2 2 6 6 2 2" xfId="17561" xr:uid="{5A8EFDF7-0271-481D-B880-D672769332C3}"/>
    <cellStyle name="Normal 10 3 2 2 6 6 2 2 2" xfId="17562" xr:uid="{F7EB147B-36E0-4E2E-A81E-F3D0E466D1C9}"/>
    <cellStyle name="Normal 10 3 2 2 6 6 2 3" xfId="17563" xr:uid="{73BA2103-388D-48B0-9105-B379902D597C}"/>
    <cellStyle name="Normal 10 3 2 2 6 6 3" xfId="17564" xr:uid="{C49B5157-B828-4E0A-B992-3080A9D1229F}"/>
    <cellStyle name="Normal 10 3 2 2 6 6 3 2" xfId="17565" xr:uid="{9D979697-C10D-4C7E-931D-0E8BC024E8C6}"/>
    <cellStyle name="Normal 10 3 2 2 6 6 4" xfId="17566" xr:uid="{351F76E0-2BA0-42E6-A952-AF87F87C4250}"/>
    <cellStyle name="Normal 10 3 2 2 6 7" xfId="17567" xr:uid="{3D1E9EB4-BF61-4D24-BBA4-41A15015EC4C}"/>
    <cellStyle name="Normal 10 3 2 2 6 7 2" xfId="17568" xr:uid="{C1CB6C9D-4252-4FFA-A501-06EB77566CA0}"/>
    <cellStyle name="Normal 10 3 2 2 6 7 2 2" xfId="17569" xr:uid="{B232A3E4-67BC-4F7D-A4AA-23BCF976A050}"/>
    <cellStyle name="Normal 10 3 2 2 6 7 3" xfId="17570" xr:uid="{7F5F4D18-D957-40E5-822A-6253E9A6FF27}"/>
    <cellStyle name="Normal 10 3 2 2 6 8" xfId="17571" xr:uid="{588E9172-7D3C-4F2B-AEEC-27B6BE97DDC1}"/>
    <cellStyle name="Normal 10 3 2 2 6 8 2" xfId="17572" xr:uid="{6479EA96-130C-4CF2-9480-FE4D37024D89}"/>
    <cellStyle name="Normal 10 3 2 2 6 9" xfId="17573" xr:uid="{4F08D8B6-FE4E-4F1E-AB9D-BFA67AC109B5}"/>
    <cellStyle name="Normal 10 3 2 2 7" xfId="450" xr:uid="{C42EECAD-61FC-459A-8672-8B6B452BD83B}"/>
    <cellStyle name="Normal 10 3 2 2 7 2" xfId="17575" xr:uid="{E3D6C4AE-B0A9-425B-8DB0-B949D31F174B}"/>
    <cellStyle name="Normal 10 3 2 2 7 2 2" xfId="17576" xr:uid="{9245D702-D0DD-4106-B682-32D3B7B54727}"/>
    <cellStyle name="Normal 10 3 2 2 7 2 2 2" xfId="17577" xr:uid="{6B813F85-5916-4ED9-A0BC-AE42525748CA}"/>
    <cellStyle name="Normal 10 3 2 2 7 2 2 2 2" xfId="17578" xr:uid="{ECE142C7-16D7-4B7F-A50B-BB4BAA2680F5}"/>
    <cellStyle name="Normal 10 3 2 2 7 2 2 2 2 2" xfId="17579" xr:uid="{AB2D4C6A-7B6F-4E8B-9A72-AF55490637F1}"/>
    <cellStyle name="Normal 10 3 2 2 7 2 2 2 2 2 2" xfId="17580" xr:uid="{0410F29B-C271-4881-A9E6-12EF6F67A775}"/>
    <cellStyle name="Normal 10 3 2 2 7 2 2 2 2 2 2 2" xfId="17581" xr:uid="{38E2C89D-6283-4A36-AECF-40A1E3F983C4}"/>
    <cellStyle name="Normal 10 3 2 2 7 2 2 2 2 2 3" xfId="17582" xr:uid="{8C91F987-ED8D-44F5-A848-279D80707E37}"/>
    <cellStyle name="Normal 10 3 2 2 7 2 2 2 2 3" xfId="17583" xr:uid="{9B587912-8D42-49A6-AD80-E5437C64CDEF}"/>
    <cellStyle name="Normal 10 3 2 2 7 2 2 2 2 3 2" xfId="17584" xr:uid="{45DDEF06-5F79-4340-9733-92347F9F7451}"/>
    <cellStyle name="Normal 10 3 2 2 7 2 2 2 2 4" xfId="17585" xr:uid="{E36324F2-D46E-4E06-A4F2-DF569B2E9F00}"/>
    <cellStyle name="Normal 10 3 2 2 7 2 2 2 3" xfId="17586" xr:uid="{52B4D5C7-45C7-4A14-A91B-B338282FB150}"/>
    <cellStyle name="Normal 10 3 2 2 7 2 2 2 3 2" xfId="17587" xr:uid="{AFEEE0FC-D842-4475-ADC6-051F280F2AEB}"/>
    <cellStyle name="Normal 10 3 2 2 7 2 2 2 3 2 2" xfId="17588" xr:uid="{59479136-E234-4E6A-89F4-858A64027A64}"/>
    <cellStyle name="Normal 10 3 2 2 7 2 2 2 3 3" xfId="17589" xr:uid="{AD928183-EDF5-45D8-A463-6D8B7445BFE2}"/>
    <cellStyle name="Normal 10 3 2 2 7 2 2 2 4" xfId="17590" xr:uid="{C857D8B6-B71D-40D6-90FF-C8C53F7FA7DE}"/>
    <cellStyle name="Normal 10 3 2 2 7 2 2 2 4 2" xfId="17591" xr:uid="{AF7DFD91-48F0-4EE5-B5C9-542AFAE31D1B}"/>
    <cellStyle name="Normal 10 3 2 2 7 2 2 2 5" xfId="17592" xr:uid="{06760677-3D05-4BA9-A3DF-675790977127}"/>
    <cellStyle name="Normal 10 3 2 2 7 2 2 3" xfId="17593" xr:uid="{E50BC228-674B-4E57-BF4D-52B6B3180E63}"/>
    <cellStyle name="Normal 10 3 2 2 7 2 2 3 2" xfId="17594" xr:uid="{55C95E26-D008-46A1-8C70-2ADC09F03B52}"/>
    <cellStyle name="Normal 10 3 2 2 7 2 2 3 2 2" xfId="17595" xr:uid="{7568E33B-801E-4BB3-B25D-A7CC63BE70A4}"/>
    <cellStyle name="Normal 10 3 2 2 7 2 2 3 2 2 2" xfId="17596" xr:uid="{D4D805B3-2FB0-4F1B-8B5F-1BB2B7B4E939}"/>
    <cellStyle name="Normal 10 3 2 2 7 2 2 3 2 3" xfId="17597" xr:uid="{00C7FBFF-623A-4CB9-AD9F-C4BC192AA52A}"/>
    <cellStyle name="Normal 10 3 2 2 7 2 2 3 3" xfId="17598" xr:uid="{598292D2-B419-4C5D-8664-782990D55A83}"/>
    <cellStyle name="Normal 10 3 2 2 7 2 2 3 3 2" xfId="17599" xr:uid="{7403B484-5261-4454-81C0-0DA06AB2B859}"/>
    <cellStyle name="Normal 10 3 2 2 7 2 2 3 4" xfId="17600" xr:uid="{ADD6451B-58EE-496E-AAF5-B395357955B9}"/>
    <cellStyle name="Normal 10 3 2 2 7 2 2 4" xfId="17601" xr:uid="{53E11981-CE87-43C8-A12C-61986E5619C6}"/>
    <cellStyle name="Normal 10 3 2 2 7 2 2 4 2" xfId="17602" xr:uid="{022BD6CB-CB67-41E7-9274-1201A46CC369}"/>
    <cellStyle name="Normal 10 3 2 2 7 2 2 4 2 2" xfId="17603" xr:uid="{01980E83-898A-4862-B809-37A3E81C8E5B}"/>
    <cellStyle name="Normal 10 3 2 2 7 2 2 4 3" xfId="17604" xr:uid="{CC6E57BC-361D-46BB-92DC-9880260AE93D}"/>
    <cellStyle name="Normal 10 3 2 2 7 2 2 5" xfId="17605" xr:uid="{C82B91B5-A61E-4913-B68B-4D51DB599064}"/>
    <cellStyle name="Normal 10 3 2 2 7 2 2 5 2" xfId="17606" xr:uid="{F21D294B-96FC-4FDF-9F2C-6979BEBAD16B}"/>
    <cellStyle name="Normal 10 3 2 2 7 2 2 6" xfId="17607" xr:uid="{CACD964F-87CD-4C46-84E7-A1E8CC30FDDC}"/>
    <cellStyle name="Normal 10 3 2 2 7 2 3" xfId="17608" xr:uid="{7F270442-31B6-4229-93ED-76978644B202}"/>
    <cellStyle name="Normal 10 3 2 2 7 2 3 2" xfId="17609" xr:uid="{1F830F29-5CF6-479B-8166-65E61F512D2E}"/>
    <cellStyle name="Normal 10 3 2 2 7 2 3 2 2" xfId="17610" xr:uid="{BB33A296-6022-4ED0-AF3F-A832FDFA5005}"/>
    <cellStyle name="Normal 10 3 2 2 7 2 3 2 2 2" xfId="17611" xr:uid="{1A59B517-84B1-429C-99BD-77276D105A68}"/>
    <cellStyle name="Normal 10 3 2 2 7 2 3 2 2 2 2" xfId="17612" xr:uid="{E608A28E-0127-499F-BCCF-06ED91E8E0EE}"/>
    <cellStyle name="Normal 10 3 2 2 7 2 3 2 2 3" xfId="17613" xr:uid="{4580574B-8B32-4E9A-BA17-60D28100A234}"/>
    <cellStyle name="Normal 10 3 2 2 7 2 3 2 3" xfId="17614" xr:uid="{22344684-1B5E-48F7-A773-908F45D151FB}"/>
    <cellStyle name="Normal 10 3 2 2 7 2 3 2 3 2" xfId="17615" xr:uid="{2E66246E-167C-4F4B-A611-416201B15978}"/>
    <cellStyle name="Normal 10 3 2 2 7 2 3 2 4" xfId="17616" xr:uid="{01B19557-6A42-4787-B09B-B1962A7F06EC}"/>
    <cellStyle name="Normal 10 3 2 2 7 2 3 3" xfId="17617" xr:uid="{6E79A134-6A81-4FE3-926A-15EE08B28596}"/>
    <cellStyle name="Normal 10 3 2 2 7 2 3 3 2" xfId="17618" xr:uid="{B18C2941-894F-47FB-8858-DF24CB86E0D9}"/>
    <cellStyle name="Normal 10 3 2 2 7 2 3 3 2 2" xfId="17619" xr:uid="{C7D95576-4E8C-4B58-A533-8CA037D6DAF5}"/>
    <cellStyle name="Normal 10 3 2 2 7 2 3 3 3" xfId="17620" xr:uid="{5536EE08-C8F9-46A0-8C50-6E856834DFDC}"/>
    <cellStyle name="Normal 10 3 2 2 7 2 3 4" xfId="17621" xr:uid="{8839DD1C-75D4-49FF-9C16-6C321B14A171}"/>
    <cellStyle name="Normal 10 3 2 2 7 2 3 4 2" xfId="17622" xr:uid="{5DA2BB8A-67F1-41D9-8DA5-07A3C8D674FB}"/>
    <cellStyle name="Normal 10 3 2 2 7 2 3 5" xfId="17623" xr:uid="{AE84CDB1-BD70-4FB0-AB54-0508F033546F}"/>
    <cellStyle name="Normal 10 3 2 2 7 2 4" xfId="17624" xr:uid="{5F8EDD86-A13C-4AD3-8944-BEC5751157E2}"/>
    <cellStyle name="Normal 10 3 2 2 7 2 4 2" xfId="17625" xr:uid="{04AE2F44-7E2F-4599-8F58-839DE7A16091}"/>
    <cellStyle name="Normal 10 3 2 2 7 2 4 2 2" xfId="17626" xr:uid="{79990641-DDC7-4A21-B824-CA6203FAC02E}"/>
    <cellStyle name="Normal 10 3 2 2 7 2 4 2 2 2" xfId="17627" xr:uid="{800FE980-8720-4717-AD5A-FAED9D34722F}"/>
    <cellStyle name="Normal 10 3 2 2 7 2 4 2 3" xfId="17628" xr:uid="{D07EC033-5723-4FC5-8281-DDC083154890}"/>
    <cellStyle name="Normal 10 3 2 2 7 2 4 3" xfId="17629" xr:uid="{1600EBA1-A56A-4B82-9A49-C3DAA9355A85}"/>
    <cellStyle name="Normal 10 3 2 2 7 2 4 3 2" xfId="17630" xr:uid="{2B6AB368-0C3E-4D2C-983A-AFFAEDED4556}"/>
    <cellStyle name="Normal 10 3 2 2 7 2 4 4" xfId="17631" xr:uid="{FBA61FF7-9F42-4711-B63E-396EAE93470E}"/>
    <cellStyle name="Normal 10 3 2 2 7 2 5" xfId="17632" xr:uid="{C3069808-DD01-4BE9-AB3B-AA60E160232A}"/>
    <cellStyle name="Normal 10 3 2 2 7 2 5 2" xfId="17633" xr:uid="{2DACE5E4-3D91-4B89-82E0-EF7FD150D30A}"/>
    <cellStyle name="Normal 10 3 2 2 7 2 5 2 2" xfId="17634" xr:uid="{27C14317-568F-4CCB-B955-0F7F7DDA74BE}"/>
    <cellStyle name="Normal 10 3 2 2 7 2 5 3" xfId="17635" xr:uid="{377CFED9-8AAC-4628-92D2-BED144208EF3}"/>
    <cellStyle name="Normal 10 3 2 2 7 2 6" xfId="17636" xr:uid="{64653E46-2A02-4FD5-B1B6-8B1968E8798E}"/>
    <cellStyle name="Normal 10 3 2 2 7 2 6 2" xfId="17637" xr:uid="{870FC3C2-0650-4FD5-A2D7-C446CAEFF8E5}"/>
    <cellStyle name="Normal 10 3 2 2 7 2 7" xfId="17638" xr:uid="{F1FEDC66-FF3D-49B1-85C7-11F75ED20C5D}"/>
    <cellStyle name="Normal 10 3 2 2 7 3" xfId="17639" xr:uid="{3D8BAF89-B134-4B75-9B14-1DB6B413B05B}"/>
    <cellStyle name="Normal 10 3 2 2 7 3 2" xfId="17640" xr:uid="{D8D1000A-0FFD-4306-A534-010302D3B3BC}"/>
    <cellStyle name="Normal 10 3 2 2 7 3 2 2" xfId="17641" xr:uid="{14A24E08-50B9-4493-9FC4-6FC7D3F40205}"/>
    <cellStyle name="Normal 10 3 2 2 7 3 2 2 2" xfId="17642" xr:uid="{9F5E5C6B-02CC-4F9A-BD2F-AC618EC1745C}"/>
    <cellStyle name="Normal 10 3 2 2 7 3 2 2 2 2" xfId="17643" xr:uid="{713FC377-CDFF-4068-81CC-F33FD4C776B5}"/>
    <cellStyle name="Normal 10 3 2 2 7 3 2 2 2 2 2" xfId="17644" xr:uid="{9DAAE33E-A963-46A9-A81C-BD9CA3C521A6}"/>
    <cellStyle name="Normal 10 3 2 2 7 3 2 2 2 3" xfId="17645" xr:uid="{AB4B06B9-F3F7-44EE-B389-0834B3C64D2B}"/>
    <cellStyle name="Normal 10 3 2 2 7 3 2 2 3" xfId="17646" xr:uid="{7EAE389C-2FA3-4B47-AD00-F19E2E80C159}"/>
    <cellStyle name="Normal 10 3 2 2 7 3 2 2 3 2" xfId="17647" xr:uid="{7CAC884D-8471-41BA-834B-08E53AC2C4F5}"/>
    <cellStyle name="Normal 10 3 2 2 7 3 2 2 4" xfId="17648" xr:uid="{4EC534F6-9B45-4259-AE2D-F52B3AE2E688}"/>
    <cellStyle name="Normal 10 3 2 2 7 3 2 3" xfId="17649" xr:uid="{D6F9E809-20CB-42A4-88A5-4309401804F0}"/>
    <cellStyle name="Normal 10 3 2 2 7 3 2 3 2" xfId="17650" xr:uid="{4BB5615C-4A7D-47EB-8EA5-7DCF20ED8D61}"/>
    <cellStyle name="Normal 10 3 2 2 7 3 2 3 2 2" xfId="17651" xr:uid="{A18C9228-A204-462C-9ADB-326F5C802C9D}"/>
    <cellStyle name="Normal 10 3 2 2 7 3 2 3 3" xfId="17652" xr:uid="{7CFFFD28-0786-4FC6-AD40-2DB37E7BB1D1}"/>
    <cellStyle name="Normal 10 3 2 2 7 3 2 4" xfId="17653" xr:uid="{CBF3E30C-E664-423A-84C4-8A6F7EC0273E}"/>
    <cellStyle name="Normal 10 3 2 2 7 3 2 4 2" xfId="17654" xr:uid="{5D784B11-E069-435C-9362-368629F8F15E}"/>
    <cellStyle name="Normal 10 3 2 2 7 3 2 5" xfId="17655" xr:uid="{39B08EA8-97C8-4DC1-BFC3-81D9B0B17038}"/>
    <cellStyle name="Normal 10 3 2 2 7 3 3" xfId="17656" xr:uid="{024B690F-95CF-44DF-916E-90A22591E967}"/>
    <cellStyle name="Normal 10 3 2 2 7 3 3 2" xfId="17657" xr:uid="{0696BB7E-2300-4A11-A635-723BAEB72751}"/>
    <cellStyle name="Normal 10 3 2 2 7 3 3 2 2" xfId="17658" xr:uid="{CFDCBBFE-5AE2-44B4-9ADC-8D4C104B35A1}"/>
    <cellStyle name="Normal 10 3 2 2 7 3 3 2 2 2" xfId="17659" xr:uid="{C77CDAA7-C3F9-4354-8AA1-DF3AB2784F1F}"/>
    <cellStyle name="Normal 10 3 2 2 7 3 3 2 3" xfId="17660" xr:uid="{6BD1196D-4F38-4CD5-9AA8-7A638A017BE1}"/>
    <cellStyle name="Normal 10 3 2 2 7 3 3 3" xfId="17661" xr:uid="{13CC3EDF-A96E-41A8-8438-526D3DDC8128}"/>
    <cellStyle name="Normal 10 3 2 2 7 3 3 3 2" xfId="17662" xr:uid="{EB41D721-F60E-4B4D-BEE4-19E32D11585C}"/>
    <cellStyle name="Normal 10 3 2 2 7 3 3 4" xfId="17663" xr:uid="{E5BAE93C-3B66-4F36-BB11-D131C078F053}"/>
    <cellStyle name="Normal 10 3 2 2 7 3 4" xfId="17664" xr:uid="{C74783E1-03F3-4501-A1D7-FECFC23EC557}"/>
    <cellStyle name="Normal 10 3 2 2 7 3 4 2" xfId="17665" xr:uid="{F3CA2F9F-54D8-419F-B33E-7D0B5C7AF8CF}"/>
    <cellStyle name="Normal 10 3 2 2 7 3 4 2 2" xfId="17666" xr:uid="{7408F17F-81D8-418B-A143-BB3537FEF095}"/>
    <cellStyle name="Normal 10 3 2 2 7 3 4 3" xfId="17667" xr:uid="{046409A3-DCA0-4688-B9DE-F861AEF103B3}"/>
    <cellStyle name="Normal 10 3 2 2 7 3 5" xfId="17668" xr:uid="{139D1235-7843-4711-A53A-77D1229F7FBD}"/>
    <cellStyle name="Normal 10 3 2 2 7 3 5 2" xfId="17669" xr:uid="{82009035-FD4D-4D03-AFA3-965470D68BFB}"/>
    <cellStyle name="Normal 10 3 2 2 7 3 6" xfId="17670" xr:uid="{0DEAB030-C4D6-4038-BDB6-B8E3CA1E173C}"/>
    <cellStyle name="Normal 10 3 2 2 7 4" xfId="17671" xr:uid="{88EC3C9D-E600-4511-9769-8E33D9997B66}"/>
    <cellStyle name="Normal 10 3 2 2 7 4 2" xfId="17672" xr:uid="{A0A0937C-BB22-47BD-8173-0003B35DC5C2}"/>
    <cellStyle name="Normal 10 3 2 2 7 4 2 2" xfId="17673" xr:uid="{5B8135A5-0976-433A-8DC7-4EA50098A7BF}"/>
    <cellStyle name="Normal 10 3 2 2 7 4 2 2 2" xfId="17674" xr:uid="{892522B8-A9D6-49A5-BF8A-D27141CFBD2C}"/>
    <cellStyle name="Normal 10 3 2 2 7 4 2 2 2 2" xfId="17675" xr:uid="{1E8CB37D-A0B7-4318-BD23-5A0DE9CF1314}"/>
    <cellStyle name="Normal 10 3 2 2 7 4 2 2 3" xfId="17676" xr:uid="{2AF4BB60-3766-45FD-9E1E-A033E52650C5}"/>
    <cellStyle name="Normal 10 3 2 2 7 4 2 3" xfId="17677" xr:uid="{69CE248E-FC5E-4227-938F-7EB9D4BE3467}"/>
    <cellStyle name="Normal 10 3 2 2 7 4 2 3 2" xfId="17678" xr:uid="{8EE669AE-A0E0-4ACF-B1C8-219341267BE2}"/>
    <cellStyle name="Normal 10 3 2 2 7 4 2 4" xfId="17679" xr:uid="{59EBA76B-432E-4A80-A1FF-FFC7159BD751}"/>
    <cellStyle name="Normal 10 3 2 2 7 4 3" xfId="17680" xr:uid="{0A36ACDB-0CB4-4C97-A4F5-93EEAAC47617}"/>
    <cellStyle name="Normal 10 3 2 2 7 4 3 2" xfId="17681" xr:uid="{BAD9CE6A-1E4E-4BF3-8F0F-8EC1AE84C6FA}"/>
    <cellStyle name="Normal 10 3 2 2 7 4 3 2 2" xfId="17682" xr:uid="{4AEB15F5-584F-4D13-8208-611D1D1980B7}"/>
    <cellStyle name="Normal 10 3 2 2 7 4 3 3" xfId="17683" xr:uid="{A5977796-83EE-4D50-8347-60BD84671247}"/>
    <cellStyle name="Normal 10 3 2 2 7 4 4" xfId="17684" xr:uid="{D1CFDBC1-5576-4EFF-B1C1-D23CE5994636}"/>
    <cellStyle name="Normal 10 3 2 2 7 4 4 2" xfId="17685" xr:uid="{ED77DEAA-3019-4BF7-915C-C3CADCF12EEC}"/>
    <cellStyle name="Normal 10 3 2 2 7 4 5" xfId="17686" xr:uid="{CC834CCA-0FE7-4228-9326-526BDDE0AE57}"/>
    <cellStyle name="Normal 10 3 2 2 7 5" xfId="17687" xr:uid="{C0403548-6804-4FF0-9563-3A8456DD5425}"/>
    <cellStyle name="Normal 10 3 2 2 7 5 2" xfId="17688" xr:uid="{5B93E10F-73EF-48CE-994A-4F379F1222FC}"/>
    <cellStyle name="Normal 10 3 2 2 7 5 2 2" xfId="17689" xr:uid="{0A2D32C4-EF98-4252-A950-FD80CC7F5471}"/>
    <cellStyle name="Normal 10 3 2 2 7 5 2 2 2" xfId="17690" xr:uid="{55966511-A32D-49FD-8E7B-27A3BCD5EE98}"/>
    <cellStyle name="Normal 10 3 2 2 7 5 2 3" xfId="17691" xr:uid="{2D47AA34-EB4D-466C-A8D2-040320F413F8}"/>
    <cellStyle name="Normal 10 3 2 2 7 5 3" xfId="17692" xr:uid="{E87745F1-913B-4364-AF70-62639247B8CA}"/>
    <cellStyle name="Normal 10 3 2 2 7 5 3 2" xfId="17693" xr:uid="{21F3707D-186F-4EE0-A487-5A6B059A3536}"/>
    <cellStyle name="Normal 10 3 2 2 7 5 4" xfId="17694" xr:uid="{2C47C2D7-5F83-4CC5-AD9C-77C48B6E7606}"/>
    <cellStyle name="Normal 10 3 2 2 7 6" xfId="17695" xr:uid="{CA3B2645-9330-4FF1-9861-DB0BF6A6AEC7}"/>
    <cellStyle name="Normal 10 3 2 2 7 6 2" xfId="17696" xr:uid="{E4E1FE76-AC72-4BE7-BE0B-2E626906C7E4}"/>
    <cellStyle name="Normal 10 3 2 2 7 6 2 2" xfId="17697" xr:uid="{FC3CCB14-6045-4996-8488-D0EF4CEED822}"/>
    <cellStyle name="Normal 10 3 2 2 7 6 3" xfId="17698" xr:uid="{FDC035CF-E0C2-4E7D-97D8-51E9605F6932}"/>
    <cellStyle name="Normal 10 3 2 2 7 7" xfId="17699" xr:uid="{9448DEB7-EBB0-48B1-96E9-45018B5D0B64}"/>
    <cellStyle name="Normal 10 3 2 2 7 7 2" xfId="17700" xr:uid="{4B87F5D4-2400-4A65-BD92-1CDC6DA5C7E8}"/>
    <cellStyle name="Normal 10 3 2 2 7 8" xfId="17701" xr:uid="{9D118D10-3F11-4845-9375-E793D5B92773}"/>
    <cellStyle name="Normal 10 3 2 2 7 9" xfId="17574" xr:uid="{22833455-C0AB-4C5A-B856-AB05AF289CE5}"/>
    <cellStyle name="Normal 10 3 2 2 8" xfId="17702" xr:uid="{EB48F706-B3AB-4D85-8F91-180BECAEC340}"/>
    <cellStyle name="Normal 10 3 2 2 8 2" xfId="17703" xr:uid="{32307E30-31CF-44C3-A2B8-E0012916C67F}"/>
    <cellStyle name="Normal 10 3 2 2 8 2 2" xfId="17704" xr:uid="{E983BFB0-5A60-4E02-9B96-B429E2AB995F}"/>
    <cellStyle name="Normal 10 3 2 2 8 2 2 2" xfId="17705" xr:uid="{9C3FB637-5B27-4792-A724-63ECAE84559B}"/>
    <cellStyle name="Normal 10 3 2 2 8 2 2 2 2" xfId="17706" xr:uid="{F7E9F11C-47EE-4412-B9B0-27E2CD667A2C}"/>
    <cellStyle name="Normal 10 3 2 2 8 2 2 2 2 2" xfId="17707" xr:uid="{F6C26529-0599-409E-A6E9-5748B36D650F}"/>
    <cellStyle name="Normal 10 3 2 2 8 2 2 2 2 2 2" xfId="17708" xr:uid="{86DBC68A-7247-4BD2-8F8E-68CC48C9D0F4}"/>
    <cellStyle name="Normal 10 3 2 2 8 2 2 2 2 3" xfId="17709" xr:uid="{3F7EEA34-7494-4E78-873E-F9BB1B033B96}"/>
    <cellStyle name="Normal 10 3 2 2 8 2 2 2 3" xfId="17710" xr:uid="{FA2EEA47-9302-4D9C-B40C-4F7FD07ADB7D}"/>
    <cellStyle name="Normal 10 3 2 2 8 2 2 2 3 2" xfId="17711" xr:uid="{A7452B4A-0F4E-47B5-909B-C475D43ADED5}"/>
    <cellStyle name="Normal 10 3 2 2 8 2 2 2 4" xfId="17712" xr:uid="{F2F555A5-987D-4AA2-8E4C-191FDC0802BB}"/>
    <cellStyle name="Normal 10 3 2 2 8 2 2 3" xfId="17713" xr:uid="{73BA830A-16A6-4952-9973-CC3724BD2163}"/>
    <cellStyle name="Normal 10 3 2 2 8 2 2 3 2" xfId="17714" xr:uid="{E519EEED-97DB-4C21-8C71-B188EA6CF50A}"/>
    <cellStyle name="Normal 10 3 2 2 8 2 2 3 2 2" xfId="17715" xr:uid="{90FA5AE6-2044-43C7-A864-B2232DB74574}"/>
    <cellStyle name="Normal 10 3 2 2 8 2 2 3 3" xfId="17716" xr:uid="{0DC3FB09-5BEF-4A0C-BFA1-C037BAC9597E}"/>
    <cellStyle name="Normal 10 3 2 2 8 2 2 4" xfId="17717" xr:uid="{950FB04A-15A1-4BFF-BC42-43913D5939B6}"/>
    <cellStyle name="Normal 10 3 2 2 8 2 2 4 2" xfId="17718" xr:uid="{0F41B263-AA0B-4338-93DF-A8FE6F344DD1}"/>
    <cellStyle name="Normal 10 3 2 2 8 2 2 5" xfId="17719" xr:uid="{703A34D1-29CC-4612-96CB-26B0D0CC0D55}"/>
    <cellStyle name="Normal 10 3 2 2 8 2 3" xfId="17720" xr:uid="{18838728-D190-44BA-BF94-21624D6626E6}"/>
    <cellStyle name="Normal 10 3 2 2 8 2 3 2" xfId="17721" xr:uid="{4B7ACE6F-7E76-430E-B392-BC5AC73E5D9E}"/>
    <cellStyle name="Normal 10 3 2 2 8 2 3 2 2" xfId="17722" xr:uid="{C4E34404-44D8-4BCB-AE9D-AEF421A60803}"/>
    <cellStyle name="Normal 10 3 2 2 8 2 3 2 2 2" xfId="17723" xr:uid="{6D111484-3FE3-49A6-9D36-F141AE042BBE}"/>
    <cellStyle name="Normal 10 3 2 2 8 2 3 2 3" xfId="17724" xr:uid="{F47CCB69-79C2-40CA-98DB-C542912B09D7}"/>
    <cellStyle name="Normal 10 3 2 2 8 2 3 3" xfId="17725" xr:uid="{C33EA9B7-0204-4D68-A04D-DE3C59433280}"/>
    <cellStyle name="Normal 10 3 2 2 8 2 3 3 2" xfId="17726" xr:uid="{7D44F39A-E801-4562-9E81-47A6179573B4}"/>
    <cellStyle name="Normal 10 3 2 2 8 2 3 4" xfId="17727" xr:uid="{F515F9EB-235C-4ED6-A1B7-44BB0ECE98D4}"/>
    <cellStyle name="Normal 10 3 2 2 8 2 4" xfId="17728" xr:uid="{D94DE81D-ECB6-4976-9C8E-6D0300E3A114}"/>
    <cellStyle name="Normal 10 3 2 2 8 2 4 2" xfId="17729" xr:uid="{DC261F1B-0667-41AD-8139-8F361AA50CAD}"/>
    <cellStyle name="Normal 10 3 2 2 8 2 4 2 2" xfId="17730" xr:uid="{EC1AAED5-79FC-47C6-B170-24CE61127DE5}"/>
    <cellStyle name="Normal 10 3 2 2 8 2 4 3" xfId="17731" xr:uid="{526DD2D7-BC78-4454-887E-901895228458}"/>
    <cellStyle name="Normal 10 3 2 2 8 2 5" xfId="17732" xr:uid="{F3D42449-6528-4B9E-8C78-7800A427B5A1}"/>
    <cellStyle name="Normal 10 3 2 2 8 2 5 2" xfId="17733" xr:uid="{5FFC325E-EAB3-4B5E-9525-B1693CAC078A}"/>
    <cellStyle name="Normal 10 3 2 2 8 2 6" xfId="17734" xr:uid="{8CA1DF98-388F-4805-BD70-90B882113965}"/>
    <cellStyle name="Normal 10 3 2 2 8 3" xfId="17735" xr:uid="{495BC2E6-AD7D-4D92-8BAB-9913C8B8396E}"/>
    <cellStyle name="Normal 10 3 2 2 8 3 2" xfId="17736" xr:uid="{D98E69CF-7859-4B5C-A8EA-3819A3471FFC}"/>
    <cellStyle name="Normal 10 3 2 2 8 3 2 2" xfId="17737" xr:uid="{9A78DC05-CFAC-46F2-B5D6-3F6FA4594500}"/>
    <cellStyle name="Normal 10 3 2 2 8 3 2 2 2" xfId="17738" xr:uid="{DDF5F4FC-89A8-4C65-93E7-0515CFD9F9AA}"/>
    <cellStyle name="Normal 10 3 2 2 8 3 2 2 2 2" xfId="17739" xr:uid="{A0B057AF-49B5-417E-B750-2B5FDA1345F1}"/>
    <cellStyle name="Normal 10 3 2 2 8 3 2 2 3" xfId="17740" xr:uid="{0C3FF6A3-EC11-4F53-9885-9AF656B76465}"/>
    <cellStyle name="Normal 10 3 2 2 8 3 2 3" xfId="17741" xr:uid="{0804A067-47D5-4493-A15C-D75CBE3670CB}"/>
    <cellStyle name="Normal 10 3 2 2 8 3 2 3 2" xfId="17742" xr:uid="{863A3935-D760-48E4-8C71-C2955D562DE5}"/>
    <cellStyle name="Normal 10 3 2 2 8 3 2 4" xfId="17743" xr:uid="{33F8EA64-444D-46D6-84E6-653DAC721227}"/>
    <cellStyle name="Normal 10 3 2 2 8 3 3" xfId="17744" xr:uid="{6A8E4393-DDA5-45EA-88CD-D00A7CC2138C}"/>
    <cellStyle name="Normal 10 3 2 2 8 3 3 2" xfId="17745" xr:uid="{D492738F-56E0-497C-899C-1701430FCB6F}"/>
    <cellStyle name="Normal 10 3 2 2 8 3 3 2 2" xfId="17746" xr:uid="{90425834-663B-4FB7-9A50-6B9171014FEB}"/>
    <cellStyle name="Normal 10 3 2 2 8 3 3 3" xfId="17747" xr:uid="{56A24800-11E1-4FD8-9B14-5E3F2E2944E6}"/>
    <cellStyle name="Normal 10 3 2 2 8 3 4" xfId="17748" xr:uid="{4DBC92F7-5B9F-4F0F-9C36-8F52C57E80E4}"/>
    <cellStyle name="Normal 10 3 2 2 8 3 4 2" xfId="17749" xr:uid="{FED1E932-7E4C-4D92-AF2B-3E89A9201BAE}"/>
    <cellStyle name="Normal 10 3 2 2 8 3 5" xfId="17750" xr:uid="{E8E6FB5D-7D21-4ED5-A65C-657DD764DE40}"/>
    <cellStyle name="Normal 10 3 2 2 8 4" xfId="17751" xr:uid="{5244760C-F090-44BD-AE28-4FED0C430674}"/>
    <cellStyle name="Normal 10 3 2 2 8 4 2" xfId="17752" xr:uid="{B050C714-D484-4F7C-A9F6-5D8B72915535}"/>
    <cellStyle name="Normal 10 3 2 2 8 4 2 2" xfId="17753" xr:uid="{E8BDF870-DD61-4204-B115-5AFD6E22F469}"/>
    <cellStyle name="Normal 10 3 2 2 8 4 2 2 2" xfId="17754" xr:uid="{13C5C3EB-6D7B-4ADF-A292-F58B23D7B963}"/>
    <cellStyle name="Normal 10 3 2 2 8 4 2 3" xfId="17755" xr:uid="{5BD64F75-D444-4198-89D2-1BA8C8818860}"/>
    <cellStyle name="Normal 10 3 2 2 8 4 3" xfId="17756" xr:uid="{B42E18A4-993C-4477-9DBD-746AB03C64CD}"/>
    <cellStyle name="Normal 10 3 2 2 8 4 3 2" xfId="17757" xr:uid="{E5F98D89-E089-48FA-BCE5-14DD36F8C2CE}"/>
    <cellStyle name="Normal 10 3 2 2 8 4 4" xfId="17758" xr:uid="{0881F337-76CA-47AD-8D33-69D2EBFD7954}"/>
    <cellStyle name="Normal 10 3 2 2 8 5" xfId="17759" xr:uid="{DD430D5B-3332-4F8E-BB1B-6ADECC04EF26}"/>
    <cellStyle name="Normal 10 3 2 2 8 5 2" xfId="17760" xr:uid="{D43B3CE9-BD69-4CEE-96A7-3C6E699B51DA}"/>
    <cellStyle name="Normal 10 3 2 2 8 5 2 2" xfId="17761" xr:uid="{E19E2765-8490-4D37-9575-7454CA960809}"/>
    <cellStyle name="Normal 10 3 2 2 8 5 3" xfId="17762" xr:uid="{24DC69E6-B06A-42AC-9ED5-CE9091ED9FCE}"/>
    <cellStyle name="Normal 10 3 2 2 8 6" xfId="17763" xr:uid="{07D24892-A79A-422B-B944-43645815FD68}"/>
    <cellStyle name="Normal 10 3 2 2 8 6 2" xfId="17764" xr:uid="{EA836B29-6E13-458C-8A11-78CCE7BD0B86}"/>
    <cellStyle name="Normal 10 3 2 2 8 7" xfId="17765" xr:uid="{EF6628E1-B69A-4A51-B3C0-3F91E22F9D2C}"/>
    <cellStyle name="Normal 10 3 2 2 9" xfId="17766" xr:uid="{3F4251E2-E068-46B7-986C-979ED77FA865}"/>
    <cellStyle name="Normal 10 3 2 2 9 2" xfId="17767" xr:uid="{B5DBACBF-5205-4AA4-A9AF-E4A3E5DE014D}"/>
    <cellStyle name="Normal 10 3 2 2 9 2 2" xfId="17768" xr:uid="{DB5A47DE-4DD2-402E-B74B-0FC098A1A5FB}"/>
    <cellStyle name="Normal 10 3 2 2 9 2 2 2" xfId="17769" xr:uid="{E75C0D71-FEDA-45CC-B925-D681DCDB0912}"/>
    <cellStyle name="Normal 10 3 2 2 9 2 2 2 2" xfId="17770" xr:uid="{518BB976-BFA9-43F4-A50D-815C2C7B8814}"/>
    <cellStyle name="Normal 10 3 2 2 9 2 2 2 2 2" xfId="17771" xr:uid="{FF4D402C-8E69-49AC-9150-2B7734AC4EAF}"/>
    <cellStyle name="Normal 10 3 2 2 9 2 2 2 3" xfId="17772" xr:uid="{8EA80053-EDC2-4C6B-B67F-AA6D486DE047}"/>
    <cellStyle name="Normal 10 3 2 2 9 2 2 3" xfId="17773" xr:uid="{07C7F646-7450-4E77-9995-44F3D1764EE5}"/>
    <cellStyle name="Normal 10 3 2 2 9 2 2 3 2" xfId="17774" xr:uid="{4115EAB8-AC90-4CEC-AF3A-CEA5DE279696}"/>
    <cellStyle name="Normal 10 3 2 2 9 2 2 4" xfId="17775" xr:uid="{721DCBE8-C134-4102-8162-53AB526DCCBC}"/>
    <cellStyle name="Normal 10 3 2 2 9 2 3" xfId="17776" xr:uid="{D29C4692-6C49-45BF-9FD4-D3E2FE2C9F26}"/>
    <cellStyle name="Normal 10 3 2 2 9 2 3 2" xfId="17777" xr:uid="{459A8A06-66BD-4F2E-902D-361E4BE6BFC2}"/>
    <cellStyle name="Normal 10 3 2 2 9 2 3 2 2" xfId="17778" xr:uid="{CDDB9CFD-68CC-476B-99E5-B8935FECBDF5}"/>
    <cellStyle name="Normal 10 3 2 2 9 2 3 3" xfId="17779" xr:uid="{94E16F7E-E403-4619-A6C0-D9EA95F3F4E1}"/>
    <cellStyle name="Normal 10 3 2 2 9 2 4" xfId="17780" xr:uid="{73B06AE8-B39E-4814-B591-C35BF7797FBD}"/>
    <cellStyle name="Normal 10 3 2 2 9 2 4 2" xfId="17781" xr:uid="{E6026AFC-7D2E-4E63-B22E-063E1895483C}"/>
    <cellStyle name="Normal 10 3 2 2 9 2 5" xfId="17782" xr:uid="{29706D20-7C32-427E-ACA1-5A339DF46880}"/>
    <cellStyle name="Normal 10 3 2 2 9 3" xfId="17783" xr:uid="{715F1905-6C97-4767-AC50-19214E4B37D3}"/>
    <cellStyle name="Normal 10 3 2 2 9 3 2" xfId="17784" xr:uid="{9C3FB60A-AD7E-42B5-A28F-80C3E95C8245}"/>
    <cellStyle name="Normal 10 3 2 2 9 3 2 2" xfId="17785" xr:uid="{0CB107F7-12DF-4CB2-8065-210675D1E6B1}"/>
    <cellStyle name="Normal 10 3 2 2 9 3 2 2 2" xfId="17786" xr:uid="{56900521-797F-4DEA-A6C9-0B1C7BD79734}"/>
    <cellStyle name="Normal 10 3 2 2 9 3 2 3" xfId="17787" xr:uid="{E9403122-4000-4D44-9049-345C15E3797E}"/>
    <cellStyle name="Normal 10 3 2 2 9 3 3" xfId="17788" xr:uid="{6B617EFA-D64A-4EEA-89D1-4EEE30846C7F}"/>
    <cellStyle name="Normal 10 3 2 2 9 3 3 2" xfId="17789" xr:uid="{DBB05C26-A4B8-4446-AE7E-CB27DAE28B67}"/>
    <cellStyle name="Normal 10 3 2 2 9 3 4" xfId="17790" xr:uid="{B6FDB54C-E0DF-4EBF-A40A-07E72653714E}"/>
    <cellStyle name="Normal 10 3 2 2 9 4" xfId="17791" xr:uid="{F3CDBA7B-5932-4EC0-AAE0-C559C78D7E6F}"/>
    <cellStyle name="Normal 10 3 2 2 9 4 2" xfId="17792" xr:uid="{383A4415-0500-4E63-8267-43BDC27D8F81}"/>
    <cellStyle name="Normal 10 3 2 2 9 4 2 2" xfId="17793" xr:uid="{ED65F2DC-9F54-424B-9954-2D8E7242CFF5}"/>
    <cellStyle name="Normal 10 3 2 2 9 4 3" xfId="17794" xr:uid="{961685DC-9F1C-44DD-A4CB-B23C934CB0E5}"/>
    <cellStyle name="Normal 10 3 2 2 9 5" xfId="17795" xr:uid="{969F1640-BE9F-4494-8F66-B3CFD921AD26}"/>
    <cellStyle name="Normal 10 3 2 2 9 5 2" xfId="17796" xr:uid="{9F742BA9-03C7-442C-A08C-F32A285D9AAE}"/>
    <cellStyle name="Normal 10 3 2 2 9 6" xfId="17797" xr:uid="{6CA28C5E-DA6A-4102-90EE-5D05039B504D}"/>
    <cellStyle name="Normal 10 3 2 3" xfId="223" xr:uid="{F3BD6AB4-1015-4BA8-8AFE-EC86A46CD720}"/>
    <cellStyle name="Normal 10 3 2 3 10" xfId="17798" xr:uid="{D6594BAE-08E5-470B-BCFC-7D369CF0F59A}"/>
    <cellStyle name="Normal 10 3 2 3 11" xfId="562" xr:uid="{3D6101AD-C222-46B2-B685-4F52B5FC66B5}"/>
    <cellStyle name="Normal 10 3 2 3 2" xfId="334" xr:uid="{F4775431-95EE-4C78-818F-EBD0508BAD87}"/>
    <cellStyle name="Normal 10 3 2 3 2 10" xfId="17799" xr:uid="{8E2E15DB-9652-4F59-BD0F-AF52311CFD7B}"/>
    <cellStyle name="Normal 10 3 2 3 2 2" xfId="17800" xr:uid="{E51DE438-2CB6-403F-B90E-5F5B2258BDF1}"/>
    <cellStyle name="Normal 10 3 2 3 2 2 2" xfId="17801" xr:uid="{E853B337-BB61-4272-9F2D-45CA8DE25B9F}"/>
    <cellStyle name="Normal 10 3 2 3 2 2 2 2" xfId="17802" xr:uid="{847FAF55-6514-4DAA-85F6-95E81A44502A}"/>
    <cellStyle name="Normal 10 3 2 3 2 2 2 2 2" xfId="17803" xr:uid="{6EBD6D68-B73E-4408-BAF9-AF215736ED06}"/>
    <cellStyle name="Normal 10 3 2 3 2 2 2 2 2 2" xfId="17804" xr:uid="{5C6915BC-4306-4C53-BCEA-BD21E8EBCAD2}"/>
    <cellStyle name="Normal 10 3 2 3 2 2 2 2 2 2 2" xfId="17805" xr:uid="{E4A7BF5A-27D5-4CAB-AF8B-8F7C6A1AB342}"/>
    <cellStyle name="Normal 10 3 2 3 2 2 2 2 2 2 2 2" xfId="17806" xr:uid="{68BB750F-C7A6-4B32-92B3-55E5CAE79C7C}"/>
    <cellStyle name="Normal 10 3 2 3 2 2 2 2 2 2 2 2 2" xfId="17807" xr:uid="{78D99411-9AED-4227-B808-661CDEED2DE7}"/>
    <cellStyle name="Normal 10 3 2 3 2 2 2 2 2 2 2 3" xfId="17808" xr:uid="{7ED26D80-31B4-4E33-9177-780864F7F219}"/>
    <cellStyle name="Normal 10 3 2 3 2 2 2 2 2 2 3" xfId="17809" xr:uid="{0B1DC972-AE16-48EC-B244-B4790675B58F}"/>
    <cellStyle name="Normal 10 3 2 3 2 2 2 2 2 2 3 2" xfId="17810" xr:uid="{6EB5B375-619D-4C54-AAE6-A77D6E8138C8}"/>
    <cellStyle name="Normal 10 3 2 3 2 2 2 2 2 2 4" xfId="17811" xr:uid="{3063DE31-6AC8-4678-BAA6-B9329FA71FD0}"/>
    <cellStyle name="Normal 10 3 2 3 2 2 2 2 2 3" xfId="17812" xr:uid="{84C68A29-3DA3-454A-B39B-2B143B6731D6}"/>
    <cellStyle name="Normal 10 3 2 3 2 2 2 2 2 3 2" xfId="17813" xr:uid="{76ACA87E-1A84-4210-BC88-DEA58FCF97A2}"/>
    <cellStyle name="Normal 10 3 2 3 2 2 2 2 2 3 2 2" xfId="17814" xr:uid="{BA4293E2-ED2D-4038-89E3-F25D8D83919C}"/>
    <cellStyle name="Normal 10 3 2 3 2 2 2 2 2 3 3" xfId="17815" xr:uid="{25614E93-A796-48E1-A227-1DFF0B24F902}"/>
    <cellStyle name="Normal 10 3 2 3 2 2 2 2 2 4" xfId="17816" xr:uid="{DBBD0A35-0D4F-4956-BA63-06B5D375ADB7}"/>
    <cellStyle name="Normal 10 3 2 3 2 2 2 2 2 4 2" xfId="17817" xr:uid="{204474B9-CFB5-4BFA-ACF1-6AD2E661B153}"/>
    <cellStyle name="Normal 10 3 2 3 2 2 2 2 2 5" xfId="17818" xr:uid="{F438C915-0B1E-4335-B051-F61DADC407BF}"/>
    <cellStyle name="Normal 10 3 2 3 2 2 2 2 3" xfId="17819" xr:uid="{E35102EF-AD23-4CE3-88A7-4433E19FABBC}"/>
    <cellStyle name="Normal 10 3 2 3 2 2 2 2 3 2" xfId="17820" xr:uid="{C1C853C0-41B4-43EB-870B-571960063825}"/>
    <cellStyle name="Normal 10 3 2 3 2 2 2 2 3 2 2" xfId="17821" xr:uid="{5DB4AF08-AB39-4FFF-A1B5-81CB6D906EB7}"/>
    <cellStyle name="Normal 10 3 2 3 2 2 2 2 3 2 2 2" xfId="17822" xr:uid="{B39445E1-035C-459F-B421-560C564479A5}"/>
    <cellStyle name="Normal 10 3 2 3 2 2 2 2 3 2 3" xfId="17823" xr:uid="{9CA37065-F678-41C7-B861-81C45A06D49C}"/>
    <cellStyle name="Normal 10 3 2 3 2 2 2 2 3 3" xfId="17824" xr:uid="{103B6E37-5F2B-4579-868E-2DF3A55F983C}"/>
    <cellStyle name="Normal 10 3 2 3 2 2 2 2 3 3 2" xfId="17825" xr:uid="{ADA798E5-D1DB-4150-B147-53466591FA2A}"/>
    <cellStyle name="Normal 10 3 2 3 2 2 2 2 3 4" xfId="17826" xr:uid="{61E07AB1-E79C-4D92-B790-4CF0D1E8A412}"/>
    <cellStyle name="Normal 10 3 2 3 2 2 2 2 4" xfId="17827" xr:uid="{DAF2FB90-907A-42DE-B258-ADC41C2D7515}"/>
    <cellStyle name="Normal 10 3 2 3 2 2 2 2 4 2" xfId="17828" xr:uid="{F8B0AB98-8EC5-4CFE-BFEB-42CE7E53511C}"/>
    <cellStyle name="Normal 10 3 2 3 2 2 2 2 4 2 2" xfId="17829" xr:uid="{E90BCAD4-8C01-4C9D-879A-1E690FCA5892}"/>
    <cellStyle name="Normal 10 3 2 3 2 2 2 2 4 3" xfId="17830" xr:uid="{4B90FA50-E1DB-4B20-B62F-E15864DC9F25}"/>
    <cellStyle name="Normal 10 3 2 3 2 2 2 2 5" xfId="17831" xr:uid="{35486E4C-F8CC-433A-AE28-37D237E022F2}"/>
    <cellStyle name="Normal 10 3 2 3 2 2 2 2 5 2" xfId="17832" xr:uid="{5A2F37B1-EB5A-48AD-A193-CD62E114D885}"/>
    <cellStyle name="Normal 10 3 2 3 2 2 2 2 6" xfId="17833" xr:uid="{B2E777BC-8C7D-400A-AB0C-AE6EC19C57C0}"/>
    <cellStyle name="Normal 10 3 2 3 2 2 2 3" xfId="17834" xr:uid="{529A344F-D438-49E2-9227-11EE546249EA}"/>
    <cellStyle name="Normal 10 3 2 3 2 2 2 3 2" xfId="17835" xr:uid="{9CF17053-0F84-4659-A46D-478C870AA059}"/>
    <cellStyle name="Normal 10 3 2 3 2 2 2 3 2 2" xfId="17836" xr:uid="{C377CA7E-4CE9-4173-9768-3D1A7044AA2D}"/>
    <cellStyle name="Normal 10 3 2 3 2 2 2 3 2 2 2" xfId="17837" xr:uid="{307E17C1-96D1-438B-B708-3CD426DBD3BB}"/>
    <cellStyle name="Normal 10 3 2 3 2 2 2 3 2 2 2 2" xfId="17838" xr:uid="{B96A5684-0C05-4D8B-8E98-286E7DD51F0E}"/>
    <cellStyle name="Normal 10 3 2 3 2 2 2 3 2 2 3" xfId="17839" xr:uid="{43A5C59A-69C7-4C0F-A604-0314C16650C5}"/>
    <cellStyle name="Normal 10 3 2 3 2 2 2 3 2 3" xfId="17840" xr:uid="{7AD4C914-8D72-4D8E-9C15-86272CD39ACB}"/>
    <cellStyle name="Normal 10 3 2 3 2 2 2 3 2 3 2" xfId="17841" xr:uid="{7B48D349-E5CD-49C2-95A5-5FB326CB5A15}"/>
    <cellStyle name="Normal 10 3 2 3 2 2 2 3 2 4" xfId="17842" xr:uid="{7E288202-4357-4B60-BA04-1758A58FEC5C}"/>
    <cellStyle name="Normal 10 3 2 3 2 2 2 3 3" xfId="17843" xr:uid="{5152CA3C-4FB8-485E-8B32-8866FF2AE8C0}"/>
    <cellStyle name="Normal 10 3 2 3 2 2 2 3 3 2" xfId="17844" xr:uid="{C7BD71E5-C18F-4F88-AFF0-17C1A591BB8F}"/>
    <cellStyle name="Normal 10 3 2 3 2 2 2 3 3 2 2" xfId="17845" xr:uid="{7BF2869B-6BD3-4866-8B36-C27FCE24A771}"/>
    <cellStyle name="Normal 10 3 2 3 2 2 2 3 3 3" xfId="17846" xr:uid="{5DBBDFC8-2351-4C70-A9DD-A5BD802E3687}"/>
    <cellStyle name="Normal 10 3 2 3 2 2 2 3 4" xfId="17847" xr:uid="{D2E8BBE6-3D61-4045-A6B0-55ECD04E70E9}"/>
    <cellStyle name="Normal 10 3 2 3 2 2 2 3 4 2" xfId="17848" xr:uid="{AA647E36-5485-4218-8697-86C236A9A57B}"/>
    <cellStyle name="Normal 10 3 2 3 2 2 2 3 5" xfId="17849" xr:uid="{B5EC7084-19B1-4DB9-A5FB-6CAD708AE879}"/>
    <cellStyle name="Normal 10 3 2 3 2 2 2 4" xfId="17850" xr:uid="{12F9803C-D1FC-474A-9C61-3B79E130BABE}"/>
    <cellStyle name="Normal 10 3 2 3 2 2 2 4 2" xfId="17851" xr:uid="{2847D4DD-A441-42B4-9039-93EA5ADECE0F}"/>
    <cellStyle name="Normal 10 3 2 3 2 2 2 4 2 2" xfId="17852" xr:uid="{800E9E2A-BE80-45BD-8DFB-EB650E2FA4BC}"/>
    <cellStyle name="Normal 10 3 2 3 2 2 2 4 2 2 2" xfId="17853" xr:uid="{3C5FE35A-F75C-4E66-9E61-E05D699D444D}"/>
    <cellStyle name="Normal 10 3 2 3 2 2 2 4 2 3" xfId="17854" xr:uid="{1867521E-14E0-4F2E-8C43-0981B7DCE126}"/>
    <cellStyle name="Normal 10 3 2 3 2 2 2 4 3" xfId="17855" xr:uid="{B57E6AD3-6005-4D5C-8B94-2063EAB477F4}"/>
    <cellStyle name="Normal 10 3 2 3 2 2 2 4 3 2" xfId="17856" xr:uid="{D258410D-1B5B-48FD-BCE1-6C7C06C9C9CB}"/>
    <cellStyle name="Normal 10 3 2 3 2 2 2 4 4" xfId="17857" xr:uid="{31F07D96-8F73-4DCF-AEDF-19C338DC601E}"/>
    <cellStyle name="Normal 10 3 2 3 2 2 2 5" xfId="17858" xr:uid="{B3402971-2F13-4F5B-A28A-0D9ACAE59CAE}"/>
    <cellStyle name="Normal 10 3 2 3 2 2 2 5 2" xfId="17859" xr:uid="{ABB88C7D-0A10-4B00-B232-B683514A42C9}"/>
    <cellStyle name="Normal 10 3 2 3 2 2 2 5 2 2" xfId="17860" xr:uid="{AC416BB6-DD99-407E-9775-3F7BEFF85E42}"/>
    <cellStyle name="Normal 10 3 2 3 2 2 2 5 3" xfId="17861" xr:uid="{F0383E5C-5C8E-457D-900E-E6B514F2B542}"/>
    <cellStyle name="Normal 10 3 2 3 2 2 2 6" xfId="17862" xr:uid="{43F55AC0-0C21-4675-8C2A-711C16F42106}"/>
    <cellStyle name="Normal 10 3 2 3 2 2 2 6 2" xfId="17863" xr:uid="{D4AF58F2-C6DC-45E3-8B6C-1B0091B95932}"/>
    <cellStyle name="Normal 10 3 2 3 2 2 2 7" xfId="17864" xr:uid="{78000E55-3D5B-4E72-9009-E2E8176D8A54}"/>
    <cellStyle name="Normal 10 3 2 3 2 2 3" xfId="17865" xr:uid="{9A934411-AC87-4514-8EA8-6BE2DC5AF91C}"/>
    <cellStyle name="Normal 10 3 2 3 2 2 3 2" xfId="17866" xr:uid="{6BCD6B37-55D1-4283-84C3-D838E189C0E3}"/>
    <cellStyle name="Normal 10 3 2 3 2 2 3 2 2" xfId="17867" xr:uid="{6FFBF16E-62C0-474E-B131-321D8E3F6AD4}"/>
    <cellStyle name="Normal 10 3 2 3 2 2 3 2 2 2" xfId="17868" xr:uid="{D6F02FE3-543F-4B61-B17B-8F914D8D83D9}"/>
    <cellStyle name="Normal 10 3 2 3 2 2 3 2 2 2 2" xfId="17869" xr:uid="{6C28ACF5-DE5F-40C3-8B94-4EF6DE8BFBE4}"/>
    <cellStyle name="Normal 10 3 2 3 2 2 3 2 2 2 2 2" xfId="17870" xr:uid="{C86A49B4-79A8-4331-B5A9-993708FDFB10}"/>
    <cellStyle name="Normal 10 3 2 3 2 2 3 2 2 2 3" xfId="17871" xr:uid="{0FEA186B-E77E-4942-BA67-215A177ADAB3}"/>
    <cellStyle name="Normal 10 3 2 3 2 2 3 2 2 3" xfId="17872" xr:uid="{761221C2-19C4-4DEA-909C-B089879604B3}"/>
    <cellStyle name="Normal 10 3 2 3 2 2 3 2 2 3 2" xfId="17873" xr:uid="{940F31BD-A6FE-46FC-B679-AC77B6601408}"/>
    <cellStyle name="Normal 10 3 2 3 2 2 3 2 2 4" xfId="17874" xr:uid="{800663E4-9805-46B7-B41D-61E7733AC4E7}"/>
    <cellStyle name="Normal 10 3 2 3 2 2 3 2 3" xfId="17875" xr:uid="{FF6F155C-4704-4952-953D-BFCAC27EAAA1}"/>
    <cellStyle name="Normal 10 3 2 3 2 2 3 2 3 2" xfId="17876" xr:uid="{282C2862-88EA-4888-9705-2388BF548FDC}"/>
    <cellStyle name="Normal 10 3 2 3 2 2 3 2 3 2 2" xfId="17877" xr:uid="{1C24B39E-4DCE-4A4A-8686-C645DE569247}"/>
    <cellStyle name="Normal 10 3 2 3 2 2 3 2 3 3" xfId="17878" xr:uid="{3455819D-AFF4-4186-A5B7-5356D77111E6}"/>
    <cellStyle name="Normal 10 3 2 3 2 2 3 2 4" xfId="17879" xr:uid="{23E481B3-B2AC-4E4F-B350-C2A3990FF851}"/>
    <cellStyle name="Normal 10 3 2 3 2 2 3 2 4 2" xfId="17880" xr:uid="{FC49BF98-CE9C-4BDD-B716-FAF23ED15A38}"/>
    <cellStyle name="Normal 10 3 2 3 2 2 3 2 5" xfId="17881" xr:uid="{A10A969B-73FC-4906-A107-33C654816782}"/>
    <cellStyle name="Normal 10 3 2 3 2 2 3 3" xfId="17882" xr:uid="{764AB241-6A6F-4D4A-B1D8-28018B8FA07D}"/>
    <cellStyle name="Normal 10 3 2 3 2 2 3 3 2" xfId="17883" xr:uid="{9758FCB3-1F90-449A-A6B0-E35F65433ACD}"/>
    <cellStyle name="Normal 10 3 2 3 2 2 3 3 2 2" xfId="17884" xr:uid="{32CD3290-8D2B-43D4-B8E5-F41CB2900D98}"/>
    <cellStyle name="Normal 10 3 2 3 2 2 3 3 2 2 2" xfId="17885" xr:uid="{B44CD25D-CFC8-4DD1-8C58-88BA51B93C39}"/>
    <cellStyle name="Normal 10 3 2 3 2 2 3 3 2 3" xfId="17886" xr:uid="{70CF2CF4-830F-48D3-A7F4-640842B18E27}"/>
    <cellStyle name="Normal 10 3 2 3 2 2 3 3 3" xfId="17887" xr:uid="{0479D8EB-0231-40ED-BAC3-FD6DCF96DBCF}"/>
    <cellStyle name="Normal 10 3 2 3 2 2 3 3 3 2" xfId="17888" xr:uid="{65FDEC02-FCA9-4D88-99D6-5D646229CB5A}"/>
    <cellStyle name="Normal 10 3 2 3 2 2 3 3 4" xfId="17889" xr:uid="{61BDF402-5C36-4025-B3A2-FB435B6EF6B6}"/>
    <cellStyle name="Normal 10 3 2 3 2 2 3 4" xfId="17890" xr:uid="{AADC1C05-9889-4C41-9EED-44DE1300763C}"/>
    <cellStyle name="Normal 10 3 2 3 2 2 3 4 2" xfId="17891" xr:uid="{A0D6D9BC-1525-43C6-B49F-69461299B7BC}"/>
    <cellStyle name="Normal 10 3 2 3 2 2 3 4 2 2" xfId="17892" xr:uid="{69FC1739-0142-4E49-9162-3A8E8A16C5D0}"/>
    <cellStyle name="Normal 10 3 2 3 2 2 3 4 3" xfId="17893" xr:uid="{E5793BF9-ABB3-4E0B-911C-B6B589F44648}"/>
    <cellStyle name="Normal 10 3 2 3 2 2 3 5" xfId="17894" xr:uid="{9DCE552B-8622-4753-AD01-EF657C77E181}"/>
    <cellStyle name="Normal 10 3 2 3 2 2 3 5 2" xfId="17895" xr:uid="{19323040-898B-475A-8523-577926CC0B08}"/>
    <cellStyle name="Normal 10 3 2 3 2 2 3 6" xfId="17896" xr:uid="{5BF8B107-FFD7-478B-8D7D-ABEBA59B6E3D}"/>
    <cellStyle name="Normal 10 3 2 3 2 2 4" xfId="17897" xr:uid="{76F5E5E1-0390-42D8-A6D4-B728398D4823}"/>
    <cellStyle name="Normal 10 3 2 3 2 2 4 2" xfId="17898" xr:uid="{1B6696C7-A254-4A90-86DB-0EBBAB718EE2}"/>
    <cellStyle name="Normal 10 3 2 3 2 2 4 2 2" xfId="17899" xr:uid="{BC332A1F-0941-421E-BE53-3207C674DC3C}"/>
    <cellStyle name="Normal 10 3 2 3 2 2 4 2 2 2" xfId="17900" xr:uid="{CE56FD82-4CAE-4C5F-A358-8E00C63CCB04}"/>
    <cellStyle name="Normal 10 3 2 3 2 2 4 2 2 2 2" xfId="17901" xr:uid="{F0D99B00-ABB3-4B06-8011-870A2B8A2C7F}"/>
    <cellStyle name="Normal 10 3 2 3 2 2 4 2 2 3" xfId="17902" xr:uid="{0D0ECB88-022E-4952-8501-581A81013754}"/>
    <cellStyle name="Normal 10 3 2 3 2 2 4 2 3" xfId="17903" xr:uid="{499B2AC2-5717-4CB0-9565-5CF95FFF670E}"/>
    <cellStyle name="Normal 10 3 2 3 2 2 4 2 3 2" xfId="17904" xr:uid="{3D973ADA-924E-40B0-B589-1E616FD4CF82}"/>
    <cellStyle name="Normal 10 3 2 3 2 2 4 2 4" xfId="17905" xr:uid="{55ABC6D9-E5C2-4C7A-9196-3C106D8C174C}"/>
    <cellStyle name="Normal 10 3 2 3 2 2 4 3" xfId="17906" xr:uid="{0A6158B1-DD09-4C92-8698-DE345193A7CA}"/>
    <cellStyle name="Normal 10 3 2 3 2 2 4 3 2" xfId="17907" xr:uid="{E1D52AF0-304C-44FD-8B91-30A41624D422}"/>
    <cellStyle name="Normal 10 3 2 3 2 2 4 3 2 2" xfId="17908" xr:uid="{419FBB61-8C15-4BD3-A2B1-F88BE183BF10}"/>
    <cellStyle name="Normal 10 3 2 3 2 2 4 3 3" xfId="17909" xr:uid="{D5004237-807D-4F33-A0E0-85AA810624E7}"/>
    <cellStyle name="Normal 10 3 2 3 2 2 4 4" xfId="17910" xr:uid="{F43FBF33-D9F4-465D-AA7C-027F5C21845F}"/>
    <cellStyle name="Normal 10 3 2 3 2 2 4 4 2" xfId="17911" xr:uid="{F16456AE-0B8C-4025-9CAD-F592CD923C89}"/>
    <cellStyle name="Normal 10 3 2 3 2 2 4 5" xfId="17912" xr:uid="{7E9DC67F-E8E8-418D-8D07-A414B3EA7DE0}"/>
    <cellStyle name="Normal 10 3 2 3 2 2 5" xfId="17913" xr:uid="{A4ACDCB0-51DD-4C16-BDD7-986F505332AD}"/>
    <cellStyle name="Normal 10 3 2 3 2 2 5 2" xfId="17914" xr:uid="{BBB7095B-83BB-445D-A38C-3B6D2F6C738A}"/>
    <cellStyle name="Normal 10 3 2 3 2 2 5 2 2" xfId="17915" xr:uid="{AA000014-958E-490E-BEB7-C45A05463668}"/>
    <cellStyle name="Normal 10 3 2 3 2 2 5 2 2 2" xfId="17916" xr:uid="{B69ABFB3-F053-437D-8056-A2C53E1C7E86}"/>
    <cellStyle name="Normal 10 3 2 3 2 2 5 2 3" xfId="17917" xr:uid="{FBB1D016-BBF4-4EBC-85D7-91CE7B9EDFAA}"/>
    <cellStyle name="Normal 10 3 2 3 2 2 5 3" xfId="17918" xr:uid="{1C24F8BF-32F0-4F97-BC3D-CA515A072803}"/>
    <cellStyle name="Normal 10 3 2 3 2 2 5 3 2" xfId="17919" xr:uid="{816C0307-C87D-47A6-9F1F-31D09EC6AACC}"/>
    <cellStyle name="Normal 10 3 2 3 2 2 5 4" xfId="17920" xr:uid="{10B10BBC-EE48-4D48-ABE5-CD004C85976C}"/>
    <cellStyle name="Normal 10 3 2 3 2 2 6" xfId="17921" xr:uid="{187BC044-669B-4FC9-B1A4-22CE1109D2D4}"/>
    <cellStyle name="Normal 10 3 2 3 2 2 6 2" xfId="17922" xr:uid="{7DB534B1-0FA8-4D46-9C39-49D9FC6ABA41}"/>
    <cellStyle name="Normal 10 3 2 3 2 2 6 2 2" xfId="17923" xr:uid="{5F3A1BE0-7FC7-4D25-BA48-2F80D64BC3A7}"/>
    <cellStyle name="Normal 10 3 2 3 2 2 6 3" xfId="17924" xr:uid="{0E7EEF50-4B16-43A0-BDE0-5D8A9A8BA6CB}"/>
    <cellStyle name="Normal 10 3 2 3 2 2 7" xfId="17925" xr:uid="{53AC2001-108E-4D96-9ED6-2B8B2D8138B2}"/>
    <cellStyle name="Normal 10 3 2 3 2 2 7 2" xfId="17926" xr:uid="{D77A0B7C-2F58-4DDE-B9DB-A277EE33AE49}"/>
    <cellStyle name="Normal 10 3 2 3 2 2 8" xfId="17927" xr:uid="{EE4068DC-9A16-4242-AE3C-41417B644E86}"/>
    <cellStyle name="Normal 10 3 2 3 2 3" xfId="17928" xr:uid="{A2205AE2-08CA-4F52-8959-41A974478542}"/>
    <cellStyle name="Normal 10 3 2 3 2 3 2" xfId="17929" xr:uid="{6A1CAC1E-38CE-499A-9386-A19F079C7B8B}"/>
    <cellStyle name="Normal 10 3 2 3 2 3 2 2" xfId="17930" xr:uid="{D163AB8B-0C5E-4AA7-BAC4-11A43931E6D5}"/>
    <cellStyle name="Normal 10 3 2 3 2 3 2 2 2" xfId="17931" xr:uid="{EEFBF095-D497-4933-9EF4-EC5F61715D56}"/>
    <cellStyle name="Normal 10 3 2 3 2 3 2 2 2 2" xfId="17932" xr:uid="{6295C033-3FA2-48BD-BF52-E0A303647E4A}"/>
    <cellStyle name="Normal 10 3 2 3 2 3 2 2 2 2 2" xfId="17933" xr:uid="{A9177373-3FE3-41FB-999C-9A8B8AF40FC8}"/>
    <cellStyle name="Normal 10 3 2 3 2 3 2 2 2 2 2 2" xfId="17934" xr:uid="{470892AC-DF11-4C71-9F63-22BCB1B78A24}"/>
    <cellStyle name="Normal 10 3 2 3 2 3 2 2 2 2 3" xfId="17935" xr:uid="{22782477-B145-4DBC-94AF-326CCE17814A}"/>
    <cellStyle name="Normal 10 3 2 3 2 3 2 2 2 3" xfId="17936" xr:uid="{6F21F879-D01D-47A5-9DDD-7B5E37F1FC2B}"/>
    <cellStyle name="Normal 10 3 2 3 2 3 2 2 2 3 2" xfId="17937" xr:uid="{3760D898-9E8E-49D6-A31E-76A4B3D18950}"/>
    <cellStyle name="Normal 10 3 2 3 2 3 2 2 2 4" xfId="17938" xr:uid="{03F566A8-E22C-41C9-9F1A-30B164A355D5}"/>
    <cellStyle name="Normal 10 3 2 3 2 3 2 2 3" xfId="17939" xr:uid="{32B5085E-61AD-4BF3-AE59-C8DCEAB47BB8}"/>
    <cellStyle name="Normal 10 3 2 3 2 3 2 2 3 2" xfId="17940" xr:uid="{EBB1EB9D-1755-43DA-BAA9-BC42707E933C}"/>
    <cellStyle name="Normal 10 3 2 3 2 3 2 2 3 2 2" xfId="17941" xr:uid="{DA7ECE42-8A25-40A7-854B-30630AAC81D7}"/>
    <cellStyle name="Normal 10 3 2 3 2 3 2 2 3 3" xfId="17942" xr:uid="{2E98C310-576B-448E-B095-3CA8451CC32D}"/>
    <cellStyle name="Normal 10 3 2 3 2 3 2 2 4" xfId="17943" xr:uid="{59AD100A-C542-4093-806C-E2FF680FD661}"/>
    <cellStyle name="Normal 10 3 2 3 2 3 2 2 4 2" xfId="17944" xr:uid="{F62B58FE-7660-46B7-8DB4-A20288DA8B01}"/>
    <cellStyle name="Normal 10 3 2 3 2 3 2 2 5" xfId="17945" xr:uid="{E80A2284-7D91-429B-A73D-BF22570511FD}"/>
    <cellStyle name="Normal 10 3 2 3 2 3 2 3" xfId="17946" xr:uid="{B7FF0F2A-78A7-45DA-A075-8DAC6A1331C2}"/>
    <cellStyle name="Normal 10 3 2 3 2 3 2 3 2" xfId="17947" xr:uid="{DE21AB2B-E8B8-430B-B7A9-E35A6CF464B5}"/>
    <cellStyle name="Normal 10 3 2 3 2 3 2 3 2 2" xfId="17948" xr:uid="{F7711EC6-FFC4-4D6E-9557-8940D2FBF83B}"/>
    <cellStyle name="Normal 10 3 2 3 2 3 2 3 2 2 2" xfId="17949" xr:uid="{ABB74EC7-1D02-47AB-AE47-16B3ECB419B1}"/>
    <cellStyle name="Normal 10 3 2 3 2 3 2 3 2 3" xfId="17950" xr:uid="{4F70E014-3014-43C7-8C7F-935EAB1C3110}"/>
    <cellStyle name="Normal 10 3 2 3 2 3 2 3 3" xfId="17951" xr:uid="{52408736-B2D3-4759-A907-E90D75951A7C}"/>
    <cellStyle name="Normal 10 3 2 3 2 3 2 3 3 2" xfId="17952" xr:uid="{E9D8B097-322D-4284-B73B-94A49445641B}"/>
    <cellStyle name="Normal 10 3 2 3 2 3 2 3 4" xfId="17953" xr:uid="{45708D11-793D-4DF7-A003-4AD80482C4E1}"/>
    <cellStyle name="Normal 10 3 2 3 2 3 2 4" xfId="17954" xr:uid="{F5010147-3CE5-4E35-92ED-1015CDE52460}"/>
    <cellStyle name="Normal 10 3 2 3 2 3 2 4 2" xfId="17955" xr:uid="{97802305-FE41-4B5C-A937-DDBFB28FDDF9}"/>
    <cellStyle name="Normal 10 3 2 3 2 3 2 4 2 2" xfId="17956" xr:uid="{5A155DD2-D1AD-4D98-A3C9-0091DFD35C0F}"/>
    <cellStyle name="Normal 10 3 2 3 2 3 2 4 3" xfId="17957" xr:uid="{CF9C7F98-2AF5-4029-8F58-52386ACD2F2A}"/>
    <cellStyle name="Normal 10 3 2 3 2 3 2 5" xfId="17958" xr:uid="{D0D6DB0A-4806-4699-BA71-2BD9CF5F3A4A}"/>
    <cellStyle name="Normal 10 3 2 3 2 3 2 5 2" xfId="17959" xr:uid="{C41CE7AE-62EB-4665-8EA1-43002E525BD1}"/>
    <cellStyle name="Normal 10 3 2 3 2 3 2 6" xfId="17960" xr:uid="{4B0EB462-1683-4201-A45B-4B9DCFFF009E}"/>
    <cellStyle name="Normal 10 3 2 3 2 3 3" xfId="17961" xr:uid="{0ECD90E0-D576-4060-BE2E-FEA0B439EA42}"/>
    <cellStyle name="Normal 10 3 2 3 2 3 3 2" xfId="17962" xr:uid="{616C8BE8-C05F-4698-9AE8-DE42BA462B12}"/>
    <cellStyle name="Normal 10 3 2 3 2 3 3 2 2" xfId="17963" xr:uid="{88CBA432-363F-49A9-A07A-FDCA9F2DF675}"/>
    <cellStyle name="Normal 10 3 2 3 2 3 3 2 2 2" xfId="17964" xr:uid="{0C5FBEE9-CDA4-47E7-89FF-63985F24820A}"/>
    <cellStyle name="Normal 10 3 2 3 2 3 3 2 2 2 2" xfId="17965" xr:uid="{1E228BC3-A398-445A-B409-C4EA229956EA}"/>
    <cellStyle name="Normal 10 3 2 3 2 3 3 2 2 3" xfId="17966" xr:uid="{81FFAACA-14A7-4CF9-88FE-20895FAB7804}"/>
    <cellStyle name="Normal 10 3 2 3 2 3 3 2 3" xfId="17967" xr:uid="{636E05F3-7C27-456E-AC43-88ED24965834}"/>
    <cellStyle name="Normal 10 3 2 3 2 3 3 2 3 2" xfId="17968" xr:uid="{854417EB-A39C-4F9D-A3A8-0C8EC4082F91}"/>
    <cellStyle name="Normal 10 3 2 3 2 3 3 2 4" xfId="17969" xr:uid="{9F4038C7-226F-4D67-BDF3-40AD889A2475}"/>
    <cellStyle name="Normal 10 3 2 3 2 3 3 3" xfId="17970" xr:uid="{D8A3FE4F-1787-4BB4-9DA7-BF9672602F44}"/>
    <cellStyle name="Normal 10 3 2 3 2 3 3 3 2" xfId="17971" xr:uid="{529D8DF3-76C9-4D1B-A14E-0C76775625AF}"/>
    <cellStyle name="Normal 10 3 2 3 2 3 3 3 2 2" xfId="17972" xr:uid="{0C4C1233-A44C-44E0-8285-4474672B5F28}"/>
    <cellStyle name="Normal 10 3 2 3 2 3 3 3 3" xfId="17973" xr:uid="{15573474-170A-4E98-BDF6-287C2B06D938}"/>
    <cellStyle name="Normal 10 3 2 3 2 3 3 4" xfId="17974" xr:uid="{31FC9E0A-353E-4B96-A41D-776F5A8341F3}"/>
    <cellStyle name="Normal 10 3 2 3 2 3 3 4 2" xfId="17975" xr:uid="{BE1289DC-B453-4BA4-94BD-BACB6B7B4D11}"/>
    <cellStyle name="Normal 10 3 2 3 2 3 3 5" xfId="17976" xr:uid="{33A1F460-6EDC-4592-BA69-99A721DDDB6D}"/>
    <cellStyle name="Normal 10 3 2 3 2 3 4" xfId="17977" xr:uid="{B56879DF-4E47-4926-8C7B-1F86D80149F1}"/>
    <cellStyle name="Normal 10 3 2 3 2 3 4 2" xfId="17978" xr:uid="{5A282957-54D5-4546-9E7A-29C7FB31FAB3}"/>
    <cellStyle name="Normal 10 3 2 3 2 3 4 2 2" xfId="17979" xr:uid="{978C8AEF-35DF-4BBD-B08F-2A18F154AC69}"/>
    <cellStyle name="Normal 10 3 2 3 2 3 4 2 2 2" xfId="17980" xr:uid="{FB40A97C-FBCA-4817-97E6-9D3E399434CA}"/>
    <cellStyle name="Normal 10 3 2 3 2 3 4 2 3" xfId="17981" xr:uid="{F018EC7E-087D-4F68-873E-8DA68337B823}"/>
    <cellStyle name="Normal 10 3 2 3 2 3 4 3" xfId="17982" xr:uid="{35CFAB60-2582-41EC-B3D3-487494F27E57}"/>
    <cellStyle name="Normal 10 3 2 3 2 3 4 3 2" xfId="17983" xr:uid="{AC6D578B-EA90-4F27-81ED-7BE2EA4E6802}"/>
    <cellStyle name="Normal 10 3 2 3 2 3 4 4" xfId="17984" xr:uid="{AA032239-952A-4915-A82A-07E85D4C9DC5}"/>
    <cellStyle name="Normal 10 3 2 3 2 3 5" xfId="17985" xr:uid="{BCFBBC6D-8CEB-4252-A9AA-99E8016C7C05}"/>
    <cellStyle name="Normal 10 3 2 3 2 3 5 2" xfId="17986" xr:uid="{E166FC87-9373-4C0A-A0F3-C64C42E4E0E4}"/>
    <cellStyle name="Normal 10 3 2 3 2 3 5 2 2" xfId="17987" xr:uid="{99312B41-3887-41D0-9AFE-419014161642}"/>
    <cellStyle name="Normal 10 3 2 3 2 3 5 3" xfId="17988" xr:uid="{B4DA4794-1BA2-4E25-BBAC-B04A9EFE4F2F}"/>
    <cellStyle name="Normal 10 3 2 3 2 3 6" xfId="17989" xr:uid="{3F2CCE93-EB53-4BD9-97A4-12A9C2CA0AF6}"/>
    <cellStyle name="Normal 10 3 2 3 2 3 6 2" xfId="17990" xr:uid="{966330C8-E669-4012-85AA-05A76A3F160A}"/>
    <cellStyle name="Normal 10 3 2 3 2 3 7" xfId="17991" xr:uid="{D66BFB1F-8A44-4DD7-A2CF-517DFBF453DA}"/>
    <cellStyle name="Normal 10 3 2 3 2 4" xfId="17992" xr:uid="{8E885120-D8EB-415A-8E9B-3C0499061BA9}"/>
    <cellStyle name="Normal 10 3 2 3 2 4 2" xfId="17993" xr:uid="{F486B8EB-9BCB-4D3F-9F27-86DAD29DA271}"/>
    <cellStyle name="Normal 10 3 2 3 2 4 2 2" xfId="17994" xr:uid="{13430C56-390B-431A-935D-221010AF5CF8}"/>
    <cellStyle name="Normal 10 3 2 3 2 4 2 2 2" xfId="17995" xr:uid="{971D9AEB-6BE7-41CF-90CD-D93D73AC5E30}"/>
    <cellStyle name="Normal 10 3 2 3 2 4 2 2 2 2" xfId="17996" xr:uid="{2B34150B-6BA8-4C55-87E3-BF1505AF2D97}"/>
    <cellStyle name="Normal 10 3 2 3 2 4 2 2 2 2 2" xfId="17997" xr:uid="{BBAAD277-E442-4B0F-BA4A-3047EA4110B2}"/>
    <cellStyle name="Normal 10 3 2 3 2 4 2 2 2 3" xfId="17998" xr:uid="{CDBC8754-42F7-46CF-85FB-DACCC57C9F3B}"/>
    <cellStyle name="Normal 10 3 2 3 2 4 2 2 3" xfId="17999" xr:uid="{C1E256F1-90D4-43AB-A9B1-B767260AF4B1}"/>
    <cellStyle name="Normal 10 3 2 3 2 4 2 2 3 2" xfId="18000" xr:uid="{4AF678C1-8E26-4064-A18D-D7F67972E546}"/>
    <cellStyle name="Normal 10 3 2 3 2 4 2 2 4" xfId="18001" xr:uid="{EEEC6EB7-724E-4F61-BD54-450E24BB178A}"/>
    <cellStyle name="Normal 10 3 2 3 2 4 2 3" xfId="18002" xr:uid="{CEEBD684-4187-4000-9240-B593D76032E2}"/>
    <cellStyle name="Normal 10 3 2 3 2 4 2 3 2" xfId="18003" xr:uid="{151EE760-1E32-4689-9D07-3896491B730B}"/>
    <cellStyle name="Normal 10 3 2 3 2 4 2 3 2 2" xfId="18004" xr:uid="{730B8AC2-8038-470F-A102-E2B28E00F6FE}"/>
    <cellStyle name="Normal 10 3 2 3 2 4 2 3 3" xfId="18005" xr:uid="{6FC6E484-96B1-4D36-8541-6829B2232735}"/>
    <cellStyle name="Normal 10 3 2 3 2 4 2 4" xfId="18006" xr:uid="{B781FBA1-CB44-4690-B7CB-48844C033994}"/>
    <cellStyle name="Normal 10 3 2 3 2 4 2 4 2" xfId="18007" xr:uid="{130BDDDA-288B-4F6F-9F34-203CC186ECA1}"/>
    <cellStyle name="Normal 10 3 2 3 2 4 2 5" xfId="18008" xr:uid="{E3A5D545-9058-4476-9E53-CB62668C2636}"/>
    <cellStyle name="Normal 10 3 2 3 2 4 3" xfId="18009" xr:uid="{0DADEBF1-0D5D-45F5-A500-B2BB321C82B7}"/>
    <cellStyle name="Normal 10 3 2 3 2 4 3 2" xfId="18010" xr:uid="{909E6AE8-9DFB-44C1-89E0-F617E6E7CEB2}"/>
    <cellStyle name="Normal 10 3 2 3 2 4 3 2 2" xfId="18011" xr:uid="{037194EE-208A-494F-BC3A-4A76DFCA38FB}"/>
    <cellStyle name="Normal 10 3 2 3 2 4 3 2 2 2" xfId="18012" xr:uid="{DF93F262-22A1-4CC1-BA10-7C0062FB8712}"/>
    <cellStyle name="Normal 10 3 2 3 2 4 3 2 3" xfId="18013" xr:uid="{BFB14D6A-AD29-47BF-92C3-C272672355C4}"/>
    <cellStyle name="Normal 10 3 2 3 2 4 3 3" xfId="18014" xr:uid="{5A02A976-131B-45E0-B42E-D95A89B62C0C}"/>
    <cellStyle name="Normal 10 3 2 3 2 4 3 3 2" xfId="18015" xr:uid="{7886E9A4-486A-4366-B18A-3B525F3722BB}"/>
    <cellStyle name="Normal 10 3 2 3 2 4 3 4" xfId="18016" xr:uid="{F47FA4DB-6A7F-4B9A-8AA2-CB5B6AE7E339}"/>
    <cellStyle name="Normal 10 3 2 3 2 4 4" xfId="18017" xr:uid="{9936B441-E031-4166-8BF0-88E3F990E796}"/>
    <cellStyle name="Normal 10 3 2 3 2 4 4 2" xfId="18018" xr:uid="{610C1466-DD15-4D58-869A-368AB163FCE2}"/>
    <cellStyle name="Normal 10 3 2 3 2 4 4 2 2" xfId="18019" xr:uid="{C5BC4CCC-6830-4AF1-831C-D94508F91E12}"/>
    <cellStyle name="Normal 10 3 2 3 2 4 4 3" xfId="18020" xr:uid="{229F4937-0019-43D2-A3DA-5F368D8EBC00}"/>
    <cellStyle name="Normal 10 3 2 3 2 4 5" xfId="18021" xr:uid="{D32F8D8B-CE36-48E6-800B-35E371A2A52F}"/>
    <cellStyle name="Normal 10 3 2 3 2 4 5 2" xfId="18022" xr:uid="{B3FFD9D1-F089-4D31-9423-1074466D20A9}"/>
    <cellStyle name="Normal 10 3 2 3 2 4 6" xfId="18023" xr:uid="{A646F964-2B00-4541-8153-026FECA88C26}"/>
    <cellStyle name="Normal 10 3 2 3 2 5" xfId="18024" xr:uid="{F2996425-C559-4FBD-B90E-FE06678DC1EA}"/>
    <cellStyle name="Normal 10 3 2 3 2 5 2" xfId="18025" xr:uid="{3D1D07B2-4612-44CA-8039-437B6C054114}"/>
    <cellStyle name="Normal 10 3 2 3 2 5 2 2" xfId="18026" xr:uid="{71FCB6EA-6142-4DC4-8366-911DCBD0497C}"/>
    <cellStyle name="Normal 10 3 2 3 2 5 2 2 2" xfId="18027" xr:uid="{82F3F9D2-D3CE-403E-B195-EFCAC8137A6C}"/>
    <cellStyle name="Normal 10 3 2 3 2 5 2 2 2 2" xfId="18028" xr:uid="{5F7537A9-1916-49DC-AFC3-12C66C057940}"/>
    <cellStyle name="Normal 10 3 2 3 2 5 2 2 3" xfId="18029" xr:uid="{61BF44A3-73C3-4775-B394-20846998FC3C}"/>
    <cellStyle name="Normal 10 3 2 3 2 5 2 3" xfId="18030" xr:uid="{1EF38DAD-0CA1-48F6-B503-603ED1C56FB2}"/>
    <cellStyle name="Normal 10 3 2 3 2 5 2 3 2" xfId="18031" xr:uid="{2793F8FE-6439-435F-A237-381B32A40E2D}"/>
    <cellStyle name="Normal 10 3 2 3 2 5 2 4" xfId="18032" xr:uid="{5C5CA212-5ED1-4820-9927-D2184E227B5E}"/>
    <cellStyle name="Normal 10 3 2 3 2 5 3" xfId="18033" xr:uid="{0BAB1854-71FC-41BC-A325-F690DFF443FE}"/>
    <cellStyle name="Normal 10 3 2 3 2 5 3 2" xfId="18034" xr:uid="{A15DBB2C-AF8A-4B72-9835-BB167F5E3FC5}"/>
    <cellStyle name="Normal 10 3 2 3 2 5 3 2 2" xfId="18035" xr:uid="{E49BB46B-A5EC-4956-8AAC-73A71F8CB2EF}"/>
    <cellStyle name="Normal 10 3 2 3 2 5 3 3" xfId="18036" xr:uid="{7AD3E49E-ABCA-4625-AEE2-35C4CC2A58B6}"/>
    <cellStyle name="Normal 10 3 2 3 2 5 4" xfId="18037" xr:uid="{DB2CEF87-565F-45C0-9EA2-50B73C07F970}"/>
    <cellStyle name="Normal 10 3 2 3 2 5 4 2" xfId="18038" xr:uid="{390DE8ED-390A-4C13-B214-7FFD2787CDCA}"/>
    <cellStyle name="Normal 10 3 2 3 2 5 5" xfId="18039" xr:uid="{1CE1E9FC-754C-45EE-AD7D-CAF5C2265B0D}"/>
    <cellStyle name="Normal 10 3 2 3 2 6" xfId="18040" xr:uid="{AAD8299A-36D5-4EC5-82B7-67E3B76ADFED}"/>
    <cellStyle name="Normal 10 3 2 3 2 6 2" xfId="18041" xr:uid="{51D7D9AE-42C8-4988-A942-C5F5FE14EBCE}"/>
    <cellStyle name="Normal 10 3 2 3 2 6 2 2" xfId="18042" xr:uid="{C1A31CA2-FE02-4CB7-9173-255D7EB170D8}"/>
    <cellStyle name="Normal 10 3 2 3 2 6 2 2 2" xfId="18043" xr:uid="{7912187D-3AC8-4614-B448-B95284E12F96}"/>
    <cellStyle name="Normal 10 3 2 3 2 6 2 3" xfId="18044" xr:uid="{04F33B11-FB93-45CE-B86A-97630F3D3DDF}"/>
    <cellStyle name="Normal 10 3 2 3 2 6 3" xfId="18045" xr:uid="{EB4C95BD-C0D7-41F3-B795-5C038F073F7B}"/>
    <cellStyle name="Normal 10 3 2 3 2 6 3 2" xfId="18046" xr:uid="{F4A3A1F4-3F55-4B69-813F-95DD34FBA223}"/>
    <cellStyle name="Normal 10 3 2 3 2 6 4" xfId="18047" xr:uid="{574BB450-50CF-4B84-BD43-1F912D204700}"/>
    <cellStyle name="Normal 10 3 2 3 2 7" xfId="18048" xr:uid="{4CCD0958-8C77-407E-976D-2EF99FFE4338}"/>
    <cellStyle name="Normal 10 3 2 3 2 7 2" xfId="18049" xr:uid="{2AC4C028-6CFD-4AC1-94D9-092595927A8F}"/>
    <cellStyle name="Normal 10 3 2 3 2 7 2 2" xfId="18050" xr:uid="{2E54DA55-6C50-4FE8-BA8D-FA9ED682F572}"/>
    <cellStyle name="Normal 10 3 2 3 2 7 3" xfId="18051" xr:uid="{6D6402FE-E96E-4F0E-9D8E-B71AE8435A4D}"/>
    <cellStyle name="Normal 10 3 2 3 2 8" xfId="18052" xr:uid="{0D7E5E08-C4E3-4AC0-B5C1-07281BC26826}"/>
    <cellStyle name="Normal 10 3 2 3 2 8 2" xfId="18053" xr:uid="{1C552D8B-DB65-456D-AF81-831A97CA604F}"/>
    <cellStyle name="Normal 10 3 2 3 2 9" xfId="18054" xr:uid="{D09E2B67-809B-4549-BB20-ADEDA7516A3A}"/>
    <cellStyle name="Normal 10 3 2 3 3" xfId="458" xr:uid="{B9BEC6B7-58F1-4F57-A18B-FF9DD423BC43}"/>
    <cellStyle name="Normal 10 3 2 3 3 2" xfId="18056" xr:uid="{CF950CFE-3983-4C84-868B-82D0C18F4C00}"/>
    <cellStyle name="Normal 10 3 2 3 3 2 2" xfId="18057" xr:uid="{0A516D48-E0A1-4174-AA8C-D51165F9B004}"/>
    <cellStyle name="Normal 10 3 2 3 3 2 2 2" xfId="18058" xr:uid="{69FB6A23-E571-4CEE-95A1-227C994630A2}"/>
    <cellStyle name="Normal 10 3 2 3 3 2 2 2 2" xfId="18059" xr:uid="{23E453D4-FCDB-4A10-A988-FFCED2C2F3E1}"/>
    <cellStyle name="Normal 10 3 2 3 3 2 2 2 2 2" xfId="18060" xr:uid="{4C3EAA50-A8B6-4ED5-BDB4-51274EACDD66}"/>
    <cellStyle name="Normal 10 3 2 3 3 2 2 2 2 2 2" xfId="18061" xr:uid="{09243C36-124C-404E-B002-880F6780AB85}"/>
    <cellStyle name="Normal 10 3 2 3 3 2 2 2 2 2 2 2" xfId="18062" xr:uid="{4827D1AB-E2FA-4503-8DF8-2104577C5EA9}"/>
    <cellStyle name="Normal 10 3 2 3 3 2 2 2 2 2 3" xfId="18063" xr:uid="{C7370A62-C0F2-46BB-B8A5-2773EF0E8F26}"/>
    <cellStyle name="Normal 10 3 2 3 3 2 2 2 2 3" xfId="18064" xr:uid="{F08CB7F0-5DB0-429C-86E3-BB77190C34C5}"/>
    <cellStyle name="Normal 10 3 2 3 3 2 2 2 2 3 2" xfId="18065" xr:uid="{CCD664F7-7A54-40AB-B325-7EFCE8FA842B}"/>
    <cellStyle name="Normal 10 3 2 3 3 2 2 2 2 4" xfId="18066" xr:uid="{485E4CC0-BA74-41D1-A74F-F4D803FD4BF8}"/>
    <cellStyle name="Normal 10 3 2 3 3 2 2 2 3" xfId="18067" xr:uid="{94C33507-10EA-4F07-A649-E131E29D67E0}"/>
    <cellStyle name="Normal 10 3 2 3 3 2 2 2 3 2" xfId="18068" xr:uid="{FCC2BCCD-EB55-4688-B532-3A8477EDB4D2}"/>
    <cellStyle name="Normal 10 3 2 3 3 2 2 2 3 2 2" xfId="18069" xr:uid="{F5064453-2FFA-45FC-891F-DD7A054B9A10}"/>
    <cellStyle name="Normal 10 3 2 3 3 2 2 2 3 3" xfId="18070" xr:uid="{700BDB59-A08F-4AB3-BC88-4BF0D871DCA0}"/>
    <cellStyle name="Normal 10 3 2 3 3 2 2 2 4" xfId="18071" xr:uid="{0C0EA613-E0DC-4063-9980-C62D916768A2}"/>
    <cellStyle name="Normal 10 3 2 3 3 2 2 2 4 2" xfId="18072" xr:uid="{43221404-6748-4C53-8C4F-2A06F63CCBAF}"/>
    <cellStyle name="Normal 10 3 2 3 3 2 2 2 5" xfId="18073" xr:uid="{2128D58B-BDD5-4CA5-9D39-9DF88B92030A}"/>
    <cellStyle name="Normal 10 3 2 3 3 2 2 3" xfId="18074" xr:uid="{31E9324F-CC36-4886-A2D7-CE6A260443DE}"/>
    <cellStyle name="Normal 10 3 2 3 3 2 2 3 2" xfId="18075" xr:uid="{8D81C1BE-7737-4B9D-9D63-FAF83EFD8195}"/>
    <cellStyle name="Normal 10 3 2 3 3 2 2 3 2 2" xfId="18076" xr:uid="{69191345-2C18-4E34-AF18-39F8468F008C}"/>
    <cellStyle name="Normal 10 3 2 3 3 2 2 3 2 2 2" xfId="18077" xr:uid="{C86B2A2F-C303-489D-9A54-9786CF18F513}"/>
    <cellStyle name="Normal 10 3 2 3 3 2 2 3 2 3" xfId="18078" xr:uid="{9380F7B2-94F7-45B2-9837-87CF5AF02843}"/>
    <cellStyle name="Normal 10 3 2 3 3 2 2 3 3" xfId="18079" xr:uid="{6879161F-782F-45CD-81EE-CCEFEBB19761}"/>
    <cellStyle name="Normal 10 3 2 3 3 2 2 3 3 2" xfId="18080" xr:uid="{F848525E-9C00-4954-B7F5-0A82E820D033}"/>
    <cellStyle name="Normal 10 3 2 3 3 2 2 3 4" xfId="18081" xr:uid="{F9583BDA-8EAA-4284-9A10-A1B9828F390E}"/>
    <cellStyle name="Normal 10 3 2 3 3 2 2 4" xfId="18082" xr:uid="{95DEBF5D-788A-4E0B-BA6D-9B1C41128372}"/>
    <cellStyle name="Normal 10 3 2 3 3 2 2 4 2" xfId="18083" xr:uid="{5A224851-2875-42EF-B3F7-8C3DB6625246}"/>
    <cellStyle name="Normal 10 3 2 3 3 2 2 4 2 2" xfId="18084" xr:uid="{4EE95171-2FF5-49D2-85B3-F0648861A5AB}"/>
    <cellStyle name="Normal 10 3 2 3 3 2 2 4 3" xfId="18085" xr:uid="{F415E657-3FC5-4672-966B-BA964A672298}"/>
    <cellStyle name="Normal 10 3 2 3 3 2 2 5" xfId="18086" xr:uid="{7FCC0444-D31F-44A5-ABDE-63A016CC0C45}"/>
    <cellStyle name="Normal 10 3 2 3 3 2 2 5 2" xfId="18087" xr:uid="{18070C6C-AB6F-4BB3-A803-64D8A387FD3E}"/>
    <cellStyle name="Normal 10 3 2 3 3 2 2 6" xfId="18088" xr:uid="{E43515F7-71DE-4A66-B8AE-90FD151BF677}"/>
    <cellStyle name="Normal 10 3 2 3 3 2 3" xfId="18089" xr:uid="{8E6C83A2-C943-4DFB-AD46-2D51350E46FB}"/>
    <cellStyle name="Normal 10 3 2 3 3 2 3 2" xfId="18090" xr:uid="{6908BD71-62C0-473F-94A8-AA7A48A67768}"/>
    <cellStyle name="Normal 10 3 2 3 3 2 3 2 2" xfId="18091" xr:uid="{2D610A0B-2713-47FC-8B99-39F4C1DFDCD4}"/>
    <cellStyle name="Normal 10 3 2 3 3 2 3 2 2 2" xfId="18092" xr:uid="{4DB3086C-1F38-48B9-A6E4-E4A18CA895C1}"/>
    <cellStyle name="Normal 10 3 2 3 3 2 3 2 2 2 2" xfId="18093" xr:uid="{C2A8E5F6-57C8-464A-93A4-79E9DA6EEA6F}"/>
    <cellStyle name="Normal 10 3 2 3 3 2 3 2 2 3" xfId="18094" xr:uid="{A8723F75-C61F-4497-93BC-D62C569021C1}"/>
    <cellStyle name="Normal 10 3 2 3 3 2 3 2 3" xfId="18095" xr:uid="{989090CE-FC09-41E4-9596-60022C9B9AFD}"/>
    <cellStyle name="Normal 10 3 2 3 3 2 3 2 3 2" xfId="18096" xr:uid="{D43B65CA-8404-4C68-A5AE-D17D231B74D6}"/>
    <cellStyle name="Normal 10 3 2 3 3 2 3 2 4" xfId="18097" xr:uid="{5518519B-296E-4D13-B4D6-F14F182D1B4D}"/>
    <cellStyle name="Normal 10 3 2 3 3 2 3 3" xfId="18098" xr:uid="{E6A9155B-FD6E-4A8E-A7EF-16AF932A09E7}"/>
    <cellStyle name="Normal 10 3 2 3 3 2 3 3 2" xfId="18099" xr:uid="{410226F1-D3CE-451B-834C-A7DC6A390F14}"/>
    <cellStyle name="Normal 10 3 2 3 3 2 3 3 2 2" xfId="18100" xr:uid="{E0E01E58-37E4-41BA-A16D-067ECAB399FC}"/>
    <cellStyle name="Normal 10 3 2 3 3 2 3 3 3" xfId="18101" xr:uid="{6E467A1E-CFF7-475E-A104-F0E40C47BCC6}"/>
    <cellStyle name="Normal 10 3 2 3 3 2 3 4" xfId="18102" xr:uid="{40A7C178-32E5-4DDD-AAD5-77BA7EA96A56}"/>
    <cellStyle name="Normal 10 3 2 3 3 2 3 4 2" xfId="18103" xr:uid="{CAC013BE-0CAB-4EA1-974D-97C843403648}"/>
    <cellStyle name="Normal 10 3 2 3 3 2 3 5" xfId="18104" xr:uid="{9915C7CF-A1A7-4A7F-AB22-D5B2D8726AE5}"/>
    <cellStyle name="Normal 10 3 2 3 3 2 4" xfId="18105" xr:uid="{18AFEEF5-E53C-4EC5-AFCA-FF0AD7654FB6}"/>
    <cellStyle name="Normal 10 3 2 3 3 2 4 2" xfId="18106" xr:uid="{14A74891-EE8C-458E-8772-34DB8F355D21}"/>
    <cellStyle name="Normal 10 3 2 3 3 2 4 2 2" xfId="18107" xr:uid="{A3BAE677-48E5-4A54-939C-3426A1AA4095}"/>
    <cellStyle name="Normal 10 3 2 3 3 2 4 2 2 2" xfId="18108" xr:uid="{8A52AC44-E37E-4242-B58C-E0B4775785E1}"/>
    <cellStyle name="Normal 10 3 2 3 3 2 4 2 3" xfId="18109" xr:uid="{1456BACA-9F61-4A6A-8981-27622C44BB85}"/>
    <cellStyle name="Normal 10 3 2 3 3 2 4 3" xfId="18110" xr:uid="{B59164CE-74F5-471F-B31C-992CB83E41F3}"/>
    <cellStyle name="Normal 10 3 2 3 3 2 4 3 2" xfId="18111" xr:uid="{2D6FF521-929B-434D-8DF5-F8201F583686}"/>
    <cellStyle name="Normal 10 3 2 3 3 2 4 4" xfId="18112" xr:uid="{A6C65853-D58D-42AF-82A3-0285349AE251}"/>
    <cellStyle name="Normal 10 3 2 3 3 2 5" xfId="18113" xr:uid="{2F00E3C7-303C-4E4B-AF57-BAFA3D25D4B6}"/>
    <cellStyle name="Normal 10 3 2 3 3 2 5 2" xfId="18114" xr:uid="{F6EA130F-B2F0-44CC-BEA0-B8168BCC6B0B}"/>
    <cellStyle name="Normal 10 3 2 3 3 2 5 2 2" xfId="18115" xr:uid="{D2A42641-DB06-4106-88B8-498AAC72D877}"/>
    <cellStyle name="Normal 10 3 2 3 3 2 5 3" xfId="18116" xr:uid="{24C6A822-811F-4733-9D57-72B7FAFB702F}"/>
    <cellStyle name="Normal 10 3 2 3 3 2 6" xfId="18117" xr:uid="{0CEB53AF-3D43-46B4-8449-B7C42DC49FEE}"/>
    <cellStyle name="Normal 10 3 2 3 3 2 6 2" xfId="18118" xr:uid="{F0271D38-C98E-4BB4-AFCC-745FAC85F5DD}"/>
    <cellStyle name="Normal 10 3 2 3 3 2 7" xfId="18119" xr:uid="{33569F41-8E50-4966-9460-F8DDA639D72A}"/>
    <cellStyle name="Normal 10 3 2 3 3 3" xfId="18120" xr:uid="{F472828F-F475-4093-A5AD-A0573E57652C}"/>
    <cellStyle name="Normal 10 3 2 3 3 3 2" xfId="18121" xr:uid="{979517A1-EC50-40FF-A2D5-250C7A3CED63}"/>
    <cellStyle name="Normal 10 3 2 3 3 3 2 2" xfId="18122" xr:uid="{98632CA8-9E95-43AD-ADAC-DBC148A4AFF3}"/>
    <cellStyle name="Normal 10 3 2 3 3 3 2 2 2" xfId="18123" xr:uid="{CB62451E-790B-4AA7-9EA4-DFB34F347B09}"/>
    <cellStyle name="Normal 10 3 2 3 3 3 2 2 2 2" xfId="18124" xr:uid="{9292737D-FA75-4067-BB5E-61C5F9FDD5F1}"/>
    <cellStyle name="Normal 10 3 2 3 3 3 2 2 2 2 2" xfId="18125" xr:uid="{5AFC27D0-EEBE-4CCB-81DD-850A932E9B21}"/>
    <cellStyle name="Normal 10 3 2 3 3 3 2 2 2 3" xfId="18126" xr:uid="{394F967B-E092-4865-BCAD-F8E96E4D0171}"/>
    <cellStyle name="Normal 10 3 2 3 3 3 2 2 3" xfId="18127" xr:uid="{502EEDF4-18FE-45D8-B075-C428F6BD1ED6}"/>
    <cellStyle name="Normal 10 3 2 3 3 3 2 2 3 2" xfId="18128" xr:uid="{6EF80A13-18F6-4AE5-BBE3-A8494AD147D8}"/>
    <cellStyle name="Normal 10 3 2 3 3 3 2 2 4" xfId="18129" xr:uid="{AFCD876F-94BD-4DF0-852F-A4281C27129C}"/>
    <cellStyle name="Normal 10 3 2 3 3 3 2 3" xfId="18130" xr:uid="{463A8EFA-5941-432F-B73E-7ED750312ADA}"/>
    <cellStyle name="Normal 10 3 2 3 3 3 2 3 2" xfId="18131" xr:uid="{1C9E1C2C-C7A6-48A1-98E7-54434D4B90E6}"/>
    <cellStyle name="Normal 10 3 2 3 3 3 2 3 2 2" xfId="18132" xr:uid="{F76C9FC7-32EA-4A20-A935-B353A81FB7D8}"/>
    <cellStyle name="Normal 10 3 2 3 3 3 2 3 3" xfId="18133" xr:uid="{0D5A2797-DE63-41A9-B07B-972778A4FA99}"/>
    <cellStyle name="Normal 10 3 2 3 3 3 2 4" xfId="18134" xr:uid="{8DF025F9-F3F0-4C76-A1B3-0071778F69DC}"/>
    <cellStyle name="Normal 10 3 2 3 3 3 2 4 2" xfId="18135" xr:uid="{617F179F-6AD5-4B91-AB7A-4FDBCF71CF6E}"/>
    <cellStyle name="Normal 10 3 2 3 3 3 2 5" xfId="18136" xr:uid="{B02DBE5B-3F14-4981-815E-A1C9FB83B35D}"/>
    <cellStyle name="Normal 10 3 2 3 3 3 3" xfId="18137" xr:uid="{B05206BE-A9D3-4F58-9A92-34EBEF5328AE}"/>
    <cellStyle name="Normal 10 3 2 3 3 3 3 2" xfId="18138" xr:uid="{7E5BFEB0-1F1A-46BC-AD3A-FA7923B63D40}"/>
    <cellStyle name="Normal 10 3 2 3 3 3 3 2 2" xfId="18139" xr:uid="{8E29BBFF-E6E4-4485-9509-67D14E279203}"/>
    <cellStyle name="Normal 10 3 2 3 3 3 3 2 2 2" xfId="18140" xr:uid="{6CD3A93A-9F07-4498-BE04-5BE90DB3ED73}"/>
    <cellStyle name="Normal 10 3 2 3 3 3 3 2 3" xfId="18141" xr:uid="{8DBB89D8-30B5-4A3C-965A-13CBFE145CDF}"/>
    <cellStyle name="Normal 10 3 2 3 3 3 3 3" xfId="18142" xr:uid="{C5660417-9CA1-4777-801A-5ABFFBC0E8D8}"/>
    <cellStyle name="Normal 10 3 2 3 3 3 3 3 2" xfId="18143" xr:uid="{E6A3AAF8-EFA7-4DF2-9955-1BE7CA7A829E}"/>
    <cellStyle name="Normal 10 3 2 3 3 3 3 4" xfId="18144" xr:uid="{EF9C7718-AE89-47B1-9155-93B47F011355}"/>
    <cellStyle name="Normal 10 3 2 3 3 3 4" xfId="18145" xr:uid="{A8F75288-6786-4514-B41D-BA2541DA6544}"/>
    <cellStyle name="Normal 10 3 2 3 3 3 4 2" xfId="18146" xr:uid="{5EE87BEA-ABF5-40AE-919C-78F6815E205B}"/>
    <cellStyle name="Normal 10 3 2 3 3 3 4 2 2" xfId="18147" xr:uid="{AE36B64E-77D0-46EE-8D2C-6A2E613FA880}"/>
    <cellStyle name="Normal 10 3 2 3 3 3 4 3" xfId="18148" xr:uid="{C492FA9C-6C56-452D-9389-96DF41477513}"/>
    <cellStyle name="Normal 10 3 2 3 3 3 5" xfId="18149" xr:uid="{0A598524-F24B-46D6-8A01-CAC22138A6FC}"/>
    <cellStyle name="Normal 10 3 2 3 3 3 5 2" xfId="18150" xr:uid="{A5C6B200-3D38-4FA2-A398-80E90CC37B85}"/>
    <cellStyle name="Normal 10 3 2 3 3 3 6" xfId="18151" xr:uid="{90712643-EAE5-4524-AF45-72081BCABA1B}"/>
    <cellStyle name="Normal 10 3 2 3 3 4" xfId="18152" xr:uid="{468E2257-E232-4CEE-B232-3F00F5AFCB43}"/>
    <cellStyle name="Normal 10 3 2 3 3 4 2" xfId="18153" xr:uid="{E1946863-D1E8-4968-9376-29631054E624}"/>
    <cellStyle name="Normal 10 3 2 3 3 4 2 2" xfId="18154" xr:uid="{24DA33C7-EDC0-4377-A5EB-3C2336D52657}"/>
    <cellStyle name="Normal 10 3 2 3 3 4 2 2 2" xfId="18155" xr:uid="{1DCCF9D0-6DF6-4C93-AC35-706CB98E7699}"/>
    <cellStyle name="Normal 10 3 2 3 3 4 2 2 2 2" xfId="18156" xr:uid="{16897E04-25EC-45D5-BE19-CB9697F31B27}"/>
    <cellStyle name="Normal 10 3 2 3 3 4 2 2 3" xfId="18157" xr:uid="{42E8A40C-D4E3-4D45-9441-0296A8389892}"/>
    <cellStyle name="Normal 10 3 2 3 3 4 2 3" xfId="18158" xr:uid="{6A9464DD-4F52-4B1A-ABD2-6178F2E8EF99}"/>
    <cellStyle name="Normal 10 3 2 3 3 4 2 3 2" xfId="18159" xr:uid="{E83DE326-429C-41BA-B6DB-6CBB72BDB17C}"/>
    <cellStyle name="Normal 10 3 2 3 3 4 2 4" xfId="18160" xr:uid="{277B58F1-A504-4BDE-B327-DD09B0D58AC3}"/>
    <cellStyle name="Normal 10 3 2 3 3 4 3" xfId="18161" xr:uid="{AC2FA774-63D0-40CB-B296-63B19B322F33}"/>
    <cellStyle name="Normal 10 3 2 3 3 4 3 2" xfId="18162" xr:uid="{A6AF0057-22E6-4D3C-A922-51E34CCD95D3}"/>
    <cellStyle name="Normal 10 3 2 3 3 4 3 2 2" xfId="18163" xr:uid="{6B5CCD37-1490-48A7-99D8-7FFECBB39B57}"/>
    <cellStyle name="Normal 10 3 2 3 3 4 3 3" xfId="18164" xr:uid="{8AA833FB-99B3-4957-ACFC-A64552D5AC17}"/>
    <cellStyle name="Normal 10 3 2 3 3 4 4" xfId="18165" xr:uid="{C55AEE48-CE55-406F-817F-6003D9CCBF51}"/>
    <cellStyle name="Normal 10 3 2 3 3 4 4 2" xfId="18166" xr:uid="{5238516B-5BDC-4223-8C2A-3B0E6CC20BC6}"/>
    <cellStyle name="Normal 10 3 2 3 3 4 5" xfId="18167" xr:uid="{81807F6D-AC9B-4EB9-BB75-6E7E0739C4AF}"/>
    <cellStyle name="Normal 10 3 2 3 3 5" xfId="18168" xr:uid="{59E3A111-CA52-4DE2-B78C-0FC39B02954B}"/>
    <cellStyle name="Normal 10 3 2 3 3 5 2" xfId="18169" xr:uid="{B4335DDC-EB87-441F-875E-950A181F4AF7}"/>
    <cellStyle name="Normal 10 3 2 3 3 5 2 2" xfId="18170" xr:uid="{018A5F11-EC37-4610-8A67-26043047C587}"/>
    <cellStyle name="Normal 10 3 2 3 3 5 2 2 2" xfId="18171" xr:uid="{68AD8123-993D-42D1-846E-9C92D03E5F10}"/>
    <cellStyle name="Normal 10 3 2 3 3 5 2 3" xfId="18172" xr:uid="{946ECA70-96D3-4066-AEE0-91B48A885BBC}"/>
    <cellStyle name="Normal 10 3 2 3 3 5 3" xfId="18173" xr:uid="{A457DF58-34F5-4DCE-9A8A-4CADD70C1BC1}"/>
    <cellStyle name="Normal 10 3 2 3 3 5 3 2" xfId="18174" xr:uid="{CD58EA8A-D5A1-4436-B49E-E9B4AC8538CC}"/>
    <cellStyle name="Normal 10 3 2 3 3 5 4" xfId="18175" xr:uid="{69B1220D-4A0B-4B57-B2F0-20C99DCA3780}"/>
    <cellStyle name="Normal 10 3 2 3 3 6" xfId="18176" xr:uid="{5821177A-4EE5-4907-BEDB-18F2725DC180}"/>
    <cellStyle name="Normal 10 3 2 3 3 6 2" xfId="18177" xr:uid="{6D477F9F-8D96-4A99-8A81-EE389B9D8B3D}"/>
    <cellStyle name="Normal 10 3 2 3 3 6 2 2" xfId="18178" xr:uid="{FA307DD8-08B2-4B82-89A3-390CA8407BAC}"/>
    <cellStyle name="Normal 10 3 2 3 3 6 3" xfId="18179" xr:uid="{D4FEA7F6-A002-40AE-B481-3D0D2F291948}"/>
    <cellStyle name="Normal 10 3 2 3 3 7" xfId="18180" xr:uid="{F195A66C-A09F-41BE-881E-771805366385}"/>
    <cellStyle name="Normal 10 3 2 3 3 7 2" xfId="18181" xr:uid="{EC4981D1-D7CA-4807-BB87-2CED7633A41F}"/>
    <cellStyle name="Normal 10 3 2 3 3 8" xfId="18182" xr:uid="{071C7895-1D01-4978-A5C7-D1E2638A2F5F}"/>
    <cellStyle name="Normal 10 3 2 3 3 9" xfId="18055" xr:uid="{23586397-1D36-4EF1-9551-21A112DDEF70}"/>
    <cellStyle name="Normal 10 3 2 3 4" xfId="18183" xr:uid="{F20F0B30-AD93-4654-B177-C5C2381C7DDE}"/>
    <cellStyle name="Normal 10 3 2 3 4 2" xfId="18184" xr:uid="{2B0CE507-2620-4748-9C25-D63A92790FBF}"/>
    <cellStyle name="Normal 10 3 2 3 4 2 2" xfId="18185" xr:uid="{DBD0A911-E899-48E8-8688-286BC211A8CE}"/>
    <cellStyle name="Normal 10 3 2 3 4 2 2 2" xfId="18186" xr:uid="{8C416E19-BF4F-4251-840C-0601DB3FC626}"/>
    <cellStyle name="Normal 10 3 2 3 4 2 2 2 2" xfId="18187" xr:uid="{EB77744E-D451-4341-BDA4-06EAD3A37B6C}"/>
    <cellStyle name="Normal 10 3 2 3 4 2 2 2 2 2" xfId="18188" xr:uid="{DF0E4705-2316-4EBE-83E8-62DF033E79E2}"/>
    <cellStyle name="Normal 10 3 2 3 4 2 2 2 2 2 2" xfId="18189" xr:uid="{B946C31A-2425-4056-9512-1519BF13D89D}"/>
    <cellStyle name="Normal 10 3 2 3 4 2 2 2 2 3" xfId="18190" xr:uid="{6093A159-EA34-4959-BBAB-567E6A7C824F}"/>
    <cellStyle name="Normal 10 3 2 3 4 2 2 2 3" xfId="18191" xr:uid="{5869F3C1-D1BC-433C-A7C5-756547703F8F}"/>
    <cellStyle name="Normal 10 3 2 3 4 2 2 2 3 2" xfId="18192" xr:uid="{9B9B4739-8E35-4119-8C42-6F4CA0E46447}"/>
    <cellStyle name="Normal 10 3 2 3 4 2 2 2 4" xfId="18193" xr:uid="{68BAADA3-D9CA-459F-8320-A669DF9427C9}"/>
    <cellStyle name="Normal 10 3 2 3 4 2 2 3" xfId="18194" xr:uid="{408C6F31-86E3-4E81-A032-C78299A5C283}"/>
    <cellStyle name="Normal 10 3 2 3 4 2 2 3 2" xfId="18195" xr:uid="{86C974BD-35F0-41C7-842B-B4D1B5DE701D}"/>
    <cellStyle name="Normal 10 3 2 3 4 2 2 3 2 2" xfId="18196" xr:uid="{297FD9FA-F28E-43B6-BF43-A643B6DD978F}"/>
    <cellStyle name="Normal 10 3 2 3 4 2 2 3 3" xfId="18197" xr:uid="{ACBD7C49-217D-41B6-B1A6-46723A65DD68}"/>
    <cellStyle name="Normal 10 3 2 3 4 2 2 4" xfId="18198" xr:uid="{D8068380-8979-4373-9020-DBE59A8DC32E}"/>
    <cellStyle name="Normal 10 3 2 3 4 2 2 4 2" xfId="18199" xr:uid="{A7139E7B-E089-4D5A-A210-4E696AB46925}"/>
    <cellStyle name="Normal 10 3 2 3 4 2 2 5" xfId="18200" xr:uid="{C818921D-3FD8-495F-AF1C-8508671E10F2}"/>
    <cellStyle name="Normal 10 3 2 3 4 2 3" xfId="18201" xr:uid="{A1B85267-7995-434E-8932-EE8DF1A484EB}"/>
    <cellStyle name="Normal 10 3 2 3 4 2 3 2" xfId="18202" xr:uid="{6F8130B4-E8FF-4487-A87F-449D93666911}"/>
    <cellStyle name="Normal 10 3 2 3 4 2 3 2 2" xfId="18203" xr:uid="{773D5306-F0F5-47DA-B304-B57D9D357EF0}"/>
    <cellStyle name="Normal 10 3 2 3 4 2 3 2 2 2" xfId="18204" xr:uid="{35D7EAE5-AC2F-498E-A349-DE17CE904B9E}"/>
    <cellStyle name="Normal 10 3 2 3 4 2 3 2 3" xfId="18205" xr:uid="{B90FA911-266B-4D70-9134-29E8419EB22E}"/>
    <cellStyle name="Normal 10 3 2 3 4 2 3 3" xfId="18206" xr:uid="{5BA54260-9956-4806-9464-D85CAE5A0663}"/>
    <cellStyle name="Normal 10 3 2 3 4 2 3 3 2" xfId="18207" xr:uid="{BC304387-9016-4BF4-A4FF-DF9B6EE7E898}"/>
    <cellStyle name="Normal 10 3 2 3 4 2 3 4" xfId="18208" xr:uid="{26E6EDFB-67B6-479B-9F0E-6F105BEC00DB}"/>
    <cellStyle name="Normal 10 3 2 3 4 2 4" xfId="18209" xr:uid="{20C525B6-487C-4032-9FC6-29F1351657DF}"/>
    <cellStyle name="Normal 10 3 2 3 4 2 4 2" xfId="18210" xr:uid="{C891C785-C9D5-4EA0-A7CA-8CDFF375E64A}"/>
    <cellStyle name="Normal 10 3 2 3 4 2 4 2 2" xfId="18211" xr:uid="{8B8E516B-9080-4A2E-82F4-D059496F9974}"/>
    <cellStyle name="Normal 10 3 2 3 4 2 4 3" xfId="18212" xr:uid="{816FFB71-04F2-4F05-BB2B-80DE8EF1F54F}"/>
    <cellStyle name="Normal 10 3 2 3 4 2 5" xfId="18213" xr:uid="{ACE955CE-80B9-4CB3-A1CE-03D1AFE004B2}"/>
    <cellStyle name="Normal 10 3 2 3 4 2 5 2" xfId="18214" xr:uid="{FB0B4626-7251-40A8-83A0-19778A116C5A}"/>
    <cellStyle name="Normal 10 3 2 3 4 2 6" xfId="18215" xr:uid="{6B163193-17AA-4C77-A3E0-346D736CA4FC}"/>
    <cellStyle name="Normal 10 3 2 3 4 3" xfId="18216" xr:uid="{109C2EA9-25D9-4962-AC73-5B2F449C8F9C}"/>
    <cellStyle name="Normal 10 3 2 3 4 3 2" xfId="18217" xr:uid="{475138D7-7E70-4F95-9680-2171BCFABA7E}"/>
    <cellStyle name="Normal 10 3 2 3 4 3 2 2" xfId="18218" xr:uid="{0CE15065-96CF-478D-9FB8-136BDEF181DD}"/>
    <cellStyle name="Normal 10 3 2 3 4 3 2 2 2" xfId="18219" xr:uid="{9F37256A-DE64-492E-A3C3-42373C50A1A2}"/>
    <cellStyle name="Normal 10 3 2 3 4 3 2 2 2 2" xfId="18220" xr:uid="{27AD6B52-576D-4530-8477-9CAC3E14A26F}"/>
    <cellStyle name="Normal 10 3 2 3 4 3 2 2 3" xfId="18221" xr:uid="{6CCA816A-97AF-4A67-AD39-B43EB47D28E3}"/>
    <cellStyle name="Normal 10 3 2 3 4 3 2 3" xfId="18222" xr:uid="{75B536AA-D3EB-4D58-B469-0E2E9A3937E0}"/>
    <cellStyle name="Normal 10 3 2 3 4 3 2 3 2" xfId="18223" xr:uid="{8AD34FB5-D973-4773-8B54-B4B5C9512387}"/>
    <cellStyle name="Normal 10 3 2 3 4 3 2 4" xfId="18224" xr:uid="{118CDE3C-1EE8-494A-8FA8-3E3F2B7EA9A0}"/>
    <cellStyle name="Normal 10 3 2 3 4 3 3" xfId="18225" xr:uid="{3C146BF5-5A59-4C98-8304-49AC1BD4D366}"/>
    <cellStyle name="Normal 10 3 2 3 4 3 3 2" xfId="18226" xr:uid="{C665E822-BC18-4052-A19F-01D09388115D}"/>
    <cellStyle name="Normal 10 3 2 3 4 3 3 2 2" xfId="18227" xr:uid="{A86568E2-E2EC-4F44-8983-7D7B54C17910}"/>
    <cellStyle name="Normal 10 3 2 3 4 3 3 3" xfId="18228" xr:uid="{FF4FF9B3-EB76-4769-AF1F-B8F8754ED4D3}"/>
    <cellStyle name="Normal 10 3 2 3 4 3 4" xfId="18229" xr:uid="{01B7CCD7-F54C-44C4-A5C2-AC260930C7F6}"/>
    <cellStyle name="Normal 10 3 2 3 4 3 4 2" xfId="18230" xr:uid="{F8135146-ACA4-42F9-AAB2-0C9956BE7D54}"/>
    <cellStyle name="Normal 10 3 2 3 4 3 5" xfId="18231" xr:uid="{B2203000-8768-48E5-9752-6CCA82538DB3}"/>
    <cellStyle name="Normal 10 3 2 3 4 4" xfId="18232" xr:uid="{B6F0D208-C718-486C-9B37-565CD6808330}"/>
    <cellStyle name="Normal 10 3 2 3 4 4 2" xfId="18233" xr:uid="{45C5641E-12FC-4670-8FE7-16CD68F14AD5}"/>
    <cellStyle name="Normal 10 3 2 3 4 4 2 2" xfId="18234" xr:uid="{E65C3E2A-2486-472D-BC9E-64009503C4CF}"/>
    <cellStyle name="Normal 10 3 2 3 4 4 2 2 2" xfId="18235" xr:uid="{F435AAF5-F413-4F2A-8DEA-28105CF5F2D0}"/>
    <cellStyle name="Normal 10 3 2 3 4 4 2 3" xfId="18236" xr:uid="{EC678E0A-78C0-43EB-9A31-8D9BE757B45B}"/>
    <cellStyle name="Normal 10 3 2 3 4 4 3" xfId="18237" xr:uid="{67F426ED-573B-4B1B-8FDC-F9292BE4803D}"/>
    <cellStyle name="Normal 10 3 2 3 4 4 3 2" xfId="18238" xr:uid="{D7D1D3A6-2CCB-4B2F-A8EA-74446258D284}"/>
    <cellStyle name="Normal 10 3 2 3 4 4 4" xfId="18239" xr:uid="{54684381-E2F4-4386-994A-ECDEC99DF797}"/>
    <cellStyle name="Normal 10 3 2 3 4 5" xfId="18240" xr:uid="{1EA139BA-3518-4EA6-8AAF-1AF0CB5ECB79}"/>
    <cellStyle name="Normal 10 3 2 3 4 5 2" xfId="18241" xr:uid="{5922E438-095F-4CD9-B33B-7DBFAD967039}"/>
    <cellStyle name="Normal 10 3 2 3 4 5 2 2" xfId="18242" xr:uid="{8A83A92D-2039-4065-8EF1-2DFE0388DE42}"/>
    <cellStyle name="Normal 10 3 2 3 4 5 3" xfId="18243" xr:uid="{9A9FCD2A-C573-4187-A864-00564120C1AE}"/>
    <cellStyle name="Normal 10 3 2 3 4 6" xfId="18244" xr:uid="{96269BE8-053B-45DD-AE59-CC695D5588C0}"/>
    <cellStyle name="Normal 10 3 2 3 4 6 2" xfId="18245" xr:uid="{DC7F0358-24DB-4082-A90A-7D5B7C1FFA26}"/>
    <cellStyle name="Normal 10 3 2 3 4 7" xfId="18246" xr:uid="{10C4F185-CECE-4B39-9756-0C1A2A6FD66C}"/>
    <cellStyle name="Normal 10 3 2 3 5" xfId="18247" xr:uid="{3A26938A-0E22-4161-B0C0-77790624D0EC}"/>
    <cellStyle name="Normal 10 3 2 3 5 2" xfId="18248" xr:uid="{13857247-5929-4308-B5AC-996329D21A11}"/>
    <cellStyle name="Normal 10 3 2 3 5 2 2" xfId="18249" xr:uid="{CD9443B3-3DF0-4F78-9A01-795762C6EF2E}"/>
    <cellStyle name="Normal 10 3 2 3 5 2 2 2" xfId="18250" xr:uid="{F4F20FDA-8BA0-430A-96F8-984ED58C1818}"/>
    <cellStyle name="Normal 10 3 2 3 5 2 2 2 2" xfId="18251" xr:uid="{E02ADEC7-30E1-4257-878F-BE4E170D3610}"/>
    <cellStyle name="Normal 10 3 2 3 5 2 2 2 2 2" xfId="18252" xr:uid="{F4ACC38E-AD40-4E32-B9A8-C4B6A2EC24D1}"/>
    <cellStyle name="Normal 10 3 2 3 5 2 2 2 3" xfId="18253" xr:uid="{F835AB45-809A-459E-9FC5-8C6A56070952}"/>
    <cellStyle name="Normal 10 3 2 3 5 2 2 3" xfId="18254" xr:uid="{F66F84C9-6713-455A-9B27-4676F85A3B6B}"/>
    <cellStyle name="Normal 10 3 2 3 5 2 2 3 2" xfId="18255" xr:uid="{8911EDE6-8E0F-437C-8D75-3339E12ED1DE}"/>
    <cellStyle name="Normal 10 3 2 3 5 2 2 4" xfId="18256" xr:uid="{E123D02C-9981-49DC-AB8E-DFCA566EE604}"/>
    <cellStyle name="Normal 10 3 2 3 5 2 3" xfId="18257" xr:uid="{245039F5-2030-49D2-AF9D-AED2CCEC13ED}"/>
    <cellStyle name="Normal 10 3 2 3 5 2 3 2" xfId="18258" xr:uid="{CD43432B-1EC4-4C02-9033-669286F1D68E}"/>
    <cellStyle name="Normal 10 3 2 3 5 2 3 2 2" xfId="18259" xr:uid="{B2496ED0-3D4E-4DAB-B740-C7F5DCF7572A}"/>
    <cellStyle name="Normal 10 3 2 3 5 2 3 3" xfId="18260" xr:uid="{37D24A58-18A2-43DA-B4FD-C3D7361D6190}"/>
    <cellStyle name="Normal 10 3 2 3 5 2 4" xfId="18261" xr:uid="{F137A516-31D6-4DF3-9E48-E3090E2FF128}"/>
    <cellStyle name="Normal 10 3 2 3 5 2 4 2" xfId="18262" xr:uid="{46743518-36C3-4933-9974-EC012C5937C1}"/>
    <cellStyle name="Normal 10 3 2 3 5 2 5" xfId="18263" xr:uid="{3A1005F6-33AD-4382-896E-D004B024C91F}"/>
    <cellStyle name="Normal 10 3 2 3 5 3" xfId="18264" xr:uid="{9FEED635-2DA6-440A-968C-3A389C87ED7D}"/>
    <cellStyle name="Normal 10 3 2 3 5 3 2" xfId="18265" xr:uid="{E6D49102-ADF7-4E96-8419-2FD479F37159}"/>
    <cellStyle name="Normal 10 3 2 3 5 3 2 2" xfId="18266" xr:uid="{EC7C8393-DD36-4961-A95B-0043477A3E43}"/>
    <cellStyle name="Normal 10 3 2 3 5 3 2 2 2" xfId="18267" xr:uid="{793A1FE6-E969-4847-A971-DFD1150F6860}"/>
    <cellStyle name="Normal 10 3 2 3 5 3 2 3" xfId="18268" xr:uid="{93EDD7DF-6F22-43B1-A561-522EB8975011}"/>
    <cellStyle name="Normal 10 3 2 3 5 3 3" xfId="18269" xr:uid="{CE5F79E4-33EA-451D-B85A-42C53409FABF}"/>
    <cellStyle name="Normal 10 3 2 3 5 3 3 2" xfId="18270" xr:uid="{C7384C45-CA5D-485B-8B8D-788E5E557B7E}"/>
    <cellStyle name="Normal 10 3 2 3 5 3 4" xfId="18271" xr:uid="{7F087737-C265-4CB7-BBD5-6E24D3BE4223}"/>
    <cellStyle name="Normal 10 3 2 3 5 4" xfId="18272" xr:uid="{3A8CC18B-4E7D-4998-B438-B2762D736ECC}"/>
    <cellStyle name="Normal 10 3 2 3 5 4 2" xfId="18273" xr:uid="{8C798543-F0FA-44B5-8688-B85EA26BC6AF}"/>
    <cellStyle name="Normal 10 3 2 3 5 4 2 2" xfId="18274" xr:uid="{24E9C12C-7C33-4D89-A0F4-7E89AB739C93}"/>
    <cellStyle name="Normal 10 3 2 3 5 4 3" xfId="18275" xr:uid="{4D38FF99-8DF0-4949-80F4-098983011413}"/>
    <cellStyle name="Normal 10 3 2 3 5 5" xfId="18276" xr:uid="{D7C344DA-6EBF-4A66-8A41-8AD382C08049}"/>
    <cellStyle name="Normal 10 3 2 3 5 5 2" xfId="18277" xr:uid="{5A138D38-3463-41EB-9E8D-00FA89E67A0E}"/>
    <cellStyle name="Normal 10 3 2 3 5 6" xfId="18278" xr:uid="{DC1C2CF2-47C2-47D4-81A4-CB2C437206B4}"/>
    <cellStyle name="Normal 10 3 2 3 6" xfId="18279" xr:uid="{F6D46E90-627E-4395-9E46-1D88A23FE90A}"/>
    <cellStyle name="Normal 10 3 2 3 6 2" xfId="18280" xr:uid="{E67D29B5-FDEB-44A9-B2C8-F3D3E8129B00}"/>
    <cellStyle name="Normal 10 3 2 3 6 2 2" xfId="18281" xr:uid="{9D7FA81C-527E-47BB-9FA8-1CF67CCFCD4E}"/>
    <cellStyle name="Normal 10 3 2 3 6 2 2 2" xfId="18282" xr:uid="{8731C522-A9EA-4163-BCFC-EBBCEC4D96E8}"/>
    <cellStyle name="Normal 10 3 2 3 6 2 2 2 2" xfId="18283" xr:uid="{8EF22C63-29D6-47D2-AB77-28A1801E34A0}"/>
    <cellStyle name="Normal 10 3 2 3 6 2 2 3" xfId="18284" xr:uid="{5605F2B2-E1FC-4737-96EA-876C9DC0AF73}"/>
    <cellStyle name="Normal 10 3 2 3 6 2 3" xfId="18285" xr:uid="{C2B24EFC-E096-44D0-BF47-92D5F43F2627}"/>
    <cellStyle name="Normal 10 3 2 3 6 2 3 2" xfId="18286" xr:uid="{307F43D9-6DDD-4DBD-A213-E9AC919D185C}"/>
    <cellStyle name="Normal 10 3 2 3 6 2 4" xfId="18287" xr:uid="{209A75FC-47CF-499F-822B-501D9D4CA00D}"/>
    <cellStyle name="Normal 10 3 2 3 6 3" xfId="18288" xr:uid="{02B6DDCD-BF77-42D8-9C26-F2E979770597}"/>
    <cellStyle name="Normal 10 3 2 3 6 3 2" xfId="18289" xr:uid="{55535CB5-DB61-416F-BF03-F10DBEE8FC8B}"/>
    <cellStyle name="Normal 10 3 2 3 6 3 2 2" xfId="18290" xr:uid="{5EE4BB3C-5D66-4374-BA96-286426319F6B}"/>
    <cellStyle name="Normal 10 3 2 3 6 3 3" xfId="18291" xr:uid="{674F632F-6CF5-443F-8122-ECD277E0391F}"/>
    <cellStyle name="Normal 10 3 2 3 6 4" xfId="18292" xr:uid="{ECAB3CB9-87E6-4641-8AC9-64E2EFAF1DFC}"/>
    <cellStyle name="Normal 10 3 2 3 6 4 2" xfId="18293" xr:uid="{256D97D7-E83B-4F05-A84B-123D3E0BD579}"/>
    <cellStyle name="Normal 10 3 2 3 6 5" xfId="18294" xr:uid="{A054BEA8-5098-4AD2-966E-6D288E16DBBD}"/>
    <cellStyle name="Normal 10 3 2 3 7" xfId="18295" xr:uid="{5530C1B8-1BC2-43AB-BCFA-CD20D926C52C}"/>
    <cellStyle name="Normal 10 3 2 3 7 2" xfId="18296" xr:uid="{DEF0DA26-26C7-48B7-8365-3563080DE40C}"/>
    <cellStyle name="Normal 10 3 2 3 7 2 2" xfId="18297" xr:uid="{713BE666-960F-419A-8E4E-43CA325B5B00}"/>
    <cellStyle name="Normal 10 3 2 3 7 2 2 2" xfId="18298" xr:uid="{48602804-BE9E-43BB-87DB-6A2546F653EE}"/>
    <cellStyle name="Normal 10 3 2 3 7 2 3" xfId="18299" xr:uid="{9D9475D5-0A68-4C18-B388-09DE607052AF}"/>
    <cellStyle name="Normal 10 3 2 3 7 3" xfId="18300" xr:uid="{BC4C9950-CAF3-4C53-AF18-B946C02E42E8}"/>
    <cellStyle name="Normal 10 3 2 3 7 3 2" xfId="18301" xr:uid="{12114787-4DA3-4CB8-A654-7DDA880C5E1B}"/>
    <cellStyle name="Normal 10 3 2 3 7 4" xfId="18302" xr:uid="{CDE8533B-85FD-4075-8667-7169E01D74D4}"/>
    <cellStyle name="Normal 10 3 2 3 8" xfId="18303" xr:uid="{12F4F20F-D76E-4F59-94C5-5D8FD81413A4}"/>
    <cellStyle name="Normal 10 3 2 3 8 2" xfId="18304" xr:uid="{006567BC-304E-442F-9B78-CD8944C9AC36}"/>
    <cellStyle name="Normal 10 3 2 3 8 2 2" xfId="18305" xr:uid="{CB369BC1-FD89-48A6-890E-8E1C265BD56C}"/>
    <cellStyle name="Normal 10 3 2 3 8 3" xfId="18306" xr:uid="{857D665D-D55A-4D4A-BE92-F7D6FDE1809F}"/>
    <cellStyle name="Normal 10 3 2 3 9" xfId="18307" xr:uid="{68FDE519-7BE3-4E90-88F3-CDAA03A7BF42}"/>
    <cellStyle name="Normal 10 3 2 3 9 2" xfId="18308" xr:uid="{D31148AA-B5B6-400C-9609-9A9B7D82EDE4}"/>
    <cellStyle name="Normal 10 3 2 4" xfId="239" xr:uid="{AB6D8AE6-83D4-40F3-A72C-C998CCF40AF2}"/>
    <cellStyle name="Normal 10 3 2 4 10" xfId="18309" xr:uid="{750674A6-F7E3-49F3-AB34-BA8E2D52B4B2}"/>
    <cellStyle name="Normal 10 3 2 4 11" xfId="563" xr:uid="{E90BA842-6076-4CFB-9D14-ACBA4D06E6B2}"/>
    <cellStyle name="Normal 10 3 2 4 2" xfId="335" xr:uid="{4E6C6BFD-9043-4668-88CC-F34DC96DCC86}"/>
    <cellStyle name="Normal 10 3 2 4 2 10" xfId="18310" xr:uid="{B83831BF-FCEB-491D-9E59-98E446E34421}"/>
    <cellStyle name="Normal 10 3 2 4 2 2" xfId="18311" xr:uid="{A6B8DB49-A9FD-447F-A0BF-869B4DC5C572}"/>
    <cellStyle name="Normal 10 3 2 4 2 2 2" xfId="18312" xr:uid="{F3100B7C-B108-481E-BD19-AE05B28BB8FA}"/>
    <cellStyle name="Normal 10 3 2 4 2 2 2 2" xfId="18313" xr:uid="{732C1C2A-D62E-4682-A5D4-3CBAD5A13FF1}"/>
    <cellStyle name="Normal 10 3 2 4 2 2 2 2 2" xfId="18314" xr:uid="{9A54516F-5373-4BB0-A67B-8791D3517627}"/>
    <cellStyle name="Normal 10 3 2 4 2 2 2 2 2 2" xfId="18315" xr:uid="{3F658720-B25F-46C3-AAA9-DBBF06187095}"/>
    <cellStyle name="Normal 10 3 2 4 2 2 2 2 2 2 2" xfId="18316" xr:uid="{A7CADD09-0258-4F9B-909D-E15984B17479}"/>
    <cellStyle name="Normal 10 3 2 4 2 2 2 2 2 2 2 2" xfId="18317" xr:uid="{2462C636-2317-4F7A-8FA9-72BB0241811D}"/>
    <cellStyle name="Normal 10 3 2 4 2 2 2 2 2 2 2 2 2" xfId="18318" xr:uid="{2530F03E-2006-4FF5-905A-F6DE481B26CA}"/>
    <cellStyle name="Normal 10 3 2 4 2 2 2 2 2 2 2 3" xfId="18319" xr:uid="{FF7479F8-7571-4E5F-AC12-B67C39CC78C1}"/>
    <cellStyle name="Normal 10 3 2 4 2 2 2 2 2 2 3" xfId="18320" xr:uid="{D6D7BBC5-43BC-4096-AE12-FDA6F35BA7E5}"/>
    <cellStyle name="Normal 10 3 2 4 2 2 2 2 2 2 3 2" xfId="18321" xr:uid="{36850DA9-10F1-468E-82D6-5D5E9F59C6D5}"/>
    <cellStyle name="Normal 10 3 2 4 2 2 2 2 2 2 4" xfId="18322" xr:uid="{D7B3E1FB-F65C-4E23-B512-76AE7A283DA4}"/>
    <cellStyle name="Normal 10 3 2 4 2 2 2 2 2 3" xfId="18323" xr:uid="{6E42E7E8-28A5-41FB-AD60-6967E1F73D44}"/>
    <cellStyle name="Normal 10 3 2 4 2 2 2 2 2 3 2" xfId="18324" xr:uid="{A7CBD147-4497-4E18-9562-4DF7DAEE5CF8}"/>
    <cellStyle name="Normal 10 3 2 4 2 2 2 2 2 3 2 2" xfId="18325" xr:uid="{405D6E6B-4F45-4541-B3A8-9B77A747B546}"/>
    <cellStyle name="Normal 10 3 2 4 2 2 2 2 2 3 3" xfId="18326" xr:uid="{EBEBF5DC-7A38-4D5B-AD29-25899C94F982}"/>
    <cellStyle name="Normal 10 3 2 4 2 2 2 2 2 4" xfId="18327" xr:uid="{E779EB3F-8613-47DD-8546-FD1C8567A662}"/>
    <cellStyle name="Normal 10 3 2 4 2 2 2 2 2 4 2" xfId="18328" xr:uid="{EC210B85-B93E-462A-B5EB-4ABF34A2F97D}"/>
    <cellStyle name="Normal 10 3 2 4 2 2 2 2 2 5" xfId="18329" xr:uid="{E896B62E-0C58-4570-A34A-1FA38F7BB33B}"/>
    <cellStyle name="Normal 10 3 2 4 2 2 2 2 3" xfId="18330" xr:uid="{C595FB9E-BB5E-446B-85B8-F3AF9C2A38F2}"/>
    <cellStyle name="Normal 10 3 2 4 2 2 2 2 3 2" xfId="18331" xr:uid="{0086E321-0AAA-4FE6-92B8-6A07B71FD892}"/>
    <cellStyle name="Normal 10 3 2 4 2 2 2 2 3 2 2" xfId="18332" xr:uid="{45FD391B-9EF9-43A1-A7DE-16A7B9FAB5D6}"/>
    <cellStyle name="Normal 10 3 2 4 2 2 2 2 3 2 2 2" xfId="18333" xr:uid="{AC6BBF1F-031D-4D52-84FC-A4D1DECA134C}"/>
    <cellStyle name="Normal 10 3 2 4 2 2 2 2 3 2 3" xfId="18334" xr:uid="{192D63C5-2A74-4AC1-8213-3CAA7F28CB45}"/>
    <cellStyle name="Normal 10 3 2 4 2 2 2 2 3 3" xfId="18335" xr:uid="{6916E2D9-76ED-410B-B7E3-7D0C652AAC11}"/>
    <cellStyle name="Normal 10 3 2 4 2 2 2 2 3 3 2" xfId="18336" xr:uid="{C37E57D7-98E9-4C57-82C4-6E109555B6C9}"/>
    <cellStyle name="Normal 10 3 2 4 2 2 2 2 3 4" xfId="18337" xr:uid="{A91089B6-11D0-4B44-B3CB-2C7E213CA8E6}"/>
    <cellStyle name="Normal 10 3 2 4 2 2 2 2 4" xfId="18338" xr:uid="{6DF0D673-5BD4-4E76-BDA1-86F5F143181A}"/>
    <cellStyle name="Normal 10 3 2 4 2 2 2 2 4 2" xfId="18339" xr:uid="{57C1C304-72A2-4052-A7D8-77B03B8D7805}"/>
    <cellStyle name="Normal 10 3 2 4 2 2 2 2 4 2 2" xfId="18340" xr:uid="{047CABB4-5F90-4C09-9918-9BB71CFD8F31}"/>
    <cellStyle name="Normal 10 3 2 4 2 2 2 2 4 3" xfId="18341" xr:uid="{9B1B6A3E-37DE-4B55-B58A-D41B282A43C8}"/>
    <cellStyle name="Normal 10 3 2 4 2 2 2 2 5" xfId="18342" xr:uid="{F09B4293-5EDB-44BF-BCBD-05385B83FF20}"/>
    <cellStyle name="Normal 10 3 2 4 2 2 2 2 5 2" xfId="18343" xr:uid="{4095C12D-A1C5-4C08-972E-5C03290461EE}"/>
    <cellStyle name="Normal 10 3 2 4 2 2 2 2 6" xfId="18344" xr:uid="{9CED15D5-CC41-4C07-968D-A95B494E22C1}"/>
    <cellStyle name="Normal 10 3 2 4 2 2 2 3" xfId="18345" xr:uid="{FF7999EF-043B-4841-AEBF-9F8141078440}"/>
    <cellStyle name="Normal 10 3 2 4 2 2 2 3 2" xfId="18346" xr:uid="{F3129DFD-28A4-43CD-A81D-50E5D5F9366F}"/>
    <cellStyle name="Normal 10 3 2 4 2 2 2 3 2 2" xfId="18347" xr:uid="{92984583-6FEF-4292-89CD-EF173FF60C7E}"/>
    <cellStyle name="Normal 10 3 2 4 2 2 2 3 2 2 2" xfId="18348" xr:uid="{6CD621F7-B2AE-4CF7-A45D-4987B070D308}"/>
    <cellStyle name="Normal 10 3 2 4 2 2 2 3 2 2 2 2" xfId="18349" xr:uid="{597F60A9-B522-406C-B791-5552C90A1F2D}"/>
    <cellStyle name="Normal 10 3 2 4 2 2 2 3 2 2 3" xfId="18350" xr:uid="{A42EB2F0-8C42-4144-A65C-48EFD7E77313}"/>
    <cellStyle name="Normal 10 3 2 4 2 2 2 3 2 3" xfId="18351" xr:uid="{5D7C4D45-4C01-47FA-BFE3-BC2F0EDFD385}"/>
    <cellStyle name="Normal 10 3 2 4 2 2 2 3 2 3 2" xfId="18352" xr:uid="{197A2883-5403-47E7-A349-FD377CB96198}"/>
    <cellStyle name="Normal 10 3 2 4 2 2 2 3 2 4" xfId="18353" xr:uid="{E82BFE33-F69C-4A75-BF9D-17677285409E}"/>
    <cellStyle name="Normal 10 3 2 4 2 2 2 3 3" xfId="18354" xr:uid="{2D1AA305-66B6-4F97-9896-1C865D64FBD8}"/>
    <cellStyle name="Normal 10 3 2 4 2 2 2 3 3 2" xfId="18355" xr:uid="{3E1E67F2-556B-4B83-962F-0FA85FD4435E}"/>
    <cellStyle name="Normal 10 3 2 4 2 2 2 3 3 2 2" xfId="18356" xr:uid="{2AAF49B6-2DE2-428D-8E5F-67676B2D2A44}"/>
    <cellStyle name="Normal 10 3 2 4 2 2 2 3 3 3" xfId="18357" xr:uid="{FB31CEAB-A5FF-405E-805C-033738C71498}"/>
    <cellStyle name="Normal 10 3 2 4 2 2 2 3 4" xfId="18358" xr:uid="{783DD787-177B-4BA3-8275-61D92417FC87}"/>
    <cellStyle name="Normal 10 3 2 4 2 2 2 3 4 2" xfId="18359" xr:uid="{C7EFCE00-C7C0-487E-B9B0-781587B6FBF4}"/>
    <cellStyle name="Normal 10 3 2 4 2 2 2 3 5" xfId="18360" xr:uid="{248A3C37-8FB9-4EB7-9BA7-C1FCDC7735C6}"/>
    <cellStyle name="Normal 10 3 2 4 2 2 2 4" xfId="18361" xr:uid="{7251E4D3-2F51-4F59-8355-74B260AC37CA}"/>
    <cellStyle name="Normal 10 3 2 4 2 2 2 4 2" xfId="18362" xr:uid="{43BB35F1-6D9F-4F84-853F-38D5930C4BC5}"/>
    <cellStyle name="Normal 10 3 2 4 2 2 2 4 2 2" xfId="18363" xr:uid="{BFD162D8-1407-4242-8F90-3BE572DBFA2C}"/>
    <cellStyle name="Normal 10 3 2 4 2 2 2 4 2 2 2" xfId="18364" xr:uid="{12931B7E-33D9-47A4-AC84-3EA6F218A69C}"/>
    <cellStyle name="Normal 10 3 2 4 2 2 2 4 2 3" xfId="18365" xr:uid="{AFA84E62-0BF7-482C-ADAC-CFE71867FF8E}"/>
    <cellStyle name="Normal 10 3 2 4 2 2 2 4 3" xfId="18366" xr:uid="{D5D6408D-B794-427C-8FE3-8DC753D27980}"/>
    <cellStyle name="Normal 10 3 2 4 2 2 2 4 3 2" xfId="18367" xr:uid="{ADF530B7-806E-4B7E-B8CE-08F02D600CAF}"/>
    <cellStyle name="Normal 10 3 2 4 2 2 2 4 4" xfId="18368" xr:uid="{3E680618-443C-4D72-8222-65C4E4F62B0A}"/>
    <cellStyle name="Normal 10 3 2 4 2 2 2 5" xfId="18369" xr:uid="{920ED48F-8682-4503-8052-4FC8971115C5}"/>
    <cellStyle name="Normal 10 3 2 4 2 2 2 5 2" xfId="18370" xr:uid="{6641B30F-A10E-4547-B553-ECBCC6057744}"/>
    <cellStyle name="Normal 10 3 2 4 2 2 2 5 2 2" xfId="18371" xr:uid="{24565558-1904-4198-AA61-B51666041983}"/>
    <cellStyle name="Normal 10 3 2 4 2 2 2 5 3" xfId="18372" xr:uid="{0C34D714-66E1-4310-80EA-5DAE588577AF}"/>
    <cellStyle name="Normal 10 3 2 4 2 2 2 6" xfId="18373" xr:uid="{EA1C160E-EEFB-499B-8799-0B2672842F70}"/>
    <cellStyle name="Normal 10 3 2 4 2 2 2 6 2" xfId="18374" xr:uid="{99ECA7A6-D17F-488E-8F6A-05462C33B2CC}"/>
    <cellStyle name="Normal 10 3 2 4 2 2 2 7" xfId="18375" xr:uid="{9F1BBD3D-9A9A-4A2A-9C0C-B7885449EECC}"/>
    <cellStyle name="Normal 10 3 2 4 2 2 3" xfId="18376" xr:uid="{3C3E7D4E-7859-4CC8-BFBC-F377C59F4C1A}"/>
    <cellStyle name="Normal 10 3 2 4 2 2 3 2" xfId="18377" xr:uid="{2D29F931-B97D-4761-B8ED-404918728490}"/>
    <cellStyle name="Normal 10 3 2 4 2 2 3 2 2" xfId="18378" xr:uid="{7DBA7C40-4A5A-424E-B4EA-96C5578630A9}"/>
    <cellStyle name="Normal 10 3 2 4 2 2 3 2 2 2" xfId="18379" xr:uid="{8F5A6FC0-60D9-4D20-84BC-847598C21C6D}"/>
    <cellStyle name="Normal 10 3 2 4 2 2 3 2 2 2 2" xfId="18380" xr:uid="{FAEE703F-949C-40E9-B955-637326E8215A}"/>
    <cellStyle name="Normal 10 3 2 4 2 2 3 2 2 2 2 2" xfId="18381" xr:uid="{8316FD87-992C-4099-9276-10E9EEB94F7F}"/>
    <cellStyle name="Normal 10 3 2 4 2 2 3 2 2 2 3" xfId="18382" xr:uid="{9566AD8D-48B7-436B-887D-AA1B6FBC51C6}"/>
    <cellStyle name="Normal 10 3 2 4 2 2 3 2 2 3" xfId="18383" xr:uid="{B2A7B744-C1D6-40F1-9870-C675F7D17FEA}"/>
    <cellStyle name="Normal 10 3 2 4 2 2 3 2 2 3 2" xfId="18384" xr:uid="{16B8FE1B-7A44-40DE-900B-463CF061533E}"/>
    <cellStyle name="Normal 10 3 2 4 2 2 3 2 2 4" xfId="18385" xr:uid="{456776D7-4139-408D-A15A-305742F92AE2}"/>
    <cellStyle name="Normal 10 3 2 4 2 2 3 2 3" xfId="18386" xr:uid="{4A54A1B6-7A7F-4476-8528-FFF8BF0FB8E0}"/>
    <cellStyle name="Normal 10 3 2 4 2 2 3 2 3 2" xfId="18387" xr:uid="{771C66D8-F8BD-4ED8-9486-731A2665B42F}"/>
    <cellStyle name="Normal 10 3 2 4 2 2 3 2 3 2 2" xfId="18388" xr:uid="{FBB8E5A0-A4A6-402D-A6ED-1D5F452D85FA}"/>
    <cellStyle name="Normal 10 3 2 4 2 2 3 2 3 3" xfId="18389" xr:uid="{B8663660-BF01-44F7-AB70-D89020D68A94}"/>
    <cellStyle name="Normal 10 3 2 4 2 2 3 2 4" xfId="18390" xr:uid="{CD94E339-0649-4E41-9874-51619E3CFB1D}"/>
    <cellStyle name="Normal 10 3 2 4 2 2 3 2 4 2" xfId="18391" xr:uid="{D56BDC82-4816-4482-8581-CF653B550B2D}"/>
    <cellStyle name="Normal 10 3 2 4 2 2 3 2 5" xfId="18392" xr:uid="{F9365327-A77A-408B-B188-F91849694410}"/>
    <cellStyle name="Normal 10 3 2 4 2 2 3 3" xfId="18393" xr:uid="{1ECFB19C-B10C-47FB-8716-FE7558B7B3BC}"/>
    <cellStyle name="Normal 10 3 2 4 2 2 3 3 2" xfId="18394" xr:uid="{35559976-47C9-4DE7-93C5-90480B50BCAB}"/>
    <cellStyle name="Normal 10 3 2 4 2 2 3 3 2 2" xfId="18395" xr:uid="{DD4B3BAA-5F86-4358-8D82-E71864132F57}"/>
    <cellStyle name="Normal 10 3 2 4 2 2 3 3 2 2 2" xfId="18396" xr:uid="{202DB7FD-DE87-45BD-B9E6-32E7AFB80F4E}"/>
    <cellStyle name="Normal 10 3 2 4 2 2 3 3 2 3" xfId="18397" xr:uid="{33FA5A72-4602-438F-92C3-501153CC100D}"/>
    <cellStyle name="Normal 10 3 2 4 2 2 3 3 3" xfId="18398" xr:uid="{0AE7571D-1371-480E-94E4-D5CF4FFD3A8A}"/>
    <cellStyle name="Normal 10 3 2 4 2 2 3 3 3 2" xfId="18399" xr:uid="{66811BF7-F4D9-4E90-8014-5638239C336A}"/>
    <cellStyle name="Normal 10 3 2 4 2 2 3 3 4" xfId="18400" xr:uid="{91B37B9B-099C-49D1-8494-50346906600E}"/>
    <cellStyle name="Normal 10 3 2 4 2 2 3 4" xfId="18401" xr:uid="{9B4B4FB4-9228-4BE9-8EFF-E80190F02BA8}"/>
    <cellStyle name="Normal 10 3 2 4 2 2 3 4 2" xfId="18402" xr:uid="{29D4F674-0840-456F-82EB-83D1BEB6723E}"/>
    <cellStyle name="Normal 10 3 2 4 2 2 3 4 2 2" xfId="18403" xr:uid="{681EB75E-2981-4FE8-B59E-5FA2FE451D53}"/>
    <cellStyle name="Normal 10 3 2 4 2 2 3 4 3" xfId="18404" xr:uid="{BCA90EFD-D554-44E1-8486-DFD2AE4E371F}"/>
    <cellStyle name="Normal 10 3 2 4 2 2 3 5" xfId="18405" xr:uid="{DC5ED0DD-9E09-454F-8E36-91D8193F57DE}"/>
    <cellStyle name="Normal 10 3 2 4 2 2 3 5 2" xfId="18406" xr:uid="{D62F7972-9618-4C40-B0BB-C7397FE0FA38}"/>
    <cellStyle name="Normal 10 3 2 4 2 2 3 6" xfId="18407" xr:uid="{5FA86113-DD0F-4AAC-96A5-708022512F9E}"/>
    <cellStyle name="Normal 10 3 2 4 2 2 4" xfId="18408" xr:uid="{7A2B27DC-C856-4F6B-BB85-E9EC733F4F4C}"/>
    <cellStyle name="Normal 10 3 2 4 2 2 4 2" xfId="18409" xr:uid="{6FFC10F4-8670-4A00-952D-3E58E9871E07}"/>
    <cellStyle name="Normal 10 3 2 4 2 2 4 2 2" xfId="18410" xr:uid="{97DD85C3-0116-4A8B-A4AF-FDCA56B912D1}"/>
    <cellStyle name="Normal 10 3 2 4 2 2 4 2 2 2" xfId="18411" xr:uid="{03D81AD6-F9D3-4EDB-9205-2100BD165B59}"/>
    <cellStyle name="Normal 10 3 2 4 2 2 4 2 2 2 2" xfId="18412" xr:uid="{B29B718A-6F8E-4D07-94FA-E3F3611CBCD4}"/>
    <cellStyle name="Normal 10 3 2 4 2 2 4 2 2 3" xfId="18413" xr:uid="{1554E23C-B4C7-43CD-AF91-78A7A7C3420A}"/>
    <cellStyle name="Normal 10 3 2 4 2 2 4 2 3" xfId="18414" xr:uid="{61981757-A8CD-495F-8E53-E07574A7607C}"/>
    <cellStyle name="Normal 10 3 2 4 2 2 4 2 3 2" xfId="18415" xr:uid="{51559273-D807-4E93-BD77-BAB3B6D58DFF}"/>
    <cellStyle name="Normal 10 3 2 4 2 2 4 2 4" xfId="18416" xr:uid="{657EBA38-7AB8-435B-A99A-5CB345B084A4}"/>
    <cellStyle name="Normal 10 3 2 4 2 2 4 3" xfId="18417" xr:uid="{C201497B-DFC1-4362-AE33-247085A1A745}"/>
    <cellStyle name="Normal 10 3 2 4 2 2 4 3 2" xfId="18418" xr:uid="{B607501E-D6C6-4EEC-B9CC-E3888F8665C0}"/>
    <cellStyle name="Normal 10 3 2 4 2 2 4 3 2 2" xfId="18419" xr:uid="{5A561EB5-4593-4661-8D99-134EE51BE432}"/>
    <cellStyle name="Normal 10 3 2 4 2 2 4 3 3" xfId="18420" xr:uid="{DEC348A5-2C74-4573-B24F-7281AB418CF0}"/>
    <cellStyle name="Normal 10 3 2 4 2 2 4 4" xfId="18421" xr:uid="{2E5AE6D8-2CB1-4C65-BCC3-259630D113FB}"/>
    <cellStyle name="Normal 10 3 2 4 2 2 4 4 2" xfId="18422" xr:uid="{FD97917E-ECEC-4048-88F9-78BF16526ACE}"/>
    <cellStyle name="Normal 10 3 2 4 2 2 4 5" xfId="18423" xr:uid="{3D959BAA-0C50-464D-BB06-181CA707C957}"/>
    <cellStyle name="Normal 10 3 2 4 2 2 5" xfId="18424" xr:uid="{2A6CF43D-7F18-4194-9C06-2999B90E4C11}"/>
    <cellStyle name="Normal 10 3 2 4 2 2 5 2" xfId="18425" xr:uid="{E135D7C8-C29F-429D-BC9B-BE9F8F133EE8}"/>
    <cellStyle name="Normal 10 3 2 4 2 2 5 2 2" xfId="18426" xr:uid="{45564B8F-D007-4389-A147-31E27E6ED6E9}"/>
    <cellStyle name="Normal 10 3 2 4 2 2 5 2 2 2" xfId="18427" xr:uid="{78360CC8-8C46-4A2B-90CE-2DD9FB0A0AF9}"/>
    <cellStyle name="Normal 10 3 2 4 2 2 5 2 3" xfId="18428" xr:uid="{84A75BED-3452-445B-A595-DAD87F1EB46A}"/>
    <cellStyle name="Normal 10 3 2 4 2 2 5 3" xfId="18429" xr:uid="{78685C07-5868-4275-B435-D13D6D50FD9A}"/>
    <cellStyle name="Normal 10 3 2 4 2 2 5 3 2" xfId="18430" xr:uid="{43D3FC6E-D431-4181-8CD3-DC98B3377AEE}"/>
    <cellStyle name="Normal 10 3 2 4 2 2 5 4" xfId="18431" xr:uid="{F7BD389E-44AB-41BB-B046-22A67039D0F6}"/>
    <cellStyle name="Normal 10 3 2 4 2 2 6" xfId="18432" xr:uid="{2B876C06-B102-43A8-BFF6-9DCFC5526C9C}"/>
    <cellStyle name="Normal 10 3 2 4 2 2 6 2" xfId="18433" xr:uid="{DF54A6A0-B281-49D1-AD30-EEECA1F155AC}"/>
    <cellStyle name="Normal 10 3 2 4 2 2 6 2 2" xfId="18434" xr:uid="{449EE7EE-A3B8-4B42-BBD4-C2D68A148DC4}"/>
    <cellStyle name="Normal 10 3 2 4 2 2 6 3" xfId="18435" xr:uid="{95EFB20F-BFB6-4C6D-9364-C58579933880}"/>
    <cellStyle name="Normal 10 3 2 4 2 2 7" xfId="18436" xr:uid="{9BF917E7-5724-4926-AFE9-A566220A8BA7}"/>
    <cellStyle name="Normal 10 3 2 4 2 2 7 2" xfId="18437" xr:uid="{158E42C5-5978-4771-8FDB-E59B359ED406}"/>
    <cellStyle name="Normal 10 3 2 4 2 2 8" xfId="18438" xr:uid="{473E7B79-02DD-4E2F-9A81-23D3FCDF94D4}"/>
    <cellStyle name="Normal 10 3 2 4 2 3" xfId="18439" xr:uid="{6C16BED6-23E6-4A73-B9E7-F2044972554C}"/>
    <cellStyle name="Normal 10 3 2 4 2 3 2" xfId="18440" xr:uid="{42AA7383-A107-4E7A-8464-58B4001D4663}"/>
    <cellStyle name="Normal 10 3 2 4 2 3 2 2" xfId="18441" xr:uid="{73289706-34FA-46D7-B6F8-58463753A1D7}"/>
    <cellStyle name="Normal 10 3 2 4 2 3 2 2 2" xfId="18442" xr:uid="{4F76B212-75F6-4B66-8710-E56CE365F5EE}"/>
    <cellStyle name="Normal 10 3 2 4 2 3 2 2 2 2" xfId="18443" xr:uid="{348973AB-66D0-4EA8-91F3-E7D222DA66DA}"/>
    <cellStyle name="Normal 10 3 2 4 2 3 2 2 2 2 2" xfId="18444" xr:uid="{6C3375EC-1D11-40C2-9D58-F99963C6EC81}"/>
    <cellStyle name="Normal 10 3 2 4 2 3 2 2 2 2 2 2" xfId="18445" xr:uid="{EAD763C1-CFB7-432F-9F51-BE2904012B2E}"/>
    <cellStyle name="Normal 10 3 2 4 2 3 2 2 2 2 3" xfId="18446" xr:uid="{F4CB053D-5027-4033-BEC3-428AF8A47254}"/>
    <cellStyle name="Normal 10 3 2 4 2 3 2 2 2 3" xfId="18447" xr:uid="{4C6B1E43-3959-43E0-8DD3-75EB35B85F5C}"/>
    <cellStyle name="Normal 10 3 2 4 2 3 2 2 2 3 2" xfId="18448" xr:uid="{F7BBEC78-CD73-4AAC-AA61-D95E7FA31895}"/>
    <cellStyle name="Normal 10 3 2 4 2 3 2 2 2 4" xfId="18449" xr:uid="{43BC76C5-3ADF-40CA-A74A-8E42596E4C17}"/>
    <cellStyle name="Normal 10 3 2 4 2 3 2 2 3" xfId="18450" xr:uid="{4130C9BC-5985-42A2-97C7-9AB4339B00AE}"/>
    <cellStyle name="Normal 10 3 2 4 2 3 2 2 3 2" xfId="18451" xr:uid="{6540FED3-B746-40AC-9916-CB6D60015CC3}"/>
    <cellStyle name="Normal 10 3 2 4 2 3 2 2 3 2 2" xfId="18452" xr:uid="{56AD7314-76C1-4443-8198-D7DA321EAA95}"/>
    <cellStyle name="Normal 10 3 2 4 2 3 2 2 3 3" xfId="18453" xr:uid="{8BBC1D76-DCF7-48B5-A7C9-CB03A4ADDF31}"/>
    <cellStyle name="Normal 10 3 2 4 2 3 2 2 4" xfId="18454" xr:uid="{761D3473-E516-47F4-B091-5599440BAABE}"/>
    <cellStyle name="Normal 10 3 2 4 2 3 2 2 4 2" xfId="18455" xr:uid="{C8FE25A9-2B4C-45FF-B579-7B7810E9819A}"/>
    <cellStyle name="Normal 10 3 2 4 2 3 2 2 5" xfId="18456" xr:uid="{4B7E612A-CB81-4F9B-BDDC-9E33427311FA}"/>
    <cellStyle name="Normal 10 3 2 4 2 3 2 3" xfId="18457" xr:uid="{A7C9C908-73D4-447D-8BE4-F6EBCAFD1B06}"/>
    <cellStyle name="Normal 10 3 2 4 2 3 2 3 2" xfId="18458" xr:uid="{58F56688-E022-43DD-9196-A9D5F81A5B25}"/>
    <cellStyle name="Normal 10 3 2 4 2 3 2 3 2 2" xfId="18459" xr:uid="{C4BCC7CC-764B-4207-ABDF-44C598DB2742}"/>
    <cellStyle name="Normal 10 3 2 4 2 3 2 3 2 2 2" xfId="18460" xr:uid="{4AEDF213-62D0-4BE4-BADA-62687BEA55AD}"/>
    <cellStyle name="Normal 10 3 2 4 2 3 2 3 2 3" xfId="18461" xr:uid="{1626635C-229E-4C7A-846B-084451CF18B6}"/>
    <cellStyle name="Normal 10 3 2 4 2 3 2 3 3" xfId="18462" xr:uid="{AEEC0634-73D2-413C-9227-C723E776E1C4}"/>
    <cellStyle name="Normal 10 3 2 4 2 3 2 3 3 2" xfId="18463" xr:uid="{16EB2E63-1684-494D-B01B-0160136C132A}"/>
    <cellStyle name="Normal 10 3 2 4 2 3 2 3 4" xfId="18464" xr:uid="{21B55FE0-2628-4E88-A236-AEF13EECB5E8}"/>
    <cellStyle name="Normal 10 3 2 4 2 3 2 4" xfId="18465" xr:uid="{5FD70060-7701-472A-B1C7-A277A1999F0D}"/>
    <cellStyle name="Normal 10 3 2 4 2 3 2 4 2" xfId="18466" xr:uid="{84901C93-95BF-44B4-A926-41EB75279386}"/>
    <cellStyle name="Normal 10 3 2 4 2 3 2 4 2 2" xfId="18467" xr:uid="{564B580C-B11E-4E0F-97F1-91F43C5C4851}"/>
    <cellStyle name="Normal 10 3 2 4 2 3 2 4 3" xfId="18468" xr:uid="{92C04C0B-D790-486E-A8E2-42C6B5F021D0}"/>
    <cellStyle name="Normal 10 3 2 4 2 3 2 5" xfId="18469" xr:uid="{50729CA2-0F7C-45FE-8531-90A07D0C7845}"/>
    <cellStyle name="Normal 10 3 2 4 2 3 2 5 2" xfId="18470" xr:uid="{DA59527E-D450-4314-A06A-C398674FC090}"/>
    <cellStyle name="Normal 10 3 2 4 2 3 2 6" xfId="18471" xr:uid="{F36FAFAF-2ED0-42F5-8D84-A238CC936BDE}"/>
    <cellStyle name="Normal 10 3 2 4 2 3 3" xfId="18472" xr:uid="{E8785088-D40F-4591-95B3-E6E0420D0EF0}"/>
    <cellStyle name="Normal 10 3 2 4 2 3 3 2" xfId="18473" xr:uid="{E2CD90F2-D2A2-43B7-BDC7-FC73AC15ECF2}"/>
    <cellStyle name="Normal 10 3 2 4 2 3 3 2 2" xfId="18474" xr:uid="{3394F87D-C426-454A-ABD0-9AFB4EA45C78}"/>
    <cellStyle name="Normal 10 3 2 4 2 3 3 2 2 2" xfId="18475" xr:uid="{26A21A8F-C29A-44E6-B7DB-2889B9E20986}"/>
    <cellStyle name="Normal 10 3 2 4 2 3 3 2 2 2 2" xfId="18476" xr:uid="{B8607F36-1440-47A1-84C4-B8E041C09DE3}"/>
    <cellStyle name="Normal 10 3 2 4 2 3 3 2 2 3" xfId="18477" xr:uid="{ED255BD8-BE56-4028-96B7-009243031A16}"/>
    <cellStyle name="Normal 10 3 2 4 2 3 3 2 3" xfId="18478" xr:uid="{B76A128E-7C72-4F03-9C01-CBB1B02CEF81}"/>
    <cellStyle name="Normal 10 3 2 4 2 3 3 2 3 2" xfId="18479" xr:uid="{96BBC864-E993-45F0-8AB1-B2F86E0C6F9E}"/>
    <cellStyle name="Normal 10 3 2 4 2 3 3 2 4" xfId="18480" xr:uid="{5E572E51-18BB-4889-AB11-A2302508750B}"/>
    <cellStyle name="Normal 10 3 2 4 2 3 3 3" xfId="18481" xr:uid="{A970A21A-758A-4A27-B3E6-78492C88C045}"/>
    <cellStyle name="Normal 10 3 2 4 2 3 3 3 2" xfId="18482" xr:uid="{EA87DDBC-014F-484D-866F-FF3430E6A035}"/>
    <cellStyle name="Normal 10 3 2 4 2 3 3 3 2 2" xfId="18483" xr:uid="{281A6970-AA3E-44E9-8C98-6D2F0F55AAA1}"/>
    <cellStyle name="Normal 10 3 2 4 2 3 3 3 3" xfId="18484" xr:uid="{E089D7E0-922F-4ACD-9E3E-17C2F60EDB6A}"/>
    <cellStyle name="Normal 10 3 2 4 2 3 3 4" xfId="18485" xr:uid="{AB14FAA1-CE33-40FF-AE2F-25D85EE2ED0C}"/>
    <cellStyle name="Normal 10 3 2 4 2 3 3 4 2" xfId="18486" xr:uid="{75DA5870-08D8-4347-AA18-756C89758B69}"/>
    <cellStyle name="Normal 10 3 2 4 2 3 3 5" xfId="18487" xr:uid="{4E1686C5-C36C-47C4-B7B8-DD0777137E27}"/>
    <cellStyle name="Normal 10 3 2 4 2 3 4" xfId="18488" xr:uid="{4F5E4C30-EE5A-46D4-9143-21D2C12C4756}"/>
    <cellStyle name="Normal 10 3 2 4 2 3 4 2" xfId="18489" xr:uid="{949C53AC-F2A4-4C98-B009-CEF01C4744A9}"/>
    <cellStyle name="Normal 10 3 2 4 2 3 4 2 2" xfId="18490" xr:uid="{BD0E65DE-3694-4B7C-8F64-626050F22779}"/>
    <cellStyle name="Normal 10 3 2 4 2 3 4 2 2 2" xfId="18491" xr:uid="{0AC8D1C9-83C1-4D5B-8C06-C15C57E675B0}"/>
    <cellStyle name="Normal 10 3 2 4 2 3 4 2 3" xfId="18492" xr:uid="{F30EBFBE-4DBD-4CB0-9E9E-3440C099246D}"/>
    <cellStyle name="Normal 10 3 2 4 2 3 4 3" xfId="18493" xr:uid="{EF4A1E35-CD60-469D-84C0-6FA394F4FF6E}"/>
    <cellStyle name="Normal 10 3 2 4 2 3 4 3 2" xfId="18494" xr:uid="{8C165389-85AD-4FA6-ABD0-85E204ED25BB}"/>
    <cellStyle name="Normal 10 3 2 4 2 3 4 4" xfId="18495" xr:uid="{23CFAAD2-E02A-42CA-98FE-618A83CE22BD}"/>
    <cellStyle name="Normal 10 3 2 4 2 3 5" xfId="18496" xr:uid="{1E53C726-F508-4AF4-BB60-75DB617FD00F}"/>
    <cellStyle name="Normal 10 3 2 4 2 3 5 2" xfId="18497" xr:uid="{97D42BBC-7A06-4A9C-935B-3C85D5196BCE}"/>
    <cellStyle name="Normal 10 3 2 4 2 3 5 2 2" xfId="18498" xr:uid="{74D66839-02F6-4D7F-B899-3B7D97713AEE}"/>
    <cellStyle name="Normal 10 3 2 4 2 3 5 3" xfId="18499" xr:uid="{F5F952DB-1F75-4FF8-9A10-8C576B294737}"/>
    <cellStyle name="Normal 10 3 2 4 2 3 6" xfId="18500" xr:uid="{5FED0EF6-D983-4608-9485-EA5BF2BB180B}"/>
    <cellStyle name="Normal 10 3 2 4 2 3 6 2" xfId="18501" xr:uid="{E155D08A-5195-429C-B0B5-776E0DBBA7BB}"/>
    <cellStyle name="Normal 10 3 2 4 2 3 7" xfId="18502" xr:uid="{C709E194-DC63-4FAC-9F98-5C94AFBCB22A}"/>
    <cellStyle name="Normal 10 3 2 4 2 4" xfId="18503" xr:uid="{C1EDFD86-C3B7-473F-B32A-49DF4B7AEE72}"/>
    <cellStyle name="Normal 10 3 2 4 2 4 2" xfId="18504" xr:uid="{8E39558C-7B27-4573-AB7A-AF076CDAE88D}"/>
    <cellStyle name="Normal 10 3 2 4 2 4 2 2" xfId="18505" xr:uid="{2D12D067-E7E2-44AD-B2D0-A4A99DD9BB85}"/>
    <cellStyle name="Normal 10 3 2 4 2 4 2 2 2" xfId="18506" xr:uid="{CC7BA40D-59B3-496B-A9BF-9D4F2D548BAC}"/>
    <cellStyle name="Normal 10 3 2 4 2 4 2 2 2 2" xfId="18507" xr:uid="{F3B35EC9-FF51-4792-AAFE-8FD387D8733B}"/>
    <cellStyle name="Normal 10 3 2 4 2 4 2 2 2 2 2" xfId="18508" xr:uid="{9DC077FA-A0A3-49EB-B999-5702C0763CFD}"/>
    <cellStyle name="Normal 10 3 2 4 2 4 2 2 2 3" xfId="18509" xr:uid="{59C789E9-82EA-4E0A-9752-2B538B3179D7}"/>
    <cellStyle name="Normal 10 3 2 4 2 4 2 2 3" xfId="18510" xr:uid="{113523EE-AE83-46A0-A70D-5AA8487F4D62}"/>
    <cellStyle name="Normal 10 3 2 4 2 4 2 2 3 2" xfId="18511" xr:uid="{273B732B-53F0-47A0-98E7-490C356AB717}"/>
    <cellStyle name="Normal 10 3 2 4 2 4 2 2 4" xfId="18512" xr:uid="{874C63AD-1EFE-454D-BBD6-011492867326}"/>
    <cellStyle name="Normal 10 3 2 4 2 4 2 3" xfId="18513" xr:uid="{8BC67B68-1C34-4288-AF0C-0D3CB582A06B}"/>
    <cellStyle name="Normal 10 3 2 4 2 4 2 3 2" xfId="18514" xr:uid="{92D45F15-661F-43A9-A375-108365C301A9}"/>
    <cellStyle name="Normal 10 3 2 4 2 4 2 3 2 2" xfId="18515" xr:uid="{8DCD1658-27EF-451F-905A-99CEA3DC7ECC}"/>
    <cellStyle name="Normal 10 3 2 4 2 4 2 3 3" xfId="18516" xr:uid="{71842B4B-28C3-4353-A53E-6062C349A29E}"/>
    <cellStyle name="Normal 10 3 2 4 2 4 2 4" xfId="18517" xr:uid="{0ED4C87A-CD51-4A1C-89CB-CE3C179407C2}"/>
    <cellStyle name="Normal 10 3 2 4 2 4 2 4 2" xfId="18518" xr:uid="{698F3EF4-61A3-461C-B15A-E67AA08551E3}"/>
    <cellStyle name="Normal 10 3 2 4 2 4 2 5" xfId="18519" xr:uid="{808B206E-602F-4DF3-A95C-6FE64E5DB4DB}"/>
    <cellStyle name="Normal 10 3 2 4 2 4 3" xfId="18520" xr:uid="{B749832A-D6B1-4A87-B81B-5FF869BB876E}"/>
    <cellStyle name="Normal 10 3 2 4 2 4 3 2" xfId="18521" xr:uid="{4B96DB2F-E895-4226-8FDA-A83B4210A96E}"/>
    <cellStyle name="Normal 10 3 2 4 2 4 3 2 2" xfId="18522" xr:uid="{B9738543-CA64-4F08-86C9-4DD02B317791}"/>
    <cellStyle name="Normal 10 3 2 4 2 4 3 2 2 2" xfId="18523" xr:uid="{6D0C6483-14D4-46FA-954D-A5C4CE20CCCB}"/>
    <cellStyle name="Normal 10 3 2 4 2 4 3 2 3" xfId="18524" xr:uid="{3F0C2353-88F7-4576-BCE2-6CD342074911}"/>
    <cellStyle name="Normal 10 3 2 4 2 4 3 3" xfId="18525" xr:uid="{58CEAA09-5AB0-4BD7-B548-A0076599CCDB}"/>
    <cellStyle name="Normal 10 3 2 4 2 4 3 3 2" xfId="18526" xr:uid="{2EF5C98C-C4F7-4BA2-95D5-BA5B2C901DCF}"/>
    <cellStyle name="Normal 10 3 2 4 2 4 3 4" xfId="18527" xr:uid="{3AE75DAA-5073-45E9-BD8E-C4FFAC1AB658}"/>
    <cellStyle name="Normal 10 3 2 4 2 4 4" xfId="18528" xr:uid="{4A67A773-295B-4F6E-ADD7-D7FE247A928F}"/>
    <cellStyle name="Normal 10 3 2 4 2 4 4 2" xfId="18529" xr:uid="{B25DD14A-290B-48CF-9721-F9A9397ED369}"/>
    <cellStyle name="Normal 10 3 2 4 2 4 4 2 2" xfId="18530" xr:uid="{6A701592-EBCA-4B0A-9EAC-FD7B4C028CC2}"/>
    <cellStyle name="Normal 10 3 2 4 2 4 4 3" xfId="18531" xr:uid="{B3413977-096C-464F-AC93-1C388D98622A}"/>
    <cellStyle name="Normal 10 3 2 4 2 4 5" xfId="18532" xr:uid="{2DE9B4BE-213E-4AAF-9443-FD8AD9AE64B5}"/>
    <cellStyle name="Normal 10 3 2 4 2 4 5 2" xfId="18533" xr:uid="{4465C9B3-CBC8-4CA6-B502-AAF7458571C7}"/>
    <cellStyle name="Normal 10 3 2 4 2 4 6" xfId="18534" xr:uid="{822CF68B-3E73-4D38-848D-E1FDE43BA57E}"/>
    <cellStyle name="Normal 10 3 2 4 2 5" xfId="18535" xr:uid="{94CEFA18-ACEF-41E2-937F-3E2E0F629332}"/>
    <cellStyle name="Normal 10 3 2 4 2 5 2" xfId="18536" xr:uid="{B08F979E-EAE4-413E-B553-386F3DF85F14}"/>
    <cellStyle name="Normal 10 3 2 4 2 5 2 2" xfId="18537" xr:uid="{86FA99A1-9156-4DBF-9C1C-74C8179191FB}"/>
    <cellStyle name="Normal 10 3 2 4 2 5 2 2 2" xfId="18538" xr:uid="{5404A990-C433-4487-8367-6ED4737390ED}"/>
    <cellStyle name="Normal 10 3 2 4 2 5 2 2 2 2" xfId="18539" xr:uid="{59EDE199-1AC1-46A8-8691-B1348864E2F8}"/>
    <cellStyle name="Normal 10 3 2 4 2 5 2 2 3" xfId="18540" xr:uid="{904260CC-0C54-4DAA-ADD1-C023D28313E5}"/>
    <cellStyle name="Normal 10 3 2 4 2 5 2 3" xfId="18541" xr:uid="{88AC2B2B-5685-498B-9D99-1C2264A7DAEB}"/>
    <cellStyle name="Normal 10 3 2 4 2 5 2 3 2" xfId="18542" xr:uid="{735296EC-1B61-4292-885B-D000F74A971F}"/>
    <cellStyle name="Normal 10 3 2 4 2 5 2 4" xfId="18543" xr:uid="{5B1B3615-C4B9-4454-871A-F799701B0E1A}"/>
    <cellStyle name="Normal 10 3 2 4 2 5 3" xfId="18544" xr:uid="{29DF1972-3920-4D5D-BDCC-10F5D6E0E255}"/>
    <cellStyle name="Normal 10 3 2 4 2 5 3 2" xfId="18545" xr:uid="{16B12D47-18B4-4193-B138-34070BEF9F9C}"/>
    <cellStyle name="Normal 10 3 2 4 2 5 3 2 2" xfId="18546" xr:uid="{E9DD7EBB-721C-4627-A4E9-02079EEFB098}"/>
    <cellStyle name="Normal 10 3 2 4 2 5 3 3" xfId="18547" xr:uid="{26DA5DC8-3E9B-4463-A190-7E9B241E5632}"/>
    <cellStyle name="Normal 10 3 2 4 2 5 4" xfId="18548" xr:uid="{D2186624-D596-4455-9C42-B50813DF2256}"/>
    <cellStyle name="Normal 10 3 2 4 2 5 4 2" xfId="18549" xr:uid="{229DF78D-9C3C-4179-B13E-9986CA34D981}"/>
    <cellStyle name="Normal 10 3 2 4 2 5 5" xfId="18550" xr:uid="{B2F08698-D736-4997-BCC2-E6C2D10FB928}"/>
    <cellStyle name="Normal 10 3 2 4 2 6" xfId="18551" xr:uid="{6B6C7626-DA1B-4024-8A93-A2F2915563B2}"/>
    <cellStyle name="Normal 10 3 2 4 2 6 2" xfId="18552" xr:uid="{D18A206E-9540-4B4D-89FC-84EF570AAFD2}"/>
    <cellStyle name="Normal 10 3 2 4 2 6 2 2" xfId="18553" xr:uid="{C117873F-1953-4CC7-A7C3-E4739823C355}"/>
    <cellStyle name="Normal 10 3 2 4 2 6 2 2 2" xfId="18554" xr:uid="{6C36FF12-BF8F-4470-8C3D-6688D60A95CE}"/>
    <cellStyle name="Normal 10 3 2 4 2 6 2 3" xfId="18555" xr:uid="{6E3C02F3-2263-4CE7-9A19-69331DD43C32}"/>
    <cellStyle name="Normal 10 3 2 4 2 6 3" xfId="18556" xr:uid="{A0E99595-A942-4879-A21B-43043F44CA80}"/>
    <cellStyle name="Normal 10 3 2 4 2 6 3 2" xfId="18557" xr:uid="{6B07F9CF-FC20-4094-991C-DAFB0B2DA3D1}"/>
    <cellStyle name="Normal 10 3 2 4 2 6 4" xfId="18558" xr:uid="{5FCAB7A2-F0B1-4F9E-97F9-5CD6EB4FB38C}"/>
    <cellStyle name="Normal 10 3 2 4 2 7" xfId="18559" xr:uid="{CBFD4E76-5639-4070-9477-A46850FEDD5A}"/>
    <cellStyle name="Normal 10 3 2 4 2 7 2" xfId="18560" xr:uid="{3A9125E3-72F0-4085-94B6-2C503896A215}"/>
    <cellStyle name="Normal 10 3 2 4 2 7 2 2" xfId="18561" xr:uid="{64C30BE5-A9D7-4037-ABBA-FB704A9016C3}"/>
    <cellStyle name="Normal 10 3 2 4 2 7 3" xfId="18562" xr:uid="{A38BDA89-5F2B-4D75-8B9C-558B5BC18F9C}"/>
    <cellStyle name="Normal 10 3 2 4 2 8" xfId="18563" xr:uid="{04D4A33A-7148-4912-9ADC-252F8105F498}"/>
    <cellStyle name="Normal 10 3 2 4 2 8 2" xfId="18564" xr:uid="{D1E6893E-CD2C-4B58-8042-A3242C9FD453}"/>
    <cellStyle name="Normal 10 3 2 4 2 9" xfId="18565" xr:uid="{30D7DBFA-C4F8-474A-86E2-DC94E41AC80A}"/>
    <cellStyle name="Normal 10 3 2 4 3" xfId="474" xr:uid="{8BB593AB-FF11-4937-8F92-4D86B7E343CD}"/>
    <cellStyle name="Normal 10 3 2 4 3 2" xfId="18567" xr:uid="{67448613-C1D6-4857-A73E-6C5AB8AD4C82}"/>
    <cellStyle name="Normal 10 3 2 4 3 2 2" xfId="18568" xr:uid="{4F4C20E4-5B59-4B53-900A-55AAD8D9C7EE}"/>
    <cellStyle name="Normal 10 3 2 4 3 2 2 2" xfId="18569" xr:uid="{FAA06B95-85FE-40B2-ADA5-5D46CAB5B10B}"/>
    <cellStyle name="Normal 10 3 2 4 3 2 2 2 2" xfId="18570" xr:uid="{7D80E887-14E0-46F3-9B7A-9BCB10385003}"/>
    <cellStyle name="Normal 10 3 2 4 3 2 2 2 2 2" xfId="18571" xr:uid="{2C75C8CD-9B1D-4B9E-B153-A856E9F8AA13}"/>
    <cellStyle name="Normal 10 3 2 4 3 2 2 2 2 2 2" xfId="18572" xr:uid="{1E6703C1-3829-418C-88F2-F76529BA70F7}"/>
    <cellStyle name="Normal 10 3 2 4 3 2 2 2 2 2 2 2" xfId="18573" xr:uid="{6914FBE9-0AD7-4F35-BAF1-084908DDD83A}"/>
    <cellStyle name="Normal 10 3 2 4 3 2 2 2 2 2 3" xfId="18574" xr:uid="{A25B84F2-E1F0-4F67-A257-5FC23F1DC8C0}"/>
    <cellStyle name="Normal 10 3 2 4 3 2 2 2 2 3" xfId="18575" xr:uid="{2296DE09-27BF-4083-BBD2-DBE795486CDC}"/>
    <cellStyle name="Normal 10 3 2 4 3 2 2 2 2 3 2" xfId="18576" xr:uid="{5B701D87-7B1E-48CE-B20B-4D0ECD1F508D}"/>
    <cellStyle name="Normal 10 3 2 4 3 2 2 2 2 4" xfId="18577" xr:uid="{FA267EBE-B0A4-419A-91B8-FF7EE29E9E5A}"/>
    <cellStyle name="Normal 10 3 2 4 3 2 2 2 3" xfId="18578" xr:uid="{939588A3-5033-4A17-B3A2-33BEFADAF9FB}"/>
    <cellStyle name="Normal 10 3 2 4 3 2 2 2 3 2" xfId="18579" xr:uid="{3047FAD6-2C79-4E63-B37B-B39FA31795A7}"/>
    <cellStyle name="Normal 10 3 2 4 3 2 2 2 3 2 2" xfId="18580" xr:uid="{B3BAA6D0-A86A-49A2-9152-0BC3090964F1}"/>
    <cellStyle name="Normal 10 3 2 4 3 2 2 2 3 3" xfId="18581" xr:uid="{10DC8A99-BE8F-4885-B20D-484A861BF533}"/>
    <cellStyle name="Normal 10 3 2 4 3 2 2 2 4" xfId="18582" xr:uid="{356A36D9-1604-4EA5-99EE-35F9DBFFF60B}"/>
    <cellStyle name="Normal 10 3 2 4 3 2 2 2 4 2" xfId="18583" xr:uid="{9B91B8F2-367D-48C1-99ED-50AE01EC4EF1}"/>
    <cellStyle name="Normal 10 3 2 4 3 2 2 2 5" xfId="18584" xr:uid="{C28BD1AE-2C73-4A26-A4BD-6E56576B95BA}"/>
    <cellStyle name="Normal 10 3 2 4 3 2 2 3" xfId="18585" xr:uid="{0604E714-11BB-4387-B31F-B483287A0769}"/>
    <cellStyle name="Normal 10 3 2 4 3 2 2 3 2" xfId="18586" xr:uid="{998E4665-F121-437E-B629-DAB2C5275985}"/>
    <cellStyle name="Normal 10 3 2 4 3 2 2 3 2 2" xfId="18587" xr:uid="{4E662B60-24E0-4975-811F-61DF1FB4E43C}"/>
    <cellStyle name="Normal 10 3 2 4 3 2 2 3 2 2 2" xfId="18588" xr:uid="{FB3953F5-4358-4B7C-A97A-59BC8B035F2D}"/>
    <cellStyle name="Normal 10 3 2 4 3 2 2 3 2 3" xfId="18589" xr:uid="{9CA153F5-492E-4033-AC73-D8628EF8B6F7}"/>
    <cellStyle name="Normal 10 3 2 4 3 2 2 3 3" xfId="18590" xr:uid="{8762B61B-2D54-42DD-ACB3-502273C26452}"/>
    <cellStyle name="Normal 10 3 2 4 3 2 2 3 3 2" xfId="18591" xr:uid="{D6D80A4E-9D1C-4373-80AE-56B8982DD2C4}"/>
    <cellStyle name="Normal 10 3 2 4 3 2 2 3 4" xfId="18592" xr:uid="{10C12D56-E91B-4735-AB1B-B6ED7A1E99C6}"/>
    <cellStyle name="Normal 10 3 2 4 3 2 2 4" xfId="18593" xr:uid="{B3518083-628D-427A-BA10-56E324FB98C4}"/>
    <cellStyle name="Normal 10 3 2 4 3 2 2 4 2" xfId="18594" xr:uid="{211FD31F-365D-4CB7-8F16-210A749B1E02}"/>
    <cellStyle name="Normal 10 3 2 4 3 2 2 4 2 2" xfId="18595" xr:uid="{AE8561F2-EB32-4BD8-A42D-2EBCA2BA0FA9}"/>
    <cellStyle name="Normal 10 3 2 4 3 2 2 4 3" xfId="18596" xr:uid="{2C2A4C72-8529-434A-AB05-DA57CF1B07A9}"/>
    <cellStyle name="Normal 10 3 2 4 3 2 2 5" xfId="18597" xr:uid="{64530687-0A09-4CB0-B147-61EF7F67291B}"/>
    <cellStyle name="Normal 10 3 2 4 3 2 2 5 2" xfId="18598" xr:uid="{D25163A6-3E2A-40BB-91AE-01932C1B7078}"/>
    <cellStyle name="Normal 10 3 2 4 3 2 2 6" xfId="18599" xr:uid="{3269C60C-F93C-4527-AC2B-E77FDE04D061}"/>
    <cellStyle name="Normal 10 3 2 4 3 2 3" xfId="18600" xr:uid="{6FE8372E-3008-4EA9-B02E-7725EC63B9DE}"/>
    <cellStyle name="Normal 10 3 2 4 3 2 3 2" xfId="18601" xr:uid="{545D6E9B-7B91-4F6C-941B-F94975B63202}"/>
    <cellStyle name="Normal 10 3 2 4 3 2 3 2 2" xfId="18602" xr:uid="{D64FF443-0B12-49D2-9F09-C0BF07A26486}"/>
    <cellStyle name="Normal 10 3 2 4 3 2 3 2 2 2" xfId="18603" xr:uid="{9793CA56-5905-45B0-BFD8-041F878DA390}"/>
    <cellStyle name="Normal 10 3 2 4 3 2 3 2 2 2 2" xfId="18604" xr:uid="{8576FD05-8925-4D60-9580-7C4E31E101B6}"/>
    <cellStyle name="Normal 10 3 2 4 3 2 3 2 2 3" xfId="18605" xr:uid="{D32FD603-11F1-4F2B-A45A-C1C0F9139D59}"/>
    <cellStyle name="Normal 10 3 2 4 3 2 3 2 3" xfId="18606" xr:uid="{1C2FFFF4-89A3-410D-BBD8-E88128743A5A}"/>
    <cellStyle name="Normal 10 3 2 4 3 2 3 2 3 2" xfId="18607" xr:uid="{95E6B3C4-8CDC-48C6-8FBC-BB0FA2D8EE77}"/>
    <cellStyle name="Normal 10 3 2 4 3 2 3 2 4" xfId="18608" xr:uid="{600CB1B3-4F20-4250-8BF4-76CA4AEDA4A9}"/>
    <cellStyle name="Normal 10 3 2 4 3 2 3 3" xfId="18609" xr:uid="{94318AA5-96B7-4F96-B1C7-FAF76CBAF7C3}"/>
    <cellStyle name="Normal 10 3 2 4 3 2 3 3 2" xfId="18610" xr:uid="{C2DBD986-BC3C-4BC4-802B-2EE678198A00}"/>
    <cellStyle name="Normal 10 3 2 4 3 2 3 3 2 2" xfId="18611" xr:uid="{BD7E6761-F9D0-4846-83E1-280BA2B17277}"/>
    <cellStyle name="Normal 10 3 2 4 3 2 3 3 3" xfId="18612" xr:uid="{CF8D1480-C314-40E4-B4DB-74D8C3EC9DC8}"/>
    <cellStyle name="Normal 10 3 2 4 3 2 3 4" xfId="18613" xr:uid="{4D240156-E0D9-4B4E-8690-763B27D3B5CD}"/>
    <cellStyle name="Normal 10 3 2 4 3 2 3 4 2" xfId="18614" xr:uid="{6541676D-D6A8-4C6F-9602-83B70DE2E82A}"/>
    <cellStyle name="Normal 10 3 2 4 3 2 3 5" xfId="18615" xr:uid="{18BCBF58-F5F1-4976-9DB7-9B0B241FDCFA}"/>
    <cellStyle name="Normal 10 3 2 4 3 2 4" xfId="18616" xr:uid="{55BF4414-8458-44C0-993E-5B5ECBD2F09A}"/>
    <cellStyle name="Normal 10 3 2 4 3 2 4 2" xfId="18617" xr:uid="{A8A96C1B-878F-4824-B02D-A0AB3E353591}"/>
    <cellStyle name="Normal 10 3 2 4 3 2 4 2 2" xfId="18618" xr:uid="{8A251E64-088A-401B-B18F-EDBE3ACEFF19}"/>
    <cellStyle name="Normal 10 3 2 4 3 2 4 2 2 2" xfId="18619" xr:uid="{8C10285A-CA1C-42AD-832E-D0B22BD9E3D0}"/>
    <cellStyle name="Normal 10 3 2 4 3 2 4 2 3" xfId="18620" xr:uid="{3BACDF03-3461-4853-9202-07136E4B8B88}"/>
    <cellStyle name="Normal 10 3 2 4 3 2 4 3" xfId="18621" xr:uid="{FA254AE6-334C-4AA8-A747-09BA7E37A448}"/>
    <cellStyle name="Normal 10 3 2 4 3 2 4 3 2" xfId="18622" xr:uid="{DB7F955C-BC38-4362-8C0D-7AFBFA15A3E2}"/>
    <cellStyle name="Normal 10 3 2 4 3 2 4 4" xfId="18623" xr:uid="{DF6BC7F5-2616-4507-B0A3-88199D1B9F3D}"/>
    <cellStyle name="Normal 10 3 2 4 3 2 5" xfId="18624" xr:uid="{E5C2A698-2CF4-4DA8-838E-2D09BA8562E1}"/>
    <cellStyle name="Normal 10 3 2 4 3 2 5 2" xfId="18625" xr:uid="{426BCFA1-F7CB-4B72-B54F-D2656ADCE64E}"/>
    <cellStyle name="Normal 10 3 2 4 3 2 5 2 2" xfId="18626" xr:uid="{3FC07AF6-73E0-4E88-BF2A-F1B4A6A4CE22}"/>
    <cellStyle name="Normal 10 3 2 4 3 2 5 3" xfId="18627" xr:uid="{DA82CE9A-B731-4A90-9483-2715A34810D7}"/>
    <cellStyle name="Normal 10 3 2 4 3 2 6" xfId="18628" xr:uid="{EC12ACE8-7672-4CD2-8AB3-BA0430C46F5A}"/>
    <cellStyle name="Normal 10 3 2 4 3 2 6 2" xfId="18629" xr:uid="{5B915EC4-6678-4019-B08D-992DD153F319}"/>
    <cellStyle name="Normal 10 3 2 4 3 2 7" xfId="18630" xr:uid="{E6B2094F-3D57-4439-98C0-B193A5F32B30}"/>
    <cellStyle name="Normal 10 3 2 4 3 3" xfId="18631" xr:uid="{C1FDE76C-BABF-4665-B471-5BDB3C8AE020}"/>
    <cellStyle name="Normal 10 3 2 4 3 3 2" xfId="18632" xr:uid="{A7105109-E7A7-48D5-BF14-FC643D6039C7}"/>
    <cellStyle name="Normal 10 3 2 4 3 3 2 2" xfId="18633" xr:uid="{640F00C8-A485-434A-942F-2F7A53AE300B}"/>
    <cellStyle name="Normal 10 3 2 4 3 3 2 2 2" xfId="18634" xr:uid="{9CC0C942-10C0-4EEC-90C3-A360FBCD4E15}"/>
    <cellStyle name="Normal 10 3 2 4 3 3 2 2 2 2" xfId="18635" xr:uid="{4FC9B0FE-16BB-45A3-8D71-C48E6C776E2F}"/>
    <cellStyle name="Normal 10 3 2 4 3 3 2 2 2 2 2" xfId="18636" xr:uid="{EEC5B0E8-14A6-491E-BF7F-1E3E4FBA7280}"/>
    <cellStyle name="Normal 10 3 2 4 3 3 2 2 2 3" xfId="18637" xr:uid="{3452035A-0315-4807-8C2D-6E6EFD28769F}"/>
    <cellStyle name="Normal 10 3 2 4 3 3 2 2 3" xfId="18638" xr:uid="{6509CA05-8C7B-42C9-9ECA-0EA7E2427A20}"/>
    <cellStyle name="Normal 10 3 2 4 3 3 2 2 3 2" xfId="18639" xr:uid="{C0E8D165-970C-45B9-9EEE-AD9E37AD51F8}"/>
    <cellStyle name="Normal 10 3 2 4 3 3 2 2 4" xfId="18640" xr:uid="{2C2A590D-E8D3-49CD-8B02-A720722B95CF}"/>
    <cellStyle name="Normal 10 3 2 4 3 3 2 3" xfId="18641" xr:uid="{A4F8ABAE-8BC6-421C-994B-6A580E353327}"/>
    <cellStyle name="Normal 10 3 2 4 3 3 2 3 2" xfId="18642" xr:uid="{786BA167-85B2-4204-815A-F1682009EDD4}"/>
    <cellStyle name="Normal 10 3 2 4 3 3 2 3 2 2" xfId="18643" xr:uid="{3F196F53-4A30-45B4-AA89-C7E2F2B0D8A0}"/>
    <cellStyle name="Normal 10 3 2 4 3 3 2 3 3" xfId="18644" xr:uid="{4FA9F4EB-F6F6-4FD9-AC7F-910ED517AC60}"/>
    <cellStyle name="Normal 10 3 2 4 3 3 2 4" xfId="18645" xr:uid="{D61E60F4-C5DA-4940-891A-57898FD6EDA3}"/>
    <cellStyle name="Normal 10 3 2 4 3 3 2 4 2" xfId="18646" xr:uid="{22726408-DF33-45D7-B084-77A3E48E9C8A}"/>
    <cellStyle name="Normal 10 3 2 4 3 3 2 5" xfId="18647" xr:uid="{1D78C474-E71A-4EDA-A678-83A8EE0846A4}"/>
    <cellStyle name="Normal 10 3 2 4 3 3 3" xfId="18648" xr:uid="{C543204E-3850-474A-A802-2134C2712C58}"/>
    <cellStyle name="Normal 10 3 2 4 3 3 3 2" xfId="18649" xr:uid="{10F5D895-6022-4EFA-B38A-5D27F51BCBBD}"/>
    <cellStyle name="Normal 10 3 2 4 3 3 3 2 2" xfId="18650" xr:uid="{3B2A6BD4-A289-47A0-985E-77016379EF34}"/>
    <cellStyle name="Normal 10 3 2 4 3 3 3 2 2 2" xfId="18651" xr:uid="{B41491B4-464B-49B9-A11B-CFDF9C7D36E8}"/>
    <cellStyle name="Normal 10 3 2 4 3 3 3 2 3" xfId="18652" xr:uid="{754FD024-9994-4AB9-991C-3EBDCC2CD087}"/>
    <cellStyle name="Normal 10 3 2 4 3 3 3 3" xfId="18653" xr:uid="{B87D229E-6240-4DBC-8A86-C50E24701A55}"/>
    <cellStyle name="Normal 10 3 2 4 3 3 3 3 2" xfId="18654" xr:uid="{E5B3F9AB-0111-4E69-BE47-52A91DF499DA}"/>
    <cellStyle name="Normal 10 3 2 4 3 3 3 4" xfId="18655" xr:uid="{C7226FFD-3E38-405A-A9B2-1023756917DA}"/>
    <cellStyle name="Normal 10 3 2 4 3 3 4" xfId="18656" xr:uid="{328FA19B-7DC9-4A43-936E-9E65633C9781}"/>
    <cellStyle name="Normal 10 3 2 4 3 3 4 2" xfId="18657" xr:uid="{88E025BD-CAFE-4FDA-946C-368DE6D9ADAD}"/>
    <cellStyle name="Normal 10 3 2 4 3 3 4 2 2" xfId="18658" xr:uid="{6160D36A-ACA9-4FD3-9560-6903694E6DA3}"/>
    <cellStyle name="Normal 10 3 2 4 3 3 4 3" xfId="18659" xr:uid="{26C9376A-A6D6-4F0F-93E7-A414F0D7F68D}"/>
    <cellStyle name="Normal 10 3 2 4 3 3 5" xfId="18660" xr:uid="{D574E7F8-CB1C-469B-AF3E-0CAEA24A15A2}"/>
    <cellStyle name="Normal 10 3 2 4 3 3 5 2" xfId="18661" xr:uid="{5CD7E70D-B8C1-467F-94EC-B00EAF34C4A8}"/>
    <cellStyle name="Normal 10 3 2 4 3 3 6" xfId="18662" xr:uid="{E0097066-689E-40DC-A5A0-81A0835EEC7A}"/>
    <cellStyle name="Normal 10 3 2 4 3 4" xfId="18663" xr:uid="{23E6A3C7-5150-4E4F-BAB0-BD4F155CE57F}"/>
    <cellStyle name="Normal 10 3 2 4 3 4 2" xfId="18664" xr:uid="{1A2FF5DB-5992-4AFF-9918-A9739ED9079C}"/>
    <cellStyle name="Normal 10 3 2 4 3 4 2 2" xfId="18665" xr:uid="{481041A3-10CE-441D-BEA9-5F21189DDBDE}"/>
    <cellStyle name="Normal 10 3 2 4 3 4 2 2 2" xfId="18666" xr:uid="{FAB34CD4-5AA7-4B5A-BCD6-ED54DCBCDB21}"/>
    <cellStyle name="Normal 10 3 2 4 3 4 2 2 2 2" xfId="18667" xr:uid="{3BEB4909-F287-4A43-8A7A-3A5B02195F97}"/>
    <cellStyle name="Normal 10 3 2 4 3 4 2 2 3" xfId="18668" xr:uid="{E2580695-09FF-41BA-A83C-8C917E78EB00}"/>
    <cellStyle name="Normal 10 3 2 4 3 4 2 3" xfId="18669" xr:uid="{2189B7C4-B4DD-47CC-90CD-A1065941E45B}"/>
    <cellStyle name="Normal 10 3 2 4 3 4 2 3 2" xfId="18670" xr:uid="{A621FFCF-59DA-4708-A422-0BBB9B64CF3A}"/>
    <cellStyle name="Normal 10 3 2 4 3 4 2 4" xfId="18671" xr:uid="{999DC065-7820-4AB3-A19D-A4CABE67A3CD}"/>
    <cellStyle name="Normal 10 3 2 4 3 4 3" xfId="18672" xr:uid="{2A6181D8-DC39-46AF-ADAF-DE47E9D0634B}"/>
    <cellStyle name="Normal 10 3 2 4 3 4 3 2" xfId="18673" xr:uid="{0C7A0BE8-B818-446F-BCFA-417B742EABBA}"/>
    <cellStyle name="Normal 10 3 2 4 3 4 3 2 2" xfId="18674" xr:uid="{E1903E14-1F86-4ADF-961D-83CE6B7C18C6}"/>
    <cellStyle name="Normal 10 3 2 4 3 4 3 3" xfId="18675" xr:uid="{BA153303-A4B5-4A94-A2A5-6FD2989CDE8D}"/>
    <cellStyle name="Normal 10 3 2 4 3 4 4" xfId="18676" xr:uid="{D94D1E8B-4605-49EA-8FCC-A25031B55E7B}"/>
    <cellStyle name="Normal 10 3 2 4 3 4 4 2" xfId="18677" xr:uid="{8AEB94D5-8057-49F4-A5AC-8CDAFB684760}"/>
    <cellStyle name="Normal 10 3 2 4 3 4 5" xfId="18678" xr:uid="{5D4007BA-9E14-4593-B70B-70AAC13EEAE2}"/>
    <cellStyle name="Normal 10 3 2 4 3 5" xfId="18679" xr:uid="{E2BAECE7-42FB-42BD-85C0-BFE16E04C643}"/>
    <cellStyle name="Normal 10 3 2 4 3 5 2" xfId="18680" xr:uid="{F0AB2289-3F8A-4EC7-A61B-464182EF9E6D}"/>
    <cellStyle name="Normal 10 3 2 4 3 5 2 2" xfId="18681" xr:uid="{9D65F541-DE28-44BE-99AF-54F7461518C2}"/>
    <cellStyle name="Normal 10 3 2 4 3 5 2 2 2" xfId="18682" xr:uid="{85206A6E-A742-4227-95FA-86355F64E16E}"/>
    <cellStyle name="Normal 10 3 2 4 3 5 2 3" xfId="18683" xr:uid="{234C1EBB-4760-4198-8DEF-696938F3D799}"/>
    <cellStyle name="Normal 10 3 2 4 3 5 3" xfId="18684" xr:uid="{5BE44289-6954-44AD-A6EC-B96CE7F3A3F5}"/>
    <cellStyle name="Normal 10 3 2 4 3 5 3 2" xfId="18685" xr:uid="{77B82EFD-ECC1-4446-9C98-ED174E7C9052}"/>
    <cellStyle name="Normal 10 3 2 4 3 5 4" xfId="18686" xr:uid="{576B6C61-43A4-44BA-B7C2-3E83999B6E73}"/>
    <cellStyle name="Normal 10 3 2 4 3 6" xfId="18687" xr:uid="{856D7309-BE3B-471A-84B1-76A3021153ED}"/>
    <cellStyle name="Normal 10 3 2 4 3 6 2" xfId="18688" xr:uid="{84171C6C-ACA8-44A5-A45E-6BAB2D359F0C}"/>
    <cellStyle name="Normal 10 3 2 4 3 6 2 2" xfId="18689" xr:uid="{3DB481DC-9D59-4A54-A50E-8412A0993AD4}"/>
    <cellStyle name="Normal 10 3 2 4 3 6 3" xfId="18690" xr:uid="{E11004A4-69AD-4731-B3B5-306F75E75568}"/>
    <cellStyle name="Normal 10 3 2 4 3 7" xfId="18691" xr:uid="{4C6E9FBD-0BE2-4B8A-A621-11E10D2AEC1F}"/>
    <cellStyle name="Normal 10 3 2 4 3 7 2" xfId="18692" xr:uid="{03EC3214-2C25-445C-8366-BEE146EE2B00}"/>
    <cellStyle name="Normal 10 3 2 4 3 8" xfId="18693" xr:uid="{D999AA73-362F-45EF-8A5F-C44510F80CCA}"/>
    <cellStyle name="Normal 10 3 2 4 3 9" xfId="18566" xr:uid="{A25BDA88-1F77-4653-8440-EBBD2D66821A}"/>
    <cellStyle name="Normal 10 3 2 4 4" xfId="18694" xr:uid="{4DD1C450-8977-4FD7-9AA6-F81DFE63A06A}"/>
    <cellStyle name="Normal 10 3 2 4 4 2" xfId="18695" xr:uid="{634A2B1A-7159-45C5-8EF1-997F9572C081}"/>
    <cellStyle name="Normal 10 3 2 4 4 2 2" xfId="18696" xr:uid="{1C23B14E-1ED7-4EB5-8326-822D027575D9}"/>
    <cellStyle name="Normal 10 3 2 4 4 2 2 2" xfId="18697" xr:uid="{F1269E25-68FD-4F19-B8DD-49D456A07D08}"/>
    <cellStyle name="Normal 10 3 2 4 4 2 2 2 2" xfId="18698" xr:uid="{67F15F54-3881-4CB8-A2DE-0185BA9CA48E}"/>
    <cellStyle name="Normal 10 3 2 4 4 2 2 2 2 2" xfId="18699" xr:uid="{845DE914-86CD-4655-B8AB-677E31E74D2E}"/>
    <cellStyle name="Normal 10 3 2 4 4 2 2 2 2 2 2" xfId="18700" xr:uid="{20AF284D-FD6A-4952-ACF1-D8E10AF55729}"/>
    <cellStyle name="Normal 10 3 2 4 4 2 2 2 2 3" xfId="18701" xr:uid="{4AB67F04-16E2-43D3-8057-F28A57FA624D}"/>
    <cellStyle name="Normal 10 3 2 4 4 2 2 2 3" xfId="18702" xr:uid="{EE4EC210-E165-4736-8B16-42CEC0B7A0D4}"/>
    <cellStyle name="Normal 10 3 2 4 4 2 2 2 3 2" xfId="18703" xr:uid="{2B1B5B87-60BA-4498-B26B-5586CE6149E9}"/>
    <cellStyle name="Normal 10 3 2 4 4 2 2 2 4" xfId="18704" xr:uid="{97D5D226-4ACD-4450-B668-50854A6063D3}"/>
    <cellStyle name="Normal 10 3 2 4 4 2 2 3" xfId="18705" xr:uid="{9A78493A-DD1E-44CD-BDE1-393FF4E91005}"/>
    <cellStyle name="Normal 10 3 2 4 4 2 2 3 2" xfId="18706" xr:uid="{F4D4E832-12DC-40DA-84D9-0551BCDB03F8}"/>
    <cellStyle name="Normal 10 3 2 4 4 2 2 3 2 2" xfId="18707" xr:uid="{1153E0D3-D6A2-437E-AA3F-49BE3C9E6734}"/>
    <cellStyle name="Normal 10 3 2 4 4 2 2 3 3" xfId="18708" xr:uid="{B1E472E6-FDF9-44BF-AC0E-90AF00786876}"/>
    <cellStyle name="Normal 10 3 2 4 4 2 2 4" xfId="18709" xr:uid="{F677036A-D02C-437A-9356-CCF3A8E20EF9}"/>
    <cellStyle name="Normal 10 3 2 4 4 2 2 4 2" xfId="18710" xr:uid="{9C706C7E-18DF-41C6-A310-3CD66D626BBB}"/>
    <cellStyle name="Normal 10 3 2 4 4 2 2 5" xfId="18711" xr:uid="{D256B78C-6A52-4061-83B8-B0DB781BC14C}"/>
    <cellStyle name="Normal 10 3 2 4 4 2 3" xfId="18712" xr:uid="{8426519F-729F-44F3-8C6F-8F2143505656}"/>
    <cellStyle name="Normal 10 3 2 4 4 2 3 2" xfId="18713" xr:uid="{3DF26847-8851-4653-A713-57807B067E1F}"/>
    <cellStyle name="Normal 10 3 2 4 4 2 3 2 2" xfId="18714" xr:uid="{8CC2A73B-6680-4CFA-8D43-0C38901BA6DF}"/>
    <cellStyle name="Normal 10 3 2 4 4 2 3 2 2 2" xfId="18715" xr:uid="{A4C97980-018C-4603-A09B-E651E35F19CC}"/>
    <cellStyle name="Normal 10 3 2 4 4 2 3 2 3" xfId="18716" xr:uid="{D01D220B-64DE-4E47-854D-8485B24EFDD7}"/>
    <cellStyle name="Normal 10 3 2 4 4 2 3 3" xfId="18717" xr:uid="{B9230478-37C5-4D34-91A6-A447998EEB1B}"/>
    <cellStyle name="Normal 10 3 2 4 4 2 3 3 2" xfId="18718" xr:uid="{AD2D1DCF-3217-4DAF-ABCD-1A938E8BF408}"/>
    <cellStyle name="Normal 10 3 2 4 4 2 3 4" xfId="18719" xr:uid="{E1BF7348-3537-4A1D-8A62-D93A20AC044A}"/>
    <cellStyle name="Normal 10 3 2 4 4 2 4" xfId="18720" xr:uid="{CBB6A446-C06E-4C6C-A87D-F093E3F000B6}"/>
    <cellStyle name="Normal 10 3 2 4 4 2 4 2" xfId="18721" xr:uid="{AEF57835-C976-4EF5-A4AC-9156E1646FA1}"/>
    <cellStyle name="Normal 10 3 2 4 4 2 4 2 2" xfId="18722" xr:uid="{2B264104-3D6E-4714-9A1D-09D5BF04BC3C}"/>
    <cellStyle name="Normal 10 3 2 4 4 2 4 3" xfId="18723" xr:uid="{036BC969-5432-4AE9-A002-8EF13DC3D22F}"/>
    <cellStyle name="Normal 10 3 2 4 4 2 5" xfId="18724" xr:uid="{D1700EC0-B183-4041-9E87-2CC704504935}"/>
    <cellStyle name="Normal 10 3 2 4 4 2 5 2" xfId="18725" xr:uid="{AB72CAC2-3F0C-4C36-B0D3-4DB7FD47F1B5}"/>
    <cellStyle name="Normal 10 3 2 4 4 2 6" xfId="18726" xr:uid="{FABB3BFB-74DB-44A8-AE8D-9B314CCDD5C5}"/>
    <cellStyle name="Normal 10 3 2 4 4 3" xfId="18727" xr:uid="{177D4A17-9846-4FBE-84D8-2EC70C90F641}"/>
    <cellStyle name="Normal 10 3 2 4 4 3 2" xfId="18728" xr:uid="{45B6C892-C90E-41C3-A3FC-6D497FE1490C}"/>
    <cellStyle name="Normal 10 3 2 4 4 3 2 2" xfId="18729" xr:uid="{E60C8AFB-ED0F-49AD-8071-D1F18900256E}"/>
    <cellStyle name="Normal 10 3 2 4 4 3 2 2 2" xfId="18730" xr:uid="{C2A70A0C-8102-412D-9216-7711EF7E2A05}"/>
    <cellStyle name="Normal 10 3 2 4 4 3 2 2 2 2" xfId="18731" xr:uid="{2277465E-9B7D-4962-BC9B-CD518749051C}"/>
    <cellStyle name="Normal 10 3 2 4 4 3 2 2 3" xfId="18732" xr:uid="{1C95A88F-5F18-432D-ADA6-BE61BC5A8046}"/>
    <cellStyle name="Normal 10 3 2 4 4 3 2 3" xfId="18733" xr:uid="{549C7C95-C2F0-4B6C-B4DF-8B8458BD0001}"/>
    <cellStyle name="Normal 10 3 2 4 4 3 2 3 2" xfId="18734" xr:uid="{6C707AD9-8641-414E-8EDB-83E4F6576352}"/>
    <cellStyle name="Normal 10 3 2 4 4 3 2 4" xfId="18735" xr:uid="{78967C28-723B-4B76-A699-2DFED148FDB4}"/>
    <cellStyle name="Normal 10 3 2 4 4 3 3" xfId="18736" xr:uid="{A6A617D1-0F8B-44F6-A349-7864A8B79B30}"/>
    <cellStyle name="Normal 10 3 2 4 4 3 3 2" xfId="18737" xr:uid="{B254E7ED-6EE2-43E0-80D1-5676B65757A7}"/>
    <cellStyle name="Normal 10 3 2 4 4 3 3 2 2" xfId="18738" xr:uid="{07CBE28A-A165-4D95-9258-EB4166A87DB5}"/>
    <cellStyle name="Normal 10 3 2 4 4 3 3 3" xfId="18739" xr:uid="{CEE5AFC3-BDF3-412B-A73E-6650DAB44D98}"/>
    <cellStyle name="Normal 10 3 2 4 4 3 4" xfId="18740" xr:uid="{3787E2C5-317A-4078-A4F5-DC641F53061C}"/>
    <cellStyle name="Normal 10 3 2 4 4 3 4 2" xfId="18741" xr:uid="{A2157935-EDC8-42C1-80F5-64A4E90001BE}"/>
    <cellStyle name="Normal 10 3 2 4 4 3 5" xfId="18742" xr:uid="{1DEC1545-9D13-4799-B01A-023E351D88EB}"/>
    <cellStyle name="Normal 10 3 2 4 4 4" xfId="18743" xr:uid="{1C15B083-B05E-4127-9F78-41F0EC6EB265}"/>
    <cellStyle name="Normal 10 3 2 4 4 4 2" xfId="18744" xr:uid="{AAFC9D7A-0753-420C-A386-E72C65BFB266}"/>
    <cellStyle name="Normal 10 3 2 4 4 4 2 2" xfId="18745" xr:uid="{1C2C7539-C84A-4FD2-A2E6-3FF129F4ED7F}"/>
    <cellStyle name="Normal 10 3 2 4 4 4 2 2 2" xfId="18746" xr:uid="{68AE850A-F8E2-4615-81BF-2F0A168FFEB3}"/>
    <cellStyle name="Normal 10 3 2 4 4 4 2 3" xfId="18747" xr:uid="{DAE2AE15-83E2-40BE-B347-B6035F14540C}"/>
    <cellStyle name="Normal 10 3 2 4 4 4 3" xfId="18748" xr:uid="{F9B9C3B1-F732-43A7-8FDF-610F9B8029C4}"/>
    <cellStyle name="Normal 10 3 2 4 4 4 3 2" xfId="18749" xr:uid="{56C09BEB-4620-4C4F-9637-873443B02792}"/>
    <cellStyle name="Normal 10 3 2 4 4 4 4" xfId="18750" xr:uid="{4D68ECB1-0849-485D-98DD-6EF5E98F4772}"/>
    <cellStyle name="Normal 10 3 2 4 4 5" xfId="18751" xr:uid="{5E00E1B2-3F2F-4F33-8441-53838603D409}"/>
    <cellStyle name="Normal 10 3 2 4 4 5 2" xfId="18752" xr:uid="{28312D61-2293-4E58-A1FE-609ED406D94E}"/>
    <cellStyle name="Normal 10 3 2 4 4 5 2 2" xfId="18753" xr:uid="{AF306752-E0AD-4414-B068-65570C538EF0}"/>
    <cellStyle name="Normal 10 3 2 4 4 5 3" xfId="18754" xr:uid="{A5AB197D-0566-4CB5-A962-D07F718CFB19}"/>
    <cellStyle name="Normal 10 3 2 4 4 6" xfId="18755" xr:uid="{19300828-59C1-4717-AA68-DDDF65AC37E4}"/>
    <cellStyle name="Normal 10 3 2 4 4 6 2" xfId="18756" xr:uid="{493D2533-6F95-45C8-94A2-5FFAE01D5FE5}"/>
    <cellStyle name="Normal 10 3 2 4 4 7" xfId="18757" xr:uid="{F0AACBEC-53AF-46D0-92E8-A2DBCB9EB699}"/>
    <cellStyle name="Normal 10 3 2 4 5" xfId="18758" xr:uid="{E9C831FB-C077-4F60-AE4E-DDB08B8E6D76}"/>
    <cellStyle name="Normal 10 3 2 4 5 2" xfId="18759" xr:uid="{26568C1C-D4BB-444C-8EFA-F32822ACB363}"/>
    <cellStyle name="Normal 10 3 2 4 5 2 2" xfId="18760" xr:uid="{8C90AF93-8B40-47A4-A573-B1DFAA19C521}"/>
    <cellStyle name="Normal 10 3 2 4 5 2 2 2" xfId="18761" xr:uid="{A9F6D01C-7838-4DE7-BBCC-59FF3230D8BA}"/>
    <cellStyle name="Normal 10 3 2 4 5 2 2 2 2" xfId="18762" xr:uid="{F6D0EBFA-FBE6-4D97-B656-1C99C4E40B8A}"/>
    <cellStyle name="Normal 10 3 2 4 5 2 2 2 2 2" xfId="18763" xr:uid="{8E69807C-6BAA-436F-B4F3-7452EDCEB47D}"/>
    <cellStyle name="Normal 10 3 2 4 5 2 2 2 3" xfId="18764" xr:uid="{A5975569-1C38-48FE-ABCD-E6F6BF02DB4E}"/>
    <cellStyle name="Normal 10 3 2 4 5 2 2 3" xfId="18765" xr:uid="{823AC015-7AB1-428A-A708-05A36DB42FED}"/>
    <cellStyle name="Normal 10 3 2 4 5 2 2 3 2" xfId="18766" xr:uid="{85592CA5-7939-49B8-9394-2C4F41020461}"/>
    <cellStyle name="Normal 10 3 2 4 5 2 2 4" xfId="18767" xr:uid="{480F0062-19C7-4F89-9734-F65B86B778D7}"/>
    <cellStyle name="Normal 10 3 2 4 5 2 3" xfId="18768" xr:uid="{64382A5D-79D2-4508-B624-B1743BEADA0C}"/>
    <cellStyle name="Normal 10 3 2 4 5 2 3 2" xfId="18769" xr:uid="{4F071941-3306-4E31-BBB9-79E7FEF530F6}"/>
    <cellStyle name="Normal 10 3 2 4 5 2 3 2 2" xfId="18770" xr:uid="{AC400CE0-3EB4-4784-BD61-7704C9F57174}"/>
    <cellStyle name="Normal 10 3 2 4 5 2 3 3" xfId="18771" xr:uid="{ED5DCC50-2D13-46F0-8383-1C8908E42CCD}"/>
    <cellStyle name="Normal 10 3 2 4 5 2 4" xfId="18772" xr:uid="{9BC48839-1118-4B87-9615-BCEFDFBE3CA6}"/>
    <cellStyle name="Normal 10 3 2 4 5 2 4 2" xfId="18773" xr:uid="{C862DD8B-7D57-4070-892A-E68A7CC2B5C9}"/>
    <cellStyle name="Normal 10 3 2 4 5 2 5" xfId="18774" xr:uid="{A47E744E-63DC-4D96-B191-171D8DA64130}"/>
    <cellStyle name="Normal 10 3 2 4 5 3" xfId="18775" xr:uid="{2A34E173-5349-41E6-AA17-0DF58641A14A}"/>
    <cellStyle name="Normal 10 3 2 4 5 3 2" xfId="18776" xr:uid="{92A83B32-2E94-484F-9DF0-C58A82CC266E}"/>
    <cellStyle name="Normal 10 3 2 4 5 3 2 2" xfId="18777" xr:uid="{E1A02889-446E-4259-99C2-ABE8007D0E4A}"/>
    <cellStyle name="Normal 10 3 2 4 5 3 2 2 2" xfId="18778" xr:uid="{7CE7F078-A155-46D3-8F74-F28589F18252}"/>
    <cellStyle name="Normal 10 3 2 4 5 3 2 3" xfId="18779" xr:uid="{288CAA58-74A0-4178-AB5E-6C942A0CE16A}"/>
    <cellStyle name="Normal 10 3 2 4 5 3 3" xfId="18780" xr:uid="{BF417372-F354-4C57-A07E-4A971505B987}"/>
    <cellStyle name="Normal 10 3 2 4 5 3 3 2" xfId="18781" xr:uid="{3F4061AF-E5AB-4D27-B9AC-3824E5A358BC}"/>
    <cellStyle name="Normal 10 3 2 4 5 3 4" xfId="18782" xr:uid="{00C0ECFA-A082-40FB-BF92-06C560F69F22}"/>
    <cellStyle name="Normal 10 3 2 4 5 4" xfId="18783" xr:uid="{944C0579-36B1-49B1-A97B-4CACB4016E01}"/>
    <cellStyle name="Normal 10 3 2 4 5 4 2" xfId="18784" xr:uid="{CF282CBB-2CEE-499E-A879-A925BD4E4657}"/>
    <cellStyle name="Normal 10 3 2 4 5 4 2 2" xfId="18785" xr:uid="{FCE900FE-0565-4C48-B438-E0B177792746}"/>
    <cellStyle name="Normal 10 3 2 4 5 4 3" xfId="18786" xr:uid="{68B2B9C7-48DC-4F0D-91ED-8A46C850F799}"/>
    <cellStyle name="Normal 10 3 2 4 5 5" xfId="18787" xr:uid="{604FFD59-B91A-4D48-B13E-E30324B72B05}"/>
    <cellStyle name="Normal 10 3 2 4 5 5 2" xfId="18788" xr:uid="{46B3AA40-58F4-4AD5-8803-ACDEA73C1508}"/>
    <cellStyle name="Normal 10 3 2 4 5 6" xfId="18789" xr:uid="{757800AE-1D87-4BEE-A884-B3575B4A3A49}"/>
    <cellStyle name="Normal 10 3 2 4 6" xfId="18790" xr:uid="{9B1D0054-A451-4BBB-8654-6D95CB7DCD72}"/>
    <cellStyle name="Normal 10 3 2 4 6 2" xfId="18791" xr:uid="{E8BA0A6F-D529-4EC8-A31F-0579FE01117D}"/>
    <cellStyle name="Normal 10 3 2 4 6 2 2" xfId="18792" xr:uid="{793B3AF6-027A-4D5B-B0A0-73EB7D913A00}"/>
    <cellStyle name="Normal 10 3 2 4 6 2 2 2" xfId="18793" xr:uid="{4CD6DA96-2A3E-48CB-8F76-E48477E174CD}"/>
    <cellStyle name="Normal 10 3 2 4 6 2 2 2 2" xfId="18794" xr:uid="{6825C7B2-CBBE-4188-B1C3-8229336A160B}"/>
    <cellStyle name="Normal 10 3 2 4 6 2 2 3" xfId="18795" xr:uid="{61639F4C-FD5B-414B-9993-138E649F9BDF}"/>
    <cellStyle name="Normal 10 3 2 4 6 2 3" xfId="18796" xr:uid="{E9200C04-5819-4C55-A5E0-96F7F18EB639}"/>
    <cellStyle name="Normal 10 3 2 4 6 2 3 2" xfId="18797" xr:uid="{EB2A5818-3790-45AC-AF18-ABDE903C6CB8}"/>
    <cellStyle name="Normal 10 3 2 4 6 2 4" xfId="18798" xr:uid="{DE524A4A-67C5-4998-B42E-54718B1A663F}"/>
    <cellStyle name="Normal 10 3 2 4 6 3" xfId="18799" xr:uid="{63E31755-5BA7-4966-ADEB-8D0883FB4D7E}"/>
    <cellStyle name="Normal 10 3 2 4 6 3 2" xfId="18800" xr:uid="{0D88FCE3-B6F4-4CC2-BD94-72D16342AAB1}"/>
    <cellStyle name="Normal 10 3 2 4 6 3 2 2" xfId="18801" xr:uid="{C5C17BEC-D0B1-40DD-96AE-CC6B012F4BE8}"/>
    <cellStyle name="Normal 10 3 2 4 6 3 3" xfId="18802" xr:uid="{08568AF9-F60E-4801-A680-DBD3DA627B6C}"/>
    <cellStyle name="Normal 10 3 2 4 6 4" xfId="18803" xr:uid="{32BB1C70-3D5F-4485-9CA9-809D6DFFDCD1}"/>
    <cellStyle name="Normal 10 3 2 4 6 4 2" xfId="18804" xr:uid="{F010129A-2526-473C-9ADC-1B9551A39E85}"/>
    <cellStyle name="Normal 10 3 2 4 6 5" xfId="18805" xr:uid="{41F98D1F-3A15-48E3-A6F9-9FCFA4059228}"/>
    <cellStyle name="Normal 10 3 2 4 7" xfId="18806" xr:uid="{F7FBF2DA-6BCE-4473-B8BB-BDAFDB559896}"/>
    <cellStyle name="Normal 10 3 2 4 7 2" xfId="18807" xr:uid="{40C220D6-174A-4575-AD4D-5463981599FF}"/>
    <cellStyle name="Normal 10 3 2 4 7 2 2" xfId="18808" xr:uid="{884E355B-25D0-4959-8980-58D06507F969}"/>
    <cellStyle name="Normal 10 3 2 4 7 2 2 2" xfId="18809" xr:uid="{B50BCADB-2445-43CB-98C6-40ED9D610A72}"/>
    <cellStyle name="Normal 10 3 2 4 7 2 3" xfId="18810" xr:uid="{693B7C3E-403E-4BBC-B5DC-007528224ED3}"/>
    <cellStyle name="Normal 10 3 2 4 7 3" xfId="18811" xr:uid="{E460DC0C-47DE-47D1-81D5-182E31F69933}"/>
    <cellStyle name="Normal 10 3 2 4 7 3 2" xfId="18812" xr:uid="{78EF10EA-C3FB-4DB4-995C-77E4FAE565F1}"/>
    <cellStyle name="Normal 10 3 2 4 7 4" xfId="18813" xr:uid="{D8110824-1F11-4408-94E9-F24A088CD596}"/>
    <cellStyle name="Normal 10 3 2 4 8" xfId="18814" xr:uid="{0C971244-D04A-4DDB-888F-4D125E177AF9}"/>
    <cellStyle name="Normal 10 3 2 4 8 2" xfId="18815" xr:uid="{1F871459-8F5D-48AB-9519-54D43BE9DDB5}"/>
    <cellStyle name="Normal 10 3 2 4 8 2 2" xfId="18816" xr:uid="{243134A8-C07B-4ACD-A11D-398FEFF13950}"/>
    <cellStyle name="Normal 10 3 2 4 8 3" xfId="18817" xr:uid="{57DB980A-5F62-4096-AB93-F1E5CF7838DF}"/>
    <cellStyle name="Normal 10 3 2 4 9" xfId="18818" xr:uid="{229C51DF-B68D-4E7F-A5DA-19082AE84EF3}"/>
    <cellStyle name="Normal 10 3 2 4 9 2" xfId="18819" xr:uid="{6DE5BC68-AADE-4B85-9BCD-58C0FA191CCD}"/>
    <cellStyle name="Normal 10 3 2 5" xfId="255" xr:uid="{BE11612B-2C13-4171-A1E0-ADCDBAAA3151}"/>
    <cellStyle name="Normal 10 3 2 5 10" xfId="18820" xr:uid="{19447796-E464-40C5-8DC3-3557FC121399}"/>
    <cellStyle name="Normal 10 3 2 5 11" xfId="564" xr:uid="{31A2899C-5F04-4F1C-9C3C-F37AD9CF9E8D}"/>
    <cellStyle name="Normal 10 3 2 5 2" xfId="336" xr:uid="{E599A0DE-8E90-4AFA-8171-E9A869D1E656}"/>
    <cellStyle name="Normal 10 3 2 5 2 10" xfId="18821" xr:uid="{2E5F0497-91AE-4CE4-A1FE-F3EC1D083A81}"/>
    <cellStyle name="Normal 10 3 2 5 2 2" xfId="18822" xr:uid="{FF1684C4-6459-4FFF-8FD8-7EF66DE3C5FE}"/>
    <cellStyle name="Normal 10 3 2 5 2 2 2" xfId="18823" xr:uid="{5B251507-0218-4BFF-851D-827AA58CDF6D}"/>
    <cellStyle name="Normal 10 3 2 5 2 2 2 2" xfId="18824" xr:uid="{E21B4943-BF64-453D-9018-B1E80A4DB315}"/>
    <cellStyle name="Normal 10 3 2 5 2 2 2 2 2" xfId="18825" xr:uid="{0DBABE6C-320D-47B7-A6E4-47EF4EB1F2CD}"/>
    <cellStyle name="Normal 10 3 2 5 2 2 2 2 2 2" xfId="18826" xr:uid="{9C54D898-64D1-44C3-8233-B8C51835015E}"/>
    <cellStyle name="Normal 10 3 2 5 2 2 2 2 2 2 2" xfId="18827" xr:uid="{890E290F-3082-4396-94BE-4ADD0D4DC3A3}"/>
    <cellStyle name="Normal 10 3 2 5 2 2 2 2 2 2 2 2" xfId="18828" xr:uid="{E64F24D8-6ABE-42C1-B47B-98DB378A2764}"/>
    <cellStyle name="Normal 10 3 2 5 2 2 2 2 2 2 2 2 2" xfId="18829" xr:uid="{5322F471-A39A-4A45-B623-DBDCAED72461}"/>
    <cellStyle name="Normal 10 3 2 5 2 2 2 2 2 2 2 3" xfId="18830" xr:uid="{F3E36309-3B1E-433C-9272-61ECE06F7701}"/>
    <cellStyle name="Normal 10 3 2 5 2 2 2 2 2 2 3" xfId="18831" xr:uid="{489CF4B4-FC13-4CBF-BF1C-277035CA6AE4}"/>
    <cellStyle name="Normal 10 3 2 5 2 2 2 2 2 2 3 2" xfId="18832" xr:uid="{96021F6D-DAEA-4BA7-BF92-A13F10C785D1}"/>
    <cellStyle name="Normal 10 3 2 5 2 2 2 2 2 2 4" xfId="18833" xr:uid="{CC3DCE5E-B1FF-4223-B136-1537DA8D1DC3}"/>
    <cellStyle name="Normal 10 3 2 5 2 2 2 2 2 3" xfId="18834" xr:uid="{67986E2C-7025-42EA-8802-F153BC517F82}"/>
    <cellStyle name="Normal 10 3 2 5 2 2 2 2 2 3 2" xfId="18835" xr:uid="{A011F242-7ECF-4A86-BE52-DB536D894453}"/>
    <cellStyle name="Normal 10 3 2 5 2 2 2 2 2 3 2 2" xfId="18836" xr:uid="{2BE3A81D-1366-4D4C-9E17-DCBEE52A8444}"/>
    <cellStyle name="Normal 10 3 2 5 2 2 2 2 2 3 3" xfId="18837" xr:uid="{F3E182AA-ACB9-4CAD-B078-546B8AB8F88A}"/>
    <cellStyle name="Normal 10 3 2 5 2 2 2 2 2 4" xfId="18838" xr:uid="{D22335E9-0061-4C9E-A50F-B27A2D1E8959}"/>
    <cellStyle name="Normal 10 3 2 5 2 2 2 2 2 4 2" xfId="18839" xr:uid="{FC660174-2A4E-41A3-AAE2-95E688A0717B}"/>
    <cellStyle name="Normal 10 3 2 5 2 2 2 2 2 5" xfId="18840" xr:uid="{511CEE83-8EA3-4B67-A17D-F3860DC98FFA}"/>
    <cellStyle name="Normal 10 3 2 5 2 2 2 2 3" xfId="18841" xr:uid="{4BBA0DE7-DA6C-4226-B8EF-6AA45BBF3C98}"/>
    <cellStyle name="Normal 10 3 2 5 2 2 2 2 3 2" xfId="18842" xr:uid="{CF350A70-15DB-4FC4-9418-98A8667BFA27}"/>
    <cellStyle name="Normal 10 3 2 5 2 2 2 2 3 2 2" xfId="18843" xr:uid="{D05C28FF-E0D3-4C54-8C4E-39FE9370F818}"/>
    <cellStyle name="Normal 10 3 2 5 2 2 2 2 3 2 2 2" xfId="18844" xr:uid="{AC727D97-DD8A-4F40-8E7C-6470F9ACDA51}"/>
    <cellStyle name="Normal 10 3 2 5 2 2 2 2 3 2 3" xfId="18845" xr:uid="{31FAA0B0-9136-4415-9173-68787BF190B9}"/>
    <cellStyle name="Normal 10 3 2 5 2 2 2 2 3 3" xfId="18846" xr:uid="{7445CB33-5EF5-456C-AC42-0ED953E58441}"/>
    <cellStyle name="Normal 10 3 2 5 2 2 2 2 3 3 2" xfId="18847" xr:uid="{52AF922C-459B-4D34-8376-C4BAFDF98819}"/>
    <cellStyle name="Normal 10 3 2 5 2 2 2 2 3 4" xfId="18848" xr:uid="{ED1610EF-DE50-49A1-9964-44387A99D6C6}"/>
    <cellStyle name="Normal 10 3 2 5 2 2 2 2 4" xfId="18849" xr:uid="{1BF19C58-1E69-40F2-A1EB-D19FF7FDD927}"/>
    <cellStyle name="Normal 10 3 2 5 2 2 2 2 4 2" xfId="18850" xr:uid="{990EB50D-5308-41AE-953A-B8D99D141EDF}"/>
    <cellStyle name="Normal 10 3 2 5 2 2 2 2 4 2 2" xfId="18851" xr:uid="{5D090B0D-009A-44E2-BBB2-192D20DAAD79}"/>
    <cellStyle name="Normal 10 3 2 5 2 2 2 2 4 3" xfId="18852" xr:uid="{0073AEC9-0129-4569-A28D-95A1239595AD}"/>
    <cellStyle name="Normal 10 3 2 5 2 2 2 2 5" xfId="18853" xr:uid="{CF0F8425-E415-49EE-B1B1-E80D373CDC30}"/>
    <cellStyle name="Normal 10 3 2 5 2 2 2 2 5 2" xfId="18854" xr:uid="{ACC2FBA6-4ED5-4DFF-9151-FA833B9402D3}"/>
    <cellStyle name="Normal 10 3 2 5 2 2 2 2 6" xfId="18855" xr:uid="{ED3A3B3C-9B6D-462F-8F6E-E2D362244205}"/>
    <cellStyle name="Normal 10 3 2 5 2 2 2 3" xfId="18856" xr:uid="{1B47093F-B76C-4BEB-AC78-515A427021F7}"/>
    <cellStyle name="Normal 10 3 2 5 2 2 2 3 2" xfId="18857" xr:uid="{03462A49-10DA-488F-82B3-248DE0E2E93F}"/>
    <cellStyle name="Normal 10 3 2 5 2 2 2 3 2 2" xfId="18858" xr:uid="{5C7BE53B-A083-4811-8BCC-382DAE808F8F}"/>
    <cellStyle name="Normal 10 3 2 5 2 2 2 3 2 2 2" xfId="18859" xr:uid="{15CC961D-7E2B-4170-A86E-C392440E4E0C}"/>
    <cellStyle name="Normal 10 3 2 5 2 2 2 3 2 2 2 2" xfId="18860" xr:uid="{9B5CC51E-A1A2-4AF6-9C36-8ED9BC78F59B}"/>
    <cellStyle name="Normal 10 3 2 5 2 2 2 3 2 2 3" xfId="18861" xr:uid="{1A9CE3FA-EFC7-4FDD-8D12-FD80E4362979}"/>
    <cellStyle name="Normal 10 3 2 5 2 2 2 3 2 3" xfId="18862" xr:uid="{494999DF-07B1-47F2-B073-E49B8D874D8C}"/>
    <cellStyle name="Normal 10 3 2 5 2 2 2 3 2 3 2" xfId="18863" xr:uid="{3A70B9B7-308A-41CD-AE5F-32F7A3D7AAD7}"/>
    <cellStyle name="Normal 10 3 2 5 2 2 2 3 2 4" xfId="18864" xr:uid="{88B50DA0-3244-47C0-BDFB-416BD64138FC}"/>
    <cellStyle name="Normal 10 3 2 5 2 2 2 3 3" xfId="18865" xr:uid="{AED7E419-EF34-45E2-94BD-ED736B877493}"/>
    <cellStyle name="Normal 10 3 2 5 2 2 2 3 3 2" xfId="18866" xr:uid="{42E3A4C3-1D2F-4735-8642-2607E38F9715}"/>
    <cellStyle name="Normal 10 3 2 5 2 2 2 3 3 2 2" xfId="18867" xr:uid="{5B2D21A5-C6C2-4837-A2DB-43BDD0D4E8DF}"/>
    <cellStyle name="Normal 10 3 2 5 2 2 2 3 3 3" xfId="18868" xr:uid="{DC55EA8B-AFF1-4952-A51B-85E6E11AD69E}"/>
    <cellStyle name="Normal 10 3 2 5 2 2 2 3 4" xfId="18869" xr:uid="{A46C77AC-F529-4DAA-8762-2B59D3B45938}"/>
    <cellStyle name="Normal 10 3 2 5 2 2 2 3 4 2" xfId="18870" xr:uid="{E5D9F437-544B-467A-9226-6EC9D8BB830F}"/>
    <cellStyle name="Normal 10 3 2 5 2 2 2 3 5" xfId="18871" xr:uid="{33B0AFDF-6EFE-4FCE-A48A-CA0F19B534B1}"/>
    <cellStyle name="Normal 10 3 2 5 2 2 2 4" xfId="18872" xr:uid="{181C0BE6-D00F-4E29-AD13-E611674A2DD9}"/>
    <cellStyle name="Normal 10 3 2 5 2 2 2 4 2" xfId="18873" xr:uid="{92611C4C-A453-495E-9624-735D69C2AD40}"/>
    <cellStyle name="Normal 10 3 2 5 2 2 2 4 2 2" xfId="18874" xr:uid="{D7C46298-9F89-42CB-83A8-ADA81429D657}"/>
    <cellStyle name="Normal 10 3 2 5 2 2 2 4 2 2 2" xfId="18875" xr:uid="{B241F177-C3B1-4BC9-8367-FA4D77237803}"/>
    <cellStyle name="Normal 10 3 2 5 2 2 2 4 2 3" xfId="18876" xr:uid="{09E0EA54-F9D5-48AA-BBD2-D4858195CEFA}"/>
    <cellStyle name="Normal 10 3 2 5 2 2 2 4 3" xfId="18877" xr:uid="{B5F5F9F1-4B89-4FC3-A3E6-2B4E1229ABF1}"/>
    <cellStyle name="Normal 10 3 2 5 2 2 2 4 3 2" xfId="18878" xr:uid="{CF7F8CA2-6F81-4B81-9D54-4C2381C54348}"/>
    <cellStyle name="Normal 10 3 2 5 2 2 2 4 4" xfId="18879" xr:uid="{1BBB5E3B-DB6C-4DEF-ACCF-C02E061933D4}"/>
    <cellStyle name="Normal 10 3 2 5 2 2 2 5" xfId="18880" xr:uid="{2CC47BC2-85AC-4AC4-BCC2-18C91332C88F}"/>
    <cellStyle name="Normal 10 3 2 5 2 2 2 5 2" xfId="18881" xr:uid="{6EB383D7-153D-419D-8D4B-BC3A58E22E5B}"/>
    <cellStyle name="Normal 10 3 2 5 2 2 2 5 2 2" xfId="18882" xr:uid="{4997AB59-62CE-43F2-AA37-E3C1A1ADDDB7}"/>
    <cellStyle name="Normal 10 3 2 5 2 2 2 5 3" xfId="18883" xr:uid="{04DD92AF-AC34-4E24-B3CC-9E1C4D235E01}"/>
    <cellStyle name="Normal 10 3 2 5 2 2 2 6" xfId="18884" xr:uid="{1C1082C2-4D11-4DBF-AE9B-322005A8B261}"/>
    <cellStyle name="Normal 10 3 2 5 2 2 2 6 2" xfId="18885" xr:uid="{855E41F0-51FF-4C31-AD53-48084DBF0D9D}"/>
    <cellStyle name="Normal 10 3 2 5 2 2 2 7" xfId="18886" xr:uid="{258C28EC-8FAA-47C2-BB77-DC408734ACF9}"/>
    <cellStyle name="Normal 10 3 2 5 2 2 3" xfId="18887" xr:uid="{A00FA446-8B66-4B96-B92D-714F6D1E1944}"/>
    <cellStyle name="Normal 10 3 2 5 2 2 3 2" xfId="18888" xr:uid="{5030CC93-7F92-4E03-8FD2-1A43F02818CE}"/>
    <cellStyle name="Normal 10 3 2 5 2 2 3 2 2" xfId="18889" xr:uid="{68E755C8-20CB-46E5-977A-4299E10098CA}"/>
    <cellStyle name="Normal 10 3 2 5 2 2 3 2 2 2" xfId="18890" xr:uid="{21693DC8-6FB7-4F3B-867E-2C57F902238C}"/>
    <cellStyle name="Normal 10 3 2 5 2 2 3 2 2 2 2" xfId="18891" xr:uid="{EFFEFD4D-6721-4AEE-86D4-4D45AFC5DBBF}"/>
    <cellStyle name="Normal 10 3 2 5 2 2 3 2 2 2 2 2" xfId="18892" xr:uid="{91D9CD2C-3305-4A25-AE1D-FC796D35501F}"/>
    <cellStyle name="Normal 10 3 2 5 2 2 3 2 2 2 3" xfId="18893" xr:uid="{C7B72449-69EF-4C2D-8573-7590E215D708}"/>
    <cellStyle name="Normal 10 3 2 5 2 2 3 2 2 3" xfId="18894" xr:uid="{EC2FE896-6C63-441E-8F0A-903700D7F54D}"/>
    <cellStyle name="Normal 10 3 2 5 2 2 3 2 2 3 2" xfId="18895" xr:uid="{E8F56923-D9F3-4544-B808-D361CE7589A7}"/>
    <cellStyle name="Normal 10 3 2 5 2 2 3 2 2 4" xfId="18896" xr:uid="{DD05EDFB-EC0B-4232-B8BE-CDC0765EED99}"/>
    <cellStyle name="Normal 10 3 2 5 2 2 3 2 3" xfId="18897" xr:uid="{00FAF381-08D2-4B56-AD04-5D293E13782F}"/>
    <cellStyle name="Normal 10 3 2 5 2 2 3 2 3 2" xfId="18898" xr:uid="{52E5AA95-D1D0-4D3F-A899-A908C262500B}"/>
    <cellStyle name="Normal 10 3 2 5 2 2 3 2 3 2 2" xfId="18899" xr:uid="{2092FFF2-E614-4EF5-B063-BB807AF8A4C2}"/>
    <cellStyle name="Normal 10 3 2 5 2 2 3 2 3 3" xfId="18900" xr:uid="{C4EDAD87-FEEF-452C-8C6C-F9C69D91C06C}"/>
    <cellStyle name="Normal 10 3 2 5 2 2 3 2 4" xfId="18901" xr:uid="{953334FB-F66F-4672-AC7C-5F8C4AF1956B}"/>
    <cellStyle name="Normal 10 3 2 5 2 2 3 2 4 2" xfId="18902" xr:uid="{0A525DF7-C2C3-40E2-960D-AC1C30C03F38}"/>
    <cellStyle name="Normal 10 3 2 5 2 2 3 2 5" xfId="18903" xr:uid="{35360B05-DFC6-46CA-81E0-401D4B6CBDEF}"/>
    <cellStyle name="Normal 10 3 2 5 2 2 3 3" xfId="18904" xr:uid="{F5D5C2DE-88FA-40B6-B9DC-1924B075D0D3}"/>
    <cellStyle name="Normal 10 3 2 5 2 2 3 3 2" xfId="18905" xr:uid="{5433891C-20F2-4574-B534-49FCECB64A09}"/>
    <cellStyle name="Normal 10 3 2 5 2 2 3 3 2 2" xfId="18906" xr:uid="{0919265D-43DE-43A8-99D7-02E0CAB8A234}"/>
    <cellStyle name="Normal 10 3 2 5 2 2 3 3 2 2 2" xfId="18907" xr:uid="{E3AFCDA3-6D15-46BD-8725-2E348A4887AB}"/>
    <cellStyle name="Normal 10 3 2 5 2 2 3 3 2 3" xfId="18908" xr:uid="{54CF2E5F-F2FE-4A48-8196-C3D4E8B18DDF}"/>
    <cellStyle name="Normal 10 3 2 5 2 2 3 3 3" xfId="18909" xr:uid="{64C0BB48-7D22-44FB-AA75-F07ADA5222D1}"/>
    <cellStyle name="Normal 10 3 2 5 2 2 3 3 3 2" xfId="18910" xr:uid="{06E54EFF-F4DD-4C67-96E5-2371D4055AFF}"/>
    <cellStyle name="Normal 10 3 2 5 2 2 3 3 4" xfId="18911" xr:uid="{8C586777-6C2C-4241-B857-7F1E7DB89957}"/>
    <cellStyle name="Normal 10 3 2 5 2 2 3 4" xfId="18912" xr:uid="{D43E38A2-2F69-4D51-84A4-7FFA80BAC46C}"/>
    <cellStyle name="Normal 10 3 2 5 2 2 3 4 2" xfId="18913" xr:uid="{434FA782-D4AF-47DB-8B7C-637AFC698BC7}"/>
    <cellStyle name="Normal 10 3 2 5 2 2 3 4 2 2" xfId="18914" xr:uid="{4D804376-BAD7-47C1-9F60-BCADFD2BCEBC}"/>
    <cellStyle name="Normal 10 3 2 5 2 2 3 4 3" xfId="18915" xr:uid="{E8792A2B-4BA6-4BD1-BD6F-80545D1AE485}"/>
    <cellStyle name="Normal 10 3 2 5 2 2 3 5" xfId="18916" xr:uid="{E4F2A619-E43B-465B-B6DC-13C877182DF5}"/>
    <cellStyle name="Normal 10 3 2 5 2 2 3 5 2" xfId="18917" xr:uid="{547EB49B-FC67-4A22-B640-2B6481F25EE7}"/>
    <cellStyle name="Normal 10 3 2 5 2 2 3 6" xfId="18918" xr:uid="{D1CA198F-41C6-481C-BBF7-83E74A0202FE}"/>
    <cellStyle name="Normal 10 3 2 5 2 2 4" xfId="18919" xr:uid="{061BE0CF-594B-40FA-8989-8B02856A207F}"/>
    <cellStyle name="Normal 10 3 2 5 2 2 4 2" xfId="18920" xr:uid="{2E4C8DE9-A7C9-4F32-9D2A-6E2BC3E720B6}"/>
    <cellStyle name="Normal 10 3 2 5 2 2 4 2 2" xfId="18921" xr:uid="{62FB9222-1AB5-4BFF-ABB4-E84BEA701E29}"/>
    <cellStyle name="Normal 10 3 2 5 2 2 4 2 2 2" xfId="18922" xr:uid="{D57180AB-2118-4BB9-AA26-67440EF77841}"/>
    <cellStyle name="Normal 10 3 2 5 2 2 4 2 2 2 2" xfId="18923" xr:uid="{A3DAB52B-EB1A-482D-A384-EFD5514D5AB7}"/>
    <cellStyle name="Normal 10 3 2 5 2 2 4 2 2 3" xfId="18924" xr:uid="{068A7528-1B54-47DF-A0E1-E82C80894417}"/>
    <cellStyle name="Normal 10 3 2 5 2 2 4 2 3" xfId="18925" xr:uid="{02CC7712-D16C-4C98-B62E-BCE2BF9C730C}"/>
    <cellStyle name="Normal 10 3 2 5 2 2 4 2 3 2" xfId="18926" xr:uid="{CA0467E7-93C3-43CE-BB95-86F0EF88C251}"/>
    <cellStyle name="Normal 10 3 2 5 2 2 4 2 4" xfId="18927" xr:uid="{632185B7-5EBA-4FAF-ACD0-5E9CC70C9E21}"/>
    <cellStyle name="Normal 10 3 2 5 2 2 4 3" xfId="18928" xr:uid="{6456DB20-AC02-41C4-9A0F-BD2424A08F2A}"/>
    <cellStyle name="Normal 10 3 2 5 2 2 4 3 2" xfId="18929" xr:uid="{85207F51-51A1-43B5-907B-4D5F937CF1D2}"/>
    <cellStyle name="Normal 10 3 2 5 2 2 4 3 2 2" xfId="18930" xr:uid="{8AB9FCB9-9710-47CE-9A56-7667998F07CB}"/>
    <cellStyle name="Normal 10 3 2 5 2 2 4 3 3" xfId="18931" xr:uid="{700547A8-FF4D-4A01-9DA2-D46A082CE01C}"/>
    <cellStyle name="Normal 10 3 2 5 2 2 4 4" xfId="18932" xr:uid="{FA7F8A83-53C7-460E-8BA0-9CFA412DA8BB}"/>
    <cellStyle name="Normal 10 3 2 5 2 2 4 4 2" xfId="18933" xr:uid="{7D846848-15D0-42E1-B55A-AF5281297C2C}"/>
    <cellStyle name="Normal 10 3 2 5 2 2 4 5" xfId="18934" xr:uid="{0F81FE3C-033B-4FE4-B40C-3CE183BAAE19}"/>
    <cellStyle name="Normal 10 3 2 5 2 2 5" xfId="18935" xr:uid="{CF1D47AE-07D0-4595-8136-1E70CE03ACAD}"/>
    <cellStyle name="Normal 10 3 2 5 2 2 5 2" xfId="18936" xr:uid="{B1EA988B-20C4-40C8-89C4-49352D37E696}"/>
    <cellStyle name="Normal 10 3 2 5 2 2 5 2 2" xfId="18937" xr:uid="{8066D5A4-1929-4251-8557-32351FB1FAB1}"/>
    <cellStyle name="Normal 10 3 2 5 2 2 5 2 2 2" xfId="18938" xr:uid="{26E8921C-1850-4303-9EE6-B70B423342F5}"/>
    <cellStyle name="Normal 10 3 2 5 2 2 5 2 3" xfId="18939" xr:uid="{B567521A-16F6-4841-9C34-6EDD2C775040}"/>
    <cellStyle name="Normal 10 3 2 5 2 2 5 3" xfId="18940" xr:uid="{12A8A049-641C-4F63-BF2C-EB3B68A0BA87}"/>
    <cellStyle name="Normal 10 3 2 5 2 2 5 3 2" xfId="18941" xr:uid="{D22A8FFA-97A4-4265-94A1-D34F62CF3061}"/>
    <cellStyle name="Normal 10 3 2 5 2 2 5 4" xfId="18942" xr:uid="{D9B4B802-523E-4049-9AA4-1012FD9A22A4}"/>
    <cellStyle name="Normal 10 3 2 5 2 2 6" xfId="18943" xr:uid="{628684A5-2772-47B6-AF36-B25611BC5498}"/>
    <cellStyle name="Normal 10 3 2 5 2 2 6 2" xfId="18944" xr:uid="{5D4BDBCE-4C01-45B2-B248-1984DCECB73B}"/>
    <cellStyle name="Normal 10 3 2 5 2 2 6 2 2" xfId="18945" xr:uid="{B90E4488-D95D-439B-A2DF-71F92625EA0F}"/>
    <cellStyle name="Normal 10 3 2 5 2 2 6 3" xfId="18946" xr:uid="{15E2839D-A9BB-4391-B54B-F69F4662D30B}"/>
    <cellStyle name="Normal 10 3 2 5 2 2 7" xfId="18947" xr:uid="{DF9037E1-3D30-477B-8048-EA3BD9E46183}"/>
    <cellStyle name="Normal 10 3 2 5 2 2 7 2" xfId="18948" xr:uid="{66D41F95-B295-426D-9E3A-DAFE9B825D41}"/>
    <cellStyle name="Normal 10 3 2 5 2 2 8" xfId="18949" xr:uid="{CBCD540D-1532-463D-A586-B9194EE61897}"/>
    <cellStyle name="Normal 10 3 2 5 2 3" xfId="18950" xr:uid="{D22174B8-FBF8-4B54-86F7-18916BB844D3}"/>
    <cellStyle name="Normal 10 3 2 5 2 3 2" xfId="18951" xr:uid="{A22BB669-5015-4833-9912-60D0F73B2377}"/>
    <cellStyle name="Normal 10 3 2 5 2 3 2 2" xfId="18952" xr:uid="{E7EA3957-6C1C-46A8-9B79-EF590B85BDDD}"/>
    <cellStyle name="Normal 10 3 2 5 2 3 2 2 2" xfId="18953" xr:uid="{F87BC84C-CAF4-4999-999C-D1C20C6B9C14}"/>
    <cellStyle name="Normal 10 3 2 5 2 3 2 2 2 2" xfId="18954" xr:uid="{4D616B7E-B023-47E7-81C4-E8D448F7233F}"/>
    <cellStyle name="Normal 10 3 2 5 2 3 2 2 2 2 2" xfId="18955" xr:uid="{17F64550-C486-44D3-9F4D-83D0FAF0E58D}"/>
    <cellStyle name="Normal 10 3 2 5 2 3 2 2 2 2 2 2" xfId="18956" xr:uid="{EFF30248-0946-4D86-BB71-1004A910AAB5}"/>
    <cellStyle name="Normal 10 3 2 5 2 3 2 2 2 2 3" xfId="18957" xr:uid="{235053E7-0ABB-4FAD-8214-0FDE96999663}"/>
    <cellStyle name="Normal 10 3 2 5 2 3 2 2 2 3" xfId="18958" xr:uid="{D2651890-DEF5-499A-80B6-68A6E792CD77}"/>
    <cellStyle name="Normal 10 3 2 5 2 3 2 2 2 3 2" xfId="18959" xr:uid="{E3746039-DD82-41F3-B12E-B36D79D86F2C}"/>
    <cellStyle name="Normal 10 3 2 5 2 3 2 2 2 4" xfId="18960" xr:uid="{5AEFEA52-7F19-4B1C-9058-F30357A70605}"/>
    <cellStyle name="Normal 10 3 2 5 2 3 2 2 3" xfId="18961" xr:uid="{7504BA57-4255-4BFE-950B-A746FC02A517}"/>
    <cellStyle name="Normal 10 3 2 5 2 3 2 2 3 2" xfId="18962" xr:uid="{989D11D8-BC9C-4DF8-8198-E61EBE2FF264}"/>
    <cellStyle name="Normal 10 3 2 5 2 3 2 2 3 2 2" xfId="18963" xr:uid="{21B03643-5804-401F-88CA-878644DE59A7}"/>
    <cellStyle name="Normal 10 3 2 5 2 3 2 2 3 3" xfId="18964" xr:uid="{9BF0CD03-91AE-4B1F-84B9-4B191E14A0D0}"/>
    <cellStyle name="Normal 10 3 2 5 2 3 2 2 4" xfId="18965" xr:uid="{0E7B9F5E-D220-48B9-A01F-D7C01A00DC99}"/>
    <cellStyle name="Normal 10 3 2 5 2 3 2 2 4 2" xfId="18966" xr:uid="{B588E9DE-BF11-40CF-955B-76F98EEEF52E}"/>
    <cellStyle name="Normal 10 3 2 5 2 3 2 2 5" xfId="18967" xr:uid="{7D4E7C5B-9BB0-48A7-831E-9374FE83D533}"/>
    <cellStyle name="Normal 10 3 2 5 2 3 2 3" xfId="18968" xr:uid="{519EC72C-20C7-4AA4-B220-422FE0AC8204}"/>
    <cellStyle name="Normal 10 3 2 5 2 3 2 3 2" xfId="18969" xr:uid="{F7A6E513-752F-4992-8A94-18D53A0673A1}"/>
    <cellStyle name="Normal 10 3 2 5 2 3 2 3 2 2" xfId="18970" xr:uid="{47DA4743-0E1E-4FE1-9BA4-B3168DE31584}"/>
    <cellStyle name="Normal 10 3 2 5 2 3 2 3 2 2 2" xfId="18971" xr:uid="{03762F32-9F38-40EA-8A81-21E14783560E}"/>
    <cellStyle name="Normal 10 3 2 5 2 3 2 3 2 3" xfId="18972" xr:uid="{5175FFBC-35E7-4330-A9F6-FFE59B41CC6D}"/>
    <cellStyle name="Normal 10 3 2 5 2 3 2 3 3" xfId="18973" xr:uid="{84887D39-3AD9-4E01-91B8-EDACFA345FC0}"/>
    <cellStyle name="Normal 10 3 2 5 2 3 2 3 3 2" xfId="18974" xr:uid="{741F230D-C77E-4AC3-A3C6-A6B6494D7CA0}"/>
    <cellStyle name="Normal 10 3 2 5 2 3 2 3 4" xfId="18975" xr:uid="{B18006B3-FA3C-4AF7-9E7F-D9A81977CC13}"/>
    <cellStyle name="Normal 10 3 2 5 2 3 2 4" xfId="18976" xr:uid="{1FC01260-41A7-454A-AFDC-D5D4A5631E7E}"/>
    <cellStyle name="Normal 10 3 2 5 2 3 2 4 2" xfId="18977" xr:uid="{0E921798-53FB-4EE7-8E04-C80243BACC77}"/>
    <cellStyle name="Normal 10 3 2 5 2 3 2 4 2 2" xfId="18978" xr:uid="{C1F82F28-0CE3-44F0-A4EB-3340990F60F4}"/>
    <cellStyle name="Normal 10 3 2 5 2 3 2 4 3" xfId="18979" xr:uid="{A70ED37E-85E4-400E-80A3-0B4A6FE1013C}"/>
    <cellStyle name="Normal 10 3 2 5 2 3 2 5" xfId="18980" xr:uid="{DD25F14F-87C0-4470-A0B2-8F11E716C029}"/>
    <cellStyle name="Normal 10 3 2 5 2 3 2 5 2" xfId="18981" xr:uid="{AEC6BE80-780B-4765-BBBA-589391B75CFA}"/>
    <cellStyle name="Normal 10 3 2 5 2 3 2 6" xfId="18982" xr:uid="{B068C727-1BD3-454D-81E5-271220253682}"/>
    <cellStyle name="Normal 10 3 2 5 2 3 3" xfId="18983" xr:uid="{D8DE1DD4-6DC4-42CA-82D3-9196389B0D08}"/>
    <cellStyle name="Normal 10 3 2 5 2 3 3 2" xfId="18984" xr:uid="{150FE9F9-2ADC-4124-81D7-DD62573A6F70}"/>
    <cellStyle name="Normal 10 3 2 5 2 3 3 2 2" xfId="18985" xr:uid="{0F779A8A-EAA4-4250-AE4B-B5325F40A1C7}"/>
    <cellStyle name="Normal 10 3 2 5 2 3 3 2 2 2" xfId="18986" xr:uid="{5E0F04AA-7998-4D34-99A4-2648B16B1356}"/>
    <cellStyle name="Normal 10 3 2 5 2 3 3 2 2 2 2" xfId="18987" xr:uid="{5F67D3C9-8D71-4C90-A060-150068F1551E}"/>
    <cellStyle name="Normal 10 3 2 5 2 3 3 2 2 3" xfId="18988" xr:uid="{0C1184F1-8D88-4F8F-8AA6-951B2F6A68AF}"/>
    <cellStyle name="Normal 10 3 2 5 2 3 3 2 3" xfId="18989" xr:uid="{C648968E-4C34-4FEF-B1DC-FD36FF54FC6E}"/>
    <cellStyle name="Normal 10 3 2 5 2 3 3 2 3 2" xfId="18990" xr:uid="{DB4AD6B5-7B5C-4564-A9C4-C4476121C9D8}"/>
    <cellStyle name="Normal 10 3 2 5 2 3 3 2 4" xfId="18991" xr:uid="{670275A9-BD55-4DFE-8777-DF4F974439A4}"/>
    <cellStyle name="Normal 10 3 2 5 2 3 3 3" xfId="18992" xr:uid="{64DC3FE6-A008-4663-A520-CAB7CC932332}"/>
    <cellStyle name="Normal 10 3 2 5 2 3 3 3 2" xfId="18993" xr:uid="{7B682281-A3DB-4C71-971B-83A2C1D42FB0}"/>
    <cellStyle name="Normal 10 3 2 5 2 3 3 3 2 2" xfId="18994" xr:uid="{5ED0A0B4-29EA-4314-A75E-9D60DEE8078E}"/>
    <cellStyle name="Normal 10 3 2 5 2 3 3 3 3" xfId="18995" xr:uid="{667E910A-F9C9-4562-8752-6E783D3C0F65}"/>
    <cellStyle name="Normal 10 3 2 5 2 3 3 4" xfId="18996" xr:uid="{3F37CC05-D95A-4661-91E6-290CB2906FD4}"/>
    <cellStyle name="Normal 10 3 2 5 2 3 3 4 2" xfId="18997" xr:uid="{DF7DDFCE-91DF-457C-AD3E-9C309487238F}"/>
    <cellStyle name="Normal 10 3 2 5 2 3 3 5" xfId="18998" xr:uid="{21B204CA-F01E-43FE-82D2-9B303A6B87EE}"/>
    <cellStyle name="Normal 10 3 2 5 2 3 4" xfId="18999" xr:uid="{0F66559B-1FAB-4A09-8981-1947DEA05C3F}"/>
    <cellStyle name="Normal 10 3 2 5 2 3 4 2" xfId="19000" xr:uid="{16D34F51-ECE1-494F-B60C-5560BCA220B5}"/>
    <cellStyle name="Normal 10 3 2 5 2 3 4 2 2" xfId="19001" xr:uid="{2B4AD51E-6BA4-4CFD-80BD-0586BE1D755E}"/>
    <cellStyle name="Normal 10 3 2 5 2 3 4 2 2 2" xfId="19002" xr:uid="{CC9BDAB2-3A01-4ACA-947A-86B6FCF4059C}"/>
    <cellStyle name="Normal 10 3 2 5 2 3 4 2 3" xfId="19003" xr:uid="{7E9D0B1C-84FF-4CC3-AC9D-06D867267958}"/>
    <cellStyle name="Normal 10 3 2 5 2 3 4 3" xfId="19004" xr:uid="{AB6DD1A5-C239-4FD5-A876-94BE318FF3C0}"/>
    <cellStyle name="Normal 10 3 2 5 2 3 4 3 2" xfId="19005" xr:uid="{684003BA-D36E-47BD-91BA-1D0E7CB6CBE5}"/>
    <cellStyle name="Normal 10 3 2 5 2 3 4 4" xfId="19006" xr:uid="{7BA20823-04B9-4643-8521-702D6215D70B}"/>
    <cellStyle name="Normal 10 3 2 5 2 3 5" xfId="19007" xr:uid="{36F13D2E-E113-4AA6-A501-A4DAB97AEB2D}"/>
    <cellStyle name="Normal 10 3 2 5 2 3 5 2" xfId="19008" xr:uid="{4DBB8A27-126E-436C-8D73-FF9F00917E24}"/>
    <cellStyle name="Normal 10 3 2 5 2 3 5 2 2" xfId="19009" xr:uid="{A6529D22-9750-429D-AEA8-8FCF79159E6F}"/>
    <cellStyle name="Normal 10 3 2 5 2 3 5 3" xfId="19010" xr:uid="{B2CEC135-BD35-4C0E-9AB2-EDAD333C8230}"/>
    <cellStyle name="Normal 10 3 2 5 2 3 6" xfId="19011" xr:uid="{385C48C0-5903-4841-A900-654AE15FD805}"/>
    <cellStyle name="Normal 10 3 2 5 2 3 6 2" xfId="19012" xr:uid="{0E3BE13F-1C93-42FC-BA93-153A3FE83693}"/>
    <cellStyle name="Normal 10 3 2 5 2 3 7" xfId="19013" xr:uid="{6FAEE72B-5DB4-46EC-8E40-FF4134100579}"/>
    <cellStyle name="Normal 10 3 2 5 2 4" xfId="19014" xr:uid="{E4B1363B-AB37-4A79-B602-AEE27951CD09}"/>
    <cellStyle name="Normal 10 3 2 5 2 4 2" xfId="19015" xr:uid="{2E9C8CED-09E0-4265-841C-FECBCDCC31C2}"/>
    <cellStyle name="Normal 10 3 2 5 2 4 2 2" xfId="19016" xr:uid="{DC46083F-B686-4389-8E54-0CE0A3CE5AD9}"/>
    <cellStyle name="Normal 10 3 2 5 2 4 2 2 2" xfId="19017" xr:uid="{E2D27A1C-72AA-4EA1-9DC5-899B76962354}"/>
    <cellStyle name="Normal 10 3 2 5 2 4 2 2 2 2" xfId="19018" xr:uid="{442F659F-2980-4ECF-BA39-8867D7EDC65C}"/>
    <cellStyle name="Normal 10 3 2 5 2 4 2 2 2 2 2" xfId="19019" xr:uid="{6A8835F9-809B-40CB-B47E-BC58BFB5008B}"/>
    <cellStyle name="Normal 10 3 2 5 2 4 2 2 2 3" xfId="19020" xr:uid="{03940E2B-C6DE-452D-900C-D213055963A2}"/>
    <cellStyle name="Normal 10 3 2 5 2 4 2 2 3" xfId="19021" xr:uid="{EF5A8E0E-4519-4AC5-AC3F-64A18AE4AB8E}"/>
    <cellStyle name="Normal 10 3 2 5 2 4 2 2 3 2" xfId="19022" xr:uid="{E38AD619-1EC3-42B1-93FE-C6682079C6DF}"/>
    <cellStyle name="Normal 10 3 2 5 2 4 2 2 4" xfId="19023" xr:uid="{6F45A69F-3525-4B40-AC0F-495BB3F0B1F1}"/>
    <cellStyle name="Normal 10 3 2 5 2 4 2 3" xfId="19024" xr:uid="{9D1CA386-B0C5-4F3B-B09F-02D6C5BD4B12}"/>
    <cellStyle name="Normal 10 3 2 5 2 4 2 3 2" xfId="19025" xr:uid="{FE8895DE-2FC6-4C49-9227-354CA734719D}"/>
    <cellStyle name="Normal 10 3 2 5 2 4 2 3 2 2" xfId="19026" xr:uid="{A1C0ECAE-BA1E-4D20-AA72-77A1BBBA1F3B}"/>
    <cellStyle name="Normal 10 3 2 5 2 4 2 3 3" xfId="19027" xr:uid="{E1C5A297-B68D-41C6-BAD6-ACD3ABA93464}"/>
    <cellStyle name="Normal 10 3 2 5 2 4 2 4" xfId="19028" xr:uid="{4FDDA070-6ECB-4E20-AE1B-9E82CDD28FBF}"/>
    <cellStyle name="Normal 10 3 2 5 2 4 2 4 2" xfId="19029" xr:uid="{33C0CF0E-43D2-4293-8E5A-B51C0407DAE1}"/>
    <cellStyle name="Normal 10 3 2 5 2 4 2 5" xfId="19030" xr:uid="{8D31A005-F38B-4183-BEDE-CBE45B6E0B2A}"/>
    <cellStyle name="Normal 10 3 2 5 2 4 3" xfId="19031" xr:uid="{C96D190C-C96B-4474-9113-235B12256BFB}"/>
    <cellStyle name="Normal 10 3 2 5 2 4 3 2" xfId="19032" xr:uid="{5FFC884E-B94B-4BED-9644-7F4EECC8EA8B}"/>
    <cellStyle name="Normal 10 3 2 5 2 4 3 2 2" xfId="19033" xr:uid="{D1B3A847-47F5-4E39-A7D9-2957C9035062}"/>
    <cellStyle name="Normal 10 3 2 5 2 4 3 2 2 2" xfId="19034" xr:uid="{6985F685-0BA7-4EB8-A5FB-8A858993113F}"/>
    <cellStyle name="Normal 10 3 2 5 2 4 3 2 3" xfId="19035" xr:uid="{A1AABCE9-82E8-4578-802E-9099E7B41D3D}"/>
    <cellStyle name="Normal 10 3 2 5 2 4 3 3" xfId="19036" xr:uid="{151CF6DC-1D31-40A1-923A-D5A24C31D287}"/>
    <cellStyle name="Normal 10 3 2 5 2 4 3 3 2" xfId="19037" xr:uid="{8D0ADC94-4D31-4376-9D29-0520863A8831}"/>
    <cellStyle name="Normal 10 3 2 5 2 4 3 4" xfId="19038" xr:uid="{DD6F8605-EEB0-4618-BE45-D91DB97474FE}"/>
    <cellStyle name="Normal 10 3 2 5 2 4 4" xfId="19039" xr:uid="{64E4274D-6390-40BD-983F-0F947936607A}"/>
    <cellStyle name="Normal 10 3 2 5 2 4 4 2" xfId="19040" xr:uid="{E938179E-4AE1-4F43-BE8B-14FE4496D446}"/>
    <cellStyle name="Normal 10 3 2 5 2 4 4 2 2" xfId="19041" xr:uid="{AE0F9384-50E3-4D3E-834B-A90A0BA4F733}"/>
    <cellStyle name="Normal 10 3 2 5 2 4 4 3" xfId="19042" xr:uid="{92362D19-60BC-4EF5-842B-25FD14A38BEE}"/>
    <cellStyle name="Normal 10 3 2 5 2 4 5" xfId="19043" xr:uid="{82C38471-CE00-4A7E-826E-C44FD2A7C918}"/>
    <cellStyle name="Normal 10 3 2 5 2 4 5 2" xfId="19044" xr:uid="{5A955D26-EDD2-47CD-AAAF-60CC658EEB12}"/>
    <cellStyle name="Normal 10 3 2 5 2 4 6" xfId="19045" xr:uid="{B098F52E-D928-4B90-8655-4B691635BAAA}"/>
    <cellStyle name="Normal 10 3 2 5 2 5" xfId="19046" xr:uid="{7D28E368-035A-48CC-B33E-37D2E5D921BD}"/>
    <cellStyle name="Normal 10 3 2 5 2 5 2" xfId="19047" xr:uid="{B074DD3B-BAF0-4035-AE9E-7940C3B228BE}"/>
    <cellStyle name="Normal 10 3 2 5 2 5 2 2" xfId="19048" xr:uid="{67149AB1-B67D-48C7-B93F-D10C813944A4}"/>
    <cellStyle name="Normal 10 3 2 5 2 5 2 2 2" xfId="19049" xr:uid="{DBFD67B1-C15E-4D9B-A835-4BE2F9A83C43}"/>
    <cellStyle name="Normal 10 3 2 5 2 5 2 2 2 2" xfId="19050" xr:uid="{A77CD863-CA1A-4B41-B081-9A7A4B63B9BA}"/>
    <cellStyle name="Normal 10 3 2 5 2 5 2 2 3" xfId="19051" xr:uid="{11425512-D83E-4C7C-9741-2C861269B5DD}"/>
    <cellStyle name="Normal 10 3 2 5 2 5 2 3" xfId="19052" xr:uid="{8F4F19D6-5BDD-430B-B822-962DCE138874}"/>
    <cellStyle name="Normal 10 3 2 5 2 5 2 3 2" xfId="19053" xr:uid="{22F4515B-D5A7-49DB-B89C-C33D46744157}"/>
    <cellStyle name="Normal 10 3 2 5 2 5 2 4" xfId="19054" xr:uid="{F27B7C9D-A5D9-4226-A7CF-817B89C6DF5B}"/>
    <cellStyle name="Normal 10 3 2 5 2 5 3" xfId="19055" xr:uid="{46E20CA7-5DE2-4B16-BC12-391F9CBA8519}"/>
    <cellStyle name="Normal 10 3 2 5 2 5 3 2" xfId="19056" xr:uid="{BF123986-C9E0-4A7F-ABE1-947003B836A2}"/>
    <cellStyle name="Normal 10 3 2 5 2 5 3 2 2" xfId="19057" xr:uid="{6C7C4DDF-A4E4-4CDF-9196-91A1CD843C16}"/>
    <cellStyle name="Normal 10 3 2 5 2 5 3 3" xfId="19058" xr:uid="{66F3708C-2B1B-4835-9911-C19D55EB2B92}"/>
    <cellStyle name="Normal 10 3 2 5 2 5 4" xfId="19059" xr:uid="{58220701-4B32-476F-9F76-0A98C774F636}"/>
    <cellStyle name="Normal 10 3 2 5 2 5 4 2" xfId="19060" xr:uid="{63075F9E-728E-43A2-A59D-95C252B89C34}"/>
    <cellStyle name="Normal 10 3 2 5 2 5 5" xfId="19061" xr:uid="{2501F2D8-5F9B-495B-8E0E-BF60719F3837}"/>
    <cellStyle name="Normal 10 3 2 5 2 6" xfId="19062" xr:uid="{45415359-3840-4B4F-8B5C-49190D495EC5}"/>
    <cellStyle name="Normal 10 3 2 5 2 6 2" xfId="19063" xr:uid="{CEAB16DF-D57A-429E-8EFE-16A7566A32B0}"/>
    <cellStyle name="Normal 10 3 2 5 2 6 2 2" xfId="19064" xr:uid="{77D4111A-E1E7-411C-8AFB-6027DE848C1C}"/>
    <cellStyle name="Normal 10 3 2 5 2 6 2 2 2" xfId="19065" xr:uid="{325435DF-5D44-4685-A01D-299BFD8C71C8}"/>
    <cellStyle name="Normal 10 3 2 5 2 6 2 3" xfId="19066" xr:uid="{6FC0340F-FA4A-4047-AB44-89EE4289F74B}"/>
    <cellStyle name="Normal 10 3 2 5 2 6 3" xfId="19067" xr:uid="{4551E50E-BCB6-49FE-BEEA-5A5497313613}"/>
    <cellStyle name="Normal 10 3 2 5 2 6 3 2" xfId="19068" xr:uid="{8A8EA0E6-74D9-4E6A-A86E-62582ED3411A}"/>
    <cellStyle name="Normal 10 3 2 5 2 6 4" xfId="19069" xr:uid="{A11D4389-D85C-471D-AB98-7973B60C84FD}"/>
    <cellStyle name="Normal 10 3 2 5 2 7" xfId="19070" xr:uid="{F777CC0D-13ED-46EE-A380-30F1AC8D1F62}"/>
    <cellStyle name="Normal 10 3 2 5 2 7 2" xfId="19071" xr:uid="{1120941A-94EF-4F54-B573-68C149710674}"/>
    <cellStyle name="Normal 10 3 2 5 2 7 2 2" xfId="19072" xr:uid="{97224E41-FBAF-43A8-822A-7D41FF4E51E5}"/>
    <cellStyle name="Normal 10 3 2 5 2 7 3" xfId="19073" xr:uid="{9EE95A11-9C00-472F-BC8A-4CB29ECA7E7F}"/>
    <cellStyle name="Normal 10 3 2 5 2 8" xfId="19074" xr:uid="{3FC32E16-1923-4B79-9551-4DB1E69A2C0A}"/>
    <cellStyle name="Normal 10 3 2 5 2 8 2" xfId="19075" xr:uid="{5BE6FAB4-C829-415C-BBC0-D7B3B965A71F}"/>
    <cellStyle name="Normal 10 3 2 5 2 9" xfId="19076" xr:uid="{9C323F81-A6AB-41C6-8912-2CF826B2686B}"/>
    <cellStyle name="Normal 10 3 2 5 3" xfId="490" xr:uid="{55EE5F2B-9B6F-4579-8A6E-79E4AA4F0D24}"/>
    <cellStyle name="Normal 10 3 2 5 3 2" xfId="19078" xr:uid="{7698E775-4EF9-4839-B07E-797223581A86}"/>
    <cellStyle name="Normal 10 3 2 5 3 2 2" xfId="19079" xr:uid="{27191EDE-664C-4AAB-847A-DDD97E224C3E}"/>
    <cellStyle name="Normal 10 3 2 5 3 2 2 2" xfId="19080" xr:uid="{0C786959-B350-45E6-877E-66D3BF43FA90}"/>
    <cellStyle name="Normal 10 3 2 5 3 2 2 2 2" xfId="19081" xr:uid="{4DA6F94D-1C33-46FC-B154-DFCB5663AB7D}"/>
    <cellStyle name="Normal 10 3 2 5 3 2 2 2 2 2" xfId="19082" xr:uid="{AD00EA83-AB20-478B-A69F-391BAEFF7EF3}"/>
    <cellStyle name="Normal 10 3 2 5 3 2 2 2 2 2 2" xfId="19083" xr:uid="{39C06892-7D7C-44A8-8F30-C51CC3C11458}"/>
    <cellStyle name="Normal 10 3 2 5 3 2 2 2 2 2 2 2" xfId="19084" xr:uid="{04F45055-EFEC-41F5-91E3-7FDF83274850}"/>
    <cellStyle name="Normal 10 3 2 5 3 2 2 2 2 2 3" xfId="19085" xr:uid="{1097A125-02BA-4BC4-9AEE-83AF2AD33F52}"/>
    <cellStyle name="Normal 10 3 2 5 3 2 2 2 2 3" xfId="19086" xr:uid="{BC6CF874-F4B1-4131-BBB8-A06CDAD5C495}"/>
    <cellStyle name="Normal 10 3 2 5 3 2 2 2 2 3 2" xfId="19087" xr:uid="{B3548B42-F8F0-4819-B7C4-B1B16FD1D3A9}"/>
    <cellStyle name="Normal 10 3 2 5 3 2 2 2 2 4" xfId="19088" xr:uid="{EE7E8FBC-DE64-41DA-9C7A-AD9329DD18BC}"/>
    <cellStyle name="Normal 10 3 2 5 3 2 2 2 3" xfId="19089" xr:uid="{2F6D42D7-0440-46E5-B1A1-181BA3FF06D2}"/>
    <cellStyle name="Normal 10 3 2 5 3 2 2 2 3 2" xfId="19090" xr:uid="{256157C6-A472-4106-B5F1-63CA45DF53AB}"/>
    <cellStyle name="Normal 10 3 2 5 3 2 2 2 3 2 2" xfId="19091" xr:uid="{6C19076F-1B09-4A85-B271-7872B00F47FF}"/>
    <cellStyle name="Normal 10 3 2 5 3 2 2 2 3 3" xfId="19092" xr:uid="{66D2DEB2-A02B-44F0-83A9-EB6AAE9A98A4}"/>
    <cellStyle name="Normal 10 3 2 5 3 2 2 2 4" xfId="19093" xr:uid="{823C0AF0-58F7-466D-820D-A73996D8A39A}"/>
    <cellStyle name="Normal 10 3 2 5 3 2 2 2 4 2" xfId="19094" xr:uid="{4472ACFF-EC72-4C5A-A9C5-5CF51A962526}"/>
    <cellStyle name="Normal 10 3 2 5 3 2 2 2 5" xfId="19095" xr:uid="{343A39C5-F6F1-4A39-8312-439A9BDED105}"/>
    <cellStyle name="Normal 10 3 2 5 3 2 2 3" xfId="19096" xr:uid="{BB47DBBD-204C-491E-B37D-69418B51E09B}"/>
    <cellStyle name="Normal 10 3 2 5 3 2 2 3 2" xfId="19097" xr:uid="{C68BA16C-66BD-4846-9646-1D5C9DD98B66}"/>
    <cellStyle name="Normal 10 3 2 5 3 2 2 3 2 2" xfId="19098" xr:uid="{1BD0D421-B1FF-42D7-8D8E-54E4C9F3963F}"/>
    <cellStyle name="Normal 10 3 2 5 3 2 2 3 2 2 2" xfId="19099" xr:uid="{67B18C5C-FE1A-433F-AC48-A0A2E1BCE983}"/>
    <cellStyle name="Normal 10 3 2 5 3 2 2 3 2 3" xfId="19100" xr:uid="{08364E21-8634-41B3-BA90-80A13FCB77E2}"/>
    <cellStyle name="Normal 10 3 2 5 3 2 2 3 3" xfId="19101" xr:uid="{3F3A2251-7BF4-476C-A548-4FAFD7A0184D}"/>
    <cellStyle name="Normal 10 3 2 5 3 2 2 3 3 2" xfId="19102" xr:uid="{D7CBA45B-B0C7-49FD-B8DD-5519EC65152F}"/>
    <cellStyle name="Normal 10 3 2 5 3 2 2 3 4" xfId="19103" xr:uid="{719BDB02-5872-415D-941A-7D515265CCD4}"/>
    <cellStyle name="Normal 10 3 2 5 3 2 2 4" xfId="19104" xr:uid="{94D25D24-9518-490B-B27C-8E739C9BFC53}"/>
    <cellStyle name="Normal 10 3 2 5 3 2 2 4 2" xfId="19105" xr:uid="{AA5916AA-3297-45DA-9821-CCA9FF2DD99D}"/>
    <cellStyle name="Normal 10 3 2 5 3 2 2 4 2 2" xfId="19106" xr:uid="{E16C8067-3854-4502-9251-FC1A33E6CC2F}"/>
    <cellStyle name="Normal 10 3 2 5 3 2 2 4 3" xfId="19107" xr:uid="{855C5C2C-786F-4891-8B9C-CED662B49A01}"/>
    <cellStyle name="Normal 10 3 2 5 3 2 2 5" xfId="19108" xr:uid="{B9171549-48ED-430C-BD5D-185FBA5519C0}"/>
    <cellStyle name="Normal 10 3 2 5 3 2 2 5 2" xfId="19109" xr:uid="{DF3A4714-28CE-4705-A2B4-4C7AF9BE9600}"/>
    <cellStyle name="Normal 10 3 2 5 3 2 2 6" xfId="19110" xr:uid="{53757C1B-5917-4EAD-9AEC-D935B2A34F5B}"/>
    <cellStyle name="Normal 10 3 2 5 3 2 3" xfId="19111" xr:uid="{2CF6D3C3-3A9E-4E40-B358-0D6BE6566993}"/>
    <cellStyle name="Normal 10 3 2 5 3 2 3 2" xfId="19112" xr:uid="{CD22C14D-14B2-4082-8543-A5B428CC068F}"/>
    <cellStyle name="Normal 10 3 2 5 3 2 3 2 2" xfId="19113" xr:uid="{8FF78AAA-0FAC-4CAB-B365-B480475616F6}"/>
    <cellStyle name="Normal 10 3 2 5 3 2 3 2 2 2" xfId="19114" xr:uid="{07EC7BFB-B85A-4CD4-A6B0-88B9E1782695}"/>
    <cellStyle name="Normal 10 3 2 5 3 2 3 2 2 2 2" xfId="19115" xr:uid="{5D804ECC-61E6-40EC-9641-986560D848BB}"/>
    <cellStyle name="Normal 10 3 2 5 3 2 3 2 2 3" xfId="19116" xr:uid="{0ECA632C-52DE-46B0-80F7-B52F6251535F}"/>
    <cellStyle name="Normal 10 3 2 5 3 2 3 2 3" xfId="19117" xr:uid="{13DDAEF8-F9E5-47DF-8B52-A516473B007D}"/>
    <cellStyle name="Normal 10 3 2 5 3 2 3 2 3 2" xfId="19118" xr:uid="{69FFDD8D-E377-4F30-8242-10E2EAEA959A}"/>
    <cellStyle name="Normal 10 3 2 5 3 2 3 2 4" xfId="19119" xr:uid="{7CB84BDD-66FA-4D40-966A-1320FF675073}"/>
    <cellStyle name="Normal 10 3 2 5 3 2 3 3" xfId="19120" xr:uid="{8736A57A-4C34-4C84-967A-4A02B131AB06}"/>
    <cellStyle name="Normal 10 3 2 5 3 2 3 3 2" xfId="19121" xr:uid="{694BCE64-912D-4B1E-B997-93661B7DB9CB}"/>
    <cellStyle name="Normal 10 3 2 5 3 2 3 3 2 2" xfId="19122" xr:uid="{F6E6FFFB-7D40-4A86-BB12-63374672D0AA}"/>
    <cellStyle name="Normal 10 3 2 5 3 2 3 3 3" xfId="19123" xr:uid="{ED62B7F7-6277-4328-924C-00ECF43B1441}"/>
    <cellStyle name="Normal 10 3 2 5 3 2 3 4" xfId="19124" xr:uid="{37C766EB-EDEA-44E4-A945-624731251126}"/>
    <cellStyle name="Normal 10 3 2 5 3 2 3 4 2" xfId="19125" xr:uid="{A1D469AF-7603-4822-BBED-D0599683897E}"/>
    <cellStyle name="Normal 10 3 2 5 3 2 3 5" xfId="19126" xr:uid="{D966E250-29E5-4038-BFA7-40BA95982858}"/>
    <cellStyle name="Normal 10 3 2 5 3 2 4" xfId="19127" xr:uid="{179D8A98-230D-4F75-B2A2-43624741EB48}"/>
    <cellStyle name="Normal 10 3 2 5 3 2 4 2" xfId="19128" xr:uid="{CCBFB725-D589-49C7-8C47-7351780728AC}"/>
    <cellStyle name="Normal 10 3 2 5 3 2 4 2 2" xfId="19129" xr:uid="{EC7ADC76-44E9-4E36-98CA-4E6955C88416}"/>
    <cellStyle name="Normal 10 3 2 5 3 2 4 2 2 2" xfId="19130" xr:uid="{0218D3A2-AA58-4915-A972-F01DAF17E06E}"/>
    <cellStyle name="Normal 10 3 2 5 3 2 4 2 3" xfId="19131" xr:uid="{F2F63C0D-94F1-4809-9B60-B9A4FA9A5212}"/>
    <cellStyle name="Normal 10 3 2 5 3 2 4 3" xfId="19132" xr:uid="{3D2080DB-E88F-4F02-836B-61B60E4725B2}"/>
    <cellStyle name="Normal 10 3 2 5 3 2 4 3 2" xfId="19133" xr:uid="{35D479EB-D249-475D-ACEB-2A6B3D41B7B3}"/>
    <cellStyle name="Normal 10 3 2 5 3 2 4 4" xfId="19134" xr:uid="{B27FBDD4-7706-4F4C-A6A7-414DEAEF6681}"/>
    <cellStyle name="Normal 10 3 2 5 3 2 5" xfId="19135" xr:uid="{00985D5D-AFB4-450B-8F3B-4D5C0563BFBB}"/>
    <cellStyle name="Normal 10 3 2 5 3 2 5 2" xfId="19136" xr:uid="{23363AD8-EE5D-4773-BED0-63795AF3D8E2}"/>
    <cellStyle name="Normal 10 3 2 5 3 2 5 2 2" xfId="19137" xr:uid="{BA2B550C-30E9-44D6-B75B-1750842B4035}"/>
    <cellStyle name="Normal 10 3 2 5 3 2 5 3" xfId="19138" xr:uid="{A484BBE3-4717-4CC9-A297-4115355A6D83}"/>
    <cellStyle name="Normal 10 3 2 5 3 2 6" xfId="19139" xr:uid="{51F80546-7321-4878-83EF-82CCB69B31F0}"/>
    <cellStyle name="Normal 10 3 2 5 3 2 6 2" xfId="19140" xr:uid="{469E405A-C44F-4E8B-BB69-CF271CC22A59}"/>
    <cellStyle name="Normal 10 3 2 5 3 2 7" xfId="19141" xr:uid="{03E817EF-679E-4502-80E7-A9519D6013BE}"/>
    <cellStyle name="Normal 10 3 2 5 3 3" xfId="19142" xr:uid="{29AF3E52-0E33-4B9A-BF17-67316749C223}"/>
    <cellStyle name="Normal 10 3 2 5 3 3 2" xfId="19143" xr:uid="{AFC86511-CE43-4658-9B76-5F1BC8C40872}"/>
    <cellStyle name="Normal 10 3 2 5 3 3 2 2" xfId="19144" xr:uid="{3B7EE599-85FF-4A37-97DC-707B3EA9B508}"/>
    <cellStyle name="Normal 10 3 2 5 3 3 2 2 2" xfId="19145" xr:uid="{BD73B25A-BEA2-4E20-8EA5-EBB120C48AC3}"/>
    <cellStyle name="Normal 10 3 2 5 3 3 2 2 2 2" xfId="19146" xr:uid="{1FD8BECA-24E5-405C-BACD-B4540C6C0C92}"/>
    <cellStyle name="Normal 10 3 2 5 3 3 2 2 2 2 2" xfId="19147" xr:uid="{EB144C5E-9D5E-4245-9CFE-83E8577BC05F}"/>
    <cellStyle name="Normal 10 3 2 5 3 3 2 2 2 3" xfId="19148" xr:uid="{B636228C-B9E6-44A2-8861-33A1AEF73CF0}"/>
    <cellStyle name="Normal 10 3 2 5 3 3 2 2 3" xfId="19149" xr:uid="{24E30AC9-9E4B-46E0-A844-B743FC47AE54}"/>
    <cellStyle name="Normal 10 3 2 5 3 3 2 2 3 2" xfId="19150" xr:uid="{9A66C092-4549-4449-BE67-B9C33CE4B7FC}"/>
    <cellStyle name="Normal 10 3 2 5 3 3 2 2 4" xfId="19151" xr:uid="{F6F44A02-C399-46AE-869B-545B8B56B49F}"/>
    <cellStyle name="Normal 10 3 2 5 3 3 2 3" xfId="19152" xr:uid="{8E09A336-CC44-499A-9355-046AE28B9619}"/>
    <cellStyle name="Normal 10 3 2 5 3 3 2 3 2" xfId="19153" xr:uid="{3CF66BEC-AD7E-4324-BA30-AF4156304224}"/>
    <cellStyle name="Normal 10 3 2 5 3 3 2 3 2 2" xfId="19154" xr:uid="{E7B173D6-BD75-4A4D-B028-915AE647B3DE}"/>
    <cellStyle name="Normal 10 3 2 5 3 3 2 3 3" xfId="19155" xr:uid="{BD300A1D-3B2A-4A8A-AAEF-0F264BB66BD9}"/>
    <cellStyle name="Normal 10 3 2 5 3 3 2 4" xfId="19156" xr:uid="{F7783A69-6CE0-4A75-8FA9-D15893486A0F}"/>
    <cellStyle name="Normal 10 3 2 5 3 3 2 4 2" xfId="19157" xr:uid="{44E2517D-68DB-474B-AF2D-D169B6DC9586}"/>
    <cellStyle name="Normal 10 3 2 5 3 3 2 5" xfId="19158" xr:uid="{F001FE22-88B4-4662-884C-772D3CF83729}"/>
    <cellStyle name="Normal 10 3 2 5 3 3 3" xfId="19159" xr:uid="{F5201A14-CCE2-49A5-A711-44FAC654086C}"/>
    <cellStyle name="Normal 10 3 2 5 3 3 3 2" xfId="19160" xr:uid="{083D36A3-1D12-4470-87F5-27EE44878D05}"/>
    <cellStyle name="Normal 10 3 2 5 3 3 3 2 2" xfId="19161" xr:uid="{A45F4BAA-117F-44B7-B901-2DE419253B0C}"/>
    <cellStyle name="Normal 10 3 2 5 3 3 3 2 2 2" xfId="19162" xr:uid="{93BED42C-7B2F-4701-B250-DE71AFE8B322}"/>
    <cellStyle name="Normal 10 3 2 5 3 3 3 2 3" xfId="19163" xr:uid="{564C09E9-EBB5-434E-8908-D0FDEC1AC353}"/>
    <cellStyle name="Normal 10 3 2 5 3 3 3 3" xfId="19164" xr:uid="{E1068129-130C-411E-B7B7-B1C18FDACF8A}"/>
    <cellStyle name="Normal 10 3 2 5 3 3 3 3 2" xfId="19165" xr:uid="{2E1E43BF-F9CD-4DB7-825A-D995E16895BF}"/>
    <cellStyle name="Normal 10 3 2 5 3 3 3 4" xfId="19166" xr:uid="{760C2F62-5151-4B78-9D3A-7875E9CB8AFB}"/>
    <cellStyle name="Normal 10 3 2 5 3 3 4" xfId="19167" xr:uid="{C21BC089-82DF-427A-A070-878AB238A077}"/>
    <cellStyle name="Normal 10 3 2 5 3 3 4 2" xfId="19168" xr:uid="{FD42C585-6FED-4033-842F-C4E96F71DB90}"/>
    <cellStyle name="Normal 10 3 2 5 3 3 4 2 2" xfId="19169" xr:uid="{903AF345-60D5-4609-BB7D-8E77D965D592}"/>
    <cellStyle name="Normal 10 3 2 5 3 3 4 3" xfId="19170" xr:uid="{1BCB487A-A79B-4E1C-AFEE-A1FD7A51E7B3}"/>
    <cellStyle name="Normal 10 3 2 5 3 3 5" xfId="19171" xr:uid="{10460B4B-C90C-410E-8F55-11354D188C71}"/>
    <cellStyle name="Normal 10 3 2 5 3 3 5 2" xfId="19172" xr:uid="{1284760C-517D-4CE4-BBB6-C96035090374}"/>
    <cellStyle name="Normal 10 3 2 5 3 3 6" xfId="19173" xr:uid="{B796248C-CCBC-4AB9-B6D0-0724BCEEBB9E}"/>
    <cellStyle name="Normal 10 3 2 5 3 4" xfId="19174" xr:uid="{7E4EE98F-5705-4EEA-A074-FD9717A9B352}"/>
    <cellStyle name="Normal 10 3 2 5 3 4 2" xfId="19175" xr:uid="{882C723D-8199-452E-85D5-4EC5542A5A8E}"/>
    <cellStyle name="Normal 10 3 2 5 3 4 2 2" xfId="19176" xr:uid="{0D43115D-C2DC-4F0B-8A32-59FDF692FA12}"/>
    <cellStyle name="Normal 10 3 2 5 3 4 2 2 2" xfId="19177" xr:uid="{D891D27E-9A05-4EAE-8772-24D1139AF668}"/>
    <cellStyle name="Normal 10 3 2 5 3 4 2 2 2 2" xfId="19178" xr:uid="{62EEE242-C58C-4FD5-88EA-924CCEF28F29}"/>
    <cellStyle name="Normal 10 3 2 5 3 4 2 2 3" xfId="19179" xr:uid="{A1A7F7B8-0252-44E4-8351-7707B5567C2E}"/>
    <cellStyle name="Normal 10 3 2 5 3 4 2 3" xfId="19180" xr:uid="{F9DF811B-97C2-481D-9423-66F4F5573387}"/>
    <cellStyle name="Normal 10 3 2 5 3 4 2 3 2" xfId="19181" xr:uid="{8C01A8DB-A608-47FF-8246-F2330E2486E1}"/>
    <cellStyle name="Normal 10 3 2 5 3 4 2 4" xfId="19182" xr:uid="{556C7D49-9CC1-49BD-AE96-76B6319EB2EE}"/>
    <cellStyle name="Normal 10 3 2 5 3 4 3" xfId="19183" xr:uid="{1873A370-1BB0-4F61-B78D-C5161E760DBF}"/>
    <cellStyle name="Normal 10 3 2 5 3 4 3 2" xfId="19184" xr:uid="{CBEF26AE-59C1-4149-BB97-248982CA5188}"/>
    <cellStyle name="Normal 10 3 2 5 3 4 3 2 2" xfId="19185" xr:uid="{CA196BE2-23AA-47AC-A3A3-2978A8187882}"/>
    <cellStyle name="Normal 10 3 2 5 3 4 3 3" xfId="19186" xr:uid="{BCE83C18-5E97-408C-BE55-1D10E904D90B}"/>
    <cellStyle name="Normal 10 3 2 5 3 4 4" xfId="19187" xr:uid="{4F1B7CDC-3763-4032-B8A1-2D40C116EE58}"/>
    <cellStyle name="Normal 10 3 2 5 3 4 4 2" xfId="19188" xr:uid="{75D08ED5-ADFC-48EE-B34C-1F02A8F3C78E}"/>
    <cellStyle name="Normal 10 3 2 5 3 4 5" xfId="19189" xr:uid="{9AED966F-08B7-4AC7-95BB-8F6E0CE4EF28}"/>
    <cellStyle name="Normal 10 3 2 5 3 5" xfId="19190" xr:uid="{0E2E470A-818C-4B1F-84A0-6166F3F74621}"/>
    <cellStyle name="Normal 10 3 2 5 3 5 2" xfId="19191" xr:uid="{E03C2CE8-4ED4-41E1-9FB4-3E63FBF78E81}"/>
    <cellStyle name="Normal 10 3 2 5 3 5 2 2" xfId="19192" xr:uid="{FB1752D3-1E31-448D-8656-68CC74C6D1D7}"/>
    <cellStyle name="Normal 10 3 2 5 3 5 2 2 2" xfId="19193" xr:uid="{F167E3EF-6C4A-4256-AFFB-75259110B9D5}"/>
    <cellStyle name="Normal 10 3 2 5 3 5 2 3" xfId="19194" xr:uid="{C3192E45-E47A-48C2-BD07-832E480AD8C3}"/>
    <cellStyle name="Normal 10 3 2 5 3 5 3" xfId="19195" xr:uid="{ACBF24E5-308C-46A4-A3F7-BE74C50F9DD9}"/>
    <cellStyle name="Normal 10 3 2 5 3 5 3 2" xfId="19196" xr:uid="{30784B13-5F3E-4EAF-B045-CAAF71C2E921}"/>
    <cellStyle name="Normal 10 3 2 5 3 5 4" xfId="19197" xr:uid="{24E95F71-57F3-4C9D-895B-7905E3187E2C}"/>
    <cellStyle name="Normal 10 3 2 5 3 6" xfId="19198" xr:uid="{7B62DDC8-E325-431A-94D8-5D9BD50FEC69}"/>
    <cellStyle name="Normal 10 3 2 5 3 6 2" xfId="19199" xr:uid="{55B261DA-C37D-4239-AEF7-8EB4F5A4BDE1}"/>
    <cellStyle name="Normal 10 3 2 5 3 6 2 2" xfId="19200" xr:uid="{8DB1B0B3-1F2F-4B0C-8014-846D8F6785C0}"/>
    <cellStyle name="Normal 10 3 2 5 3 6 3" xfId="19201" xr:uid="{CD06B063-AD6D-4698-86A0-BF8CC129CE70}"/>
    <cellStyle name="Normal 10 3 2 5 3 7" xfId="19202" xr:uid="{E1154B85-1479-4F07-9EF5-80BE463FC1D6}"/>
    <cellStyle name="Normal 10 3 2 5 3 7 2" xfId="19203" xr:uid="{934164C5-1A5B-4250-84FF-1FF62E515CE2}"/>
    <cellStyle name="Normal 10 3 2 5 3 8" xfId="19204" xr:uid="{3DCC69F7-8E6B-44D1-B5ED-5F1E55E000C0}"/>
    <cellStyle name="Normal 10 3 2 5 3 9" xfId="19077" xr:uid="{EAEFB072-FEB9-441D-8C99-A45E5FFE9FF4}"/>
    <cellStyle name="Normal 10 3 2 5 4" xfId="19205" xr:uid="{BA96E056-795F-4E01-9057-5BE1C540D869}"/>
    <cellStyle name="Normal 10 3 2 5 4 2" xfId="19206" xr:uid="{C540C1F3-86F6-4473-AE2B-39A27D0AB60C}"/>
    <cellStyle name="Normal 10 3 2 5 4 2 2" xfId="19207" xr:uid="{9C3CBECF-8185-4436-BE68-1EBB13A93B4C}"/>
    <cellStyle name="Normal 10 3 2 5 4 2 2 2" xfId="19208" xr:uid="{B8F26A64-D9E7-4DDB-9851-93030980FE11}"/>
    <cellStyle name="Normal 10 3 2 5 4 2 2 2 2" xfId="19209" xr:uid="{CEC8CEC2-0553-4471-8B2E-2944EFC82B0F}"/>
    <cellStyle name="Normal 10 3 2 5 4 2 2 2 2 2" xfId="19210" xr:uid="{E649FBB0-E2ED-4E9F-B4F7-2AC9B09DBF6C}"/>
    <cellStyle name="Normal 10 3 2 5 4 2 2 2 2 2 2" xfId="19211" xr:uid="{C8C587CC-7AE3-4C3F-B382-E414DA91EB58}"/>
    <cellStyle name="Normal 10 3 2 5 4 2 2 2 2 3" xfId="19212" xr:uid="{C8108750-5D51-4694-AE6B-AE1D0C48F808}"/>
    <cellStyle name="Normal 10 3 2 5 4 2 2 2 3" xfId="19213" xr:uid="{7E1BD5F2-9377-4427-B24E-6D63D6E54960}"/>
    <cellStyle name="Normal 10 3 2 5 4 2 2 2 3 2" xfId="19214" xr:uid="{EB2F7421-66E6-4EC4-BD06-03A87AB21199}"/>
    <cellStyle name="Normal 10 3 2 5 4 2 2 2 4" xfId="19215" xr:uid="{907A81E4-4431-45D0-8178-6F149FDF68D5}"/>
    <cellStyle name="Normal 10 3 2 5 4 2 2 3" xfId="19216" xr:uid="{CF64CECF-F0A9-41EA-9B07-D4C6D1BBCDF9}"/>
    <cellStyle name="Normal 10 3 2 5 4 2 2 3 2" xfId="19217" xr:uid="{92D2BE4B-7C28-457F-AE2D-6FF827678470}"/>
    <cellStyle name="Normal 10 3 2 5 4 2 2 3 2 2" xfId="19218" xr:uid="{FBF94661-6B63-482D-B4E0-6EF2A93514DB}"/>
    <cellStyle name="Normal 10 3 2 5 4 2 2 3 3" xfId="19219" xr:uid="{D358FF16-0C4A-4257-AABD-41AC87738D0C}"/>
    <cellStyle name="Normal 10 3 2 5 4 2 2 4" xfId="19220" xr:uid="{E9CCD4E5-9C4D-4EA3-928A-9BFCFA45DE93}"/>
    <cellStyle name="Normal 10 3 2 5 4 2 2 4 2" xfId="19221" xr:uid="{7AACC5AB-5FD2-48FF-BC70-95E31B200244}"/>
    <cellStyle name="Normal 10 3 2 5 4 2 2 5" xfId="19222" xr:uid="{59CF1B04-C794-4A71-BBD7-E3DD1D88C526}"/>
    <cellStyle name="Normal 10 3 2 5 4 2 3" xfId="19223" xr:uid="{5D37C2F7-2A68-44BB-8617-F4FBFE192046}"/>
    <cellStyle name="Normal 10 3 2 5 4 2 3 2" xfId="19224" xr:uid="{EBD39E1F-5677-4C93-9BAC-42A8A05A54AD}"/>
    <cellStyle name="Normal 10 3 2 5 4 2 3 2 2" xfId="19225" xr:uid="{5C5B56D7-C20F-439A-9647-62F3365E40BF}"/>
    <cellStyle name="Normal 10 3 2 5 4 2 3 2 2 2" xfId="19226" xr:uid="{78DD76A4-4DC8-423C-9234-0367066E2905}"/>
    <cellStyle name="Normal 10 3 2 5 4 2 3 2 3" xfId="19227" xr:uid="{12FC9F47-F52A-48E0-A9BE-454B52CAC932}"/>
    <cellStyle name="Normal 10 3 2 5 4 2 3 3" xfId="19228" xr:uid="{3F563893-6C53-4F65-8257-2FBDC4592A61}"/>
    <cellStyle name="Normal 10 3 2 5 4 2 3 3 2" xfId="19229" xr:uid="{12E864C8-70F3-4271-8DD4-BBEEDCE96952}"/>
    <cellStyle name="Normal 10 3 2 5 4 2 3 4" xfId="19230" xr:uid="{495C7661-CD7A-4412-990B-2C1F24FDE0A7}"/>
    <cellStyle name="Normal 10 3 2 5 4 2 4" xfId="19231" xr:uid="{DD1C409E-61AE-4791-8951-63C2208CF7EA}"/>
    <cellStyle name="Normal 10 3 2 5 4 2 4 2" xfId="19232" xr:uid="{A3402221-AEA1-48D2-9DF5-0318F1D07044}"/>
    <cellStyle name="Normal 10 3 2 5 4 2 4 2 2" xfId="19233" xr:uid="{A744D5F1-493D-4EAD-AE47-C5AA308B0B0D}"/>
    <cellStyle name="Normal 10 3 2 5 4 2 4 3" xfId="19234" xr:uid="{E562CF73-A9C7-4153-941E-2F7ACCCFDFE7}"/>
    <cellStyle name="Normal 10 3 2 5 4 2 5" xfId="19235" xr:uid="{163519FA-E401-4548-8DBB-09F21F6F0E02}"/>
    <cellStyle name="Normal 10 3 2 5 4 2 5 2" xfId="19236" xr:uid="{0D366648-7925-4FE5-B4BA-A29B6AB75CEF}"/>
    <cellStyle name="Normal 10 3 2 5 4 2 6" xfId="19237" xr:uid="{0913C763-39B3-42D6-A635-841152EC9B00}"/>
    <cellStyle name="Normal 10 3 2 5 4 3" xfId="19238" xr:uid="{DC5FE4CF-D3BF-4E9E-8847-34B4FC0D8853}"/>
    <cellStyle name="Normal 10 3 2 5 4 3 2" xfId="19239" xr:uid="{7221EFA7-A067-4ACA-ABB1-6BDF8FC33024}"/>
    <cellStyle name="Normal 10 3 2 5 4 3 2 2" xfId="19240" xr:uid="{C83F9B99-E4EC-45DD-BB70-839F72A49700}"/>
    <cellStyle name="Normal 10 3 2 5 4 3 2 2 2" xfId="19241" xr:uid="{B736067A-2362-415E-8DCB-B6F5A4D9256C}"/>
    <cellStyle name="Normal 10 3 2 5 4 3 2 2 2 2" xfId="19242" xr:uid="{6C204DC6-C43B-4073-915F-6D7C00D5023A}"/>
    <cellStyle name="Normal 10 3 2 5 4 3 2 2 3" xfId="19243" xr:uid="{A6B062E9-9B4A-4B6E-A7F0-192AC34E2361}"/>
    <cellStyle name="Normal 10 3 2 5 4 3 2 3" xfId="19244" xr:uid="{9E3C3D21-BBD6-4FD6-8B51-A2474528BFE3}"/>
    <cellStyle name="Normal 10 3 2 5 4 3 2 3 2" xfId="19245" xr:uid="{CDD01526-9F43-43AF-AD08-986309F737B9}"/>
    <cellStyle name="Normal 10 3 2 5 4 3 2 4" xfId="19246" xr:uid="{8AF19E5E-5A79-4CD3-97FD-050153730999}"/>
    <cellStyle name="Normal 10 3 2 5 4 3 3" xfId="19247" xr:uid="{7D901BEB-A684-4A30-8F72-C4A55B20321A}"/>
    <cellStyle name="Normal 10 3 2 5 4 3 3 2" xfId="19248" xr:uid="{C07F54B7-664D-4F89-8818-2463EDEE5283}"/>
    <cellStyle name="Normal 10 3 2 5 4 3 3 2 2" xfId="19249" xr:uid="{AEDCDB5C-1528-4F2E-AF89-BA8DD592F9E6}"/>
    <cellStyle name="Normal 10 3 2 5 4 3 3 3" xfId="19250" xr:uid="{2B73591E-D5DE-4A65-9985-4BFDA4DF57BF}"/>
    <cellStyle name="Normal 10 3 2 5 4 3 4" xfId="19251" xr:uid="{2A9D667F-8F01-411C-8148-06B0081BE532}"/>
    <cellStyle name="Normal 10 3 2 5 4 3 4 2" xfId="19252" xr:uid="{29EEDE8C-2DB0-4D4E-ACF1-5EA904FDE7C0}"/>
    <cellStyle name="Normal 10 3 2 5 4 3 5" xfId="19253" xr:uid="{21C03E0B-C72D-4EB5-8169-5FE7B6864BD3}"/>
    <cellStyle name="Normal 10 3 2 5 4 4" xfId="19254" xr:uid="{A54A6A33-B9E2-47E3-BFF5-9AAD115B61FC}"/>
    <cellStyle name="Normal 10 3 2 5 4 4 2" xfId="19255" xr:uid="{D31695F2-420E-4092-9D39-1B097D699D32}"/>
    <cellStyle name="Normal 10 3 2 5 4 4 2 2" xfId="19256" xr:uid="{223A50A5-5B50-4F41-8207-C8C057780C3F}"/>
    <cellStyle name="Normal 10 3 2 5 4 4 2 2 2" xfId="19257" xr:uid="{C2B0FD45-1044-4412-BF48-762337FB05ED}"/>
    <cellStyle name="Normal 10 3 2 5 4 4 2 3" xfId="19258" xr:uid="{6989D6D6-8ED2-47F0-A8FA-A76D40C0011B}"/>
    <cellStyle name="Normal 10 3 2 5 4 4 3" xfId="19259" xr:uid="{39C0D7BF-F2E5-4231-B035-50CC11478BD3}"/>
    <cellStyle name="Normal 10 3 2 5 4 4 3 2" xfId="19260" xr:uid="{54E691A3-8FC1-49FE-AAC2-07301DD99707}"/>
    <cellStyle name="Normal 10 3 2 5 4 4 4" xfId="19261" xr:uid="{646030BA-13B4-4257-8595-96F4ED35AE35}"/>
    <cellStyle name="Normal 10 3 2 5 4 5" xfId="19262" xr:uid="{DBEC348E-D7A3-4B86-87CA-298D94A367B1}"/>
    <cellStyle name="Normal 10 3 2 5 4 5 2" xfId="19263" xr:uid="{5D0CCC35-FDA0-44B3-B884-53F1019C4212}"/>
    <cellStyle name="Normal 10 3 2 5 4 5 2 2" xfId="19264" xr:uid="{AF52A9FE-E0EA-4613-BA39-12849EE11AB1}"/>
    <cellStyle name="Normal 10 3 2 5 4 5 3" xfId="19265" xr:uid="{D37B8480-1298-45F7-B01F-59C716F73EE0}"/>
    <cellStyle name="Normal 10 3 2 5 4 6" xfId="19266" xr:uid="{5B32246A-E200-4F9C-87CC-08EA683563B1}"/>
    <cellStyle name="Normal 10 3 2 5 4 6 2" xfId="19267" xr:uid="{43E219E0-0A41-4551-8E41-0C3E22C38E64}"/>
    <cellStyle name="Normal 10 3 2 5 4 7" xfId="19268" xr:uid="{6E3E6CA5-61FE-45D0-920E-2443E6092D9C}"/>
    <cellStyle name="Normal 10 3 2 5 5" xfId="19269" xr:uid="{97D68124-E906-4710-A278-E74632F8B393}"/>
    <cellStyle name="Normal 10 3 2 5 5 2" xfId="19270" xr:uid="{C7B3F461-0B25-47A9-86A0-FC54527E9ACA}"/>
    <cellStyle name="Normal 10 3 2 5 5 2 2" xfId="19271" xr:uid="{1691B020-7C2B-48F1-8AC1-7B7D12715E62}"/>
    <cellStyle name="Normal 10 3 2 5 5 2 2 2" xfId="19272" xr:uid="{82C27ED7-0D2B-4563-9D5F-B47549F0AC24}"/>
    <cellStyle name="Normal 10 3 2 5 5 2 2 2 2" xfId="19273" xr:uid="{FD510B5C-5E26-4C91-8D40-15EC4C1CB860}"/>
    <cellStyle name="Normal 10 3 2 5 5 2 2 2 2 2" xfId="19274" xr:uid="{F0DF26BE-AAD4-4CBA-B16A-7B0B42FEFAE3}"/>
    <cellStyle name="Normal 10 3 2 5 5 2 2 2 3" xfId="19275" xr:uid="{6A7E3544-86DD-446D-8B75-C422B79ECF27}"/>
    <cellStyle name="Normal 10 3 2 5 5 2 2 3" xfId="19276" xr:uid="{F6A6799D-D075-42E3-AE0A-7A34C87053C3}"/>
    <cellStyle name="Normal 10 3 2 5 5 2 2 3 2" xfId="19277" xr:uid="{B6E4796D-67EF-415D-93D0-D67EB488E8EE}"/>
    <cellStyle name="Normal 10 3 2 5 5 2 2 4" xfId="19278" xr:uid="{FA2792BB-578A-4605-873C-707481E1BEC3}"/>
    <cellStyle name="Normal 10 3 2 5 5 2 3" xfId="19279" xr:uid="{3781A059-AF35-4716-9097-2D7A3C4191C4}"/>
    <cellStyle name="Normal 10 3 2 5 5 2 3 2" xfId="19280" xr:uid="{FD7FADB5-9675-4FC4-92FB-5F1454D803E2}"/>
    <cellStyle name="Normal 10 3 2 5 5 2 3 2 2" xfId="19281" xr:uid="{7144186C-4A6B-4914-8115-51A56F193FA9}"/>
    <cellStyle name="Normal 10 3 2 5 5 2 3 3" xfId="19282" xr:uid="{DCE37280-9C09-4134-8F86-42AADF00F4B2}"/>
    <cellStyle name="Normal 10 3 2 5 5 2 4" xfId="19283" xr:uid="{1E897897-E8C8-43E5-9189-39F0194D1ADD}"/>
    <cellStyle name="Normal 10 3 2 5 5 2 4 2" xfId="19284" xr:uid="{43006BE3-828A-48EB-B5BF-56D20BA1C608}"/>
    <cellStyle name="Normal 10 3 2 5 5 2 5" xfId="19285" xr:uid="{A5589D7C-B0B4-4FD6-98D4-C09963D622D6}"/>
    <cellStyle name="Normal 10 3 2 5 5 3" xfId="19286" xr:uid="{0ABA207D-0F6F-4365-B815-177B2A2E645C}"/>
    <cellStyle name="Normal 10 3 2 5 5 3 2" xfId="19287" xr:uid="{22F91B10-B850-45BE-B132-33C982356BC5}"/>
    <cellStyle name="Normal 10 3 2 5 5 3 2 2" xfId="19288" xr:uid="{20ED56D6-B192-4765-BD2B-7A37973F9CF4}"/>
    <cellStyle name="Normal 10 3 2 5 5 3 2 2 2" xfId="19289" xr:uid="{CD689777-BF00-40E9-A4B0-7A46E35FFE7B}"/>
    <cellStyle name="Normal 10 3 2 5 5 3 2 3" xfId="19290" xr:uid="{0DE8C7C9-E8EE-4F68-92B6-E3C7089018E3}"/>
    <cellStyle name="Normal 10 3 2 5 5 3 3" xfId="19291" xr:uid="{D2136C70-9533-4FAE-BD65-66BD456DDA65}"/>
    <cellStyle name="Normal 10 3 2 5 5 3 3 2" xfId="19292" xr:uid="{8A9C1D15-CADC-44F3-A159-6E409D61BF72}"/>
    <cellStyle name="Normal 10 3 2 5 5 3 4" xfId="19293" xr:uid="{3E122B46-8604-475D-B86A-FB444397406C}"/>
    <cellStyle name="Normal 10 3 2 5 5 4" xfId="19294" xr:uid="{94C53EB3-041A-4D58-B098-594A7A0E135F}"/>
    <cellStyle name="Normal 10 3 2 5 5 4 2" xfId="19295" xr:uid="{DFA3CF55-1AB5-4CA6-ABE2-6A0879C789B1}"/>
    <cellStyle name="Normal 10 3 2 5 5 4 2 2" xfId="19296" xr:uid="{4008B740-F8E5-4100-8EA8-034AD931D66B}"/>
    <cellStyle name="Normal 10 3 2 5 5 4 3" xfId="19297" xr:uid="{473E5A33-7968-4B35-9A6A-8F688B189543}"/>
    <cellStyle name="Normal 10 3 2 5 5 5" xfId="19298" xr:uid="{65D1B987-484A-4662-A872-FE3798172076}"/>
    <cellStyle name="Normal 10 3 2 5 5 5 2" xfId="19299" xr:uid="{B6E7870D-7B35-4141-9CC5-8B6707744F37}"/>
    <cellStyle name="Normal 10 3 2 5 5 6" xfId="19300" xr:uid="{226BEB92-0EA2-43C0-B025-D7D575B26BE0}"/>
    <cellStyle name="Normal 10 3 2 5 6" xfId="19301" xr:uid="{BB7A7022-F19D-45CC-B929-0BCE352A2232}"/>
    <cellStyle name="Normal 10 3 2 5 6 2" xfId="19302" xr:uid="{6A15EAD7-59EE-49F6-9075-F494B6FC540F}"/>
    <cellStyle name="Normal 10 3 2 5 6 2 2" xfId="19303" xr:uid="{D215100D-CD75-4CA2-A98C-7F4D62248E60}"/>
    <cellStyle name="Normal 10 3 2 5 6 2 2 2" xfId="19304" xr:uid="{7AD938B9-AC18-40BE-9805-36DE68D0A1C8}"/>
    <cellStyle name="Normal 10 3 2 5 6 2 2 2 2" xfId="19305" xr:uid="{7C095664-001E-4137-AC9E-4E41C100BD69}"/>
    <cellStyle name="Normal 10 3 2 5 6 2 2 3" xfId="19306" xr:uid="{EBFFA62B-32CA-4678-B06B-F68BD7732473}"/>
    <cellStyle name="Normal 10 3 2 5 6 2 3" xfId="19307" xr:uid="{30C0E00D-DC7E-4566-B873-F80A52494002}"/>
    <cellStyle name="Normal 10 3 2 5 6 2 3 2" xfId="19308" xr:uid="{2579A06A-AE65-4606-B11B-D967CC5A31D5}"/>
    <cellStyle name="Normal 10 3 2 5 6 2 4" xfId="19309" xr:uid="{28E7543B-F805-425B-B9C7-856ED4411899}"/>
    <cellStyle name="Normal 10 3 2 5 6 3" xfId="19310" xr:uid="{4DA5D050-09DC-42A0-BD0C-316D92AD9B93}"/>
    <cellStyle name="Normal 10 3 2 5 6 3 2" xfId="19311" xr:uid="{6CACEBC4-7795-4E25-89DB-17AB506A1FF4}"/>
    <cellStyle name="Normal 10 3 2 5 6 3 2 2" xfId="19312" xr:uid="{8C802243-1A19-4C99-924A-F4FF467AD5DE}"/>
    <cellStyle name="Normal 10 3 2 5 6 3 3" xfId="19313" xr:uid="{9E0FBD50-E768-4586-B201-D4BCF5FB3DF8}"/>
    <cellStyle name="Normal 10 3 2 5 6 4" xfId="19314" xr:uid="{C785BA4C-BB22-4004-BEB6-7D51494A9CFA}"/>
    <cellStyle name="Normal 10 3 2 5 6 4 2" xfId="19315" xr:uid="{CD01BD12-90C7-4BA7-8DD0-16836A6DC85A}"/>
    <cellStyle name="Normal 10 3 2 5 6 5" xfId="19316" xr:uid="{80F3B212-871C-42C1-9A10-975966A3BB65}"/>
    <cellStyle name="Normal 10 3 2 5 7" xfId="19317" xr:uid="{B0396E0A-0C87-4D49-9365-8213A98D63C9}"/>
    <cellStyle name="Normal 10 3 2 5 7 2" xfId="19318" xr:uid="{0DABA70B-50B1-49D3-BC1B-722B91F88677}"/>
    <cellStyle name="Normal 10 3 2 5 7 2 2" xfId="19319" xr:uid="{CEE323C5-9C4B-4BE1-A0E0-BCB95B971380}"/>
    <cellStyle name="Normal 10 3 2 5 7 2 2 2" xfId="19320" xr:uid="{2EB1D9CC-6B3F-4F65-B275-835CD0967625}"/>
    <cellStyle name="Normal 10 3 2 5 7 2 3" xfId="19321" xr:uid="{FEBC8B96-8337-43B5-A47B-F73C2326794F}"/>
    <cellStyle name="Normal 10 3 2 5 7 3" xfId="19322" xr:uid="{F3A9FCC3-9DA0-459F-A3F9-46E9DBE883EC}"/>
    <cellStyle name="Normal 10 3 2 5 7 3 2" xfId="19323" xr:uid="{E415B37F-4B5C-4179-AC86-6B4647FBC18A}"/>
    <cellStyle name="Normal 10 3 2 5 7 4" xfId="19324" xr:uid="{0CB6AA23-C33F-49A4-B908-96EB591AED7C}"/>
    <cellStyle name="Normal 10 3 2 5 8" xfId="19325" xr:uid="{C81CE501-7093-4233-B0E6-7913B449B912}"/>
    <cellStyle name="Normal 10 3 2 5 8 2" xfId="19326" xr:uid="{8A898EAE-8DDC-464D-A176-12F49F47E1E8}"/>
    <cellStyle name="Normal 10 3 2 5 8 2 2" xfId="19327" xr:uid="{35E6A331-9CFB-4887-BC11-4E8CD0AD2F27}"/>
    <cellStyle name="Normal 10 3 2 5 8 3" xfId="19328" xr:uid="{CB994D09-2347-4AB7-8D08-45836450176C}"/>
    <cellStyle name="Normal 10 3 2 5 9" xfId="19329" xr:uid="{A66592C8-6609-4B21-8658-E1B98D394ECB}"/>
    <cellStyle name="Normal 10 3 2 5 9 2" xfId="19330" xr:uid="{1531E375-A8C8-45C8-9EB0-99D06C918763}"/>
    <cellStyle name="Normal 10 3 2 6" xfId="271" xr:uid="{428257F4-A571-43FF-946F-0E6E75C4AF62}"/>
    <cellStyle name="Normal 10 3 2 6 10" xfId="19331" xr:uid="{E3062108-D976-4C27-BE79-24F391B13BD3}"/>
    <cellStyle name="Normal 10 3 2 6 11" xfId="565" xr:uid="{C225FBE8-6C85-4051-99AE-2A0758FFF146}"/>
    <cellStyle name="Normal 10 3 2 6 2" xfId="337" xr:uid="{E5720B46-EB51-4190-99B7-82246F90F5CA}"/>
    <cellStyle name="Normal 10 3 2 6 2 10" xfId="19332" xr:uid="{AD554EAA-EBED-426E-BB12-6CDD26B7404A}"/>
    <cellStyle name="Normal 10 3 2 6 2 2" xfId="19333" xr:uid="{4B242FF6-8817-4DC8-9674-791F128198C1}"/>
    <cellStyle name="Normal 10 3 2 6 2 2 2" xfId="19334" xr:uid="{E34FD308-F506-43B8-8827-3DCF3C317667}"/>
    <cellStyle name="Normal 10 3 2 6 2 2 2 2" xfId="19335" xr:uid="{7C14B406-F511-4562-A7B4-62DAD85433EF}"/>
    <cellStyle name="Normal 10 3 2 6 2 2 2 2 2" xfId="19336" xr:uid="{6AD5084A-2A6B-4A8F-9396-0DBCFC69B600}"/>
    <cellStyle name="Normal 10 3 2 6 2 2 2 2 2 2" xfId="19337" xr:uid="{16B3A7C7-3855-4914-B097-9FE4FE318EA1}"/>
    <cellStyle name="Normal 10 3 2 6 2 2 2 2 2 2 2" xfId="19338" xr:uid="{C692AF05-B2A0-41D8-B9DA-7702F3B0FAE7}"/>
    <cellStyle name="Normal 10 3 2 6 2 2 2 2 2 2 2 2" xfId="19339" xr:uid="{E1EA9259-F43D-486B-B0C9-1421EF81D9D6}"/>
    <cellStyle name="Normal 10 3 2 6 2 2 2 2 2 2 2 2 2" xfId="19340" xr:uid="{FBBD8D22-6B34-42B0-9B5A-57650BBAA37C}"/>
    <cellStyle name="Normal 10 3 2 6 2 2 2 2 2 2 2 3" xfId="19341" xr:uid="{0FF350EB-E3F5-458A-8F1D-04E5A215F30A}"/>
    <cellStyle name="Normal 10 3 2 6 2 2 2 2 2 2 3" xfId="19342" xr:uid="{4539A01E-3DD1-44FC-BDEB-9AA002F9140A}"/>
    <cellStyle name="Normal 10 3 2 6 2 2 2 2 2 2 3 2" xfId="19343" xr:uid="{7D2A8095-283F-4148-839F-1BB8DB20CDBA}"/>
    <cellStyle name="Normal 10 3 2 6 2 2 2 2 2 2 4" xfId="19344" xr:uid="{1A498E88-C738-406B-B2CA-219EA3BAC7CB}"/>
    <cellStyle name="Normal 10 3 2 6 2 2 2 2 2 3" xfId="19345" xr:uid="{263577C9-A133-4FE4-9292-D2DDCD5FFC0D}"/>
    <cellStyle name="Normal 10 3 2 6 2 2 2 2 2 3 2" xfId="19346" xr:uid="{9BFEABF1-D2EE-473C-AE11-FA779A2E652C}"/>
    <cellStyle name="Normal 10 3 2 6 2 2 2 2 2 3 2 2" xfId="19347" xr:uid="{4D1F2FEC-23B7-4FCE-82FB-21678CA48C2C}"/>
    <cellStyle name="Normal 10 3 2 6 2 2 2 2 2 3 3" xfId="19348" xr:uid="{A49FE1C4-CE9E-494A-AAD8-332EB64ED170}"/>
    <cellStyle name="Normal 10 3 2 6 2 2 2 2 2 4" xfId="19349" xr:uid="{4246C55A-92B1-4B63-8BA6-67C04B1A1BB7}"/>
    <cellStyle name="Normal 10 3 2 6 2 2 2 2 2 4 2" xfId="19350" xr:uid="{56241711-D050-4525-B7DA-818887A4082C}"/>
    <cellStyle name="Normal 10 3 2 6 2 2 2 2 2 5" xfId="19351" xr:uid="{C16053F1-C14E-4D86-BEEB-ACB7428DCD9D}"/>
    <cellStyle name="Normal 10 3 2 6 2 2 2 2 3" xfId="19352" xr:uid="{334E4879-B0E5-4A9C-B39E-9C789144F7F8}"/>
    <cellStyle name="Normal 10 3 2 6 2 2 2 2 3 2" xfId="19353" xr:uid="{18B9792C-39AF-4F96-8AE2-E965A401C1A7}"/>
    <cellStyle name="Normal 10 3 2 6 2 2 2 2 3 2 2" xfId="19354" xr:uid="{1DBDC9CB-7EB7-4768-9577-A7AA71D8A376}"/>
    <cellStyle name="Normal 10 3 2 6 2 2 2 2 3 2 2 2" xfId="19355" xr:uid="{E4B3CEE0-A976-4F2E-97AF-7CF3DB657959}"/>
    <cellStyle name="Normal 10 3 2 6 2 2 2 2 3 2 3" xfId="19356" xr:uid="{3D96F0CF-CF18-47D9-926F-8580951EADFF}"/>
    <cellStyle name="Normal 10 3 2 6 2 2 2 2 3 3" xfId="19357" xr:uid="{18045425-B575-40F7-BC81-E5D00D85790A}"/>
    <cellStyle name="Normal 10 3 2 6 2 2 2 2 3 3 2" xfId="19358" xr:uid="{54EAD9B4-AFE6-43AA-A384-7BC2DBE4B5CD}"/>
    <cellStyle name="Normal 10 3 2 6 2 2 2 2 3 4" xfId="19359" xr:uid="{81282F61-DC2E-4E94-9FA2-87AFBB202772}"/>
    <cellStyle name="Normal 10 3 2 6 2 2 2 2 4" xfId="19360" xr:uid="{43170F61-0D4E-4BAD-9791-6D5BEF3D8F00}"/>
    <cellStyle name="Normal 10 3 2 6 2 2 2 2 4 2" xfId="19361" xr:uid="{F9C42580-14FF-4BC4-BB54-5B250493CB16}"/>
    <cellStyle name="Normal 10 3 2 6 2 2 2 2 4 2 2" xfId="19362" xr:uid="{78AECE3C-B95B-4442-8896-C4E041580ACB}"/>
    <cellStyle name="Normal 10 3 2 6 2 2 2 2 4 3" xfId="19363" xr:uid="{4E685719-FA89-4A51-A717-28B01345D909}"/>
    <cellStyle name="Normal 10 3 2 6 2 2 2 2 5" xfId="19364" xr:uid="{AAB9D8E8-2059-43FB-8707-F47B9B530442}"/>
    <cellStyle name="Normal 10 3 2 6 2 2 2 2 5 2" xfId="19365" xr:uid="{0D041375-2D9B-4490-986B-D981E5EEFDDA}"/>
    <cellStyle name="Normal 10 3 2 6 2 2 2 2 6" xfId="19366" xr:uid="{E96ED0EA-3385-40E0-A5DA-B02B97A04682}"/>
    <cellStyle name="Normal 10 3 2 6 2 2 2 3" xfId="19367" xr:uid="{9D5E1C18-EF91-4D78-AE6D-B6C73679BDA7}"/>
    <cellStyle name="Normal 10 3 2 6 2 2 2 3 2" xfId="19368" xr:uid="{BAAF18C4-FA84-4D04-A2DF-74AF59CE728E}"/>
    <cellStyle name="Normal 10 3 2 6 2 2 2 3 2 2" xfId="19369" xr:uid="{B050EECF-DA74-4EDC-8EDB-D9B8BED32B75}"/>
    <cellStyle name="Normal 10 3 2 6 2 2 2 3 2 2 2" xfId="19370" xr:uid="{7348B19D-A098-41E1-9139-D7C8105704D3}"/>
    <cellStyle name="Normal 10 3 2 6 2 2 2 3 2 2 2 2" xfId="19371" xr:uid="{90A25044-3864-4334-A8EB-D7C418CC6587}"/>
    <cellStyle name="Normal 10 3 2 6 2 2 2 3 2 2 3" xfId="19372" xr:uid="{40C18457-662E-4BF9-B28D-0522576866A3}"/>
    <cellStyle name="Normal 10 3 2 6 2 2 2 3 2 3" xfId="19373" xr:uid="{83F06D02-80D6-4FE9-9A25-9F7960DBC9FA}"/>
    <cellStyle name="Normal 10 3 2 6 2 2 2 3 2 3 2" xfId="19374" xr:uid="{6154DFCC-D721-4963-B2B5-48F0CA3252B2}"/>
    <cellStyle name="Normal 10 3 2 6 2 2 2 3 2 4" xfId="19375" xr:uid="{ECBC4EB7-749F-4598-9DEE-B1AF3F76612A}"/>
    <cellStyle name="Normal 10 3 2 6 2 2 2 3 3" xfId="19376" xr:uid="{FCD7A892-B6C7-485B-B7F5-61BF9BB5D2A8}"/>
    <cellStyle name="Normal 10 3 2 6 2 2 2 3 3 2" xfId="19377" xr:uid="{F3E65927-F595-4E32-B348-FBE3F8356F3D}"/>
    <cellStyle name="Normal 10 3 2 6 2 2 2 3 3 2 2" xfId="19378" xr:uid="{B1B4A6B1-540A-48B2-9B7F-4449437E1647}"/>
    <cellStyle name="Normal 10 3 2 6 2 2 2 3 3 3" xfId="19379" xr:uid="{4886F7AB-F6A7-4045-AA2B-D275A3D02C76}"/>
    <cellStyle name="Normal 10 3 2 6 2 2 2 3 4" xfId="19380" xr:uid="{B634E8DE-77B0-43E3-8DE6-BC271808B76B}"/>
    <cellStyle name="Normal 10 3 2 6 2 2 2 3 4 2" xfId="19381" xr:uid="{0A68AC1A-F60E-4A84-97EC-1CA45CBDEBC0}"/>
    <cellStyle name="Normal 10 3 2 6 2 2 2 3 5" xfId="19382" xr:uid="{027FBD7D-D541-44EB-B155-45FDD2687B5B}"/>
    <cellStyle name="Normal 10 3 2 6 2 2 2 4" xfId="19383" xr:uid="{98A69AF3-68A3-4C1E-BC02-22CB695FA531}"/>
    <cellStyle name="Normal 10 3 2 6 2 2 2 4 2" xfId="19384" xr:uid="{177D1403-4DBE-46A8-93A3-E84D2813F069}"/>
    <cellStyle name="Normal 10 3 2 6 2 2 2 4 2 2" xfId="19385" xr:uid="{1E1136D4-9882-4DA8-BAAF-6DA90FF46DE1}"/>
    <cellStyle name="Normal 10 3 2 6 2 2 2 4 2 2 2" xfId="19386" xr:uid="{3F334D89-3F0C-4D97-B29F-7B7FB4D4FA35}"/>
    <cellStyle name="Normal 10 3 2 6 2 2 2 4 2 3" xfId="19387" xr:uid="{A1543F1A-B0AA-4A9D-BE9F-391B8074280E}"/>
    <cellStyle name="Normal 10 3 2 6 2 2 2 4 3" xfId="19388" xr:uid="{DEF4B22C-6B1F-42FF-AE01-845B17230654}"/>
    <cellStyle name="Normal 10 3 2 6 2 2 2 4 3 2" xfId="19389" xr:uid="{B482F4F4-06E4-457E-9EA3-37A84D3CC001}"/>
    <cellStyle name="Normal 10 3 2 6 2 2 2 4 4" xfId="19390" xr:uid="{19C64FFB-32D8-435A-8288-DF5FF854D039}"/>
    <cellStyle name="Normal 10 3 2 6 2 2 2 5" xfId="19391" xr:uid="{973AAA76-54D2-4ACF-AD70-BA753B47003E}"/>
    <cellStyle name="Normal 10 3 2 6 2 2 2 5 2" xfId="19392" xr:uid="{D66E02D3-B21B-45C8-8493-1A8356A68D73}"/>
    <cellStyle name="Normal 10 3 2 6 2 2 2 5 2 2" xfId="19393" xr:uid="{FEFF30E1-762E-4D9E-82E9-F9FCA36B61F7}"/>
    <cellStyle name="Normal 10 3 2 6 2 2 2 5 3" xfId="19394" xr:uid="{A78E51BF-67C2-4662-AB4E-432678562796}"/>
    <cellStyle name="Normal 10 3 2 6 2 2 2 6" xfId="19395" xr:uid="{13DC06EE-25F2-4B34-839A-8A1591A07DE5}"/>
    <cellStyle name="Normal 10 3 2 6 2 2 2 6 2" xfId="19396" xr:uid="{F60BCCF7-F227-4EFE-93E8-4DBD759E7D79}"/>
    <cellStyle name="Normal 10 3 2 6 2 2 2 7" xfId="19397" xr:uid="{FB09AB5B-8C3D-4D09-B40D-9866C8383A67}"/>
    <cellStyle name="Normal 10 3 2 6 2 2 3" xfId="19398" xr:uid="{651F5980-09FC-4356-B5AE-E4AAA6A51FF6}"/>
    <cellStyle name="Normal 10 3 2 6 2 2 3 2" xfId="19399" xr:uid="{E50D5F03-9BE0-4713-8BE2-F3B36282479F}"/>
    <cellStyle name="Normal 10 3 2 6 2 2 3 2 2" xfId="19400" xr:uid="{D59A8443-2683-4BBB-A1E4-1BBD9FB291DC}"/>
    <cellStyle name="Normal 10 3 2 6 2 2 3 2 2 2" xfId="19401" xr:uid="{46BFD755-CA7D-419B-9275-50FEFC2B6D1C}"/>
    <cellStyle name="Normal 10 3 2 6 2 2 3 2 2 2 2" xfId="19402" xr:uid="{111B94DE-D958-4E77-9375-CD2C0F439AFA}"/>
    <cellStyle name="Normal 10 3 2 6 2 2 3 2 2 2 2 2" xfId="19403" xr:uid="{24A0481A-D252-491C-8AAA-B760B2A720E2}"/>
    <cellStyle name="Normal 10 3 2 6 2 2 3 2 2 2 3" xfId="19404" xr:uid="{346C1DCA-BF29-4376-A8DA-12127B475B69}"/>
    <cellStyle name="Normal 10 3 2 6 2 2 3 2 2 3" xfId="19405" xr:uid="{7D90EF30-5AE6-4824-817D-0EA5D5922921}"/>
    <cellStyle name="Normal 10 3 2 6 2 2 3 2 2 3 2" xfId="19406" xr:uid="{736DF612-AB76-4AB0-A133-188C445C25FB}"/>
    <cellStyle name="Normal 10 3 2 6 2 2 3 2 2 4" xfId="19407" xr:uid="{8113979F-9888-4A8B-8F92-BAF5F5F6A3A1}"/>
    <cellStyle name="Normal 10 3 2 6 2 2 3 2 3" xfId="19408" xr:uid="{40B57417-4EDF-455A-8621-746C0EE0343D}"/>
    <cellStyle name="Normal 10 3 2 6 2 2 3 2 3 2" xfId="19409" xr:uid="{E5FF9D6B-07B1-470C-AC52-4142376622AF}"/>
    <cellStyle name="Normal 10 3 2 6 2 2 3 2 3 2 2" xfId="19410" xr:uid="{D2355E64-DF07-477E-87FA-32A54B853CF2}"/>
    <cellStyle name="Normal 10 3 2 6 2 2 3 2 3 3" xfId="19411" xr:uid="{63698765-67A0-4709-A9A5-B21C38ABCB83}"/>
    <cellStyle name="Normal 10 3 2 6 2 2 3 2 4" xfId="19412" xr:uid="{9F173EAD-7D83-4C74-98EB-0A414B91C26E}"/>
    <cellStyle name="Normal 10 3 2 6 2 2 3 2 4 2" xfId="19413" xr:uid="{FBC0A81D-7F3E-43F8-89F0-5E4987BA3E33}"/>
    <cellStyle name="Normal 10 3 2 6 2 2 3 2 5" xfId="19414" xr:uid="{09B35443-2121-432A-981D-474CC9EA7DA3}"/>
    <cellStyle name="Normal 10 3 2 6 2 2 3 3" xfId="19415" xr:uid="{98155C33-5EA1-4E70-8519-DB248D2B0A5C}"/>
    <cellStyle name="Normal 10 3 2 6 2 2 3 3 2" xfId="19416" xr:uid="{70A63EC6-B9E9-40EB-B312-92B9250691CB}"/>
    <cellStyle name="Normal 10 3 2 6 2 2 3 3 2 2" xfId="19417" xr:uid="{FE370825-14D2-43A6-A446-9CD62D1F25AE}"/>
    <cellStyle name="Normal 10 3 2 6 2 2 3 3 2 2 2" xfId="19418" xr:uid="{1ED0D5B3-745B-4E23-80C9-20BF1F8A0077}"/>
    <cellStyle name="Normal 10 3 2 6 2 2 3 3 2 3" xfId="19419" xr:uid="{1E332C7D-25AD-47DF-81B9-DC10C950980D}"/>
    <cellStyle name="Normal 10 3 2 6 2 2 3 3 3" xfId="19420" xr:uid="{BFC0F727-0E24-4067-B059-F646F44CF0FD}"/>
    <cellStyle name="Normal 10 3 2 6 2 2 3 3 3 2" xfId="19421" xr:uid="{D106A713-83F9-4286-805A-192485E100B4}"/>
    <cellStyle name="Normal 10 3 2 6 2 2 3 3 4" xfId="19422" xr:uid="{E3EC2CF4-14E7-4179-BFF2-B2916BDD44DE}"/>
    <cellStyle name="Normal 10 3 2 6 2 2 3 4" xfId="19423" xr:uid="{68701449-2D09-40C1-BEC1-CC9974014BF7}"/>
    <cellStyle name="Normal 10 3 2 6 2 2 3 4 2" xfId="19424" xr:uid="{E0DF4948-E479-4E36-BC9B-B38631B8811C}"/>
    <cellStyle name="Normal 10 3 2 6 2 2 3 4 2 2" xfId="19425" xr:uid="{CA80B5E1-132D-41FE-9A5A-8D80A7C91FAF}"/>
    <cellStyle name="Normal 10 3 2 6 2 2 3 4 3" xfId="19426" xr:uid="{9D1C33BD-2B0D-410B-B787-69C90C3720E7}"/>
    <cellStyle name="Normal 10 3 2 6 2 2 3 5" xfId="19427" xr:uid="{EC318561-5701-4206-A0DE-1BB25B2355CC}"/>
    <cellStyle name="Normal 10 3 2 6 2 2 3 5 2" xfId="19428" xr:uid="{B10E2C64-F2C7-46F4-BB2B-9040489F1A77}"/>
    <cellStyle name="Normal 10 3 2 6 2 2 3 6" xfId="19429" xr:uid="{EE47FCFD-B743-489E-AE4B-364D25753BA1}"/>
    <cellStyle name="Normal 10 3 2 6 2 2 4" xfId="19430" xr:uid="{FDCD7D03-E20C-4004-9471-1C28C649F8F7}"/>
    <cellStyle name="Normal 10 3 2 6 2 2 4 2" xfId="19431" xr:uid="{D2038678-22E7-4FE3-819A-D8B12CDA9CCD}"/>
    <cellStyle name="Normal 10 3 2 6 2 2 4 2 2" xfId="19432" xr:uid="{968FC1C5-ACA5-4F62-A2D5-0C82C4CE6BC4}"/>
    <cellStyle name="Normal 10 3 2 6 2 2 4 2 2 2" xfId="19433" xr:uid="{E9BBAF9D-AA5A-49EF-BCE4-61E0975C2509}"/>
    <cellStyle name="Normal 10 3 2 6 2 2 4 2 2 2 2" xfId="19434" xr:uid="{5BCAF3A0-38A3-4B94-836E-AA64BA99961F}"/>
    <cellStyle name="Normal 10 3 2 6 2 2 4 2 2 3" xfId="19435" xr:uid="{10CCE9A4-B86B-4D94-800A-70D42DE8DE50}"/>
    <cellStyle name="Normal 10 3 2 6 2 2 4 2 3" xfId="19436" xr:uid="{C6F25787-1D97-4FE5-AD55-ADD2756416D8}"/>
    <cellStyle name="Normal 10 3 2 6 2 2 4 2 3 2" xfId="19437" xr:uid="{86EAEBE9-E839-48D2-9416-1BE73A285030}"/>
    <cellStyle name="Normal 10 3 2 6 2 2 4 2 4" xfId="19438" xr:uid="{78DA46F3-A742-47A1-8C12-E187F49AFAB5}"/>
    <cellStyle name="Normal 10 3 2 6 2 2 4 3" xfId="19439" xr:uid="{DE628511-E746-4BEF-90BB-904EA5198739}"/>
    <cellStyle name="Normal 10 3 2 6 2 2 4 3 2" xfId="19440" xr:uid="{EA3ED94C-7C8F-46E4-BEC5-23524AB76FD7}"/>
    <cellStyle name="Normal 10 3 2 6 2 2 4 3 2 2" xfId="19441" xr:uid="{8EF86BE6-A2EC-4961-BEEA-33A71DBDA0BA}"/>
    <cellStyle name="Normal 10 3 2 6 2 2 4 3 3" xfId="19442" xr:uid="{AA6B2075-C764-4B4C-B900-46A3F7FFAE8F}"/>
    <cellStyle name="Normal 10 3 2 6 2 2 4 4" xfId="19443" xr:uid="{F7D3DE91-1D5A-4809-A47D-D20A67C1E43D}"/>
    <cellStyle name="Normal 10 3 2 6 2 2 4 4 2" xfId="19444" xr:uid="{BB4A5525-22B8-4F67-9922-6A70250F1D38}"/>
    <cellStyle name="Normal 10 3 2 6 2 2 4 5" xfId="19445" xr:uid="{FA075A82-93F7-4C3D-902F-7FDD473F64A9}"/>
    <cellStyle name="Normal 10 3 2 6 2 2 5" xfId="19446" xr:uid="{CE9F2ECC-FA2A-4CA3-9816-BFBBCF906682}"/>
    <cellStyle name="Normal 10 3 2 6 2 2 5 2" xfId="19447" xr:uid="{3FB29581-E78B-4A03-B733-A38925E33F27}"/>
    <cellStyle name="Normal 10 3 2 6 2 2 5 2 2" xfId="19448" xr:uid="{E31A5AB0-4789-455E-8865-A3EF0520B474}"/>
    <cellStyle name="Normal 10 3 2 6 2 2 5 2 2 2" xfId="19449" xr:uid="{3A41DC74-31BC-410A-BA2C-DFB797AACEC9}"/>
    <cellStyle name="Normal 10 3 2 6 2 2 5 2 3" xfId="19450" xr:uid="{872153B4-7EE4-4F27-BE8D-117E04999820}"/>
    <cellStyle name="Normal 10 3 2 6 2 2 5 3" xfId="19451" xr:uid="{C33F4A6A-75F2-4F69-9C71-11571A562C01}"/>
    <cellStyle name="Normal 10 3 2 6 2 2 5 3 2" xfId="19452" xr:uid="{164030C6-111F-44E0-AE01-8C2D76B1862F}"/>
    <cellStyle name="Normal 10 3 2 6 2 2 5 4" xfId="19453" xr:uid="{19882B22-B35F-4553-8BDF-BA0CB4A53B4A}"/>
    <cellStyle name="Normal 10 3 2 6 2 2 6" xfId="19454" xr:uid="{C8B6CCD6-E993-4C42-9954-60F5EDA5B11B}"/>
    <cellStyle name="Normal 10 3 2 6 2 2 6 2" xfId="19455" xr:uid="{96701925-2149-43F3-96E2-3CF49789B320}"/>
    <cellStyle name="Normal 10 3 2 6 2 2 6 2 2" xfId="19456" xr:uid="{B1556828-8FD5-4B5E-8F4F-813BFAA2BC85}"/>
    <cellStyle name="Normal 10 3 2 6 2 2 6 3" xfId="19457" xr:uid="{198D328F-71AA-4C72-9EF1-74FAC0EA4CC6}"/>
    <cellStyle name="Normal 10 3 2 6 2 2 7" xfId="19458" xr:uid="{2DE08CB9-9379-432D-B4DE-E779215B82CF}"/>
    <cellStyle name="Normal 10 3 2 6 2 2 7 2" xfId="19459" xr:uid="{DDDBFF59-DD40-4E72-85C3-571ECDF87A52}"/>
    <cellStyle name="Normal 10 3 2 6 2 2 8" xfId="19460" xr:uid="{7A857C52-4134-4E1C-934B-080638092BDB}"/>
    <cellStyle name="Normal 10 3 2 6 2 3" xfId="19461" xr:uid="{68450F83-66FE-4AD5-BB2C-41DF0DCAA08E}"/>
    <cellStyle name="Normal 10 3 2 6 2 3 2" xfId="19462" xr:uid="{0A663776-B498-48C8-AAAA-83BE23634A78}"/>
    <cellStyle name="Normal 10 3 2 6 2 3 2 2" xfId="19463" xr:uid="{16C108D2-B032-4C91-903D-7D1371578EE0}"/>
    <cellStyle name="Normal 10 3 2 6 2 3 2 2 2" xfId="19464" xr:uid="{14A0C71B-3A8A-4B5A-9571-5D4FA2CBC640}"/>
    <cellStyle name="Normal 10 3 2 6 2 3 2 2 2 2" xfId="19465" xr:uid="{78868D77-2C4C-451B-9CB9-BE4B864CA317}"/>
    <cellStyle name="Normal 10 3 2 6 2 3 2 2 2 2 2" xfId="19466" xr:uid="{24C5A509-50A3-496B-A4E9-ACB691242528}"/>
    <cellStyle name="Normal 10 3 2 6 2 3 2 2 2 2 2 2" xfId="19467" xr:uid="{B7957450-3778-4F48-B937-690B9AF29DEA}"/>
    <cellStyle name="Normal 10 3 2 6 2 3 2 2 2 2 3" xfId="19468" xr:uid="{A5091A3C-71D3-48D4-801A-076ED3E27D2A}"/>
    <cellStyle name="Normal 10 3 2 6 2 3 2 2 2 3" xfId="19469" xr:uid="{38C2A30D-1409-4959-BDB3-42E3380F181D}"/>
    <cellStyle name="Normal 10 3 2 6 2 3 2 2 2 3 2" xfId="19470" xr:uid="{17DC5E42-C536-4410-9D09-C4CEFE37302E}"/>
    <cellStyle name="Normal 10 3 2 6 2 3 2 2 2 4" xfId="19471" xr:uid="{82009E2F-9398-49E5-85BC-40F29E5B649B}"/>
    <cellStyle name="Normal 10 3 2 6 2 3 2 2 3" xfId="19472" xr:uid="{E95E6A7B-3059-4609-A6CD-2B3D6FAF1CF5}"/>
    <cellStyle name="Normal 10 3 2 6 2 3 2 2 3 2" xfId="19473" xr:uid="{839A3C39-EA57-40C8-AAC2-3D523A59F319}"/>
    <cellStyle name="Normal 10 3 2 6 2 3 2 2 3 2 2" xfId="19474" xr:uid="{DBF05C96-D5F8-40EA-B932-1C226C7CCEB2}"/>
    <cellStyle name="Normal 10 3 2 6 2 3 2 2 3 3" xfId="19475" xr:uid="{81316DDC-608F-4FA9-93CE-ED73DEF93EDC}"/>
    <cellStyle name="Normal 10 3 2 6 2 3 2 2 4" xfId="19476" xr:uid="{E1F80461-5C97-4E56-AD09-2015A2469721}"/>
    <cellStyle name="Normal 10 3 2 6 2 3 2 2 4 2" xfId="19477" xr:uid="{90A43D73-34EC-485E-976F-EA245C78AF53}"/>
    <cellStyle name="Normal 10 3 2 6 2 3 2 2 5" xfId="19478" xr:uid="{6CB33F9D-113B-4CE3-8AE2-85D82FE9917C}"/>
    <cellStyle name="Normal 10 3 2 6 2 3 2 3" xfId="19479" xr:uid="{62B54DCB-257B-48C9-9922-0C5967168342}"/>
    <cellStyle name="Normal 10 3 2 6 2 3 2 3 2" xfId="19480" xr:uid="{6E7D3602-8DAA-426D-86A1-9ABCA1560892}"/>
    <cellStyle name="Normal 10 3 2 6 2 3 2 3 2 2" xfId="19481" xr:uid="{765EDE36-5289-4015-BCC2-9FB1D077D02A}"/>
    <cellStyle name="Normal 10 3 2 6 2 3 2 3 2 2 2" xfId="19482" xr:uid="{8765EEE3-3C74-417D-871C-B39519A384B7}"/>
    <cellStyle name="Normal 10 3 2 6 2 3 2 3 2 3" xfId="19483" xr:uid="{C125DFDA-C193-44D7-BA6B-199AB6EBFDDD}"/>
    <cellStyle name="Normal 10 3 2 6 2 3 2 3 3" xfId="19484" xr:uid="{1BE56AB7-2D97-48B4-9F3B-E9E24392FE2F}"/>
    <cellStyle name="Normal 10 3 2 6 2 3 2 3 3 2" xfId="19485" xr:uid="{D990EA51-8DB1-4099-A9F1-A3759370A5B7}"/>
    <cellStyle name="Normal 10 3 2 6 2 3 2 3 4" xfId="19486" xr:uid="{C0E698ED-63A2-46EA-AC28-EBEE2A16D778}"/>
    <cellStyle name="Normal 10 3 2 6 2 3 2 4" xfId="19487" xr:uid="{8E73F508-9D82-4BCB-BD14-CAC588C5E646}"/>
    <cellStyle name="Normal 10 3 2 6 2 3 2 4 2" xfId="19488" xr:uid="{0E95D2CA-BF6F-4461-B6B7-1DAAD681C73C}"/>
    <cellStyle name="Normal 10 3 2 6 2 3 2 4 2 2" xfId="19489" xr:uid="{723AEBFB-A8F2-4BA5-84BE-0823289A91E1}"/>
    <cellStyle name="Normal 10 3 2 6 2 3 2 4 3" xfId="19490" xr:uid="{62C00B0F-302A-49C0-8FD6-0FE9ED104BAB}"/>
    <cellStyle name="Normal 10 3 2 6 2 3 2 5" xfId="19491" xr:uid="{243D0ABC-77CC-47FD-9EC7-1E071219513B}"/>
    <cellStyle name="Normal 10 3 2 6 2 3 2 5 2" xfId="19492" xr:uid="{877B0829-2D82-4B00-A1E4-35498DCA598A}"/>
    <cellStyle name="Normal 10 3 2 6 2 3 2 6" xfId="19493" xr:uid="{0099755C-39DC-4070-B110-0CE418C2322F}"/>
    <cellStyle name="Normal 10 3 2 6 2 3 3" xfId="19494" xr:uid="{74D85998-1F75-4A43-AC10-CFF317339B6A}"/>
    <cellStyle name="Normal 10 3 2 6 2 3 3 2" xfId="19495" xr:uid="{52EAA719-56D6-4D92-9D63-E0C2EA61065B}"/>
    <cellStyle name="Normal 10 3 2 6 2 3 3 2 2" xfId="19496" xr:uid="{3007DCDE-4D68-4CAC-A1A8-0F7DA5FBCE93}"/>
    <cellStyle name="Normal 10 3 2 6 2 3 3 2 2 2" xfId="19497" xr:uid="{65CF5BEE-83BF-484E-AD18-B9E9988A14EA}"/>
    <cellStyle name="Normal 10 3 2 6 2 3 3 2 2 2 2" xfId="19498" xr:uid="{B15301F5-E06A-47CC-8B05-79F5CB51427A}"/>
    <cellStyle name="Normal 10 3 2 6 2 3 3 2 2 3" xfId="19499" xr:uid="{8B976534-3AB8-44B4-83E0-BD009F84A27E}"/>
    <cellStyle name="Normal 10 3 2 6 2 3 3 2 3" xfId="19500" xr:uid="{7BD5839C-8A42-4738-BEAE-52F431ED0008}"/>
    <cellStyle name="Normal 10 3 2 6 2 3 3 2 3 2" xfId="19501" xr:uid="{A54052B3-4413-428B-9C9F-03D2E2692CEF}"/>
    <cellStyle name="Normal 10 3 2 6 2 3 3 2 4" xfId="19502" xr:uid="{0E1016B7-0A08-45A9-A884-141A6F1C259D}"/>
    <cellStyle name="Normal 10 3 2 6 2 3 3 3" xfId="19503" xr:uid="{04045F7E-1DCC-47CC-9D9D-83D54104B7EA}"/>
    <cellStyle name="Normal 10 3 2 6 2 3 3 3 2" xfId="19504" xr:uid="{A3BE6445-FEE3-41C5-8562-DA7B105D575B}"/>
    <cellStyle name="Normal 10 3 2 6 2 3 3 3 2 2" xfId="19505" xr:uid="{9B5784E0-5259-4215-9EB4-0FAF8D49B712}"/>
    <cellStyle name="Normal 10 3 2 6 2 3 3 3 3" xfId="19506" xr:uid="{135FF672-6405-4EC0-B651-8F03120702B8}"/>
    <cellStyle name="Normal 10 3 2 6 2 3 3 4" xfId="19507" xr:uid="{70485BCE-4B73-4032-A1FA-CDF07D2FDAC9}"/>
    <cellStyle name="Normal 10 3 2 6 2 3 3 4 2" xfId="19508" xr:uid="{0A02946A-4AB1-472D-B238-7C73E172676B}"/>
    <cellStyle name="Normal 10 3 2 6 2 3 3 5" xfId="19509" xr:uid="{4EF1ABBB-9FF6-474A-BFC1-005613D5F6C8}"/>
    <cellStyle name="Normal 10 3 2 6 2 3 4" xfId="19510" xr:uid="{8577DF7E-C1CD-4D97-B36E-31DF02C8702B}"/>
    <cellStyle name="Normal 10 3 2 6 2 3 4 2" xfId="19511" xr:uid="{8BEEA06D-4C18-4E2C-BAA6-52FBC3DB678B}"/>
    <cellStyle name="Normal 10 3 2 6 2 3 4 2 2" xfId="19512" xr:uid="{1DBDD414-57E5-4E37-9049-8FC00AE5AE77}"/>
    <cellStyle name="Normal 10 3 2 6 2 3 4 2 2 2" xfId="19513" xr:uid="{6624F194-8A57-4B45-9A7D-9B6C4B2E82AF}"/>
    <cellStyle name="Normal 10 3 2 6 2 3 4 2 3" xfId="19514" xr:uid="{B36B2E32-7A3F-480A-AB19-53067AA2318F}"/>
    <cellStyle name="Normal 10 3 2 6 2 3 4 3" xfId="19515" xr:uid="{554E00A7-9B64-46ED-9B36-68656245FA23}"/>
    <cellStyle name="Normal 10 3 2 6 2 3 4 3 2" xfId="19516" xr:uid="{6E595420-10FE-4BA8-AA61-A325A55C9956}"/>
    <cellStyle name="Normal 10 3 2 6 2 3 4 4" xfId="19517" xr:uid="{9A025B55-5009-4D11-B5BA-4A8B5227ABE6}"/>
    <cellStyle name="Normal 10 3 2 6 2 3 5" xfId="19518" xr:uid="{1DB0EDAD-1AB4-42C1-88C2-FE3C4F7D836B}"/>
    <cellStyle name="Normal 10 3 2 6 2 3 5 2" xfId="19519" xr:uid="{48E8ED48-05B2-4E55-B1FF-1B1182D4A849}"/>
    <cellStyle name="Normal 10 3 2 6 2 3 5 2 2" xfId="19520" xr:uid="{64700117-C189-4430-A91D-FC32496FD750}"/>
    <cellStyle name="Normal 10 3 2 6 2 3 5 3" xfId="19521" xr:uid="{99C15B17-3B5A-497E-8C5C-5F2C98B77C93}"/>
    <cellStyle name="Normal 10 3 2 6 2 3 6" xfId="19522" xr:uid="{74ECB9B6-46E1-434D-B435-12823E705E0E}"/>
    <cellStyle name="Normal 10 3 2 6 2 3 6 2" xfId="19523" xr:uid="{B2ED89FE-ACB4-4DBA-A7F3-CF96CB82921A}"/>
    <cellStyle name="Normal 10 3 2 6 2 3 7" xfId="19524" xr:uid="{89F42964-FE17-456A-9507-E06F40BB8563}"/>
    <cellStyle name="Normal 10 3 2 6 2 4" xfId="19525" xr:uid="{BD4B9307-FE4D-48CB-B8FF-22784992CF05}"/>
    <cellStyle name="Normal 10 3 2 6 2 4 2" xfId="19526" xr:uid="{198E3362-BF5D-4435-A7AA-3A95C9E3DC99}"/>
    <cellStyle name="Normal 10 3 2 6 2 4 2 2" xfId="19527" xr:uid="{96C9BDA1-1B41-417E-A2D9-32692B72ADA9}"/>
    <cellStyle name="Normal 10 3 2 6 2 4 2 2 2" xfId="19528" xr:uid="{357F6CB5-7D27-42E6-9853-8CB857A832F5}"/>
    <cellStyle name="Normal 10 3 2 6 2 4 2 2 2 2" xfId="19529" xr:uid="{8430B735-314D-459C-97E3-FDE0F7D8FC18}"/>
    <cellStyle name="Normal 10 3 2 6 2 4 2 2 2 2 2" xfId="19530" xr:uid="{E42C7BBC-E86C-4E5D-95ED-58CEF622DD57}"/>
    <cellStyle name="Normal 10 3 2 6 2 4 2 2 2 3" xfId="19531" xr:uid="{7698C2E3-7F5F-4B50-ACAA-9A2AA5F3CBED}"/>
    <cellStyle name="Normal 10 3 2 6 2 4 2 2 3" xfId="19532" xr:uid="{BBDA49E9-3D35-4985-B9B7-D1325520D927}"/>
    <cellStyle name="Normal 10 3 2 6 2 4 2 2 3 2" xfId="19533" xr:uid="{D0B8DB61-893E-45C7-A56E-5B04A9BF9E53}"/>
    <cellStyle name="Normal 10 3 2 6 2 4 2 2 4" xfId="19534" xr:uid="{F42E5362-33AE-4191-9DB7-658023BBDFD3}"/>
    <cellStyle name="Normal 10 3 2 6 2 4 2 3" xfId="19535" xr:uid="{91A85215-8635-4383-8BB9-86A65941FD57}"/>
    <cellStyle name="Normal 10 3 2 6 2 4 2 3 2" xfId="19536" xr:uid="{2357981D-C47F-4F98-8591-A70BC598B6F0}"/>
    <cellStyle name="Normal 10 3 2 6 2 4 2 3 2 2" xfId="19537" xr:uid="{446C5938-67CC-4C56-B9C0-ED070F1B8E08}"/>
    <cellStyle name="Normal 10 3 2 6 2 4 2 3 3" xfId="19538" xr:uid="{B65A505F-206C-489D-89D7-264AF8B3D98A}"/>
    <cellStyle name="Normal 10 3 2 6 2 4 2 4" xfId="19539" xr:uid="{41D033B0-D73B-4E94-9C1B-B18932420823}"/>
    <cellStyle name="Normal 10 3 2 6 2 4 2 4 2" xfId="19540" xr:uid="{001A4CF2-797F-490A-B9DD-723078BA5617}"/>
    <cellStyle name="Normal 10 3 2 6 2 4 2 5" xfId="19541" xr:uid="{14A2FC81-F7A3-4AC1-AD81-C982F79A9E00}"/>
    <cellStyle name="Normal 10 3 2 6 2 4 3" xfId="19542" xr:uid="{E71999F9-570F-498C-BEE1-2CE10957B5B9}"/>
    <cellStyle name="Normal 10 3 2 6 2 4 3 2" xfId="19543" xr:uid="{59A3F3FB-8911-43E8-9C20-F4F54DCD8A78}"/>
    <cellStyle name="Normal 10 3 2 6 2 4 3 2 2" xfId="19544" xr:uid="{E390F9F5-7B1C-4944-A8F6-8912D2037073}"/>
    <cellStyle name="Normal 10 3 2 6 2 4 3 2 2 2" xfId="19545" xr:uid="{7B3F4442-A45D-4C59-BBE1-74B841DC382C}"/>
    <cellStyle name="Normal 10 3 2 6 2 4 3 2 3" xfId="19546" xr:uid="{E10843F6-A446-495F-BEF8-B2A140D36491}"/>
    <cellStyle name="Normal 10 3 2 6 2 4 3 3" xfId="19547" xr:uid="{FCB8AEA1-E968-4D23-9E05-1ACDF904D49B}"/>
    <cellStyle name="Normal 10 3 2 6 2 4 3 3 2" xfId="19548" xr:uid="{248C89FB-170C-4D7D-B9FB-42CE5E9F3102}"/>
    <cellStyle name="Normal 10 3 2 6 2 4 3 4" xfId="19549" xr:uid="{DD2DFB45-EB98-4B2F-AF27-D5DB2B19F185}"/>
    <cellStyle name="Normal 10 3 2 6 2 4 4" xfId="19550" xr:uid="{4F9F0828-E7B9-4151-BEAC-597A814D880C}"/>
    <cellStyle name="Normal 10 3 2 6 2 4 4 2" xfId="19551" xr:uid="{6E178F90-CB1F-48F1-9484-1C73EB96BE56}"/>
    <cellStyle name="Normal 10 3 2 6 2 4 4 2 2" xfId="19552" xr:uid="{EEF3E53F-4231-4012-B7E5-C8841C190353}"/>
    <cellStyle name="Normal 10 3 2 6 2 4 4 3" xfId="19553" xr:uid="{9E0B1B15-B82D-4BF9-B5F4-07A3299CAB56}"/>
    <cellStyle name="Normal 10 3 2 6 2 4 5" xfId="19554" xr:uid="{6F818EEA-606C-4F71-A3B3-53C314569C2A}"/>
    <cellStyle name="Normal 10 3 2 6 2 4 5 2" xfId="19555" xr:uid="{C6946340-E7AE-4E49-8933-F86CAA09031E}"/>
    <cellStyle name="Normal 10 3 2 6 2 4 6" xfId="19556" xr:uid="{88EB6636-E466-4E65-9969-245191FE14BA}"/>
    <cellStyle name="Normal 10 3 2 6 2 5" xfId="19557" xr:uid="{8934FC00-9AF8-4890-9B18-5CF0E904EA8D}"/>
    <cellStyle name="Normal 10 3 2 6 2 5 2" xfId="19558" xr:uid="{CDFF1A7B-9FBD-46FA-8850-36CC06F6EA37}"/>
    <cellStyle name="Normal 10 3 2 6 2 5 2 2" xfId="19559" xr:uid="{093C266D-4B09-49DC-BF72-2140B490AAA8}"/>
    <cellStyle name="Normal 10 3 2 6 2 5 2 2 2" xfId="19560" xr:uid="{5E75CD23-735A-4CBC-8069-1FA2CD8B1A5B}"/>
    <cellStyle name="Normal 10 3 2 6 2 5 2 2 2 2" xfId="19561" xr:uid="{9D6CDA49-FE94-49BB-8CA4-E39DD13BE06A}"/>
    <cellStyle name="Normal 10 3 2 6 2 5 2 2 3" xfId="19562" xr:uid="{D4ACAEE2-07FA-49DC-BB06-79A5A217D0A5}"/>
    <cellStyle name="Normal 10 3 2 6 2 5 2 3" xfId="19563" xr:uid="{A978E379-0799-4368-8B6E-4F953128B437}"/>
    <cellStyle name="Normal 10 3 2 6 2 5 2 3 2" xfId="19564" xr:uid="{846FB149-E09F-4EE7-8A53-6894BA9301E8}"/>
    <cellStyle name="Normal 10 3 2 6 2 5 2 4" xfId="19565" xr:uid="{AFDD5FD3-641B-4BDB-8809-410CCEE5CF04}"/>
    <cellStyle name="Normal 10 3 2 6 2 5 3" xfId="19566" xr:uid="{77B7F9BA-F286-4022-98E5-EF38E717576F}"/>
    <cellStyle name="Normal 10 3 2 6 2 5 3 2" xfId="19567" xr:uid="{705FD3C8-1C57-4D4B-B14D-B08BC093DEEF}"/>
    <cellStyle name="Normal 10 3 2 6 2 5 3 2 2" xfId="19568" xr:uid="{42D9F7AD-71B8-4979-A723-9C69D1782640}"/>
    <cellStyle name="Normal 10 3 2 6 2 5 3 3" xfId="19569" xr:uid="{29E851EE-FE7C-4E43-ABEE-B8CB39AAC5A4}"/>
    <cellStyle name="Normal 10 3 2 6 2 5 4" xfId="19570" xr:uid="{8DE1D8DD-5B0E-49D9-9DDA-45B048F01ADF}"/>
    <cellStyle name="Normal 10 3 2 6 2 5 4 2" xfId="19571" xr:uid="{6EDCD017-C45F-4F15-9534-D35681547378}"/>
    <cellStyle name="Normal 10 3 2 6 2 5 5" xfId="19572" xr:uid="{5EA08751-5BB1-4933-912A-F4F22FA75F1E}"/>
    <cellStyle name="Normal 10 3 2 6 2 6" xfId="19573" xr:uid="{15FFF247-67B6-4EB3-B76F-6996FE4715D7}"/>
    <cellStyle name="Normal 10 3 2 6 2 6 2" xfId="19574" xr:uid="{19BCC4C5-6A83-449E-B828-7EC3E330639A}"/>
    <cellStyle name="Normal 10 3 2 6 2 6 2 2" xfId="19575" xr:uid="{1753D5F2-6CDE-483D-8589-FE0CA6245408}"/>
    <cellStyle name="Normal 10 3 2 6 2 6 2 2 2" xfId="19576" xr:uid="{741B6601-3175-470D-9CB8-5B342065ACC9}"/>
    <cellStyle name="Normal 10 3 2 6 2 6 2 3" xfId="19577" xr:uid="{F16D830A-5056-45BB-8B28-B0FB370BEF79}"/>
    <cellStyle name="Normal 10 3 2 6 2 6 3" xfId="19578" xr:uid="{8524F31E-0233-4919-A5AD-5AC58F066057}"/>
    <cellStyle name="Normal 10 3 2 6 2 6 3 2" xfId="19579" xr:uid="{4A0D2C28-DA72-4AB5-A0DD-DE9E547B0D30}"/>
    <cellStyle name="Normal 10 3 2 6 2 6 4" xfId="19580" xr:uid="{E1AD2E90-400D-4011-A513-5DD60BDCF924}"/>
    <cellStyle name="Normal 10 3 2 6 2 7" xfId="19581" xr:uid="{4ACD431A-A7C5-4BA0-B180-10E602C5C910}"/>
    <cellStyle name="Normal 10 3 2 6 2 7 2" xfId="19582" xr:uid="{71AB7639-1FAC-420F-A89C-5A7EE40C875D}"/>
    <cellStyle name="Normal 10 3 2 6 2 7 2 2" xfId="19583" xr:uid="{82C6AE0D-120C-492D-B182-274F428E3F86}"/>
    <cellStyle name="Normal 10 3 2 6 2 7 3" xfId="19584" xr:uid="{530DE461-6C4C-4E7A-B6DD-9CB92E13CDA4}"/>
    <cellStyle name="Normal 10 3 2 6 2 8" xfId="19585" xr:uid="{343B1473-FE59-4894-8A5B-3F2C4C2A3A8E}"/>
    <cellStyle name="Normal 10 3 2 6 2 8 2" xfId="19586" xr:uid="{595EB5AF-523F-4D08-9DFC-A2EA454368EA}"/>
    <cellStyle name="Normal 10 3 2 6 2 9" xfId="19587" xr:uid="{8E7901D2-3FB1-46BD-95EB-F22ABE11F569}"/>
    <cellStyle name="Normal 10 3 2 6 3" xfId="506" xr:uid="{88AC145E-7440-4726-B7F5-25DB08064C7B}"/>
    <cellStyle name="Normal 10 3 2 6 3 2" xfId="19589" xr:uid="{15719466-D41D-4B01-960D-518A40E1A11D}"/>
    <cellStyle name="Normal 10 3 2 6 3 2 2" xfId="19590" xr:uid="{032ABA69-4AA1-4714-94DD-66CFC8205BC7}"/>
    <cellStyle name="Normal 10 3 2 6 3 2 2 2" xfId="19591" xr:uid="{0D954945-F9F8-4930-BB15-8F19E05DF41D}"/>
    <cellStyle name="Normal 10 3 2 6 3 2 2 2 2" xfId="19592" xr:uid="{6A30E964-13A3-4609-9A60-A77FA2203FA9}"/>
    <cellStyle name="Normal 10 3 2 6 3 2 2 2 2 2" xfId="19593" xr:uid="{B0D8CF92-7EF2-4F0B-BAF1-8344F3032B85}"/>
    <cellStyle name="Normal 10 3 2 6 3 2 2 2 2 2 2" xfId="19594" xr:uid="{B12EC3D5-1CF1-4AD7-BE11-18F1A0E8213F}"/>
    <cellStyle name="Normal 10 3 2 6 3 2 2 2 2 2 2 2" xfId="19595" xr:uid="{7606C834-3FB8-4FA3-97E4-88DAA1FE806D}"/>
    <cellStyle name="Normal 10 3 2 6 3 2 2 2 2 2 3" xfId="19596" xr:uid="{19CC23C7-5B11-4F77-9C57-FBDEDE41A075}"/>
    <cellStyle name="Normal 10 3 2 6 3 2 2 2 2 3" xfId="19597" xr:uid="{181BC42B-EE9F-4142-B33F-D7571AD2B0E7}"/>
    <cellStyle name="Normal 10 3 2 6 3 2 2 2 2 3 2" xfId="19598" xr:uid="{7ED5FF44-4B6F-41A9-B1D7-00311385E28C}"/>
    <cellStyle name="Normal 10 3 2 6 3 2 2 2 2 4" xfId="19599" xr:uid="{B2557DDC-728F-4272-8A82-63D9AEB9168D}"/>
    <cellStyle name="Normal 10 3 2 6 3 2 2 2 3" xfId="19600" xr:uid="{BEECD81F-7E9F-41B9-8003-74D9C62E621E}"/>
    <cellStyle name="Normal 10 3 2 6 3 2 2 2 3 2" xfId="19601" xr:uid="{BDB91640-B01C-4B49-95BC-E9DC689C3F33}"/>
    <cellStyle name="Normal 10 3 2 6 3 2 2 2 3 2 2" xfId="19602" xr:uid="{A928098E-C124-4B8A-B369-CAB9E4B0EECA}"/>
    <cellStyle name="Normal 10 3 2 6 3 2 2 2 3 3" xfId="19603" xr:uid="{9F95E011-83FF-42A3-A01A-B869A0EE5540}"/>
    <cellStyle name="Normal 10 3 2 6 3 2 2 2 4" xfId="19604" xr:uid="{D2BCFC88-B9E8-4B02-8DA2-B35FEB00C9CF}"/>
    <cellStyle name="Normal 10 3 2 6 3 2 2 2 4 2" xfId="19605" xr:uid="{00EC00CC-995D-464C-BC21-2C6011A92F6C}"/>
    <cellStyle name="Normal 10 3 2 6 3 2 2 2 5" xfId="19606" xr:uid="{1B9F26EF-F8D6-426E-A0D0-9753EE4FF463}"/>
    <cellStyle name="Normal 10 3 2 6 3 2 2 3" xfId="19607" xr:uid="{888CF205-FD38-4059-915E-AFA8E3AB15B2}"/>
    <cellStyle name="Normal 10 3 2 6 3 2 2 3 2" xfId="19608" xr:uid="{A2441E4D-62D7-4BBD-A2B2-54C9BAF483E4}"/>
    <cellStyle name="Normal 10 3 2 6 3 2 2 3 2 2" xfId="19609" xr:uid="{11CAC3FD-CC74-4230-BA89-CDEEEC5BD415}"/>
    <cellStyle name="Normal 10 3 2 6 3 2 2 3 2 2 2" xfId="19610" xr:uid="{6EC1E4BD-BEEA-4B49-AB9C-3AF5C41EFED7}"/>
    <cellStyle name="Normal 10 3 2 6 3 2 2 3 2 3" xfId="19611" xr:uid="{0F7A61F3-A54A-4609-BA45-0FB421CA963E}"/>
    <cellStyle name="Normal 10 3 2 6 3 2 2 3 3" xfId="19612" xr:uid="{EB86F9C0-F358-4FE9-A060-7B2B03D6A194}"/>
    <cellStyle name="Normal 10 3 2 6 3 2 2 3 3 2" xfId="19613" xr:uid="{13C07A20-B9FA-41C4-8EF5-C407DD51A344}"/>
    <cellStyle name="Normal 10 3 2 6 3 2 2 3 4" xfId="19614" xr:uid="{ADB30BCB-91B2-44B7-88A0-3E669845674A}"/>
    <cellStyle name="Normal 10 3 2 6 3 2 2 4" xfId="19615" xr:uid="{647CE534-FD7F-41AE-99C3-37F2A6E3C0CE}"/>
    <cellStyle name="Normal 10 3 2 6 3 2 2 4 2" xfId="19616" xr:uid="{2EC1CC86-34A9-45EE-A90B-1C7B3F88B095}"/>
    <cellStyle name="Normal 10 3 2 6 3 2 2 4 2 2" xfId="19617" xr:uid="{93ADE299-3103-4011-A0B1-55309B84AD39}"/>
    <cellStyle name="Normal 10 3 2 6 3 2 2 4 3" xfId="19618" xr:uid="{602CE6E1-1D4C-4B5B-ACF9-6ADFBE55B8F8}"/>
    <cellStyle name="Normal 10 3 2 6 3 2 2 5" xfId="19619" xr:uid="{574968AB-45AD-4E99-960B-8E1799E620B6}"/>
    <cellStyle name="Normal 10 3 2 6 3 2 2 5 2" xfId="19620" xr:uid="{56E6395A-5DB8-4240-A1EA-5109528EDC3F}"/>
    <cellStyle name="Normal 10 3 2 6 3 2 2 6" xfId="19621" xr:uid="{D5FA9292-A0FA-41E1-86B2-78812887D65A}"/>
    <cellStyle name="Normal 10 3 2 6 3 2 3" xfId="19622" xr:uid="{FAE2D987-0B1D-4407-9E0D-D2039A3B59E5}"/>
    <cellStyle name="Normal 10 3 2 6 3 2 3 2" xfId="19623" xr:uid="{D2F66EA5-5352-44D1-BBDF-A3B7647DE0FA}"/>
    <cellStyle name="Normal 10 3 2 6 3 2 3 2 2" xfId="19624" xr:uid="{31DBEA46-B9B8-46F4-9F5A-1D8CE01A5674}"/>
    <cellStyle name="Normal 10 3 2 6 3 2 3 2 2 2" xfId="19625" xr:uid="{A2AA6C2E-9846-473E-9BA2-386AE6E44E49}"/>
    <cellStyle name="Normal 10 3 2 6 3 2 3 2 2 2 2" xfId="19626" xr:uid="{8E6C15EE-CBFF-4FDA-93A8-AE66DEC1A86E}"/>
    <cellStyle name="Normal 10 3 2 6 3 2 3 2 2 3" xfId="19627" xr:uid="{38ADACAE-51EE-4EDA-A9A4-10A8C27DF6EF}"/>
    <cellStyle name="Normal 10 3 2 6 3 2 3 2 3" xfId="19628" xr:uid="{F3950213-4604-45D6-A4A3-185C09240FFC}"/>
    <cellStyle name="Normal 10 3 2 6 3 2 3 2 3 2" xfId="19629" xr:uid="{1C8EF2B8-B0E8-4876-89C1-6115B9691C0E}"/>
    <cellStyle name="Normal 10 3 2 6 3 2 3 2 4" xfId="19630" xr:uid="{A20C89B5-F8B8-4ED5-8BE4-7D4F52BA36FC}"/>
    <cellStyle name="Normal 10 3 2 6 3 2 3 3" xfId="19631" xr:uid="{EBA4A83B-5DB8-42E6-94FF-9F8CBFD1E642}"/>
    <cellStyle name="Normal 10 3 2 6 3 2 3 3 2" xfId="19632" xr:uid="{6FAFEADC-8BAC-4149-A866-2B656D73205D}"/>
    <cellStyle name="Normal 10 3 2 6 3 2 3 3 2 2" xfId="19633" xr:uid="{96D2BBB5-86B6-4B48-9F80-A62FF5ED32F4}"/>
    <cellStyle name="Normal 10 3 2 6 3 2 3 3 3" xfId="19634" xr:uid="{9D8A93E9-8FA5-4EEB-BA50-54F494865C1D}"/>
    <cellStyle name="Normal 10 3 2 6 3 2 3 4" xfId="19635" xr:uid="{222BB3D7-2FA6-40C3-8FD4-4142C75A905C}"/>
    <cellStyle name="Normal 10 3 2 6 3 2 3 4 2" xfId="19636" xr:uid="{06983EDC-DBD0-449F-A07A-88D63D44E6A5}"/>
    <cellStyle name="Normal 10 3 2 6 3 2 3 5" xfId="19637" xr:uid="{A85A9A33-96A3-4BA9-BDF2-6655B3ADFB00}"/>
    <cellStyle name="Normal 10 3 2 6 3 2 4" xfId="19638" xr:uid="{4E64FC4F-DBC1-4DA4-B864-97367F115232}"/>
    <cellStyle name="Normal 10 3 2 6 3 2 4 2" xfId="19639" xr:uid="{B01DC45D-9321-490D-8CD9-5A2BB63BB99C}"/>
    <cellStyle name="Normal 10 3 2 6 3 2 4 2 2" xfId="19640" xr:uid="{DC4C4C25-39A3-4814-BB2D-16873CD2F15C}"/>
    <cellStyle name="Normal 10 3 2 6 3 2 4 2 2 2" xfId="19641" xr:uid="{6D255DCE-B4DE-4DD2-8050-B1D1442A6BAC}"/>
    <cellStyle name="Normal 10 3 2 6 3 2 4 2 3" xfId="19642" xr:uid="{96405C02-F14E-49A1-A154-DB3BB3C8A3D5}"/>
    <cellStyle name="Normal 10 3 2 6 3 2 4 3" xfId="19643" xr:uid="{E2E2EE7F-78EA-485C-B2FF-3600F4121F3F}"/>
    <cellStyle name="Normal 10 3 2 6 3 2 4 3 2" xfId="19644" xr:uid="{90D17AD3-46F4-417C-B5FB-5A7B53606F8F}"/>
    <cellStyle name="Normal 10 3 2 6 3 2 4 4" xfId="19645" xr:uid="{4225CF3C-BB46-4632-A935-97A9E378A2FA}"/>
    <cellStyle name="Normal 10 3 2 6 3 2 5" xfId="19646" xr:uid="{9791D72C-09A6-488B-80FE-48B6F2CC536D}"/>
    <cellStyle name="Normal 10 3 2 6 3 2 5 2" xfId="19647" xr:uid="{393BAA32-19A1-411A-8E5C-689E911C091E}"/>
    <cellStyle name="Normal 10 3 2 6 3 2 5 2 2" xfId="19648" xr:uid="{DDA260C0-BA5C-4CB1-9835-8BEC57EB7E67}"/>
    <cellStyle name="Normal 10 3 2 6 3 2 5 3" xfId="19649" xr:uid="{0FD4454F-6E89-42F2-8D91-99EAFBA955D8}"/>
    <cellStyle name="Normal 10 3 2 6 3 2 6" xfId="19650" xr:uid="{95500730-C5CF-4485-A4E0-DBD8DA3E060B}"/>
    <cellStyle name="Normal 10 3 2 6 3 2 6 2" xfId="19651" xr:uid="{3FF01585-1A40-49EC-8797-ECF55C5BD73F}"/>
    <cellStyle name="Normal 10 3 2 6 3 2 7" xfId="19652" xr:uid="{6F1F2770-4430-43F6-AD11-98A2E809F212}"/>
    <cellStyle name="Normal 10 3 2 6 3 3" xfId="19653" xr:uid="{D9CC4708-874D-4DAA-9CBA-4CAC527320E8}"/>
    <cellStyle name="Normal 10 3 2 6 3 3 2" xfId="19654" xr:uid="{80E7ED00-2613-452D-8127-83A886042289}"/>
    <cellStyle name="Normal 10 3 2 6 3 3 2 2" xfId="19655" xr:uid="{C8AFA2C5-9B2C-44F0-8ADF-59A1D4DC8C91}"/>
    <cellStyle name="Normal 10 3 2 6 3 3 2 2 2" xfId="19656" xr:uid="{A9141C42-9D69-4B99-8FEB-46DE80939490}"/>
    <cellStyle name="Normal 10 3 2 6 3 3 2 2 2 2" xfId="19657" xr:uid="{13616149-8B7E-4794-8D9D-F4939253C0DE}"/>
    <cellStyle name="Normal 10 3 2 6 3 3 2 2 2 2 2" xfId="19658" xr:uid="{AE069300-F18C-4BB7-9C6D-03CED1297909}"/>
    <cellStyle name="Normal 10 3 2 6 3 3 2 2 2 3" xfId="19659" xr:uid="{F200C5FD-C1A5-44FE-98DE-116A4D3312BC}"/>
    <cellStyle name="Normal 10 3 2 6 3 3 2 2 3" xfId="19660" xr:uid="{2DFF3C07-6B4F-48F1-94AB-CFBDD24CD903}"/>
    <cellStyle name="Normal 10 3 2 6 3 3 2 2 3 2" xfId="19661" xr:uid="{E5125644-2671-416D-92CA-95D961B46FE9}"/>
    <cellStyle name="Normal 10 3 2 6 3 3 2 2 4" xfId="19662" xr:uid="{80B2AFBB-E436-4AB2-8033-CBBA1F356ED6}"/>
    <cellStyle name="Normal 10 3 2 6 3 3 2 3" xfId="19663" xr:uid="{098D6162-5CDC-473C-B1C8-E6A1C3067E19}"/>
    <cellStyle name="Normal 10 3 2 6 3 3 2 3 2" xfId="19664" xr:uid="{7F90428E-3920-4712-BA6F-0386301099D9}"/>
    <cellStyle name="Normal 10 3 2 6 3 3 2 3 2 2" xfId="19665" xr:uid="{49ECE580-3460-4A88-BDAD-6008168DC035}"/>
    <cellStyle name="Normal 10 3 2 6 3 3 2 3 3" xfId="19666" xr:uid="{DAD35A8B-A66D-492B-9F9B-8B0A90344654}"/>
    <cellStyle name="Normal 10 3 2 6 3 3 2 4" xfId="19667" xr:uid="{7EA6D040-50DB-40A6-9105-8775E79FC519}"/>
    <cellStyle name="Normal 10 3 2 6 3 3 2 4 2" xfId="19668" xr:uid="{A324E920-8756-4838-AA6A-BC488D477B41}"/>
    <cellStyle name="Normal 10 3 2 6 3 3 2 5" xfId="19669" xr:uid="{7AAACD87-566C-4C90-9EA1-2A02D2ED4707}"/>
    <cellStyle name="Normal 10 3 2 6 3 3 3" xfId="19670" xr:uid="{C88C3C39-0575-4B6C-8F14-64755FAB3D0E}"/>
    <cellStyle name="Normal 10 3 2 6 3 3 3 2" xfId="19671" xr:uid="{8DED5992-ED6A-44BA-9442-C529973D980D}"/>
    <cellStyle name="Normal 10 3 2 6 3 3 3 2 2" xfId="19672" xr:uid="{01C464E9-1369-4ACE-9052-FB4B80B03290}"/>
    <cellStyle name="Normal 10 3 2 6 3 3 3 2 2 2" xfId="19673" xr:uid="{4B12DFB4-6E50-47B6-B987-5A1626CCFEFE}"/>
    <cellStyle name="Normal 10 3 2 6 3 3 3 2 3" xfId="19674" xr:uid="{CA52E938-5C54-4B40-A5ED-E493E4E1E5F8}"/>
    <cellStyle name="Normal 10 3 2 6 3 3 3 3" xfId="19675" xr:uid="{782C1878-4595-430B-9E86-8EBACD265C83}"/>
    <cellStyle name="Normal 10 3 2 6 3 3 3 3 2" xfId="19676" xr:uid="{68B6EB86-862E-4148-B2A5-EFB324293198}"/>
    <cellStyle name="Normal 10 3 2 6 3 3 3 4" xfId="19677" xr:uid="{A3F45205-5CC3-4BFA-875B-FB67462A2E9D}"/>
    <cellStyle name="Normal 10 3 2 6 3 3 4" xfId="19678" xr:uid="{5492DA1B-14C9-4350-92DD-6B59C287C7B1}"/>
    <cellStyle name="Normal 10 3 2 6 3 3 4 2" xfId="19679" xr:uid="{C2B077C5-A6C6-46DC-8AD9-99D2ED9B61F0}"/>
    <cellStyle name="Normal 10 3 2 6 3 3 4 2 2" xfId="19680" xr:uid="{8912CABB-CA2B-4CB9-8A83-D15E071BB7E3}"/>
    <cellStyle name="Normal 10 3 2 6 3 3 4 3" xfId="19681" xr:uid="{9287A3D3-EFEE-4B55-8B91-2B8D5830D3BA}"/>
    <cellStyle name="Normal 10 3 2 6 3 3 5" xfId="19682" xr:uid="{14D4F341-C58D-4179-83DD-7787397ADC6F}"/>
    <cellStyle name="Normal 10 3 2 6 3 3 5 2" xfId="19683" xr:uid="{8F716B88-49D1-467B-9CA6-7CD25D94D297}"/>
    <cellStyle name="Normal 10 3 2 6 3 3 6" xfId="19684" xr:uid="{DAB5E45F-37DD-4B5D-B8EF-D44E700B2104}"/>
    <cellStyle name="Normal 10 3 2 6 3 4" xfId="19685" xr:uid="{6C1BF854-6587-4499-A520-BD1E160849C3}"/>
    <cellStyle name="Normal 10 3 2 6 3 4 2" xfId="19686" xr:uid="{FCF259EF-ACBC-485C-BE17-25C3A79A3DA0}"/>
    <cellStyle name="Normal 10 3 2 6 3 4 2 2" xfId="19687" xr:uid="{06AEB70D-ABD1-4708-ABBE-08DA41F686B6}"/>
    <cellStyle name="Normal 10 3 2 6 3 4 2 2 2" xfId="19688" xr:uid="{BCFB70D0-91E6-47BD-91EA-461CEEF570EE}"/>
    <cellStyle name="Normal 10 3 2 6 3 4 2 2 2 2" xfId="19689" xr:uid="{30AC510A-AF7B-49D9-8AC4-7323E2A21B93}"/>
    <cellStyle name="Normal 10 3 2 6 3 4 2 2 3" xfId="19690" xr:uid="{50EC05E8-D1DF-436B-A40A-F64A7F262C64}"/>
    <cellStyle name="Normal 10 3 2 6 3 4 2 3" xfId="19691" xr:uid="{FBF4820D-99CD-42E9-B549-4FB447710BD2}"/>
    <cellStyle name="Normal 10 3 2 6 3 4 2 3 2" xfId="19692" xr:uid="{41A2982F-A04D-424E-A682-37495304040F}"/>
    <cellStyle name="Normal 10 3 2 6 3 4 2 4" xfId="19693" xr:uid="{48525F23-6B1F-47AC-9374-159B6CBEC221}"/>
    <cellStyle name="Normal 10 3 2 6 3 4 3" xfId="19694" xr:uid="{1540CC94-EE78-4C49-9692-613373B44ABA}"/>
    <cellStyle name="Normal 10 3 2 6 3 4 3 2" xfId="19695" xr:uid="{AD82A680-26DB-48CB-883B-22597610FFE7}"/>
    <cellStyle name="Normal 10 3 2 6 3 4 3 2 2" xfId="19696" xr:uid="{EEE9221D-6A64-4426-BE5C-157748D3F6F6}"/>
    <cellStyle name="Normal 10 3 2 6 3 4 3 3" xfId="19697" xr:uid="{AAB9F03F-8546-4A33-8567-40063C925B9B}"/>
    <cellStyle name="Normal 10 3 2 6 3 4 4" xfId="19698" xr:uid="{74A29ED3-9D5A-4C6B-A533-F130745015F7}"/>
    <cellStyle name="Normal 10 3 2 6 3 4 4 2" xfId="19699" xr:uid="{AE4883E3-8437-4F58-9FDC-EBC215F1BA76}"/>
    <cellStyle name="Normal 10 3 2 6 3 4 5" xfId="19700" xr:uid="{1993339A-E776-4EED-8F71-7B48F9F3B000}"/>
    <cellStyle name="Normal 10 3 2 6 3 5" xfId="19701" xr:uid="{DDC1D18F-CDEA-432C-AFA1-1F6C1D652E51}"/>
    <cellStyle name="Normal 10 3 2 6 3 5 2" xfId="19702" xr:uid="{1D83A1A4-070D-4366-B56B-EB20D95DCAAE}"/>
    <cellStyle name="Normal 10 3 2 6 3 5 2 2" xfId="19703" xr:uid="{E91FC59B-2BEA-44AB-BFD9-D144715437B0}"/>
    <cellStyle name="Normal 10 3 2 6 3 5 2 2 2" xfId="19704" xr:uid="{3FFD233E-68E1-47FD-A5C0-2AA96B369323}"/>
    <cellStyle name="Normal 10 3 2 6 3 5 2 3" xfId="19705" xr:uid="{A46A65DE-1F4C-4F55-B4C8-F69619B189A7}"/>
    <cellStyle name="Normal 10 3 2 6 3 5 3" xfId="19706" xr:uid="{EB78313D-1FE4-4DBE-BC29-2BC145662D06}"/>
    <cellStyle name="Normal 10 3 2 6 3 5 3 2" xfId="19707" xr:uid="{EA95A882-0FC2-4152-9C2A-DD523A28062D}"/>
    <cellStyle name="Normal 10 3 2 6 3 5 4" xfId="19708" xr:uid="{538FED0A-6B93-420D-ACC8-25D0702825AE}"/>
    <cellStyle name="Normal 10 3 2 6 3 6" xfId="19709" xr:uid="{54D6505F-52C2-46D4-94A5-94CCB985D975}"/>
    <cellStyle name="Normal 10 3 2 6 3 6 2" xfId="19710" xr:uid="{B5783C43-ACEB-4981-BD71-95ADD53EF6ED}"/>
    <cellStyle name="Normal 10 3 2 6 3 6 2 2" xfId="19711" xr:uid="{69DDEDAB-AC20-4BE0-9E26-BBA5AC7E84E0}"/>
    <cellStyle name="Normal 10 3 2 6 3 6 3" xfId="19712" xr:uid="{797313EF-F0E0-4BC7-A89D-D4A11A87421E}"/>
    <cellStyle name="Normal 10 3 2 6 3 7" xfId="19713" xr:uid="{DBB12640-1DD1-48A0-BED5-B889C98571DB}"/>
    <cellStyle name="Normal 10 3 2 6 3 7 2" xfId="19714" xr:uid="{F0BDC990-1F25-44A1-88F7-2A577436AE6D}"/>
    <cellStyle name="Normal 10 3 2 6 3 8" xfId="19715" xr:uid="{5F5C8395-5B76-45BE-8AE5-EE5C33EBA86A}"/>
    <cellStyle name="Normal 10 3 2 6 3 9" xfId="19588" xr:uid="{9C7FF8C7-C32B-4349-B2D5-FF2C35F56D73}"/>
    <cellStyle name="Normal 10 3 2 6 4" xfId="19716" xr:uid="{29E2BDB0-41E6-4083-9023-A04AAAF65FD6}"/>
    <cellStyle name="Normal 10 3 2 6 4 2" xfId="19717" xr:uid="{47D4AE98-62EF-4CEF-B9C1-E5259724DB08}"/>
    <cellStyle name="Normal 10 3 2 6 4 2 2" xfId="19718" xr:uid="{02DF333C-2EF3-42AF-A432-DE6AD960FC06}"/>
    <cellStyle name="Normal 10 3 2 6 4 2 2 2" xfId="19719" xr:uid="{FDD0A6BB-322F-43AD-AD29-92B5C6783E89}"/>
    <cellStyle name="Normal 10 3 2 6 4 2 2 2 2" xfId="19720" xr:uid="{96764F49-996A-47F7-A5F8-422945CB7F4C}"/>
    <cellStyle name="Normal 10 3 2 6 4 2 2 2 2 2" xfId="19721" xr:uid="{56676D37-CD9D-47D7-BE84-F18753C1ED58}"/>
    <cellStyle name="Normal 10 3 2 6 4 2 2 2 2 2 2" xfId="19722" xr:uid="{1FCF86F3-7B7C-440D-84A1-4B993B24036C}"/>
    <cellStyle name="Normal 10 3 2 6 4 2 2 2 2 3" xfId="19723" xr:uid="{AA875E0C-BE7C-4243-B494-4464C78F5669}"/>
    <cellStyle name="Normal 10 3 2 6 4 2 2 2 3" xfId="19724" xr:uid="{696508AB-64EB-49AE-9355-4FDB02B96EF7}"/>
    <cellStyle name="Normal 10 3 2 6 4 2 2 2 3 2" xfId="19725" xr:uid="{AFACB889-74B2-4858-A71C-144DF359239B}"/>
    <cellStyle name="Normal 10 3 2 6 4 2 2 2 4" xfId="19726" xr:uid="{588407FF-609E-4DE3-B7D1-55E634F69462}"/>
    <cellStyle name="Normal 10 3 2 6 4 2 2 3" xfId="19727" xr:uid="{874F10CC-7D44-4DD3-8C93-3E651666DBE5}"/>
    <cellStyle name="Normal 10 3 2 6 4 2 2 3 2" xfId="19728" xr:uid="{A7309F7C-ADBF-47A2-935C-36B24E43B5D0}"/>
    <cellStyle name="Normal 10 3 2 6 4 2 2 3 2 2" xfId="19729" xr:uid="{6914D9DC-5C69-4AF2-874C-EC4EA01DBFF3}"/>
    <cellStyle name="Normal 10 3 2 6 4 2 2 3 3" xfId="19730" xr:uid="{FE87753D-47D4-4468-8D59-EFD8F8592667}"/>
    <cellStyle name="Normal 10 3 2 6 4 2 2 4" xfId="19731" xr:uid="{984E5D30-631F-4AE5-A511-C1C04B009CF4}"/>
    <cellStyle name="Normal 10 3 2 6 4 2 2 4 2" xfId="19732" xr:uid="{2C2257F7-9ECB-47E2-BE9A-E1F68B2DAE8E}"/>
    <cellStyle name="Normal 10 3 2 6 4 2 2 5" xfId="19733" xr:uid="{96CBE400-4262-4851-B1B3-4A5046626F60}"/>
    <cellStyle name="Normal 10 3 2 6 4 2 3" xfId="19734" xr:uid="{77CAA1A1-E702-4BA8-9247-465B56726091}"/>
    <cellStyle name="Normal 10 3 2 6 4 2 3 2" xfId="19735" xr:uid="{81E775DC-07CB-4527-8DF4-B84C10E1B2D5}"/>
    <cellStyle name="Normal 10 3 2 6 4 2 3 2 2" xfId="19736" xr:uid="{10D04985-9E40-48F5-B0C0-30728B300F94}"/>
    <cellStyle name="Normal 10 3 2 6 4 2 3 2 2 2" xfId="19737" xr:uid="{C9EA172A-D1C5-4108-B795-DC40F169FA68}"/>
    <cellStyle name="Normal 10 3 2 6 4 2 3 2 3" xfId="19738" xr:uid="{998D6329-A068-4851-B47C-178CE7AF27D2}"/>
    <cellStyle name="Normal 10 3 2 6 4 2 3 3" xfId="19739" xr:uid="{212CAB66-36F1-4C7C-8FA2-CD9C5D0F8A9E}"/>
    <cellStyle name="Normal 10 3 2 6 4 2 3 3 2" xfId="19740" xr:uid="{12C7ADCC-8CB0-4B58-88FE-07E8256AAD86}"/>
    <cellStyle name="Normal 10 3 2 6 4 2 3 4" xfId="19741" xr:uid="{FAEF6D53-9339-4B39-9CBE-C96039B921D9}"/>
    <cellStyle name="Normal 10 3 2 6 4 2 4" xfId="19742" xr:uid="{78AD53D2-F9AF-4B67-8E4B-5241BC7CE8DC}"/>
    <cellStyle name="Normal 10 3 2 6 4 2 4 2" xfId="19743" xr:uid="{EF05FB49-9318-48B4-9958-86CC8C6B65A9}"/>
    <cellStyle name="Normal 10 3 2 6 4 2 4 2 2" xfId="19744" xr:uid="{9D2F4A24-0E63-472B-934C-B0E95E1788D1}"/>
    <cellStyle name="Normal 10 3 2 6 4 2 4 3" xfId="19745" xr:uid="{C14DBA38-7324-4328-8D27-2F5AF4F0B00A}"/>
    <cellStyle name="Normal 10 3 2 6 4 2 5" xfId="19746" xr:uid="{697E09E1-A0D1-405E-A08F-2709D06128DF}"/>
    <cellStyle name="Normal 10 3 2 6 4 2 5 2" xfId="19747" xr:uid="{D69E3730-3033-4FA0-AB37-43AA3250AFE5}"/>
    <cellStyle name="Normal 10 3 2 6 4 2 6" xfId="19748" xr:uid="{8C43D1B6-A23C-4D23-A087-A78C9D463005}"/>
    <cellStyle name="Normal 10 3 2 6 4 3" xfId="19749" xr:uid="{C31F43FE-317B-46D6-990C-A5015B3BB33C}"/>
    <cellStyle name="Normal 10 3 2 6 4 3 2" xfId="19750" xr:uid="{212502C6-59F0-4CA0-9729-7928C8B4E0DE}"/>
    <cellStyle name="Normal 10 3 2 6 4 3 2 2" xfId="19751" xr:uid="{BB106B8A-9ED7-43D7-8574-F7C9F3D233ED}"/>
    <cellStyle name="Normal 10 3 2 6 4 3 2 2 2" xfId="19752" xr:uid="{7D7FDA64-AAC3-4BAA-B130-5AC279F67DDE}"/>
    <cellStyle name="Normal 10 3 2 6 4 3 2 2 2 2" xfId="19753" xr:uid="{28203B08-22F9-4623-B695-396C84E6D4A1}"/>
    <cellStyle name="Normal 10 3 2 6 4 3 2 2 3" xfId="19754" xr:uid="{2EF05A77-C176-41D2-AF30-A191CAC39669}"/>
    <cellStyle name="Normal 10 3 2 6 4 3 2 3" xfId="19755" xr:uid="{24A83903-A767-4DC3-A278-F2ACC98D57C5}"/>
    <cellStyle name="Normal 10 3 2 6 4 3 2 3 2" xfId="19756" xr:uid="{498D5AB5-6662-4207-A7EF-99FC0A673D40}"/>
    <cellStyle name="Normal 10 3 2 6 4 3 2 4" xfId="19757" xr:uid="{2D72D95A-2596-4511-98B8-5A0943838F6B}"/>
    <cellStyle name="Normal 10 3 2 6 4 3 3" xfId="19758" xr:uid="{A6B85EF2-CC7D-4A82-8851-5F49F1C8AF9F}"/>
    <cellStyle name="Normal 10 3 2 6 4 3 3 2" xfId="19759" xr:uid="{E8A2CE4A-DE49-4C4D-B51F-FFFE62821699}"/>
    <cellStyle name="Normal 10 3 2 6 4 3 3 2 2" xfId="19760" xr:uid="{86FDE393-7750-4E54-9C2C-F166F725D819}"/>
    <cellStyle name="Normal 10 3 2 6 4 3 3 3" xfId="19761" xr:uid="{190C644E-C127-4AFE-B42D-44071F5A6D8A}"/>
    <cellStyle name="Normal 10 3 2 6 4 3 4" xfId="19762" xr:uid="{5C753EF0-A47D-4671-BA71-0FDC3491DD38}"/>
    <cellStyle name="Normal 10 3 2 6 4 3 4 2" xfId="19763" xr:uid="{5CBD2A1F-D030-4E00-A87D-F1C56594A9E6}"/>
    <cellStyle name="Normal 10 3 2 6 4 3 5" xfId="19764" xr:uid="{E11E88E1-B952-4F13-B4B4-769C2A459ECE}"/>
    <cellStyle name="Normal 10 3 2 6 4 4" xfId="19765" xr:uid="{B1E3485B-2931-403D-B78C-0FB99A9194C7}"/>
    <cellStyle name="Normal 10 3 2 6 4 4 2" xfId="19766" xr:uid="{F600CBD5-3427-4F02-8CDC-4909D18E0FA6}"/>
    <cellStyle name="Normal 10 3 2 6 4 4 2 2" xfId="19767" xr:uid="{5D676791-8F6E-4AC9-8725-FB794A4990D2}"/>
    <cellStyle name="Normal 10 3 2 6 4 4 2 2 2" xfId="19768" xr:uid="{3FC35C6E-F377-4264-8232-FC492A445EAE}"/>
    <cellStyle name="Normal 10 3 2 6 4 4 2 3" xfId="19769" xr:uid="{DB18A06B-C778-46DF-B685-540DE879DF20}"/>
    <cellStyle name="Normal 10 3 2 6 4 4 3" xfId="19770" xr:uid="{C0F98D18-D5BC-4832-A624-8C3B5248F24B}"/>
    <cellStyle name="Normal 10 3 2 6 4 4 3 2" xfId="19771" xr:uid="{27E97D90-2D56-46E6-A93F-43FBF3428CB8}"/>
    <cellStyle name="Normal 10 3 2 6 4 4 4" xfId="19772" xr:uid="{FD8CA7D5-CD4C-4A2D-84AE-81A75CAA9B2B}"/>
    <cellStyle name="Normal 10 3 2 6 4 5" xfId="19773" xr:uid="{CB3FA54B-9DD0-4EF9-A0E6-6F7945D4C0FE}"/>
    <cellStyle name="Normal 10 3 2 6 4 5 2" xfId="19774" xr:uid="{4471A3C1-D62B-4003-BE1B-EECD2861E0E5}"/>
    <cellStyle name="Normal 10 3 2 6 4 5 2 2" xfId="19775" xr:uid="{A4F1765B-4D1F-4F08-889C-5CCC5C28EFDF}"/>
    <cellStyle name="Normal 10 3 2 6 4 5 3" xfId="19776" xr:uid="{F43A2814-098E-4B6D-BEE3-53B5165441F1}"/>
    <cellStyle name="Normal 10 3 2 6 4 6" xfId="19777" xr:uid="{3656FAB4-7DD3-45E2-80C4-3729197A0653}"/>
    <cellStyle name="Normal 10 3 2 6 4 6 2" xfId="19778" xr:uid="{4A9D1D3C-C0BF-4058-B5D5-96522E10000C}"/>
    <cellStyle name="Normal 10 3 2 6 4 7" xfId="19779" xr:uid="{47851D5D-80B3-474E-A0F2-14CAC35DEB97}"/>
    <cellStyle name="Normal 10 3 2 6 5" xfId="19780" xr:uid="{60D7FCB0-527A-42D3-80D1-014C7AE00B25}"/>
    <cellStyle name="Normal 10 3 2 6 5 2" xfId="19781" xr:uid="{6A79A69B-D2B5-4C80-8745-DEC9B3952A64}"/>
    <cellStyle name="Normal 10 3 2 6 5 2 2" xfId="19782" xr:uid="{144CBAD8-D14E-440C-A1F2-3000FE10C009}"/>
    <cellStyle name="Normal 10 3 2 6 5 2 2 2" xfId="19783" xr:uid="{F2F02306-1F3D-437A-A86D-8313DD8A7176}"/>
    <cellStyle name="Normal 10 3 2 6 5 2 2 2 2" xfId="19784" xr:uid="{EDA7C828-05D5-413D-BDC8-2F922AF5F814}"/>
    <cellStyle name="Normal 10 3 2 6 5 2 2 2 2 2" xfId="19785" xr:uid="{8CA7C7BB-2F53-4137-B7D5-A84ABC7AB1CA}"/>
    <cellStyle name="Normal 10 3 2 6 5 2 2 2 3" xfId="19786" xr:uid="{939E03FA-E88D-464A-90C5-F7B6231A0C27}"/>
    <cellStyle name="Normal 10 3 2 6 5 2 2 3" xfId="19787" xr:uid="{2EC2B5C4-484E-43D6-8E28-EC7BC0F21CA2}"/>
    <cellStyle name="Normal 10 3 2 6 5 2 2 3 2" xfId="19788" xr:uid="{00946682-D1C2-4533-A9B4-4DA8DCFFF223}"/>
    <cellStyle name="Normal 10 3 2 6 5 2 2 4" xfId="19789" xr:uid="{9A94EF88-E4B8-4016-802B-76067A23C6B8}"/>
    <cellStyle name="Normal 10 3 2 6 5 2 3" xfId="19790" xr:uid="{129DB113-9EA6-4469-8CC4-17FB3D8E2738}"/>
    <cellStyle name="Normal 10 3 2 6 5 2 3 2" xfId="19791" xr:uid="{B34CC33D-C729-4638-9D78-6C3CA155F7CB}"/>
    <cellStyle name="Normal 10 3 2 6 5 2 3 2 2" xfId="19792" xr:uid="{9A77EB2A-F7CA-40AC-897D-95A2C72D0B77}"/>
    <cellStyle name="Normal 10 3 2 6 5 2 3 3" xfId="19793" xr:uid="{A357CD6E-70B8-4E9F-AE20-B61D53F45040}"/>
    <cellStyle name="Normal 10 3 2 6 5 2 4" xfId="19794" xr:uid="{D7BF363D-AEF4-4E74-A465-5C9183E80EE8}"/>
    <cellStyle name="Normal 10 3 2 6 5 2 4 2" xfId="19795" xr:uid="{7089C265-0DB4-488C-BD36-0B5AA5D2A9AC}"/>
    <cellStyle name="Normal 10 3 2 6 5 2 5" xfId="19796" xr:uid="{DB3FBA6D-0B0B-4043-B06D-AAFBF32556D0}"/>
    <cellStyle name="Normal 10 3 2 6 5 3" xfId="19797" xr:uid="{35A5C57F-1E4F-4945-9B63-A307E3A38CB1}"/>
    <cellStyle name="Normal 10 3 2 6 5 3 2" xfId="19798" xr:uid="{7841327C-D5BC-4C08-8CE3-E7FC9248FA0E}"/>
    <cellStyle name="Normal 10 3 2 6 5 3 2 2" xfId="19799" xr:uid="{42C00892-1AA8-40C3-BC18-313054569B19}"/>
    <cellStyle name="Normal 10 3 2 6 5 3 2 2 2" xfId="19800" xr:uid="{AA292259-8004-42FF-8AF0-E9D97D88AA4E}"/>
    <cellStyle name="Normal 10 3 2 6 5 3 2 3" xfId="19801" xr:uid="{DEF657B1-0219-474A-B73B-6CE44967655C}"/>
    <cellStyle name="Normal 10 3 2 6 5 3 3" xfId="19802" xr:uid="{43816D24-3F87-4232-B543-4ED6F573FE14}"/>
    <cellStyle name="Normal 10 3 2 6 5 3 3 2" xfId="19803" xr:uid="{3464C3EA-E7AA-494F-A03E-DF901FB0B073}"/>
    <cellStyle name="Normal 10 3 2 6 5 3 4" xfId="19804" xr:uid="{E0322E96-7115-44FC-892E-DDB1213E85EC}"/>
    <cellStyle name="Normal 10 3 2 6 5 4" xfId="19805" xr:uid="{4D7E7703-9486-4CA6-A272-9090259A75E8}"/>
    <cellStyle name="Normal 10 3 2 6 5 4 2" xfId="19806" xr:uid="{925BE1F2-A427-4446-A878-3467BBDB3128}"/>
    <cellStyle name="Normal 10 3 2 6 5 4 2 2" xfId="19807" xr:uid="{4631B1A4-0C07-4D4E-A51D-C439CBA1DB33}"/>
    <cellStyle name="Normal 10 3 2 6 5 4 3" xfId="19808" xr:uid="{3C6F43DB-9DAA-4448-929B-060E32B913F4}"/>
    <cellStyle name="Normal 10 3 2 6 5 5" xfId="19809" xr:uid="{EDDC28C5-1998-4FB7-959C-FFF4B240AFCB}"/>
    <cellStyle name="Normal 10 3 2 6 5 5 2" xfId="19810" xr:uid="{4BF38913-3011-478F-8DDE-9ABD3B234186}"/>
    <cellStyle name="Normal 10 3 2 6 5 6" xfId="19811" xr:uid="{DFC6BFC0-0AA8-4008-B990-FF63C6400A12}"/>
    <cellStyle name="Normal 10 3 2 6 6" xfId="19812" xr:uid="{F623F5CA-404D-4B5D-8A55-1671B9C3BAE3}"/>
    <cellStyle name="Normal 10 3 2 6 6 2" xfId="19813" xr:uid="{8A442CB2-1AF2-43BC-93C4-55F7DAC54C1F}"/>
    <cellStyle name="Normal 10 3 2 6 6 2 2" xfId="19814" xr:uid="{3D04FAEE-F909-44C2-94B6-CAFE6BEDB440}"/>
    <cellStyle name="Normal 10 3 2 6 6 2 2 2" xfId="19815" xr:uid="{088BE40C-A72C-463C-8B70-DEF046216671}"/>
    <cellStyle name="Normal 10 3 2 6 6 2 2 2 2" xfId="19816" xr:uid="{19BD5B0D-6027-4FEA-B418-35DF534843F2}"/>
    <cellStyle name="Normal 10 3 2 6 6 2 2 3" xfId="19817" xr:uid="{C9A3DFB9-D14F-462E-BB9F-6870D67D0C92}"/>
    <cellStyle name="Normal 10 3 2 6 6 2 3" xfId="19818" xr:uid="{B851F900-C3E2-445D-A5AC-6981F52CE0E3}"/>
    <cellStyle name="Normal 10 3 2 6 6 2 3 2" xfId="19819" xr:uid="{46D512F4-C671-4165-80AB-CB94C5B42138}"/>
    <cellStyle name="Normal 10 3 2 6 6 2 4" xfId="19820" xr:uid="{DEDF918F-4BD4-4096-A5E6-A8BA97EFB034}"/>
    <cellStyle name="Normal 10 3 2 6 6 3" xfId="19821" xr:uid="{4E93B0ED-D804-48B1-ABC0-1BDD04091F00}"/>
    <cellStyle name="Normal 10 3 2 6 6 3 2" xfId="19822" xr:uid="{066564CE-20E8-4D06-A401-357DE6107847}"/>
    <cellStyle name="Normal 10 3 2 6 6 3 2 2" xfId="19823" xr:uid="{8AA9650F-AF5D-4A65-9C41-F3CDE5650195}"/>
    <cellStyle name="Normal 10 3 2 6 6 3 3" xfId="19824" xr:uid="{74D5E64F-D854-499E-977F-FBE156068CA9}"/>
    <cellStyle name="Normal 10 3 2 6 6 4" xfId="19825" xr:uid="{14A6DC76-B75E-4EDA-AAB9-117CB8497622}"/>
    <cellStyle name="Normal 10 3 2 6 6 4 2" xfId="19826" xr:uid="{8F91909F-6C1B-4B76-98BF-ABEE08EECE56}"/>
    <cellStyle name="Normal 10 3 2 6 6 5" xfId="19827" xr:uid="{C21351C2-8C5B-4475-B3A0-AB24A93ABD13}"/>
    <cellStyle name="Normal 10 3 2 6 7" xfId="19828" xr:uid="{065D02D0-6DD7-456D-8FAC-81894FC2B6BB}"/>
    <cellStyle name="Normal 10 3 2 6 7 2" xfId="19829" xr:uid="{2A4052B2-E5AD-4B05-A375-8BBF12F291A8}"/>
    <cellStyle name="Normal 10 3 2 6 7 2 2" xfId="19830" xr:uid="{B2496BD6-C1BC-4D53-B28E-F9B19E2E1D3C}"/>
    <cellStyle name="Normal 10 3 2 6 7 2 2 2" xfId="19831" xr:uid="{CC7ECB6C-10D4-4D23-9270-BCD9703035B8}"/>
    <cellStyle name="Normal 10 3 2 6 7 2 3" xfId="19832" xr:uid="{7FCF3B1F-BB9F-45F6-AEB8-9FA94BA85B35}"/>
    <cellStyle name="Normal 10 3 2 6 7 3" xfId="19833" xr:uid="{0B2FEF72-7792-43AB-AA66-C66A56366B3D}"/>
    <cellStyle name="Normal 10 3 2 6 7 3 2" xfId="19834" xr:uid="{A74A5E24-B303-4510-8B5D-315FE6E2DD70}"/>
    <cellStyle name="Normal 10 3 2 6 7 4" xfId="19835" xr:uid="{AB2ED001-8D07-4B2E-A40E-AB106D6CA556}"/>
    <cellStyle name="Normal 10 3 2 6 8" xfId="19836" xr:uid="{501BAD5F-9624-4DF4-8051-B2271270716E}"/>
    <cellStyle name="Normal 10 3 2 6 8 2" xfId="19837" xr:uid="{9A5EAFDA-817C-4507-AA23-FD8DFE917FD2}"/>
    <cellStyle name="Normal 10 3 2 6 8 2 2" xfId="19838" xr:uid="{4FD413BC-2D2D-40EC-A5E5-84C10DFFD3E1}"/>
    <cellStyle name="Normal 10 3 2 6 8 3" xfId="19839" xr:uid="{370F45E8-EF95-4B93-BA94-36FDCA2F8543}"/>
    <cellStyle name="Normal 10 3 2 6 9" xfId="19840" xr:uid="{7833A2B4-34AC-4FF3-8AE3-FF855AB61E4C}"/>
    <cellStyle name="Normal 10 3 2 6 9 2" xfId="19841" xr:uid="{C653B6BE-4B99-48CC-ADAB-CBD5CD3AF0BE}"/>
    <cellStyle name="Normal 10 3 2 7" xfId="328" xr:uid="{4600251B-76F1-4609-A351-EE31687B6482}"/>
    <cellStyle name="Normal 10 3 2 7 10" xfId="19842" xr:uid="{6CB564F5-887B-46B5-84A0-76BD0559A39A}"/>
    <cellStyle name="Normal 10 3 2 7 2" xfId="19843" xr:uid="{4FDA564D-E7BB-44DC-9E71-03F9B6654346}"/>
    <cellStyle name="Normal 10 3 2 7 2 2" xfId="19844" xr:uid="{C61D4C9F-64F5-4CCC-B3E9-FBD90DEB896D}"/>
    <cellStyle name="Normal 10 3 2 7 2 2 2" xfId="19845" xr:uid="{3D0F37A1-EDAB-4193-A697-C497F661996B}"/>
    <cellStyle name="Normal 10 3 2 7 2 2 2 2" xfId="19846" xr:uid="{B6B06675-A212-40A9-9C63-1AA9433BC730}"/>
    <cellStyle name="Normal 10 3 2 7 2 2 2 2 2" xfId="19847" xr:uid="{4532959D-0D36-4D33-88C3-3BD4100E4682}"/>
    <cellStyle name="Normal 10 3 2 7 2 2 2 2 2 2" xfId="19848" xr:uid="{EB8D4651-8234-407F-A83F-12E76F72222C}"/>
    <cellStyle name="Normal 10 3 2 7 2 2 2 2 2 2 2" xfId="19849" xr:uid="{BC0D289B-EBDE-4EFB-A8B6-1208DE8A45C2}"/>
    <cellStyle name="Normal 10 3 2 7 2 2 2 2 2 2 2 2" xfId="19850" xr:uid="{77FE1B2E-C7FB-4134-AA17-1D9EE5191D57}"/>
    <cellStyle name="Normal 10 3 2 7 2 2 2 2 2 2 3" xfId="19851" xr:uid="{EDCA4766-CAD0-411E-A9D7-032257B725D2}"/>
    <cellStyle name="Normal 10 3 2 7 2 2 2 2 2 3" xfId="19852" xr:uid="{0E711C61-7E1D-4862-B6D8-7BCA67FFDB35}"/>
    <cellStyle name="Normal 10 3 2 7 2 2 2 2 2 3 2" xfId="19853" xr:uid="{D637ABB1-4A5D-4940-B0C4-3EB0910BA1D9}"/>
    <cellStyle name="Normal 10 3 2 7 2 2 2 2 2 4" xfId="19854" xr:uid="{64636D17-0257-4420-9B2B-25BD1FE7D00F}"/>
    <cellStyle name="Normal 10 3 2 7 2 2 2 2 3" xfId="19855" xr:uid="{F5AA1FDB-F535-4199-9B35-ED5C5702934D}"/>
    <cellStyle name="Normal 10 3 2 7 2 2 2 2 3 2" xfId="19856" xr:uid="{E0056500-F4B2-4061-99AC-1D83C7E29584}"/>
    <cellStyle name="Normal 10 3 2 7 2 2 2 2 3 2 2" xfId="19857" xr:uid="{5FF84930-5E6F-4789-A949-31E33E0E6988}"/>
    <cellStyle name="Normal 10 3 2 7 2 2 2 2 3 3" xfId="19858" xr:uid="{F1505F6A-69A6-440D-AE00-365142B63E32}"/>
    <cellStyle name="Normal 10 3 2 7 2 2 2 2 4" xfId="19859" xr:uid="{6F46CD69-C6EF-4CCE-814B-6B5A524D03FD}"/>
    <cellStyle name="Normal 10 3 2 7 2 2 2 2 4 2" xfId="19860" xr:uid="{C1AC8B51-1F5B-4B67-9788-7A5248B3F36D}"/>
    <cellStyle name="Normal 10 3 2 7 2 2 2 2 5" xfId="19861" xr:uid="{B2658F8B-ECB0-4F74-BF1B-ABF7BE5CBB62}"/>
    <cellStyle name="Normal 10 3 2 7 2 2 2 3" xfId="19862" xr:uid="{651ED6B0-3CB2-499A-89BC-E69B6DDBE135}"/>
    <cellStyle name="Normal 10 3 2 7 2 2 2 3 2" xfId="19863" xr:uid="{F2369D56-CB6A-4538-81FF-A2D9F7518E23}"/>
    <cellStyle name="Normal 10 3 2 7 2 2 2 3 2 2" xfId="19864" xr:uid="{63D51D56-0E08-4778-AC8B-F77D7C2313DC}"/>
    <cellStyle name="Normal 10 3 2 7 2 2 2 3 2 2 2" xfId="19865" xr:uid="{583C91A0-5BBE-4C33-B9B7-FC99883C68A9}"/>
    <cellStyle name="Normal 10 3 2 7 2 2 2 3 2 3" xfId="19866" xr:uid="{DA8789AC-3A55-46F2-BE53-168D43D79DB4}"/>
    <cellStyle name="Normal 10 3 2 7 2 2 2 3 3" xfId="19867" xr:uid="{9257FAE6-6B2D-47EA-BBF2-96C3D263BC8A}"/>
    <cellStyle name="Normal 10 3 2 7 2 2 2 3 3 2" xfId="19868" xr:uid="{98C7738C-8599-41CC-9AFA-042CD71B0BF4}"/>
    <cellStyle name="Normal 10 3 2 7 2 2 2 3 4" xfId="19869" xr:uid="{9A359771-2671-40D2-99C7-0B38C31D3C3D}"/>
    <cellStyle name="Normal 10 3 2 7 2 2 2 4" xfId="19870" xr:uid="{80BDBC66-EFC8-419F-94F1-D9D9EA380708}"/>
    <cellStyle name="Normal 10 3 2 7 2 2 2 4 2" xfId="19871" xr:uid="{6E35F684-3FAC-4860-BF54-27D00F1E91B4}"/>
    <cellStyle name="Normal 10 3 2 7 2 2 2 4 2 2" xfId="19872" xr:uid="{0C3BFB0C-3893-4259-9068-6E811709E562}"/>
    <cellStyle name="Normal 10 3 2 7 2 2 2 4 3" xfId="19873" xr:uid="{DFB034A9-4FC2-4DF1-8B52-34FB86112CE6}"/>
    <cellStyle name="Normal 10 3 2 7 2 2 2 5" xfId="19874" xr:uid="{C875B752-5F62-487B-8280-FBAF330FC9A0}"/>
    <cellStyle name="Normal 10 3 2 7 2 2 2 5 2" xfId="19875" xr:uid="{E1888602-5149-458B-9AAF-D5AA5B9850F9}"/>
    <cellStyle name="Normal 10 3 2 7 2 2 2 6" xfId="19876" xr:uid="{59C359AC-5AAF-4461-9D2F-E1059F4F6B1A}"/>
    <cellStyle name="Normal 10 3 2 7 2 2 3" xfId="19877" xr:uid="{31F15495-76A0-4090-91B4-435C2E0519CD}"/>
    <cellStyle name="Normal 10 3 2 7 2 2 3 2" xfId="19878" xr:uid="{05F0530D-B00E-4CA2-95F6-B379F94C2E30}"/>
    <cellStyle name="Normal 10 3 2 7 2 2 3 2 2" xfId="19879" xr:uid="{D36043E6-BBA0-4857-9E1B-9B6F533BA138}"/>
    <cellStyle name="Normal 10 3 2 7 2 2 3 2 2 2" xfId="19880" xr:uid="{95722D85-3720-49B7-BECC-AA1583E2B26C}"/>
    <cellStyle name="Normal 10 3 2 7 2 2 3 2 2 2 2" xfId="19881" xr:uid="{0520D6BE-D58D-4716-8655-8FBD866ABFC2}"/>
    <cellStyle name="Normal 10 3 2 7 2 2 3 2 2 3" xfId="19882" xr:uid="{F07B4FB3-F3CE-4C5D-90D8-457F14BFF79B}"/>
    <cellStyle name="Normal 10 3 2 7 2 2 3 2 3" xfId="19883" xr:uid="{8DE0A7C8-321E-4D0B-925B-9081FE0A3309}"/>
    <cellStyle name="Normal 10 3 2 7 2 2 3 2 3 2" xfId="19884" xr:uid="{178357AD-4083-4C7F-95CB-5FC753088EDF}"/>
    <cellStyle name="Normal 10 3 2 7 2 2 3 2 4" xfId="19885" xr:uid="{E5D67244-9AD4-46C4-B8F3-DD45E02CE42C}"/>
    <cellStyle name="Normal 10 3 2 7 2 2 3 3" xfId="19886" xr:uid="{5ECACDB0-062C-4432-B430-07E4DFA39CC3}"/>
    <cellStyle name="Normal 10 3 2 7 2 2 3 3 2" xfId="19887" xr:uid="{EBD22ECF-A36A-4577-ADDB-6D178C65CEDD}"/>
    <cellStyle name="Normal 10 3 2 7 2 2 3 3 2 2" xfId="19888" xr:uid="{38F4FAA5-BE3D-4150-BB33-479A0F93AE5A}"/>
    <cellStyle name="Normal 10 3 2 7 2 2 3 3 3" xfId="19889" xr:uid="{501BCA90-686E-4B8D-9970-D6E48D0312C8}"/>
    <cellStyle name="Normal 10 3 2 7 2 2 3 4" xfId="19890" xr:uid="{737C8132-FF6B-45A4-A301-0195627A1715}"/>
    <cellStyle name="Normal 10 3 2 7 2 2 3 4 2" xfId="19891" xr:uid="{B94CFB46-2FBD-4DE7-AAB5-8B59A89EBCC6}"/>
    <cellStyle name="Normal 10 3 2 7 2 2 3 5" xfId="19892" xr:uid="{D421D9F5-8467-4F39-AA76-ECAEAE98C3B6}"/>
    <cellStyle name="Normal 10 3 2 7 2 2 4" xfId="19893" xr:uid="{B31914AB-BF2D-4D0F-BA9C-BBE74FA8CCD9}"/>
    <cellStyle name="Normal 10 3 2 7 2 2 4 2" xfId="19894" xr:uid="{E1253D40-0C63-432B-997C-669BF50F1745}"/>
    <cellStyle name="Normal 10 3 2 7 2 2 4 2 2" xfId="19895" xr:uid="{8B3E03AC-A1C1-45E4-B4B5-84787899B765}"/>
    <cellStyle name="Normal 10 3 2 7 2 2 4 2 2 2" xfId="19896" xr:uid="{9A8F19A1-F4B1-4459-A83F-A21B83B167F8}"/>
    <cellStyle name="Normal 10 3 2 7 2 2 4 2 3" xfId="19897" xr:uid="{C4C9FC07-DE5E-48C6-93FF-B8A4D2768205}"/>
    <cellStyle name="Normal 10 3 2 7 2 2 4 3" xfId="19898" xr:uid="{1289E03D-0762-4DAC-97C3-BA345332EF1F}"/>
    <cellStyle name="Normal 10 3 2 7 2 2 4 3 2" xfId="19899" xr:uid="{949852D9-6A1C-4959-9537-B60E48EA221E}"/>
    <cellStyle name="Normal 10 3 2 7 2 2 4 4" xfId="19900" xr:uid="{CF756066-E1AE-46C6-AB5D-680EFA1CF8C7}"/>
    <cellStyle name="Normal 10 3 2 7 2 2 5" xfId="19901" xr:uid="{1F08097B-58DC-4854-9B8D-8BD5242FDA81}"/>
    <cellStyle name="Normal 10 3 2 7 2 2 5 2" xfId="19902" xr:uid="{0C194F46-5018-47C7-B37A-A8054FF5F4C3}"/>
    <cellStyle name="Normal 10 3 2 7 2 2 5 2 2" xfId="19903" xr:uid="{3EA8E268-BA41-4CC4-8A17-5CA4E9E84FA0}"/>
    <cellStyle name="Normal 10 3 2 7 2 2 5 3" xfId="19904" xr:uid="{D9CACAF8-9200-4532-B05E-03E3E29CB378}"/>
    <cellStyle name="Normal 10 3 2 7 2 2 6" xfId="19905" xr:uid="{D7DA66DC-CD8E-4F6D-AE5A-12D689DA6FB0}"/>
    <cellStyle name="Normal 10 3 2 7 2 2 6 2" xfId="19906" xr:uid="{126AF603-8D1E-4566-9BBB-4C71C592E8A2}"/>
    <cellStyle name="Normal 10 3 2 7 2 2 7" xfId="19907" xr:uid="{12CBC85F-EC6F-43FC-A412-834E82B30FC8}"/>
    <cellStyle name="Normal 10 3 2 7 2 3" xfId="19908" xr:uid="{4002E44A-336F-4959-8871-064F9A978BA2}"/>
    <cellStyle name="Normal 10 3 2 7 2 3 2" xfId="19909" xr:uid="{55242DCE-1203-4084-B078-479C73693352}"/>
    <cellStyle name="Normal 10 3 2 7 2 3 2 2" xfId="19910" xr:uid="{2E6AD2A8-A49D-4466-B4E8-8517437ECC02}"/>
    <cellStyle name="Normal 10 3 2 7 2 3 2 2 2" xfId="19911" xr:uid="{4190A0F6-1AD6-422D-8F8C-EB05983CA315}"/>
    <cellStyle name="Normal 10 3 2 7 2 3 2 2 2 2" xfId="19912" xr:uid="{BA3CFD69-D586-482D-A192-E52CE79CE822}"/>
    <cellStyle name="Normal 10 3 2 7 2 3 2 2 2 2 2" xfId="19913" xr:uid="{3058B928-8BD9-4181-9EA3-BAC05035F8FB}"/>
    <cellStyle name="Normal 10 3 2 7 2 3 2 2 2 3" xfId="19914" xr:uid="{2BBB7295-7A66-4F73-94E4-050F5F91ED24}"/>
    <cellStyle name="Normal 10 3 2 7 2 3 2 2 3" xfId="19915" xr:uid="{0BEC61FB-3919-4298-9501-E55A9B82805F}"/>
    <cellStyle name="Normal 10 3 2 7 2 3 2 2 3 2" xfId="19916" xr:uid="{432D1512-7719-4F20-A3A8-C8F49B4C6E12}"/>
    <cellStyle name="Normal 10 3 2 7 2 3 2 2 4" xfId="19917" xr:uid="{B204D96C-5D09-4FBF-B421-7BF7B5CEF693}"/>
    <cellStyle name="Normal 10 3 2 7 2 3 2 3" xfId="19918" xr:uid="{6CDC69BE-CBD5-453D-9E52-ACC82F6B5940}"/>
    <cellStyle name="Normal 10 3 2 7 2 3 2 3 2" xfId="19919" xr:uid="{D54172A1-E6BB-49E3-8B9F-AFBF7A370DDF}"/>
    <cellStyle name="Normal 10 3 2 7 2 3 2 3 2 2" xfId="19920" xr:uid="{F27B8EA5-1A56-4B87-89D2-F87791A6D8FC}"/>
    <cellStyle name="Normal 10 3 2 7 2 3 2 3 3" xfId="19921" xr:uid="{75C89758-F3B9-4489-9028-D6628543A618}"/>
    <cellStyle name="Normal 10 3 2 7 2 3 2 4" xfId="19922" xr:uid="{6607979F-2852-45E1-8A3F-5DA51907744B}"/>
    <cellStyle name="Normal 10 3 2 7 2 3 2 4 2" xfId="19923" xr:uid="{16482471-7C5F-4DFC-B06B-8F47C761468B}"/>
    <cellStyle name="Normal 10 3 2 7 2 3 2 5" xfId="19924" xr:uid="{0273097E-CA0B-4275-BBB4-E92920AFDE6F}"/>
    <cellStyle name="Normal 10 3 2 7 2 3 3" xfId="19925" xr:uid="{EA83EF34-6BB1-43B3-8D04-D672BD915126}"/>
    <cellStyle name="Normal 10 3 2 7 2 3 3 2" xfId="19926" xr:uid="{56ABF994-38BC-4345-90CF-D1516926E1BC}"/>
    <cellStyle name="Normal 10 3 2 7 2 3 3 2 2" xfId="19927" xr:uid="{9DB615B1-504B-4476-A9DA-6BBC9046C677}"/>
    <cellStyle name="Normal 10 3 2 7 2 3 3 2 2 2" xfId="19928" xr:uid="{F58A01DA-9E76-47BC-8FFF-0D7DD12704D9}"/>
    <cellStyle name="Normal 10 3 2 7 2 3 3 2 3" xfId="19929" xr:uid="{EC781850-BDDA-4440-840F-344C3BC5A369}"/>
    <cellStyle name="Normal 10 3 2 7 2 3 3 3" xfId="19930" xr:uid="{2013D4B5-243E-454B-A8C2-CF0B9D7CF14A}"/>
    <cellStyle name="Normal 10 3 2 7 2 3 3 3 2" xfId="19931" xr:uid="{D9106A07-63DE-47A9-8F7C-7D9B6567AF0F}"/>
    <cellStyle name="Normal 10 3 2 7 2 3 3 4" xfId="19932" xr:uid="{A5E0DA88-B712-46CE-836D-A6AC8F3224E4}"/>
    <cellStyle name="Normal 10 3 2 7 2 3 4" xfId="19933" xr:uid="{EF2659CE-9F28-4573-BA42-A0FB9E9B7B0A}"/>
    <cellStyle name="Normal 10 3 2 7 2 3 4 2" xfId="19934" xr:uid="{37EAC186-7F6A-47FC-ADF8-66C57F9559A2}"/>
    <cellStyle name="Normal 10 3 2 7 2 3 4 2 2" xfId="19935" xr:uid="{46786F9F-FEFE-4B73-9512-945FA29B6B18}"/>
    <cellStyle name="Normal 10 3 2 7 2 3 4 3" xfId="19936" xr:uid="{ED9494B7-0052-41EB-9D75-C49004AA013C}"/>
    <cellStyle name="Normal 10 3 2 7 2 3 5" xfId="19937" xr:uid="{053B7D1F-2442-4E14-A9D0-40143A35C8B2}"/>
    <cellStyle name="Normal 10 3 2 7 2 3 5 2" xfId="19938" xr:uid="{C5CF683E-402A-437E-92B6-0716566EEB43}"/>
    <cellStyle name="Normal 10 3 2 7 2 3 6" xfId="19939" xr:uid="{DCFA2408-46FD-46E8-AB0A-87A924B1838B}"/>
    <cellStyle name="Normal 10 3 2 7 2 4" xfId="19940" xr:uid="{FBBD9ED4-35F0-4BB6-B543-1C7BB1993873}"/>
    <cellStyle name="Normal 10 3 2 7 2 4 2" xfId="19941" xr:uid="{A7962B55-10F3-4749-89CB-36E9214C0957}"/>
    <cellStyle name="Normal 10 3 2 7 2 4 2 2" xfId="19942" xr:uid="{F1F23EB0-5E71-48F3-AC2C-722FF494811A}"/>
    <cellStyle name="Normal 10 3 2 7 2 4 2 2 2" xfId="19943" xr:uid="{27C18688-4AD0-45C5-9C01-DEF452A18A70}"/>
    <cellStyle name="Normal 10 3 2 7 2 4 2 2 2 2" xfId="19944" xr:uid="{28C1400D-3236-457C-96AD-AEC1CCFBF995}"/>
    <cellStyle name="Normal 10 3 2 7 2 4 2 2 3" xfId="19945" xr:uid="{903F5E9E-55EA-4F38-8788-DC6816B61152}"/>
    <cellStyle name="Normal 10 3 2 7 2 4 2 3" xfId="19946" xr:uid="{8FF4AC2C-570E-4AEA-8A57-B319679D53D7}"/>
    <cellStyle name="Normal 10 3 2 7 2 4 2 3 2" xfId="19947" xr:uid="{C7FED6FA-2D9E-4FE2-9941-7F1E89E01441}"/>
    <cellStyle name="Normal 10 3 2 7 2 4 2 4" xfId="19948" xr:uid="{C21E7D74-1F3B-4195-AED1-BFA7157EBCD0}"/>
    <cellStyle name="Normal 10 3 2 7 2 4 3" xfId="19949" xr:uid="{29D22D94-B695-49B7-AF01-0C7065D42179}"/>
    <cellStyle name="Normal 10 3 2 7 2 4 3 2" xfId="19950" xr:uid="{7FB6EB64-223B-4CC1-8F53-DC018D82DC40}"/>
    <cellStyle name="Normal 10 3 2 7 2 4 3 2 2" xfId="19951" xr:uid="{C81BD20B-E1CA-4CB9-8B9B-6A3D9A71111A}"/>
    <cellStyle name="Normal 10 3 2 7 2 4 3 3" xfId="19952" xr:uid="{DB2CEA5A-77B4-406E-B7B4-DFDA96DA5910}"/>
    <cellStyle name="Normal 10 3 2 7 2 4 4" xfId="19953" xr:uid="{A21881F8-09D2-440C-97A6-D67DA44B6F63}"/>
    <cellStyle name="Normal 10 3 2 7 2 4 4 2" xfId="19954" xr:uid="{87ECB16F-76AA-41BE-AFCE-2119FEB942CF}"/>
    <cellStyle name="Normal 10 3 2 7 2 4 5" xfId="19955" xr:uid="{540170DD-1E2E-4566-8E94-F816D6572C81}"/>
    <cellStyle name="Normal 10 3 2 7 2 5" xfId="19956" xr:uid="{1C69BE22-CFED-4576-BD68-B2BD31894BBA}"/>
    <cellStyle name="Normal 10 3 2 7 2 5 2" xfId="19957" xr:uid="{608D1145-8705-4C09-A92D-897F51AD18A3}"/>
    <cellStyle name="Normal 10 3 2 7 2 5 2 2" xfId="19958" xr:uid="{62956DF4-4D13-4369-932F-84B3E295E2B4}"/>
    <cellStyle name="Normal 10 3 2 7 2 5 2 2 2" xfId="19959" xr:uid="{5E7833DE-A1F4-429B-80B9-5A98D3F2A837}"/>
    <cellStyle name="Normal 10 3 2 7 2 5 2 3" xfId="19960" xr:uid="{D1CAACA0-640D-4C50-83E8-710A639C324A}"/>
    <cellStyle name="Normal 10 3 2 7 2 5 3" xfId="19961" xr:uid="{EDD91B2C-723D-47A2-99D5-503957392BA8}"/>
    <cellStyle name="Normal 10 3 2 7 2 5 3 2" xfId="19962" xr:uid="{612957F9-0C35-4F7F-8863-86810B5C4E2E}"/>
    <cellStyle name="Normal 10 3 2 7 2 5 4" xfId="19963" xr:uid="{84778EB3-AAFD-425F-A98B-82F9745BDF0C}"/>
    <cellStyle name="Normal 10 3 2 7 2 6" xfId="19964" xr:uid="{50023C7E-62D2-4BE0-B8B1-84A3D420190C}"/>
    <cellStyle name="Normal 10 3 2 7 2 6 2" xfId="19965" xr:uid="{54007110-438F-4D7D-A591-C62880C8BF6B}"/>
    <cellStyle name="Normal 10 3 2 7 2 6 2 2" xfId="19966" xr:uid="{1A1EAF4F-3C4D-46C1-91AA-CFAAC4B2C2B9}"/>
    <cellStyle name="Normal 10 3 2 7 2 6 3" xfId="19967" xr:uid="{739FD2E9-475B-463D-812B-1A2A2844655E}"/>
    <cellStyle name="Normal 10 3 2 7 2 7" xfId="19968" xr:uid="{96CA109F-B71D-47C4-8A86-FC779A906F41}"/>
    <cellStyle name="Normal 10 3 2 7 2 7 2" xfId="19969" xr:uid="{0C070689-18C4-4A32-9AC5-8B19A1A05257}"/>
    <cellStyle name="Normal 10 3 2 7 2 8" xfId="19970" xr:uid="{E2EB193F-8962-48FF-BBC1-AEE44F329BD0}"/>
    <cellStyle name="Normal 10 3 2 7 3" xfId="19971" xr:uid="{CF960581-E1FF-4BB6-B6B0-438549C4BB88}"/>
    <cellStyle name="Normal 10 3 2 7 3 2" xfId="19972" xr:uid="{2CA7248F-1712-40CB-8B33-4C73FDC959B7}"/>
    <cellStyle name="Normal 10 3 2 7 3 2 2" xfId="19973" xr:uid="{478CDE80-F5EA-454C-8D8A-E6FBB47C7FA3}"/>
    <cellStyle name="Normal 10 3 2 7 3 2 2 2" xfId="19974" xr:uid="{A94752B6-5F8C-4A2E-A48B-ABBD04BF6023}"/>
    <cellStyle name="Normal 10 3 2 7 3 2 2 2 2" xfId="19975" xr:uid="{37562DD2-7B3B-4626-9ABB-CC8F64196F35}"/>
    <cellStyle name="Normal 10 3 2 7 3 2 2 2 2 2" xfId="19976" xr:uid="{FB27D0A8-CDBD-42CD-8DD0-9D1536815574}"/>
    <cellStyle name="Normal 10 3 2 7 3 2 2 2 2 2 2" xfId="19977" xr:uid="{8B23925F-D234-4A3C-A739-C014EC310315}"/>
    <cellStyle name="Normal 10 3 2 7 3 2 2 2 2 3" xfId="19978" xr:uid="{4ED33725-DE49-4E38-BD23-421418A69A5F}"/>
    <cellStyle name="Normal 10 3 2 7 3 2 2 2 3" xfId="19979" xr:uid="{DA4BE7D7-A0EB-417C-9D84-7B7F4931118F}"/>
    <cellStyle name="Normal 10 3 2 7 3 2 2 2 3 2" xfId="19980" xr:uid="{81757549-5740-408C-B364-EE42584DDAC1}"/>
    <cellStyle name="Normal 10 3 2 7 3 2 2 2 4" xfId="19981" xr:uid="{DFAAAA36-9C8A-458E-A61B-373C8D4F416C}"/>
    <cellStyle name="Normal 10 3 2 7 3 2 2 3" xfId="19982" xr:uid="{F8C1EA0D-3AC3-4F80-965A-40C11BA3C362}"/>
    <cellStyle name="Normal 10 3 2 7 3 2 2 3 2" xfId="19983" xr:uid="{5FC4A4AF-46C6-443B-8E86-BCF3337786F7}"/>
    <cellStyle name="Normal 10 3 2 7 3 2 2 3 2 2" xfId="19984" xr:uid="{E6E91B20-983C-437D-968A-E2013EB98721}"/>
    <cellStyle name="Normal 10 3 2 7 3 2 2 3 3" xfId="19985" xr:uid="{C089337A-44D4-4BAB-B098-12DA436E5603}"/>
    <cellStyle name="Normal 10 3 2 7 3 2 2 4" xfId="19986" xr:uid="{5F511F57-F967-4136-BD23-969FCE72277D}"/>
    <cellStyle name="Normal 10 3 2 7 3 2 2 4 2" xfId="19987" xr:uid="{62B25E93-41D5-4663-A81F-6EA4506FFA4B}"/>
    <cellStyle name="Normal 10 3 2 7 3 2 2 5" xfId="19988" xr:uid="{935EE4F8-9913-48BB-A47E-B3B7C1EC96BA}"/>
    <cellStyle name="Normal 10 3 2 7 3 2 3" xfId="19989" xr:uid="{A610EA49-91EC-462E-97E1-0D1D0B093578}"/>
    <cellStyle name="Normal 10 3 2 7 3 2 3 2" xfId="19990" xr:uid="{A6F9BC81-7D25-4EEB-8062-B5F65B7591A5}"/>
    <cellStyle name="Normal 10 3 2 7 3 2 3 2 2" xfId="19991" xr:uid="{857EDADB-3E2C-4CB7-A545-B6D888E99DD5}"/>
    <cellStyle name="Normal 10 3 2 7 3 2 3 2 2 2" xfId="19992" xr:uid="{D84D448F-9A89-42C8-AAC2-4953244B2E79}"/>
    <cellStyle name="Normal 10 3 2 7 3 2 3 2 3" xfId="19993" xr:uid="{1F6B1C3F-983B-4CAF-BC0B-35FA04980A89}"/>
    <cellStyle name="Normal 10 3 2 7 3 2 3 3" xfId="19994" xr:uid="{2283B890-0285-4C84-8E61-410A9E8BD0EE}"/>
    <cellStyle name="Normal 10 3 2 7 3 2 3 3 2" xfId="19995" xr:uid="{ABF17920-D545-43A7-9A95-06A5AB963FBB}"/>
    <cellStyle name="Normal 10 3 2 7 3 2 3 4" xfId="19996" xr:uid="{71FA3E5C-CB8C-4B5D-ABB0-8395C0090358}"/>
    <cellStyle name="Normal 10 3 2 7 3 2 4" xfId="19997" xr:uid="{6941BE9D-536C-4E11-A00F-0FEBE186DA82}"/>
    <cellStyle name="Normal 10 3 2 7 3 2 4 2" xfId="19998" xr:uid="{F571AF82-AEDF-4165-A978-56C4B5D156A8}"/>
    <cellStyle name="Normal 10 3 2 7 3 2 4 2 2" xfId="19999" xr:uid="{F5E237A4-813E-4DAD-BB5F-47C646EBA1E6}"/>
    <cellStyle name="Normal 10 3 2 7 3 2 4 3" xfId="20000" xr:uid="{80453C3F-FE88-4015-86C4-A82FD616987F}"/>
    <cellStyle name="Normal 10 3 2 7 3 2 5" xfId="20001" xr:uid="{BB20FA98-1B1F-47C5-8F3F-BD0C24902AFF}"/>
    <cellStyle name="Normal 10 3 2 7 3 2 5 2" xfId="20002" xr:uid="{F4031A3A-6B33-4E59-ADE6-06BCFA4F67E0}"/>
    <cellStyle name="Normal 10 3 2 7 3 2 6" xfId="20003" xr:uid="{BC1C9230-1524-42DB-AB3F-551683FE59C1}"/>
    <cellStyle name="Normal 10 3 2 7 3 3" xfId="20004" xr:uid="{731332FF-5652-41A7-AEE8-179F0C10DF8C}"/>
    <cellStyle name="Normal 10 3 2 7 3 3 2" xfId="20005" xr:uid="{BB1F021D-BB87-481B-901D-8D82C42AF2EA}"/>
    <cellStyle name="Normal 10 3 2 7 3 3 2 2" xfId="20006" xr:uid="{B5A502B5-771F-45D4-ABA3-099EBE146EB8}"/>
    <cellStyle name="Normal 10 3 2 7 3 3 2 2 2" xfId="20007" xr:uid="{2F36D906-EEB1-418D-967E-8833FD972112}"/>
    <cellStyle name="Normal 10 3 2 7 3 3 2 2 2 2" xfId="20008" xr:uid="{8F401645-09DB-465A-AD60-CEDED640D0B5}"/>
    <cellStyle name="Normal 10 3 2 7 3 3 2 2 3" xfId="20009" xr:uid="{62657AF7-E94A-4976-A194-8E673F2441F4}"/>
    <cellStyle name="Normal 10 3 2 7 3 3 2 3" xfId="20010" xr:uid="{2AF35FFE-1FE9-4515-95BE-EE54DF03D51B}"/>
    <cellStyle name="Normal 10 3 2 7 3 3 2 3 2" xfId="20011" xr:uid="{0C3BA3A7-0F5D-44D5-B555-90E56663C6C8}"/>
    <cellStyle name="Normal 10 3 2 7 3 3 2 4" xfId="20012" xr:uid="{3042E2FD-D1BB-445B-A341-C36A8AF64932}"/>
    <cellStyle name="Normal 10 3 2 7 3 3 3" xfId="20013" xr:uid="{26D65246-9767-4105-94F7-D3A6D48E07EA}"/>
    <cellStyle name="Normal 10 3 2 7 3 3 3 2" xfId="20014" xr:uid="{F3900B18-E477-4C85-8F43-C3E8F55F4BA2}"/>
    <cellStyle name="Normal 10 3 2 7 3 3 3 2 2" xfId="20015" xr:uid="{965D092B-98E9-46A8-87DC-21CC67244ADD}"/>
    <cellStyle name="Normal 10 3 2 7 3 3 3 3" xfId="20016" xr:uid="{A472640A-D6FB-4CC8-A136-8759357865ED}"/>
    <cellStyle name="Normal 10 3 2 7 3 3 4" xfId="20017" xr:uid="{691D1D6C-CE97-4A6D-9D54-2979589EC650}"/>
    <cellStyle name="Normal 10 3 2 7 3 3 4 2" xfId="20018" xr:uid="{A4B8EB33-816D-4582-AADC-A8CA1E87A37D}"/>
    <cellStyle name="Normal 10 3 2 7 3 3 5" xfId="20019" xr:uid="{951D5949-8A3E-4B09-AF7D-E62A80192C7A}"/>
    <cellStyle name="Normal 10 3 2 7 3 4" xfId="20020" xr:uid="{B5F8ED74-E7D7-4080-A69C-40F80CF09AAA}"/>
    <cellStyle name="Normal 10 3 2 7 3 4 2" xfId="20021" xr:uid="{7C76661E-9B8B-4BC0-814C-0EDB5E413A85}"/>
    <cellStyle name="Normal 10 3 2 7 3 4 2 2" xfId="20022" xr:uid="{FF29FEFF-14D9-4519-99DB-1045178257CE}"/>
    <cellStyle name="Normal 10 3 2 7 3 4 2 2 2" xfId="20023" xr:uid="{25AEC368-4D06-4661-BAA7-5A60F5831DD9}"/>
    <cellStyle name="Normal 10 3 2 7 3 4 2 3" xfId="20024" xr:uid="{80C835B0-54AD-429B-860C-4A73320305FB}"/>
    <cellStyle name="Normal 10 3 2 7 3 4 3" xfId="20025" xr:uid="{4A6D3AB1-B04B-4912-9C5E-2185C8825ADA}"/>
    <cellStyle name="Normal 10 3 2 7 3 4 3 2" xfId="20026" xr:uid="{F9DCEC09-715C-4047-9CFF-FC5FAF5F35DA}"/>
    <cellStyle name="Normal 10 3 2 7 3 4 4" xfId="20027" xr:uid="{CF05EF60-7EEC-4475-A271-5E3DB8148E6E}"/>
    <cellStyle name="Normal 10 3 2 7 3 5" xfId="20028" xr:uid="{C556A168-8A98-41F4-A34D-9D50B5F61C42}"/>
    <cellStyle name="Normal 10 3 2 7 3 5 2" xfId="20029" xr:uid="{57E58F02-8BD0-4946-9D87-0CB09E6C92D0}"/>
    <cellStyle name="Normal 10 3 2 7 3 5 2 2" xfId="20030" xr:uid="{92D08569-B4BC-40C6-851A-163B535DE02F}"/>
    <cellStyle name="Normal 10 3 2 7 3 5 3" xfId="20031" xr:uid="{9D552BA3-C53D-4433-8FC7-329E0D3D560B}"/>
    <cellStyle name="Normal 10 3 2 7 3 6" xfId="20032" xr:uid="{BBD52B35-4437-408C-8A88-137F5192B991}"/>
    <cellStyle name="Normal 10 3 2 7 3 6 2" xfId="20033" xr:uid="{84A9BE7E-1C86-425D-9EAE-89C6FFCC28FF}"/>
    <cellStyle name="Normal 10 3 2 7 3 7" xfId="20034" xr:uid="{7782DE03-5D63-45EA-BA21-BFE6E4484627}"/>
    <cellStyle name="Normal 10 3 2 7 4" xfId="20035" xr:uid="{DE1C764C-D437-452B-B608-59E3A2F09CCF}"/>
    <cellStyle name="Normal 10 3 2 7 4 2" xfId="20036" xr:uid="{E0CC6860-8317-4AA8-BCA7-2A42421915A5}"/>
    <cellStyle name="Normal 10 3 2 7 4 2 2" xfId="20037" xr:uid="{82165920-DA66-4368-A838-F8347B9B305C}"/>
    <cellStyle name="Normal 10 3 2 7 4 2 2 2" xfId="20038" xr:uid="{7B6BBD36-9F24-4C37-A07B-E8CDE135F084}"/>
    <cellStyle name="Normal 10 3 2 7 4 2 2 2 2" xfId="20039" xr:uid="{580D9986-ACDF-4FCB-9F55-172324BC73E5}"/>
    <cellStyle name="Normal 10 3 2 7 4 2 2 2 2 2" xfId="20040" xr:uid="{E8D2443C-7B84-4E73-9A0F-C61E2FCA5F10}"/>
    <cellStyle name="Normal 10 3 2 7 4 2 2 2 3" xfId="20041" xr:uid="{8DF661A3-5B13-4436-B16E-D3F9C9716333}"/>
    <cellStyle name="Normal 10 3 2 7 4 2 2 3" xfId="20042" xr:uid="{89786E98-4690-41F1-A235-B8F62723555B}"/>
    <cellStyle name="Normal 10 3 2 7 4 2 2 3 2" xfId="20043" xr:uid="{42C54873-D287-4B12-BA47-2FCA40F66B13}"/>
    <cellStyle name="Normal 10 3 2 7 4 2 2 4" xfId="20044" xr:uid="{9616916F-A880-439B-B4BD-FA02A780412A}"/>
    <cellStyle name="Normal 10 3 2 7 4 2 3" xfId="20045" xr:uid="{DBFEDE4B-4468-44B7-98A9-28D8295A3CD2}"/>
    <cellStyle name="Normal 10 3 2 7 4 2 3 2" xfId="20046" xr:uid="{5CD2D3FA-E1AD-451C-83EA-1E2CD9A856AD}"/>
    <cellStyle name="Normal 10 3 2 7 4 2 3 2 2" xfId="20047" xr:uid="{B40E514A-3857-4D88-A951-12C2A81DF59D}"/>
    <cellStyle name="Normal 10 3 2 7 4 2 3 3" xfId="20048" xr:uid="{44A78304-CA36-4673-BD7C-F7182D130B0F}"/>
    <cellStyle name="Normal 10 3 2 7 4 2 4" xfId="20049" xr:uid="{9E579BFF-6602-4AD3-9C08-DEE244720130}"/>
    <cellStyle name="Normal 10 3 2 7 4 2 4 2" xfId="20050" xr:uid="{6CAF22F1-91E8-4353-AD5F-E4AECBA7C882}"/>
    <cellStyle name="Normal 10 3 2 7 4 2 5" xfId="20051" xr:uid="{23BF3B4B-13C6-4F94-8551-873478E1CF34}"/>
    <cellStyle name="Normal 10 3 2 7 4 3" xfId="20052" xr:uid="{B43ADAC8-6C49-4263-AB87-0F2C02C9412D}"/>
    <cellStyle name="Normal 10 3 2 7 4 3 2" xfId="20053" xr:uid="{7288B2A6-C853-4DC1-8642-E55B5A51C877}"/>
    <cellStyle name="Normal 10 3 2 7 4 3 2 2" xfId="20054" xr:uid="{F9DAB07F-B21A-49A9-904E-2F4334509471}"/>
    <cellStyle name="Normal 10 3 2 7 4 3 2 2 2" xfId="20055" xr:uid="{8C596B27-99DD-40CA-921C-7E1EDF47031B}"/>
    <cellStyle name="Normal 10 3 2 7 4 3 2 3" xfId="20056" xr:uid="{A1AE3A13-E9C2-416A-8385-D30F35F032E3}"/>
    <cellStyle name="Normal 10 3 2 7 4 3 3" xfId="20057" xr:uid="{0219F9E5-3424-4A5A-B0E8-E5E3556062C8}"/>
    <cellStyle name="Normal 10 3 2 7 4 3 3 2" xfId="20058" xr:uid="{BC3A354B-915E-4F6F-B784-77ABF5BF077C}"/>
    <cellStyle name="Normal 10 3 2 7 4 3 4" xfId="20059" xr:uid="{6FB7F5F3-0E12-4DE7-8CF5-768CFF39B7D2}"/>
    <cellStyle name="Normal 10 3 2 7 4 4" xfId="20060" xr:uid="{F7F258BB-C771-41BB-93FC-A39FE99287A1}"/>
    <cellStyle name="Normal 10 3 2 7 4 4 2" xfId="20061" xr:uid="{E27DC6BB-131F-4BD5-AC74-703CA67A786C}"/>
    <cellStyle name="Normal 10 3 2 7 4 4 2 2" xfId="20062" xr:uid="{8012245B-D0E9-4975-9725-F71764CFD40A}"/>
    <cellStyle name="Normal 10 3 2 7 4 4 3" xfId="20063" xr:uid="{3A75DFC6-4C46-45F1-92EA-34D74835E814}"/>
    <cellStyle name="Normal 10 3 2 7 4 5" xfId="20064" xr:uid="{DB08BB87-893E-4C99-B41E-D5120B50CFEE}"/>
    <cellStyle name="Normal 10 3 2 7 4 5 2" xfId="20065" xr:uid="{2426385C-32DC-4B93-BE72-5B865127B665}"/>
    <cellStyle name="Normal 10 3 2 7 4 6" xfId="20066" xr:uid="{38ACBC7C-19B4-4EAD-A86A-001B993A1217}"/>
    <cellStyle name="Normal 10 3 2 7 5" xfId="20067" xr:uid="{E6280BB1-5C4B-49D9-8E69-A9587A890B8D}"/>
    <cellStyle name="Normal 10 3 2 7 5 2" xfId="20068" xr:uid="{3DFB3A59-836D-40E9-AB48-679B30F8A8D3}"/>
    <cellStyle name="Normal 10 3 2 7 5 2 2" xfId="20069" xr:uid="{5049F9D4-BECD-4203-AEB3-2A2E68B7AD13}"/>
    <cellStyle name="Normal 10 3 2 7 5 2 2 2" xfId="20070" xr:uid="{3E397A60-4B72-40BA-BA77-85CB09006C2A}"/>
    <cellStyle name="Normal 10 3 2 7 5 2 2 2 2" xfId="20071" xr:uid="{FD188A63-3239-4AC4-A2C3-9ACAFAB18120}"/>
    <cellStyle name="Normal 10 3 2 7 5 2 2 3" xfId="20072" xr:uid="{63891017-1F87-4DBB-9541-0C79FE24A4EB}"/>
    <cellStyle name="Normal 10 3 2 7 5 2 3" xfId="20073" xr:uid="{981759BB-791F-434A-A839-4841586EA1A0}"/>
    <cellStyle name="Normal 10 3 2 7 5 2 3 2" xfId="20074" xr:uid="{0EA1152E-0240-43C5-ABA3-49FA0EE1494F}"/>
    <cellStyle name="Normal 10 3 2 7 5 2 4" xfId="20075" xr:uid="{7762364A-A092-46F8-B7A9-D13136E701B0}"/>
    <cellStyle name="Normal 10 3 2 7 5 3" xfId="20076" xr:uid="{9122329B-FC71-4832-BDEB-19E08CC34756}"/>
    <cellStyle name="Normal 10 3 2 7 5 3 2" xfId="20077" xr:uid="{B6AD3D33-E37E-472E-BF5F-DDAC73BF546C}"/>
    <cellStyle name="Normal 10 3 2 7 5 3 2 2" xfId="20078" xr:uid="{4E431C73-0560-4BF1-A51F-26C46DA03BAD}"/>
    <cellStyle name="Normal 10 3 2 7 5 3 3" xfId="20079" xr:uid="{C14FFE0A-7541-46A1-82DD-86ADF93F6D0B}"/>
    <cellStyle name="Normal 10 3 2 7 5 4" xfId="20080" xr:uid="{2B2B4691-16EF-4DE2-8C36-9408FB5D3D18}"/>
    <cellStyle name="Normal 10 3 2 7 5 4 2" xfId="20081" xr:uid="{DCDAE354-B7CE-44E2-9C05-7B6F16955FE7}"/>
    <cellStyle name="Normal 10 3 2 7 5 5" xfId="20082" xr:uid="{17A89D35-0D61-4B35-854C-7F5C39E9D9BA}"/>
    <cellStyle name="Normal 10 3 2 7 6" xfId="20083" xr:uid="{E5E5EC94-5EA3-4F55-BCFD-197DE7C1E17B}"/>
    <cellStyle name="Normal 10 3 2 7 6 2" xfId="20084" xr:uid="{233EED6E-0385-46F1-BAEF-76D6314B0954}"/>
    <cellStyle name="Normal 10 3 2 7 6 2 2" xfId="20085" xr:uid="{D4839F11-612C-4991-9B55-CE7E6EEE67DC}"/>
    <cellStyle name="Normal 10 3 2 7 6 2 2 2" xfId="20086" xr:uid="{EE25E2E7-8E13-4B5D-A704-52BD2D32D75D}"/>
    <cellStyle name="Normal 10 3 2 7 6 2 3" xfId="20087" xr:uid="{B77315E2-83C8-4690-B17A-A50AFEE61627}"/>
    <cellStyle name="Normal 10 3 2 7 6 3" xfId="20088" xr:uid="{D6E0CBF3-E036-4B1A-9DDE-964AA6CAD675}"/>
    <cellStyle name="Normal 10 3 2 7 6 3 2" xfId="20089" xr:uid="{184B3575-CA4A-4D7A-BE2D-24DD9E6B893E}"/>
    <cellStyle name="Normal 10 3 2 7 6 4" xfId="20090" xr:uid="{B1AAE80B-6BCF-4B1D-A43A-9ADEAF845264}"/>
    <cellStyle name="Normal 10 3 2 7 7" xfId="20091" xr:uid="{825AFCB9-A88B-42BD-B28A-5AC7309DC100}"/>
    <cellStyle name="Normal 10 3 2 7 7 2" xfId="20092" xr:uid="{1F4FAC21-721C-4A5A-B33C-1C7593B33BF2}"/>
    <cellStyle name="Normal 10 3 2 7 7 2 2" xfId="20093" xr:uid="{C377B3BC-36B7-46E5-9938-62F08712C04D}"/>
    <cellStyle name="Normal 10 3 2 7 7 3" xfId="20094" xr:uid="{8D59EF13-EC1E-4C3D-AF62-72281E357F6F}"/>
    <cellStyle name="Normal 10 3 2 7 8" xfId="20095" xr:uid="{465442FB-9D32-4CA6-BDAA-DAAF30AD7B27}"/>
    <cellStyle name="Normal 10 3 2 7 8 2" xfId="20096" xr:uid="{AE882667-F7FA-40A4-84C7-CBCB0A21391E}"/>
    <cellStyle name="Normal 10 3 2 7 9" xfId="20097" xr:uid="{EC530CD4-83B3-4516-9A29-265C7B090F97}"/>
    <cellStyle name="Normal 10 3 2 8" xfId="442" xr:uid="{EDEA7FE4-4FFB-4444-A9A2-8BD66EE22061}"/>
    <cellStyle name="Normal 10 3 2 8 2" xfId="20099" xr:uid="{ED725C8C-F1B5-46CA-85EA-FF84A53F1C6D}"/>
    <cellStyle name="Normal 10 3 2 8 2 2" xfId="20100" xr:uid="{20E5604C-F07F-4ED5-A68B-9326CD32D640}"/>
    <cellStyle name="Normal 10 3 2 8 2 2 2" xfId="20101" xr:uid="{794ACE78-DAD8-4119-A3E6-247572E28729}"/>
    <cellStyle name="Normal 10 3 2 8 2 2 2 2" xfId="20102" xr:uid="{82F11C3C-11DA-46B8-BE38-E290688890E3}"/>
    <cellStyle name="Normal 10 3 2 8 2 2 2 2 2" xfId="20103" xr:uid="{05786171-8DD9-45E4-8043-6F8B368CA766}"/>
    <cellStyle name="Normal 10 3 2 8 2 2 2 2 2 2" xfId="20104" xr:uid="{E6B2FB24-5A93-4C55-8819-F17FBD3136F6}"/>
    <cellStyle name="Normal 10 3 2 8 2 2 2 2 2 2 2" xfId="20105" xr:uid="{D6E586B0-888B-4891-B36B-66F485519814}"/>
    <cellStyle name="Normal 10 3 2 8 2 2 2 2 2 3" xfId="20106" xr:uid="{4E5D24E0-D677-4BEF-840B-17926377B44B}"/>
    <cellStyle name="Normal 10 3 2 8 2 2 2 2 3" xfId="20107" xr:uid="{ADE3001B-6CEA-4EC5-8498-E6F307709952}"/>
    <cellStyle name="Normal 10 3 2 8 2 2 2 2 3 2" xfId="20108" xr:uid="{18A7BADD-65AB-4E1F-AE5C-469E623E91BB}"/>
    <cellStyle name="Normal 10 3 2 8 2 2 2 2 4" xfId="20109" xr:uid="{D707F35B-5BD6-4D19-8B10-1CB6746F8D81}"/>
    <cellStyle name="Normal 10 3 2 8 2 2 2 3" xfId="20110" xr:uid="{377E8C13-4DD6-44FC-AB73-7303EE17A631}"/>
    <cellStyle name="Normal 10 3 2 8 2 2 2 3 2" xfId="20111" xr:uid="{BB3879BA-A37E-4623-97B0-453F50345B03}"/>
    <cellStyle name="Normal 10 3 2 8 2 2 2 3 2 2" xfId="20112" xr:uid="{F33B7AEA-F6D6-4C8C-ABAD-E9F0C733A7DE}"/>
    <cellStyle name="Normal 10 3 2 8 2 2 2 3 3" xfId="20113" xr:uid="{F5BB610E-45F5-40B8-9E1C-03A85939FF51}"/>
    <cellStyle name="Normal 10 3 2 8 2 2 2 4" xfId="20114" xr:uid="{0B0ABBAA-7884-4D31-B317-D3852A1987BB}"/>
    <cellStyle name="Normal 10 3 2 8 2 2 2 4 2" xfId="20115" xr:uid="{FCDE1D23-9BAF-482C-B56F-AFBBAEE449EE}"/>
    <cellStyle name="Normal 10 3 2 8 2 2 2 5" xfId="20116" xr:uid="{7FB5FB5B-EC98-4D63-9D2F-094A7BD600AC}"/>
    <cellStyle name="Normal 10 3 2 8 2 2 3" xfId="20117" xr:uid="{B687FD3E-497A-4734-9735-224CE44649FA}"/>
    <cellStyle name="Normal 10 3 2 8 2 2 3 2" xfId="20118" xr:uid="{18352311-F45E-44C0-A078-A305AA5757CD}"/>
    <cellStyle name="Normal 10 3 2 8 2 2 3 2 2" xfId="20119" xr:uid="{9C438818-DBB8-45CC-8991-18D6C462128B}"/>
    <cellStyle name="Normal 10 3 2 8 2 2 3 2 2 2" xfId="20120" xr:uid="{07EF5518-536C-4250-837F-38F795347A26}"/>
    <cellStyle name="Normal 10 3 2 8 2 2 3 2 3" xfId="20121" xr:uid="{77DF38FD-624A-408A-B8EC-E7B3932C3748}"/>
    <cellStyle name="Normal 10 3 2 8 2 2 3 3" xfId="20122" xr:uid="{30E2E463-9337-42AB-BE76-D3D61837AAA2}"/>
    <cellStyle name="Normal 10 3 2 8 2 2 3 3 2" xfId="20123" xr:uid="{3ED363B9-2182-4040-8EF1-3847E12F775D}"/>
    <cellStyle name="Normal 10 3 2 8 2 2 3 4" xfId="20124" xr:uid="{90466632-C2A8-4574-B44E-E7C517A570B1}"/>
    <cellStyle name="Normal 10 3 2 8 2 2 4" xfId="20125" xr:uid="{64EC48CA-EECF-466D-8BB0-E9218DF18AD1}"/>
    <cellStyle name="Normal 10 3 2 8 2 2 4 2" xfId="20126" xr:uid="{BFBE9D7F-F36D-4D64-8244-175F913A53AB}"/>
    <cellStyle name="Normal 10 3 2 8 2 2 4 2 2" xfId="20127" xr:uid="{A2128269-15DF-4C63-8634-E8D80ECFFE15}"/>
    <cellStyle name="Normal 10 3 2 8 2 2 4 3" xfId="20128" xr:uid="{BE698763-0585-4733-84B3-94744D157125}"/>
    <cellStyle name="Normal 10 3 2 8 2 2 5" xfId="20129" xr:uid="{BE7C1B15-9458-4A00-9C07-F664E1C48DAB}"/>
    <cellStyle name="Normal 10 3 2 8 2 2 5 2" xfId="20130" xr:uid="{BEE7EC10-9FCC-4508-9F7C-4AE947628695}"/>
    <cellStyle name="Normal 10 3 2 8 2 2 6" xfId="20131" xr:uid="{53D93D28-3D6F-472E-A710-260AA15C1763}"/>
    <cellStyle name="Normal 10 3 2 8 2 3" xfId="20132" xr:uid="{7AD54D8B-716A-4286-B00E-5B3AB6041FC0}"/>
    <cellStyle name="Normal 10 3 2 8 2 3 2" xfId="20133" xr:uid="{E5CE1DD5-21F5-4140-ABD0-D9440AC7B2FD}"/>
    <cellStyle name="Normal 10 3 2 8 2 3 2 2" xfId="20134" xr:uid="{56D3565F-A185-4437-95E6-E781E4B30BC0}"/>
    <cellStyle name="Normal 10 3 2 8 2 3 2 2 2" xfId="20135" xr:uid="{0B5FEE28-995E-459D-8086-2669BD4DEFEE}"/>
    <cellStyle name="Normal 10 3 2 8 2 3 2 2 2 2" xfId="20136" xr:uid="{E1FF3033-E5E1-4805-BC21-4E71027B6C16}"/>
    <cellStyle name="Normal 10 3 2 8 2 3 2 2 3" xfId="20137" xr:uid="{5B8774FB-378F-43F9-A574-7B13FBA35AEE}"/>
    <cellStyle name="Normal 10 3 2 8 2 3 2 3" xfId="20138" xr:uid="{1CDD88CD-C363-4F95-BB28-D8B248E0BBCE}"/>
    <cellStyle name="Normal 10 3 2 8 2 3 2 3 2" xfId="20139" xr:uid="{FCB59614-5A18-4338-A2E5-26D9E2BEAAD8}"/>
    <cellStyle name="Normal 10 3 2 8 2 3 2 4" xfId="20140" xr:uid="{146B0B21-054E-497D-9E85-F6B87844A52A}"/>
    <cellStyle name="Normal 10 3 2 8 2 3 3" xfId="20141" xr:uid="{FCA26173-6A41-4A0D-BD65-C6A98FEDFCF1}"/>
    <cellStyle name="Normal 10 3 2 8 2 3 3 2" xfId="20142" xr:uid="{471E2FDD-AD73-442D-A09A-E9BEE4FD1B55}"/>
    <cellStyle name="Normal 10 3 2 8 2 3 3 2 2" xfId="20143" xr:uid="{DC50D8F7-33DB-4073-95FC-428792D7DC51}"/>
    <cellStyle name="Normal 10 3 2 8 2 3 3 3" xfId="20144" xr:uid="{7694CDE8-5920-4C6A-A3FE-41C94FB71981}"/>
    <cellStyle name="Normal 10 3 2 8 2 3 4" xfId="20145" xr:uid="{901DFC3B-DC54-4409-89C7-E55B150483F2}"/>
    <cellStyle name="Normal 10 3 2 8 2 3 4 2" xfId="20146" xr:uid="{B7BE9D7A-D1C4-4D46-ACDB-CAD6D4A1344F}"/>
    <cellStyle name="Normal 10 3 2 8 2 3 5" xfId="20147" xr:uid="{92B256B2-D0D8-4A0E-9011-7979A7D2B354}"/>
    <cellStyle name="Normal 10 3 2 8 2 4" xfId="20148" xr:uid="{66E1F0E3-A72C-4725-8E44-D4C9C4E94387}"/>
    <cellStyle name="Normal 10 3 2 8 2 4 2" xfId="20149" xr:uid="{C4E89EDA-EAF3-43AB-8284-B560553E38C8}"/>
    <cellStyle name="Normal 10 3 2 8 2 4 2 2" xfId="20150" xr:uid="{DF6D5E5D-8BC2-44EC-ABCD-5DCD6ACA4CDC}"/>
    <cellStyle name="Normal 10 3 2 8 2 4 2 2 2" xfId="20151" xr:uid="{1888B3A9-66C9-4D18-98C3-8994AD0F8254}"/>
    <cellStyle name="Normal 10 3 2 8 2 4 2 3" xfId="20152" xr:uid="{F14B869D-3DE4-4EA7-99B6-AFEC0CAB4984}"/>
    <cellStyle name="Normal 10 3 2 8 2 4 3" xfId="20153" xr:uid="{11F55954-B99D-4823-ABB9-CBA22A214613}"/>
    <cellStyle name="Normal 10 3 2 8 2 4 3 2" xfId="20154" xr:uid="{5E4B0560-0BDF-4636-94CD-CC8BBB897B4E}"/>
    <cellStyle name="Normal 10 3 2 8 2 4 4" xfId="20155" xr:uid="{32C8DC37-E2A2-4EB9-9697-5DDB411781E9}"/>
    <cellStyle name="Normal 10 3 2 8 2 5" xfId="20156" xr:uid="{C405BB3F-8DFB-4E4A-8FE8-6972C454B3EC}"/>
    <cellStyle name="Normal 10 3 2 8 2 5 2" xfId="20157" xr:uid="{8B01DDB1-5E80-445A-8350-58EACDAD24E8}"/>
    <cellStyle name="Normal 10 3 2 8 2 5 2 2" xfId="20158" xr:uid="{28840915-2278-4354-B717-848005E1F7EB}"/>
    <cellStyle name="Normal 10 3 2 8 2 5 3" xfId="20159" xr:uid="{C44982EA-4618-4189-9953-7BC8940F4155}"/>
    <cellStyle name="Normal 10 3 2 8 2 6" xfId="20160" xr:uid="{168CCC99-6F8C-4CDD-B62C-D4486BE135E8}"/>
    <cellStyle name="Normal 10 3 2 8 2 6 2" xfId="20161" xr:uid="{457666F3-7C29-4D9F-B7CD-EA39BE00D68E}"/>
    <cellStyle name="Normal 10 3 2 8 2 7" xfId="20162" xr:uid="{8F4F1872-7B8D-4B82-BB5B-FABFA1701EFF}"/>
    <cellStyle name="Normal 10 3 2 8 3" xfId="20163" xr:uid="{DA334B28-A924-44EA-9EEC-D3E238B30014}"/>
    <cellStyle name="Normal 10 3 2 8 3 2" xfId="20164" xr:uid="{109622BD-10A9-4262-87AF-2F3DCFEB2D21}"/>
    <cellStyle name="Normal 10 3 2 8 3 2 2" xfId="20165" xr:uid="{13849088-3F5A-4BD6-9941-DA883B9C9C07}"/>
    <cellStyle name="Normal 10 3 2 8 3 2 2 2" xfId="20166" xr:uid="{59B71388-D0E2-49F4-8CE8-457AC9E93763}"/>
    <cellStyle name="Normal 10 3 2 8 3 2 2 2 2" xfId="20167" xr:uid="{8A76081D-D00B-4C34-8635-517231BA00A2}"/>
    <cellStyle name="Normal 10 3 2 8 3 2 2 2 2 2" xfId="20168" xr:uid="{CAE8A966-AE67-42D3-80C3-5BA03A8C5A4F}"/>
    <cellStyle name="Normal 10 3 2 8 3 2 2 2 3" xfId="20169" xr:uid="{ACB4CA91-F4B0-4F9B-BE8D-455BB9C75D3D}"/>
    <cellStyle name="Normal 10 3 2 8 3 2 2 3" xfId="20170" xr:uid="{604DF2B0-FA21-43E7-ACDA-C253CB873BDF}"/>
    <cellStyle name="Normal 10 3 2 8 3 2 2 3 2" xfId="20171" xr:uid="{7C39360B-BDE5-435D-98D4-2121A39595F3}"/>
    <cellStyle name="Normal 10 3 2 8 3 2 2 4" xfId="20172" xr:uid="{2469D2E8-1699-42CB-893B-89D949F60670}"/>
    <cellStyle name="Normal 10 3 2 8 3 2 3" xfId="20173" xr:uid="{E8957FF1-830D-4A1C-958E-DCCA683C95BD}"/>
    <cellStyle name="Normal 10 3 2 8 3 2 3 2" xfId="20174" xr:uid="{2B43D9AB-BB7C-4026-B6CA-6FD3A2025CF9}"/>
    <cellStyle name="Normal 10 3 2 8 3 2 3 2 2" xfId="20175" xr:uid="{596EEFD3-4E08-4A66-900C-730C40603A2F}"/>
    <cellStyle name="Normal 10 3 2 8 3 2 3 3" xfId="20176" xr:uid="{54CB5A5A-26C7-480E-8734-2DD19ADB87EA}"/>
    <cellStyle name="Normal 10 3 2 8 3 2 4" xfId="20177" xr:uid="{E548F2E4-3C15-4B92-A847-4812FD36A377}"/>
    <cellStyle name="Normal 10 3 2 8 3 2 4 2" xfId="20178" xr:uid="{15F4C104-350C-4C7D-A132-3887886C7ED8}"/>
    <cellStyle name="Normal 10 3 2 8 3 2 5" xfId="20179" xr:uid="{AB4F97FA-B362-4A7A-9F38-25693C6E38B9}"/>
    <cellStyle name="Normal 10 3 2 8 3 3" xfId="20180" xr:uid="{6D16BA23-701A-404B-9E01-1CFF52C45A63}"/>
    <cellStyle name="Normal 10 3 2 8 3 3 2" xfId="20181" xr:uid="{286E5F29-53E9-43D1-BE41-EFC451989192}"/>
    <cellStyle name="Normal 10 3 2 8 3 3 2 2" xfId="20182" xr:uid="{B5C6C96A-8C38-4D49-8782-A2C8F065F8B4}"/>
    <cellStyle name="Normal 10 3 2 8 3 3 2 2 2" xfId="20183" xr:uid="{A9750ED4-464E-4C68-A2B4-40B5C432807A}"/>
    <cellStyle name="Normal 10 3 2 8 3 3 2 3" xfId="20184" xr:uid="{72F9B7F0-B2A4-4059-B902-1CB8E3BFFE24}"/>
    <cellStyle name="Normal 10 3 2 8 3 3 3" xfId="20185" xr:uid="{3DADA20E-7718-4D65-A4A3-0977DBEB9AE6}"/>
    <cellStyle name="Normal 10 3 2 8 3 3 3 2" xfId="20186" xr:uid="{D3769912-68DD-44A6-8108-897B2CD90E33}"/>
    <cellStyle name="Normal 10 3 2 8 3 3 4" xfId="20187" xr:uid="{D1420E92-CC74-4E92-AF9C-F8167A07C576}"/>
    <cellStyle name="Normal 10 3 2 8 3 4" xfId="20188" xr:uid="{499082AC-B843-4A8B-9286-04FF593AABD0}"/>
    <cellStyle name="Normal 10 3 2 8 3 4 2" xfId="20189" xr:uid="{B1FA86AA-B679-4220-864C-ADDB19211E53}"/>
    <cellStyle name="Normal 10 3 2 8 3 4 2 2" xfId="20190" xr:uid="{F87FC917-FC4D-402A-9B45-4609785EAC37}"/>
    <cellStyle name="Normal 10 3 2 8 3 4 3" xfId="20191" xr:uid="{FE53CCE5-7DA2-4C60-B5AD-C4CEC1DDDB55}"/>
    <cellStyle name="Normal 10 3 2 8 3 5" xfId="20192" xr:uid="{2FE11E53-9D99-43C2-B88D-8624BEBA93E4}"/>
    <cellStyle name="Normal 10 3 2 8 3 5 2" xfId="20193" xr:uid="{2C48FDF1-8693-40F7-A80A-D6EEC0960377}"/>
    <cellStyle name="Normal 10 3 2 8 3 6" xfId="20194" xr:uid="{9C4AC922-7A5C-4794-ADD8-652AE5116BA5}"/>
    <cellStyle name="Normal 10 3 2 8 4" xfId="20195" xr:uid="{6241873F-9BA0-4CD4-9BCE-FEB8E846746D}"/>
    <cellStyle name="Normal 10 3 2 8 4 2" xfId="20196" xr:uid="{08CC23C8-6E8D-47C1-826C-89A5241787B8}"/>
    <cellStyle name="Normal 10 3 2 8 4 2 2" xfId="20197" xr:uid="{A1976F2D-8A01-4C93-A95F-63098D0726D9}"/>
    <cellStyle name="Normal 10 3 2 8 4 2 2 2" xfId="20198" xr:uid="{16C4A02C-260C-461F-81E2-B1173451AFEA}"/>
    <cellStyle name="Normal 10 3 2 8 4 2 2 2 2" xfId="20199" xr:uid="{15E0C49F-9036-4007-82F8-00312D5F6F95}"/>
    <cellStyle name="Normal 10 3 2 8 4 2 2 3" xfId="20200" xr:uid="{0CE5473A-3BFC-4853-90A5-6F25A1D0620F}"/>
    <cellStyle name="Normal 10 3 2 8 4 2 3" xfId="20201" xr:uid="{A5AA2F89-0344-4234-AD27-80092BCF3286}"/>
    <cellStyle name="Normal 10 3 2 8 4 2 3 2" xfId="20202" xr:uid="{418A9838-6521-41BC-A1D8-D43929FD724F}"/>
    <cellStyle name="Normal 10 3 2 8 4 2 4" xfId="20203" xr:uid="{7438C681-1445-4CDD-BBB9-1F33D6EDA23A}"/>
    <cellStyle name="Normal 10 3 2 8 4 3" xfId="20204" xr:uid="{361F67B2-0E90-4A06-A8FD-C0849ABDD3D7}"/>
    <cellStyle name="Normal 10 3 2 8 4 3 2" xfId="20205" xr:uid="{79CD5CFE-CDB0-4AC1-B833-DB6A9C8DCAD4}"/>
    <cellStyle name="Normal 10 3 2 8 4 3 2 2" xfId="20206" xr:uid="{5B7E5977-4A30-4CFF-B969-01603C9E9F7A}"/>
    <cellStyle name="Normal 10 3 2 8 4 3 3" xfId="20207" xr:uid="{8CAC3735-04D9-4C65-B1BD-29B3E661C5EC}"/>
    <cellStyle name="Normal 10 3 2 8 4 4" xfId="20208" xr:uid="{70D3E64E-E329-452E-A7D7-43665AAF05A8}"/>
    <cellStyle name="Normal 10 3 2 8 4 4 2" xfId="20209" xr:uid="{1398AF9E-B249-47A9-9C96-92AEA9E90820}"/>
    <cellStyle name="Normal 10 3 2 8 4 5" xfId="20210" xr:uid="{CBDE567F-A528-4AB1-9ECF-93F528847169}"/>
    <cellStyle name="Normal 10 3 2 8 5" xfId="20211" xr:uid="{079F80D9-2570-4884-9E23-91D5E2602B66}"/>
    <cellStyle name="Normal 10 3 2 8 5 2" xfId="20212" xr:uid="{F04D6CA5-A775-4E3C-8229-338CBE0F0F6D}"/>
    <cellStyle name="Normal 10 3 2 8 5 2 2" xfId="20213" xr:uid="{9963EAAF-FDA9-45FB-984D-D2807A8F7C78}"/>
    <cellStyle name="Normal 10 3 2 8 5 2 2 2" xfId="20214" xr:uid="{92072C01-6F2A-4E95-A2DC-C80290265FE8}"/>
    <cellStyle name="Normal 10 3 2 8 5 2 3" xfId="20215" xr:uid="{76809FB3-F765-471E-B37C-EB9945442F53}"/>
    <cellStyle name="Normal 10 3 2 8 5 3" xfId="20216" xr:uid="{E4FAF1FC-D008-4085-BB8A-E55A8E23C52A}"/>
    <cellStyle name="Normal 10 3 2 8 5 3 2" xfId="20217" xr:uid="{6C4DC040-4389-41AD-9715-A52ED107138F}"/>
    <cellStyle name="Normal 10 3 2 8 5 4" xfId="20218" xr:uid="{8C0A79BD-4ADD-42E7-A02E-8D464EF26007}"/>
    <cellStyle name="Normal 10 3 2 8 6" xfId="20219" xr:uid="{2F2290A5-12BD-4BA5-97F1-214CA454CEB8}"/>
    <cellStyle name="Normal 10 3 2 8 6 2" xfId="20220" xr:uid="{DFE848A9-EB65-4E4A-8660-4268DD563828}"/>
    <cellStyle name="Normal 10 3 2 8 6 2 2" xfId="20221" xr:uid="{88582889-A6B8-45C2-8CE1-FA34E1F2F5A9}"/>
    <cellStyle name="Normal 10 3 2 8 6 3" xfId="20222" xr:uid="{2BDC18CB-3099-44A6-BA55-BB1C46FB0D0E}"/>
    <cellStyle name="Normal 10 3 2 8 7" xfId="20223" xr:uid="{E57C7AA1-0F87-4498-BDDB-6363C56CC6C3}"/>
    <cellStyle name="Normal 10 3 2 8 7 2" xfId="20224" xr:uid="{CFB31F76-D1AD-4034-9958-4B037C325049}"/>
    <cellStyle name="Normal 10 3 2 8 8" xfId="20225" xr:uid="{41B4B659-ECFD-47C5-9365-A70671647223}"/>
    <cellStyle name="Normal 10 3 2 8 9" xfId="20098" xr:uid="{F20DEA90-D7A2-4283-84C4-4FA75598113C}"/>
    <cellStyle name="Normal 10 3 2 9" xfId="20226" xr:uid="{456BF5A8-7EBB-4926-BE99-B3622D137AE0}"/>
    <cellStyle name="Normal 10 3 2 9 2" xfId="20227" xr:uid="{315DF86E-04AC-4D11-BB52-58987F063233}"/>
    <cellStyle name="Normal 10 3 2 9 2 2" xfId="20228" xr:uid="{A4C89508-3FC6-414B-A278-5F5BD56EA5D6}"/>
    <cellStyle name="Normal 10 3 2 9 2 2 2" xfId="20229" xr:uid="{34BC4281-186C-4A3D-A1C1-BE2459129933}"/>
    <cellStyle name="Normal 10 3 2 9 2 2 2 2" xfId="20230" xr:uid="{9D779C1C-16F3-4B6B-9429-B34AC4AE69E8}"/>
    <cellStyle name="Normal 10 3 2 9 2 2 2 2 2" xfId="20231" xr:uid="{7036F2CB-9D39-4FD0-97C1-FC3CD5849752}"/>
    <cellStyle name="Normal 10 3 2 9 2 2 2 2 2 2" xfId="20232" xr:uid="{890F0736-86DC-4A91-B6AB-6F99288BAA9B}"/>
    <cellStyle name="Normal 10 3 2 9 2 2 2 2 3" xfId="20233" xr:uid="{B59857C5-8922-4AE9-BFCF-12B4D26428C6}"/>
    <cellStyle name="Normal 10 3 2 9 2 2 2 3" xfId="20234" xr:uid="{AD2AB7C4-A4E8-4D95-82DD-E4A6C4B9173B}"/>
    <cellStyle name="Normal 10 3 2 9 2 2 2 3 2" xfId="20235" xr:uid="{9C2294D2-524E-4456-9266-0ABB5F95C82A}"/>
    <cellStyle name="Normal 10 3 2 9 2 2 2 4" xfId="20236" xr:uid="{A1F5C479-41CC-4AA0-A938-BD69F264353D}"/>
    <cellStyle name="Normal 10 3 2 9 2 2 3" xfId="20237" xr:uid="{F6CF8C0F-DD2F-4F23-BE29-DADF49561E8C}"/>
    <cellStyle name="Normal 10 3 2 9 2 2 3 2" xfId="20238" xr:uid="{DB72EEBD-3F14-4C01-A366-71536865B27C}"/>
    <cellStyle name="Normal 10 3 2 9 2 2 3 2 2" xfId="20239" xr:uid="{D7B7A7FC-93B6-4119-AAC9-7EDB26AD6FFD}"/>
    <cellStyle name="Normal 10 3 2 9 2 2 3 3" xfId="20240" xr:uid="{FE115668-58E6-4213-92FC-DE84708C2DB3}"/>
    <cellStyle name="Normal 10 3 2 9 2 2 4" xfId="20241" xr:uid="{5804D4C7-C59D-4B4F-8F1B-64B318F4DCFF}"/>
    <cellStyle name="Normal 10 3 2 9 2 2 4 2" xfId="20242" xr:uid="{FDF784E4-69A6-4863-99BD-52B95D5ACA93}"/>
    <cellStyle name="Normal 10 3 2 9 2 2 5" xfId="20243" xr:uid="{C43D4131-6EB3-4046-BABF-6AC7148E32FD}"/>
    <cellStyle name="Normal 10 3 2 9 2 3" xfId="20244" xr:uid="{634502A5-2F24-49CE-A67E-EA1F3CC3F367}"/>
    <cellStyle name="Normal 10 3 2 9 2 3 2" xfId="20245" xr:uid="{6B8A74A2-74C5-41D6-B7B7-0C7ABC889120}"/>
    <cellStyle name="Normal 10 3 2 9 2 3 2 2" xfId="20246" xr:uid="{9F8ADE60-0EB7-4660-9509-70AE27BB0C31}"/>
    <cellStyle name="Normal 10 3 2 9 2 3 2 2 2" xfId="20247" xr:uid="{C0469F03-89BF-42CC-911D-B95CF1B78691}"/>
    <cellStyle name="Normal 10 3 2 9 2 3 2 3" xfId="20248" xr:uid="{975BB678-69DC-404A-BDBC-0BEFDCD5BD29}"/>
    <cellStyle name="Normal 10 3 2 9 2 3 3" xfId="20249" xr:uid="{1555D2DA-F218-4093-9D5C-EFBFF3AA1DFD}"/>
    <cellStyle name="Normal 10 3 2 9 2 3 3 2" xfId="20250" xr:uid="{173EBD25-7C71-4C47-B80D-00D3D8818341}"/>
    <cellStyle name="Normal 10 3 2 9 2 3 4" xfId="20251" xr:uid="{17C39764-3189-43EF-966D-2BF95088BCAB}"/>
    <cellStyle name="Normal 10 3 2 9 2 4" xfId="20252" xr:uid="{82B6D19C-2A07-4B50-8A09-C3192E844222}"/>
    <cellStyle name="Normal 10 3 2 9 2 4 2" xfId="20253" xr:uid="{AA25BFFF-A5DF-4D9A-B6EA-F4889E068CE8}"/>
    <cellStyle name="Normal 10 3 2 9 2 4 2 2" xfId="20254" xr:uid="{E5C2F54B-3298-4010-B3AD-1B2C8DBAEB39}"/>
    <cellStyle name="Normal 10 3 2 9 2 4 3" xfId="20255" xr:uid="{819C17BD-0ADE-45EC-BA6A-716A739FB40E}"/>
    <cellStyle name="Normal 10 3 2 9 2 5" xfId="20256" xr:uid="{47F5194D-A731-4A88-98E2-1D8B897FFBBB}"/>
    <cellStyle name="Normal 10 3 2 9 2 5 2" xfId="20257" xr:uid="{D2741212-E2E5-48EF-9B58-8DF075A0DE87}"/>
    <cellStyle name="Normal 10 3 2 9 2 6" xfId="20258" xr:uid="{89C4BCD1-E0F8-45AD-B780-A1D5FB50281C}"/>
    <cellStyle name="Normal 10 3 2 9 3" xfId="20259" xr:uid="{AB3D68D9-244B-47D3-8A94-5F8FBB2A2177}"/>
    <cellStyle name="Normal 10 3 2 9 3 2" xfId="20260" xr:uid="{46E72744-A882-44A5-8C0A-E135B7C84D5F}"/>
    <cellStyle name="Normal 10 3 2 9 3 2 2" xfId="20261" xr:uid="{3F8C07DD-CC51-44FE-B5F7-7C5D65478120}"/>
    <cellStyle name="Normal 10 3 2 9 3 2 2 2" xfId="20262" xr:uid="{808FCB1C-4ED0-4BAE-8D72-CA89E71732B9}"/>
    <cellStyle name="Normal 10 3 2 9 3 2 2 2 2" xfId="20263" xr:uid="{59536B6C-4D19-41FD-B98E-5CF55FFA8E58}"/>
    <cellStyle name="Normal 10 3 2 9 3 2 2 3" xfId="20264" xr:uid="{A91B1E4D-AF4F-4A06-B318-87240804A1CC}"/>
    <cellStyle name="Normal 10 3 2 9 3 2 3" xfId="20265" xr:uid="{7279F253-7BFF-4CDD-8C25-E2AE48133838}"/>
    <cellStyle name="Normal 10 3 2 9 3 2 3 2" xfId="20266" xr:uid="{E4125C62-3C03-4E04-83C4-6209AB7EED86}"/>
    <cellStyle name="Normal 10 3 2 9 3 2 4" xfId="20267" xr:uid="{465F6C13-E908-4B8B-AB75-4C77E40FC08A}"/>
    <cellStyle name="Normal 10 3 2 9 3 3" xfId="20268" xr:uid="{72DDCFB0-0767-438F-BB22-874CD8A210D4}"/>
    <cellStyle name="Normal 10 3 2 9 3 3 2" xfId="20269" xr:uid="{B386FA45-49FE-4681-81D5-28CB93DEBF5B}"/>
    <cellStyle name="Normal 10 3 2 9 3 3 2 2" xfId="20270" xr:uid="{C2519F1D-1E67-48AA-B428-900803C92E3A}"/>
    <cellStyle name="Normal 10 3 2 9 3 3 3" xfId="20271" xr:uid="{1CE63B38-ADF0-4744-8CCA-BF10EFACC2B3}"/>
    <cellStyle name="Normal 10 3 2 9 3 4" xfId="20272" xr:uid="{2607F4CB-CE26-44FA-BDD6-B37AEE95D5CF}"/>
    <cellStyle name="Normal 10 3 2 9 3 4 2" xfId="20273" xr:uid="{C984D863-DE97-443F-8231-8C1B908578C2}"/>
    <cellStyle name="Normal 10 3 2 9 3 5" xfId="20274" xr:uid="{9B1C540B-4516-4DD0-8D01-47CEB6F670CB}"/>
    <cellStyle name="Normal 10 3 2 9 4" xfId="20275" xr:uid="{71B36E89-A21D-4856-B7CA-DCC52529C617}"/>
    <cellStyle name="Normal 10 3 2 9 4 2" xfId="20276" xr:uid="{77867224-C53F-4937-860A-5E4EC9BCD3F0}"/>
    <cellStyle name="Normal 10 3 2 9 4 2 2" xfId="20277" xr:uid="{AD18FAD3-C3AC-49A5-8F5D-D80F7EC4FC26}"/>
    <cellStyle name="Normal 10 3 2 9 4 2 2 2" xfId="20278" xr:uid="{2CB098D3-8000-445A-9DB1-DA319ABFEB4A}"/>
    <cellStyle name="Normal 10 3 2 9 4 2 3" xfId="20279" xr:uid="{ED202533-7F25-4F56-9824-900D481B6567}"/>
    <cellStyle name="Normal 10 3 2 9 4 3" xfId="20280" xr:uid="{2D1463E6-EC59-4314-A98A-B60DE6E60F37}"/>
    <cellStyle name="Normal 10 3 2 9 4 3 2" xfId="20281" xr:uid="{0C3E2DEC-125F-40C3-B7CF-F15B984B89E0}"/>
    <cellStyle name="Normal 10 3 2 9 4 4" xfId="20282" xr:uid="{25262AE3-3F44-49B8-9CAD-EDF29D680197}"/>
    <cellStyle name="Normal 10 3 2 9 5" xfId="20283" xr:uid="{8E50085A-1DE5-49B7-A2BE-22370B702108}"/>
    <cellStyle name="Normal 10 3 2 9 5 2" xfId="20284" xr:uid="{0F759D71-3EA2-4E36-8421-F12946F2C34A}"/>
    <cellStyle name="Normal 10 3 2 9 5 2 2" xfId="20285" xr:uid="{5E427286-98FB-43D4-A071-61C61408445E}"/>
    <cellStyle name="Normal 10 3 2 9 5 3" xfId="20286" xr:uid="{3FA2055D-A2D2-44C6-BAC6-CA6A23ACCDD0}"/>
    <cellStyle name="Normal 10 3 2 9 6" xfId="20287" xr:uid="{DAF51CDC-E69D-4FC8-A58C-8E03BD3685FD}"/>
    <cellStyle name="Normal 10 3 2 9 6 2" xfId="20288" xr:uid="{278A2317-D229-4E09-8EEE-3C51C9FFC60F}"/>
    <cellStyle name="Normal 10 3 2 9 7" xfId="20289" xr:uid="{514557BF-AAC3-49D1-B091-778A188A4964}"/>
    <cellStyle name="Normal 10 3 3" xfId="210" xr:uid="{F7D4E186-AEDA-45F6-8FFE-603F1ADA97C4}"/>
    <cellStyle name="Normal 10 3 3 10" xfId="20290" xr:uid="{6F054DED-C0D4-424C-982D-459FF438E566}"/>
    <cellStyle name="Normal 10 3 3 10 2" xfId="20291" xr:uid="{1AC1765C-3427-498E-94FC-6D63D387ECCA}"/>
    <cellStyle name="Normal 10 3 3 10 2 2" xfId="20292" xr:uid="{180866EC-BF9F-44C6-AD98-24EC527B02B6}"/>
    <cellStyle name="Normal 10 3 3 10 2 2 2" xfId="20293" xr:uid="{E743738E-F516-4FC2-903F-30C0FBB6FEA2}"/>
    <cellStyle name="Normal 10 3 3 10 2 2 2 2" xfId="20294" xr:uid="{74F10E87-5BA6-4D35-A0CD-806A8A944E81}"/>
    <cellStyle name="Normal 10 3 3 10 2 2 3" xfId="20295" xr:uid="{15AB170C-AA8F-4CB4-ACD4-7A9B10006040}"/>
    <cellStyle name="Normal 10 3 3 10 2 3" xfId="20296" xr:uid="{DF0D9A4B-5D2F-403C-9B79-2EB334B4DF36}"/>
    <cellStyle name="Normal 10 3 3 10 2 3 2" xfId="20297" xr:uid="{01736910-040C-47B7-92D2-CD375E9152E7}"/>
    <cellStyle name="Normal 10 3 3 10 2 4" xfId="20298" xr:uid="{741A6016-21C4-4219-8032-F383BC500A6E}"/>
    <cellStyle name="Normal 10 3 3 10 3" xfId="20299" xr:uid="{60F7EE2D-35D3-455A-A203-A002B2FB71FB}"/>
    <cellStyle name="Normal 10 3 3 10 3 2" xfId="20300" xr:uid="{2A24BCE9-59A4-4A32-847B-0FB7B4A1B77A}"/>
    <cellStyle name="Normal 10 3 3 10 3 2 2" xfId="20301" xr:uid="{CAC44DE5-7045-4748-9D1F-4CCCDA4336CF}"/>
    <cellStyle name="Normal 10 3 3 10 3 3" xfId="20302" xr:uid="{CF4A7DBE-073F-40AC-96E9-9ECC9F92D2BA}"/>
    <cellStyle name="Normal 10 3 3 10 4" xfId="20303" xr:uid="{EA30BEEF-F20F-497E-BEA3-3052F9B89F4F}"/>
    <cellStyle name="Normal 10 3 3 10 4 2" xfId="20304" xr:uid="{F6B64EB3-7468-47E9-B77E-43511B4C1B82}"/>
    <cellStyle name="Normal 10 3 3 10 5" xfId="20305" xr:uid="{A81F91EA-4414-4D29-AFE6-F00E24A22552}"/>
    <cellStyle name="Normal 10 3 3 11" xfId="20306" xr:uid="{E4C20F53-C3F5-467E-8465-167BBF22DCF4}"/>
    <cellStyle name="Normal 10 3 3 11 2" xfId="20307" xr:uid="{10982AC9-629B-4B5C-90D4-6B326F2C9D24}"/>
    <cellStyle name="Normal 10 3 3 11 2 2" xfId="20308" xr:uid="{D6011B5D-C0F6-45AB-A233-CE90CBB0B993}"/>
    <cellStyle name="Normal 10 3 3 11 2 2 2" xfId="20309" xr:uid="{A0D3EA51-CC65-4AEC-AA54-07987A48FF2D}"/>
    <cellStyle name="Normal 10 3 3 11 2 3" xfId="20310" xr:uid="{A0DBFFC0-268B-4827-9359-6BAE308AFE06}"/>
    <cellStyle name="Normal 10 3 3 11 3" xfId="20311" xr:uid="{C1DBE617-C5C4-4A69-9F46-85AC0C59345C}"/>
    <cellStyle name="Normal 10 3 3 11 3 2" xfId="20312" xr:uid="{7E486544-3FC9-4DAC-A95A-05FD98B6F55B}"/>
    <cellStyle name="Normal 10 3 3 11 4" xfId="20313" xr:uid="{A4D8E8C2-A592-4D75-A13D-C72F29B7BEB7}"/>
    <cellStyle name="Normal 10 3 3 12" xfId="20314" xr:uid="{F2B720C3-7FEC-4D85-8445-8C463533587D}"/>
    <cellStyle name="Normal 10 3 3 12 2" xfId="20315" xr:uid="{454601B6-9F2D-4694-A9D2-9D53A58BD324}"/>
    <cellStyle name="Normal 10 3 3 12 2 2" xfId="20316" xr:uid="{4F91C8D0-C2CB-416F-8628-FF6724498A01}"/>
    <cellStyle name="Normal 10 3 3 12 3" xfId="20317" xr:uid="{0F03293E-30A2-471A-B280-F429DDDD7251}"/>
    <cellStyle name="Normal 10 3 3 13" xfId="20318" xr:uid="{BD9ACB53-6730-43A9-B7B1-7362490896CC}"/>
    <cellStyle name="Normal 10 3 3 13 2" xfId="20319" xr:uid="{3CF2B153-1DD8-4E38-AC05-20E3975A5247}"/>
    <cellStyle name="Normal 10 3 3 14" xfId="20320" xr:uid="{24BAF568-D09F-4EAF-8582-CCF25EB71FAC}"/>
    <cellStyle name="Normal 10 3 3 15" xfId="534" xr:uid="{695CF06C-B8DB-445C-A0F9-4A8667DF4DB3}"/>
    <cellStyle name="Normal 10 3 3 2" xfId="227" xr:uid="{1DF02216-618C-438E-BCB6-0A72CD305A61}"/>
    <cellStyle name="Normal 10 3 3 2 10" xfId="20321" xr:uid="{382B4C38-FE16-44A1-9A1B-48648C52392C}"/>
    <cellStyle name="Normal 10 3 3 2 11" xfId="566" xr:uid="{51E8151C-9329-449A-8854-AB34B8D4B159}"/>
    <cellStyle name="Normal 10 3 3 2 2" xfId="339" xr:uid="{9E9F88F9-8209-4F8B-B403-2A087A831F36}"/>
    <cellStyle name="Normal 10 3 3 2 2 10" xfId="20322" xr:uid="{24171699-EE55-4735-87F2-97A55947D036}"/>
    <cellStyle name="Normal 10 3 3 2 2 2" xfId="20323" xr:uid="{B676D867-CF23-4A09-AC0B-36E59408F1B7}"/>
    <cellStyle name="Normal 10 3 3 2 2 2 2" xfId="20324" xr:uid="{BA7D34FA-1A4A-4DC1-90CE-30B907736662}"/>
    <cellStyle name="Normal 10 3 3 2 2 2 2 2" xfId="20325" xr:uid="{94C47EE6-89C5-4137-AB4B-9F0F0D9A9D7A}"/>
    <cellStyle name="Normal 10 3 3 2 2 2 2 2 2" xfId="20326" xr:uid="{C4AEAD62-F169-4C85-ACE6-7B5C3F70A005}"/>
    <cellStyle name="Normal 10 3 3 2 2 2 2 2 2 2" xfId="20327" xr:uid="{11FF2DF3-620D-4688-A894-83DC483F171D}"/>
    <cellStyle name="Normal 10 3 3 2 2 2 2 2 2 2 2" xfId="20328" xr:uid="{42BBE1BF-B7B6-437C-ABC4-F2DD17560C00}"/>
    <cellStyle name="Normal 10 3 3 2 2 2 2 2 2 2 2 2" xfId="20329" xr:uid="{284511AB-0BDF-4F25-A5E1-95A58DE57BDE}"/>
    <cellStyle name="Normal 10 3 3 2 2 2 2 2 2 2 2 2 2" xfId="20330" xr:uid="{A80C012F-A140-45DD-AFE5-E548F0819BD0}"/>
    <cellStyle name="Normal 10 3 3 2 2 2 2 2 2 2 2 3" xfId="20331" xr:uid="{E6ECEB0B-823F-4C64-A397-6A014F5ED3BB}"/>
    <cellStyle name="Normal 10 3 3 2 2 2 2 2 2 2 3" xfId="20332" xr:uid="{36ECC734-9D7F-4BE5-9015-062C520AF5C1}"/>
    <cellStyle name="Normal 10 3 3 2 2 2 2 2 2 2 3 2" xfId="20333" xr:uid="{B6D201B4-C3EF-48B7-BC25-EACB62DCD41D}"/>
    <cellStyle name="Normal 10 3 3 2 2 2 2 2 2 2 4" xfId="20334" xr:uid="{FB692ABC-73E1-4DEE-855B-18F723DB94F3}"/>
    <cellStyle name="Normal 10 3 3 2 2 2 2 2 2 3" xfId="20335" xr:uid="{76EBDA9D-0BF8-4D9C-975F-B7D6F94477D3}"/>
    <cellStyle name="Normal 10 3 3 2 2 2 2 2 2 3 2" xfId="20336" xr:uid="{ECAEEF8C-45A5-4BB7-934D-75BC894BEED4}"/>
    <cellStyle name="Normal 10 3 3 2 2 2 2 2 2 3 2 2" xfId="20337" xr:uid="{7445FC9F-2A98-4DA5-B282-74DE1EE9E662}"/>
    <cellStyle name="Normal 10 3 3 2 2 2 2 2 2 3 3" xfId="20338" xr:uid="{9763B9E1-8DB2-4B44-82DD-F559C24976EC}"/>
    <cellStyle name="Normal 10 3 3 2 2 2 2 2 2 4" xfId="20339" xr:uid="{8D3ABB21-F11A-454D-ADF5-3A96FE8919B6}"/>
    <cellStyle name="Normal 10 3 3 2 2 2 2 2 2 4 2" xfId="20340" xr:uid="{54207C58-FB9E-4432-AE7A-08E3AD3F4787}"/>
    <cellStyle name="Normal 10 3 3 2 2 2 2 2 2 5" xfId="20341" xr:uid="{8DDEE47C-E077-4C1F-97A3-439790E2F770}"/>
    <cellStyle name="Normal 10 3 3 2 2 2 2 2 3" xfId="20342" xr:uid="{C3B31973-90A1-4148-8400-DA83E5D6FC18}"/>
    <cellStyle name="Normal 10 3 3 2 2 2 2 2 3 2" xfId="20343" xr:uid="{C5517E16-A9C3-4CB9-B464-194BECCE0076}"/>
    <cellStyle name="Normal 10 3 3 2 2 2 2 2 3 2 2" xfId="20344" xr:uid="{A8698262-6BBA-48BB-8E2F-5E9873BFF4F9}"/>
    <cellStyle name="Normal 10 3 3 2 2 2 2 2 3 2 2 2" xfId="20345" xr:uid="{42108750-E436-48BF-8060-CA78CF8FFE80}"/>
    <cellStyle name="Normal 10 3 3 2 2 2 2 2 3 2 3" xfId="20346" xr:uid="{081C25AB-F4FB-40D8-B841-C9654D20FEE8}"/>
    <cellStyle name="Normal 10 3 3 2 2 2 2 2 3 3" xfId="20347" xr:uid="{E86F79F6-78B6-4F2D-94D8-AF03C0F360B3}"/>
    <cellStyle name="Normal 10 3 3 2 2 2 2 2 3 3 2" xfId="20348" xr:uid="{78867B93-1549-4E25-89A8-0E9B3254A124}"/>
    <cellStyle name="Normal 10 3 3 2 2 2 2 2 3 4" xfId="20349" xr:uid="{A7DB3FCE-037E-4B1D-9F4E-340B289BEBCC}"/>
    <cellStyle name="Normal 10 3 3 2 2 2 2 2 4" xfId="20350" xr:uid="{820F8546-C44E-4550-9ED4-338182F628DB}"/>
    <cellStyle name="Normal 10 3 3 2 2 2 2 2 4 2" xfId="20351" xr:uid="{191640D5-74AB-4C36-AC5D-68140C2F5014}"/>
    <cellStyle name="Normal 10 3 3 2 2 2 2 2 4 2 2" xfId="20352" xr:uid="{889FE040-AC83-436B-9BDF-16AD38549CCF}"/>
    <cellStyle name="Normal 10 3 3 2 2 2 2 2 4 3" xfId="20353" xr:uid="{7555FE84-112F-4894-8A0D-B40432D1A00B}"/>
    <cellStyle name="Normal 10 3 3 2 2 2 2 2 5" xfId="20354" xr:uid="{8F1B1F0E-5E7D-4BDE-8695-746AD5066804}"/>
    <cellStyle name="Normal 10 3 3 2 2 2 2 2 5 2" xfId="20355" xr:uid="{D2C8D778-6157-43C5-B455-6755C4F4E9F2}"/>
    <cellStyle name="Normal 10 3 3 2 2 2 2 2 6" xfId="20356" xr:uid="{174AC092-1103-401D-94BC-D7683677AB76}"/>
    <cellStyle name="Normal 10 3 3 2 2 2 2 3" xfId="20357" xr:uid="{524959AE-150C-49B6-AD01-D28EE65BFEAC}"/>
    <cellStyle name="Normal 10 3 3 2 2 2 2 3 2" xfId="20358" xr:uid="{B3D43799-68BC-4708-86E6-5CBB2720384C}"/>
    <cellStyle name="Normal 10 3 3 2 2 2 2 3 2 2" xfId="20359" xr:uid="{6FBFA677-0C21-4411-9DE0-4CED02051213}"/>
    <cellStyle name="Normal 10 3 3 2 2 2 2 3 2 2 2" xfId="20360" xr:uid="{F7D93EEC-910C-4CB9-ADE8-6532E3C0D32F}"/>
    <cellStyle name="Normal 10 3 3 2 2 2 2 3 2 2 2 2" xfId="20361" xr:uid="{3278818E-DD75-444C-A39A-66CDF3BA2A20}"/>
    <cellStyle name="Normal 10 3 3 2 2 2 2 3 2 2 3" xfId="20362" xr:uid="{095D3510-6182-4D56-9A36-8D44F7ED93E3}"/>
    <cellStyle name="Normal 10 3 3 2 2 2 2 3 2 3" xfId="20363" xr:uid="{A8E7DBC4-59B3-43E2-8BF4-E653958144A8}"/>
    <cellStyle name="Normal 10 3 3 2 2 2 2 3 2 3 2" xfId="20364" xr:uid="{0D76A92A-6D8A-4213-B88D-20E45B25B10C}"/>
    <cellStyle name="Normal 10 3 3 2 2 2 2 3 2 4" xfId="20365" xr:uid="{B5D67618-42ED-47D1-8CAC-302EB0E59780}"/>
    <cellStyle name="Normal 10 3 3 2 2 2 2 3 3" xfId="20366" xr:uid="{DC573A92-B50F-4690-A5ED-28D09DED0DFC}"/>
    <cellStyle name="Normal 10 3 3 2 2 2 2 3 3 2" xfId="20367" xr:uid="{576D105A-ACB5-47FF-861E-12AC0671E117}"/>
    <cellStyle name="Normal 10 3 3 2 2 2 2 3 3 2 2" xfId="20368" xr:uid="{AE8E2C8C-545A-4ACD-8B20-F02ADF4B5D91}"/>
    <cellStyle name="Normal 10 3 3 2 2 2 2 3 3 3" xfId="20369" xr:uid="{52640BA2-E0B2-4C2F-9443-79D166AF9DF5}"/>
    <cellStyle name="Normal 10 3 3 2 2 2 2 3 4" xfId="20370" xr:uid="{A1440919-4A22-4B55-829B-A4C00846D9E9}"/>
    <cellStyle name="Normal 10 3 3 2 2 2 2 3 4 2" xfId="20371" xr:uid="{62161281-0827-422E-9A81-F663ED6FFC34}"/>
    <cellStyle name="Normal 10 3 3 2 2 2 2 3 5" xfId="20372" xr:uid="{38B7E2A4-F2C7-4335-A525-2DCAD6B39ACB}"/>
    <cellStyle name="Normal 10 3 3 2 2 2 2 4" xfId="20373" xr:uid="{DEB5FC2F-6D64-4B3C-B705-5FF49D7DB5D7}"/>
    <cellStyle name="Normal 10 3 3 2 2 2 2 4 2" xfId="20374" xr:uid="{BBE6F51A-0F35-408A-9D69-66F83C97F004}"/>
    <cellStyle name="Normal 10 3 3 2 2 2 2 4 2 2" xfId="20375" xr:uid="{7E3866D2-E59A-485C-A6E0-04CFE5F3CD30}"/>
    <cellStyle name="Normal 10 3 3 2 2 2 2 4 2 2 2" xfId="20376" xr:uid="{E576BCD8-2A3A-4CD6-87CB-274CFEF26FA8}"/>
    <cellStyle name="Normal 10 3 3 2 2 2 2 4 2 3" xfId="20377" xr:uid="{C2C4E1CC-4680-4E54-AC4E-34D60520538F}"/>
    <cellStyle name="Normal 10 3 3 2 2 2 2 4 3" xfId="20378" xr:uid="{BA763694-849D-4A22-B1A1-75615FC1C769}"/>
    <cellStyle name="Normal 10 3 3 2 2 2 2 4 3 2" xfId="20379" xr:uid="{FB8D4BB2-F7C9-49C8-B7C9-F5166D8CB15A}"/>
    <cellStyle name="Normal 10 3 3 2 2 2 2 4 4" xfId="20380" xr:uid="{4C657B51-9F03-45D7-B4E0-679A22E10830}"/>
    <cellStyle name="Normal 10 3 3 2 2 2 2 5" xfId="20381" xr:uid="{C97BBBA2-7FE8-4AC0-977B-7CEA7817F2B4}"/>
    <cellStyle name="Normal 10 3 3 2 2 2 2 5 2" xfId="20382" xr:uid="{9F95FE31-4F1E-4FF7-9CF8-DADD0581AD03}"/>
    <cellStyle name="Normal 10 3 3 2 2 2 2 5 2 2" xfId="20383" xr:uid="{290AECF5-A784-47FA-811D-C39CBCF9484D}"/>
    <cellStyle name="Normal 10 3 3 2 2 2 2 5 3" xfId="20384" xr:uid="{9705FFFC-2217-4517-AC5D-967439963F36}"/>
    <cellStyle name="Normal 10 3 3 2 2 2 2 6" xfId="20385" xr:uid="{41639283-0C25-4756-9046-E80E6F7B54EC}"/>
    <cellStyle name="Normal 10 3 3 2 2 2 2 6 2" xfId="20386" xr:uid="{65546930-2FE6-4322-90B3-EB707FE6A9D5}"/>
    <cellStyle name="Normal 10 3 3 2 2 2 2 7" xfId="20387" xr:uid="{F4F9774E-2ABC-446D-940A-610D5B2A2DAD}"/>
    <cellStyle name="Normal 10 3 3 2 2 2 3" xfId="20388" xr:uid="{3AA876AA-4CB4-4722-BFB2-E96A742D1D50}"/>
    <cellStyle name="Normal 10 3 3 2 2 2 3 2" xfId="20389" xr:uid="{3269E153-8F22-4C46-9013-E74B198BE4E5}"/>
    <cellStyle name="Normal 10 3 3 2 2 2 3 2 2" xfId="20390" xr:uid="{54D5BFC4-340B-4095-9721-26A674DB511C}"/>
    <cellStyle name="Normal 10 3 3 2 2 2 3 2 2 2" xfId="20391" xr:uid="{1E05AD0F-216A-40C6-B2A4-7E4DEA9C0B90}"/>
    <cellStyle name="Normal 10 3 3 2 2 2 3 2 2 2 2" xfId="20392" xr:uid="{93C5C9FC-A188-4C65-8A1F-AEAC949DA099}"/>
    <cellStyle name="Normal 10 3 3 2 2 2 3 2 2 2 2 2" xfId="20393" xr:uid="{A3051871-3C98-4C0D-B253-C4F0497A946E}"/>
    <cellStyle name="Normal 10 3 3 2 2 2 3 2 2 2 3" xfId="20394" xr:uid="{6BF6E308-A135-44F4-85DC-FB9C7233F305}"/>
    <cellStyle name="Normal 10 3 3 2 2 2 3 2 2 3" xfId="20395" xr:uid="{A7EF8B98-2B9D-4D21-90F3-E0ABDCBC2668}"/>
    <cellStyle name="Normal 10 3 3 2 2 2 3 2 2 3 2" xfId="20396" xr:uid="{121DE591-8292-451B-BB58-9108142B7291}"/>
    <cellStyle name="Normal 10 3 3 2 2 2 3 2 2 4" xfId="20397" xr:uid="{51413730-A720-4BCF-BE19-223637984E1E}"/>
    <cellStyle name="Normal 10 3 3 2 2 2 3 2 3" xfId="20398" xr:uid="{CDC0BB6D-C57C-4E8E-AFC1-E55806D7D784}"/>
    <cellStyle name="Normal 10 3 3 2 2 2 3 2 3 2" xfId="20399" xr:uid="{E61B6D28-4962-4C47-8976-A3B779EACD66}"/>
    <cellStyle name="Normal 10 3 3 2 2 2 3 2 3 2 2" xfId="20400" xr:uid="{6E72CF16-0E63-4372-942C-E272EB716842}"/>
    <cellStyle name="Normal 10 3 3 2 2 2 3 2 3 3" xfId="20401" xr:uid="{AE2BB6DF-0ED1-4392-A96E-EC339B0F8019}"/>
    <cellStyle name="Normal 10 3 3 2 2 2 3 2 4" xfId="20402" xr:uid="{791569E6-2020-42FA-B9C2-4539DBC00493}"/>
    <cellStyle name="Normal 10 3 3 2 2 2 3 2 4 2" xfId="20403" xr:uid="{E11E6A89-D6E8-472D-AC09-D53E5DF37610}"/>
    <cellStyle name="Normal 10 3 3 2 2 2 3 2 5" xfId="20404" xr:uid="{69722153-381F-48E9-95F5-BFA38282F983}"/>
    <cellStyle name="Normal 10 3 3 2 2 2 3 3" xfId="20405" xr:uid="{B8645EC3-FC7B-4D35-A7E5-649FD1A1D802}"/>
    <cellStyle name="Normal 10 3 3 2 2 2 3 3 2" xfId="20406" xr:uid="{F608964D-6A7B-460C-B25B-03AE29A53EBB}"/>
    <cellStyle name="Normal 10 3 3 2 2 2 3 3 2 2" xfId="20407" xr:uid="{829092AF-7346-4C3B-AA9B-4397E86BD028}"/>
    <cellStyle name="Normal 10 3 3 2 2 2 3 3 2 2 2" xfId="20408" xr:uid="{C21E5304-F869-4EC8-A15F-18B9D8291689}"/>
    <cellStyle name="Normal 10 3 3 2 2 2 3 3 2 3" xfId="20409" xr:uid="{B93E1D3D-B1F0-461B-8F78-2E4C638F97B6}"/>
    <cellStyle name="Normal 10 3 3 2 2 2 3 3 3" xfId="20410" xr:uid="{9EF13879-396B-4F1F-B3C8-59122F0E09B8}"/>
    <cellStyle name="Normal 10 3 3 2 2 2 3 3 3 2" xfId="20411" xr:uid="{AB58CEEB-3145-4569-81F4-0EA3A4FF27EC}"/>
    <cellStyle name="Normal 10 3 3 2 2 2 3 3 4" xfId="20412" xr:uid="{912B2474-848E-4FE6-A6D5-220A2CEBB181}"/>
    <cellStyle name="Normal 10 3 3 2 2 2 3 4" xfId="20413" xr:uid="{32C78A22-1A99-4E11-9276-D3AF4460F43C}"/>
    <cellStyle name="Normal 10 3 3 2 2 2 3 4 2" xfId="20414" xr:uid="{A8AEB982-87FD-43D8-A5E7-2E939F0309B5}"/>
    <cellStyle name="Normal 10 3 3 2 2 2 3 4 2 2" xfId="20415" xr:uid="{28798086-3AE8-445A-955F-8B76C4322997}"/>
    <cellStyle name="Normal 10 3 3 2 2 2 3 4 3" xfId="20416" xr:uid="{A3073C89-E8AD-4E0E-8C68-0556E2A690BC}"/>
    <cellStyle name="Normal 10 3 3 2 2 2 3 5" xfId="20417" xr:uid="{DFDD0974-D126-4564-BFA8-AA4390189DFD}"/>
    <cellStyle name="Normal 10 3 3 2 2 2 3 5 2" xfId="20418" xr:uid="{0901EC16-E72F-4083-B3CA-3ED32435D938}"/>
    <cellStyle name="Normal 10 3 3 2 2 2 3 6" xfId="20419" xr:uid="{080B66C4-C2CF-499F-93F0-659FE92B37D6}"/>
    <cellStyle name="Normal 10 3 3 2 2 2 4" xfId="20420" xr:uid="{1125AEF7-C9CE-41C3-B9A7-FCD35E20719B}"/>
    <cellStyle name="Normal 10 3 3 2 2 2 4 2" xfId="20421" xr:uid="{D282FF50-9B11-4C0D-8220-D1C364D225E8}"/>
    <cellStyle name="Normal 10 3 3 2 2 2 4 2 2" xfId="20422" xr:uid="{32945085-2230-4269-BBC5-7BFA22BF9B71}"/>
    <cellStyle name="Normal 10 3 3 2 2 2 4 2 2 2" xfId="20423" xr:uid="{3E10FDCB-0CB5-4755-A477-6AA17592E499}"/>
    <cellStyle name="Normal 10 3 3 2 2 2 4 2 2 2 2" xfId="20424" xr:uid="{4448A1D3-8332-4C5C-A857-11A5BE5A6141}"/>
    <cellStyle name="Normal 10 3 3 2 2 2 4 2 2 3" xfId="20425" xr:uid="{D4B62033-2BDE-4371-B955-2F28C8F76723}"/>
    <cellStyle name="Normal 10 3 3 2 2 2 4 2 3" xfId="20426" xr:uid="{FBB17963-A0EC-4431-B351-FED6967FBD88}"/>
    <cellStyle name="Normal 10 3 3 2 2 2 4 2 3 2" xfId="20427" xr:uid="{954A88F1-184A-4499-9539-D566F80097AF}"/>
    <cellStyle name="Normal 10 3 3 2 2 2 4 2 4" xfId="20428" xr:uid="{590F2187-F00A-463D-803D-8646E725DAD0}"/>
    <cellStyle name="Normal 10 3 3 2 2 2 4 3" xfId="20429" xr:uid="{4E1455F3-86E9-42ED-92AB-3902069FDB08}"/>
    <cellStyle name="Normal 10 3 3 2 2 2 4 3 2" xfId="20430" xr:uid="{15A3C25D-F7F7-4826-8B38-084B8F9CEE34}"/>
    <cellStyle name="Normal 10 3 3 2 2 2 4 3 2 2" xfId="20431" xr:uid="{49CB415F-8208-448C-9254-C7B78B837019}"/>
    <cellStyle name="Normal 10 3 3 2 2 2 4 3 3" xfId="20432" xr:uid="{F5BAB2E8-396F-4EB4-B9DC-B85609AECB49}"/>
    <cellStyle name="Normal 10 3 3 2 2 2 4 4" xfId="20433" xr:uid="{9852D26B-2C5D-40FC-8225-C84D1DC37624}"/>
    <cellStyle name="Normal 10 3 3 2 2 2 4 4 2" xfId="20434" xr:uid="{9D33C0A2-56C6-4F95-BCB1-D2E401A04A15}"/>
    <cellStyle name="Normal 10 3 3 2 2 2 4 5" xfId="20435" xr:uid="{305B7E76-BB85-4524-B851-3C62E24526E2}"/>
    <cellStyle name="Normal 10 3 3 2 2 2 5" xfId="20436" xr:uid="{C664790F-6021-4316-8C69-AAD9BBD04416}"/>
    <cellStyle name="Normal 10 3 3 2 2 2 5 2" xfId="20437" xr:uid="{A66E3C8A-1023-4523-93B1-D6F27555C1B8}"/>
    <cellStyle name="Normal 10 3 3 2 2 2 5 2 2" xfId="20438" xr:uid="{0F56DF5A-9124-4FA2-8466-312038DC2A48}"/>
    <cellStyle name="Normal 10 3 3 2 2 2 5 2 2 2" xfId="20439" xr:uid="{85204216-CDC2-4CD8-B23D-74041ECB336C}"/>
    <cellStyle name="Normal 10 3 3 2 2 2 5 2 3" xfId="20440" xr:uid="{9836579F-F0C8-4128-BC13-A77E9663F8C5}"/>
    <cellStyle name="Normal 10 3 3 2 2 2 5 3" xfId="20441" xr:uid="{5C205EC4-D8CA-497F-AF95-D262F9B79895}"/>
    <cellStyle name="Normal 10 3 3 2 2 2 5 3 2" xfId="20442" xr:uid="{79C3CB50-2C3E-4373-9837-A9326DE2000B}"/>
    <cellStyle name="Normal 10 3 3 2 2 2 5 4" xfId="20443" xr:uid="{F45A820E-B33F-4239-A50A-857025BEEC7D}"/>
    <cellStyle name="Normal 10 3 3 2 2 2 6" xfId="20444" xr:uid="{A370138E-6CD7-4AFF-92B0-D97350553E7D}"/>
    <cellStyle name="Normal 10 3 3 2 2 2 6 2" xfId="20445" xr:uid="{243762C4-4CFF-40C3-B957-27D2C7453114}"/>
    <cellStyle name="Normal 10 3 3 2 2 2 6 2 2" xfId="20446" xr:uid="{1527EF26-B3A2-4673-8634-A6D8AF1B3D8B}"/>
    <cellStyle name="Normal 10 3 3 2 2 2 6 3" xfId="20447" xr:uid="{2AB8AFC1-8D10-4627-A501-B89B1F935E56}"/>
    <cellStyle name="Normal 10 3 3 2 2 2 7" xfId="20448" xr:uid="{8B6B5EDB-E12F-46CA-A4BC-DDAE4256C886}"/>
    <cellStyle name="Normal 10 3 3 2 2 2 7 2" xfId="20449" xr:uid="{FD8030C1-B9FA-4940-AA9E-F848A02B252B}"/>
    <cellStyle name="Normal 10 3 3 2 2 2 8" xfId="20450" xr:uid="{9910402E-C2A6-4634-BF34-029F2063C3EA}"/>
    <cellStyle name="Normal 10 3 3 2 2 3" xfId="20451" xr:uid="{EEC9E1AE-FBDA-459F-ACF9-DDEDD5CEF6B8}"/>
    <cellStyle name="Normal 10 3 3 2 2 3 2" xfId="20452" xr:uid="{26BC0452-D16A-4458-9324-6117CABF83C9}"/>
    <cellStyle name="Normal 10 3 3 2 2 3 2 2" xfId="20453" xr:uid="{D9FF82CE-9F64-49DC-923A-78739C0A1D40}"/>
    <cellStyle name="Normal 10 3 3 2 2 3 2 2 2" xfId="20454" xr:uid="{240B6757-4F89-4E67-9084-81491722BF91}"/>
    <cellStyle name="Normal 10 3 3 2 2 3 2 2 2 2" xfId="20455" xr:uid="{2CE3E044-D689-4017-80CC-B19E7824C9F7}"/>
    <cellStyle name="Normal 10 3 3 2 2 3 2 2 2 2 2" xfId="20456" xr:uid="{D19BDEC3-1704-42BC-9702-971D4772A548}"/>
    <cellStyle name="Normal 10 3 3 2 2 3 2 2 2 2 2 2" xfId="20457" xr:uid="{F95D19E1-5D47-422D-9BC0-B3F3AEA9A185}"/>
    <cellStyle name="Normal 10 3 3 2 2 3 2 2 2 2 3" xfId="20458" xr:uid="{301ECC3B-84D0-4CD6-B742-BA7804829CF3}"/>
    <cellStyle name="Normal 10 3 3 2 2 3 2 2 2 3" xfId="20459" xr:uid="{E12878D4-6848-4243-B79E-6925587A7A64}"/>
    <cellStyle name="Normal 10 3 3 2 2 3 2 2 2 3 2" xfId="20460" xr:uid="{46B6FDAD-B542-4F03-896C-A96821B25A60}"/>
    <cellStyle name="Normal 10 3 3 2 2 3 2 2 2 4" xfId="20461" xr:uid="{034F4E3C-FDF1-44FA-8665-0E6BAB67E627}"/>
    <cellStyle name="Normal 10 3 3 2 2 3 2 2 3" xfId="20462" xr:uid="{C2E3B078-E6EC-4EEB-8539-43DB8AED4184}"/>
    <cellStyle name="Normal 10 3 3 2 2 3 2 2 3 2" xfId="20463" xr:uid="{8D9646CA-528D-43B6-88B6-B8F21914CE4B}"/>
    <cellStyle name="Normal 10 3 3 2 2 3 2 2 3 2 2" xfId="20464" xr:uid="{9ED54600-186B-4059-90E0-34D32036618E}"/>
    <cellStyle name="Normal 10 3 3 2 2 3 2 2 3 3" xfId="20465" xr:uid="{6F07EA5D-60AD-46F6-8727-F52C8B8662C0}"/>
    <cellStyle name="Normal 10 3 3 2 2 3 2 2 4" xfId="20466" xr:uid="{5E9FA6D0-247F-4719-A81D-673339A45A03}"/>
    <cellStyle name="Normal 10 3 3 2 2 3 2 2 4 2" xfId="20467" xr:uid="{14C26657-5F50-4656-8AEF-97908378D449}"/>
    <cellStyle name="Normal 10 3 3 2 2 3 2 2 5" xfId="20468" xr:uid="{A0969B13-FCA5-44B6-8CF7-D5A6219CDCA9}"/>
    <cellStyle name="Normal 10 3 3 2 2 3 2 3" xfId="20469" xr:uid="{C1B877C5-9D15-4BE3-A74B-0251D1F0B5D0}"/>
    <cellStyle name="Normal 10 3 3 2 2 3 2 3 2" xfId="20470" xr:uid="{787471D9-0A00-4701-A617-5F6ECB03C690}"/>
    <cellStyle name="Normal 10 3 3 2 2 3 2 3 2 2" xfId="20471" xr:uid="{C6EAA6B1-D873-4820-BCF4-73A44F7A388A}"/>
    <cellStyle name="Normal 10 3 3 2 2 3 2 3 2 2 2" xfId="20472" xr:uid="{C6097073-273C-45EA-B3F9-3FEB7BB91816}"/>
    <cellStyle name="Normal 10 3 3 2 2 3 2 3 2 3" xfId="20473" xr:uid="{020E2748-92CC-4992-9019-F67A9F655908}"/>
    <cellStyle name="Normal 10 3 3 2 2 3 2 3 3" xfId="20474" xr:uid="{EFF3B2C7-F631-4784-9DFE-08AF5A4F61D8}"/>
    <cellStyle name="Normal 10 3 3 2 2 3 2 3 3 2" xfId="20475" xr:uid="{64CCD7B5-DA0A-4C7D-AA54-DC51865C7FE4}"/>
    <cellStyle name="Normal 10 3 3 2 2 3 2 3 4" xfId="20476" xr:uid="{B7F50F3E-2F52-4DD8-8716-055EB0CC99C3}"/>
    <cellStyle name="Normal 10 3 3 2 2 3 2 4" xfId="20477" xr:uid="{FF932408-DF3D-4D9E-BC95-0E00CF89E58E}"/>
    <cellStyle name="Normal 10 3 3 2 2 3 2 4 2" xfId="20478" xr:uid="{A62986E9-BF8D-43A1-91C7-FCDC69D1DF3A}"/>
    <cellStyle name="Normal 10 3 3 2 2 3 2 4 2 2" xfId="20479" xr:uid="{78E1DB1B-A9A1-45D7-9779-8777A607E93D}"/>
    <cellStyle name="Normal 10 3 3 2 2 3 2 4 3" xfId="20480" xr:uid="{54811B37-F9C0-4313-B0FD-E9EAA7D8A9B8}"/>
    <cellStyle name="Normal 10 3 3 2 2 3 2 5" xfId="20481" xr:uid="{B559BB98-A067-4D0C-AF99-0D5682795BC1}"/>
    <cellStyle name="Normal 10 3 3 2 2 3 2 5 2" xfId="20482" xr:uid="{4A2AAC36-A612-4C05-954B-3F50F7C3A094}"/>
    <cellStyle name="Normal 10 3 3 2 2 3 2 6" xfId="20483" xr:uid="{ACF82DE2-D54B-4446-8202-A21E7CA29AF3}"/>
    <cellStyle name="Normal 10 3 3 2 2 3 3" xfId="20484" xr:uid="{4AF947F7-E5FD-46E1-AAE6-4908445321BC}"/>
    <cellStyle name="Normal 10 3 3 2 2 3 3 2" xfId="20485" xr:uid="{D991568D-2A45-4D64-9990-2F479E638433}"/>
    <cellStyle name="Normal 10 3 3 2 2 3 3 2 2" xfId="20486" xr:uid="{BC88992E-ADB4-4D3D-9736-399D455FEB82}"/>
    <cellStyle name="Normal 10 3 3 2 2 3 3 2 2 2" xfId="20487" xr:uid="{2F39A5F7-A35F-48AB-8E2E-BCABF28AEAAA}"/>
    <cellStyle name="Normal 10 3 3 2 2 3 3 2 2 2 2" xfId="20488" xr:uid="{27535DD4-9EB0-4D4C-B0B2-E44AA2CAC8A0}"/>
    <cellStyle name="Normal 10 3 3 2 2 3 3 2 2 3" xfId="20489" xr:uid="{BF95C72F-FA06-40E9-AE14-0007F79E170F}"/>
    <cellStyle name="Normal 10 3 3 2 2 3 3 2 3" xfId="20490" xr:uid="{5D5B4479-2637-4430-8AB3-2905C6F7D693}"/>
    <cellStyle name="Normal 10 3 3 2 2 3 3 2 3 2" xfId="20491" xr:uid="{C49765C1-EA7C-48B2-B8A6-3CC68A4361F2}"/>
    <cellStyle name="Normal 10 3 3 2 2 3 3 2 4" xfId="20492" xr:uid="{D0E5D1DF-3182-4E82-9617-52EC8FB091EB}"/>
    <cellStyle name="Normal 10 3 3 2 2 3 3 3" xfId="20493" xr:uid="{FACE16AB-79A5-4E64-8F42-F8336246AFB6}"/>
    <cellStyle name="Normal 10 3 3 2 2 3 3 3 2" xfId="20494" xr:uid="{C20A6BEC-A967-42E6-B973-EDAA30BC03A9}"/>
    <cellStyle name="Normal 10 3 3 2 2 3 3 3 2 2" xfId="20495" xr:uid="{8D0C5CFC-C484-4D68-8EF9-373F0D3AD99D}"/>
    <cellStyle name="Normal 10 3 3 2 2 3 3 3 3" xfId="20496" xr:uid="{A2BEFC00-A77D-424B-9414-6E32E026C7B5}"/>
    <cellStyle name="Normal 10 3 3 2 2 3 3 4" xfId="20497" xr:uid="{9041F343-0EF7-4665-8F23-E48847862B20}"/>
    <cellStyle name="Normal 10 3 3 2 2 3 3 4 2" xfId="20498" xr:uid="{C63851CC-684E-489E-B172-8BF4A52E96D9}"/>
    <cellStyle name="Normal 10 3 3 2 2 3 3 5" xfId="20499" xr:uid="{AAC56F44-1EFC-4929-8F3F-8E39A673B7FF}"/>
    <cellStyle name="Normal 10 3 3 2 2 3 4" xfId="20500" xr:uid="{2692D528-9B7A-4938-8641-FE613C2A45A0}"/>
    <cellStyle name="Normal 10 3 3 2 2 3 4 2" xfId="20501" xr:uid="{65702A4E-DA36-4E98-ADAE-D2F462512F1E}"/>
    <cellStyle name="Normal 10 3 3 2 2 3 4 2 2" xfId="20502" xr:uid="{F48AA8FB-0EE1-4237-AC25-028075BA658F}"/>
    <cellStyle name="Normal 10 3 3 2 2 3 4 2 2 2" xfId="20503" xr:uid="{FC99D00A-B889-4E98-A67A-EA63A855975A}"/>
    <cellStyle name="Normal 10 3 3 2 2 3 4 2 3" xfId="20504" xr:uid="{E4B7DEB0-9124-4169-B543-079599E9B5E8}"/>
    <cellStyle name="Normal 10 3 3 2 2 3 4 3" xfId="20505" xr:uid="{8C86D8E6-836E-47D2-BE72-ED6F2AAE16A2}"/>
    <cellStyle name="Normal 10 3 3 2 2 3 4 3 2" xfId="20506" xr:uid="{326E5108-14AB-47D5-9296-3E9E350FD1E5}"/>
    <cellStyle name="Normal 10 3 3 2 2 3 4 4" xfId="20507" xr:uid="{43F157B6-3A52-469A-953B-6AD027237298}"/>
    <cellStyle name="Normal 10 3 3 2 2 3 5" xfId="20508" xr:uid="{3F3B1B41-B13D-4F69-953F-055DFF28198B}"/>
    <cellStyle name="Normal 10 3 3 2 2 3 5 2" xfId="20509" xr:uid="{505F29E4-5836-4ADE-A767-47F8286D0D22}"/>
    <cellStyle name="Normal 10 3 3 2 2 3 5 2 2" xfId="20510" xr:uid="{58B0F894-D13A-4005-883C-A0AE6AFF6809}"/>
    <cellStyle name="Normal 10 3 3 2 2 3 5 3" xfId="20511" xr:uid="{BF2F4C87-1914-454E-9AC6-740DBC093ABB}"/>
    <cellStyle name="Normal 10 3 3 2 2 3 6" xfId="20512" xr:uid="{581F5403-84CE-4D26-AB69-99CF5EB8DCB2}"/>
    <cellStyle name="Normal 10 3 3 2 2 3 6 2" xfId="20513" xr:uid="{7CED4ED9-2394-4CA1-9A37-98FED03AB20E}"/>
    <cellStyle name="Normal 10 3 3 2 2 3 7" xfId="20514" xr:uid="{26FD7227-DD8B-487C-A14C-1C407FFCFD59}"/>
    <cellStyle name="Normal 10 3 3 2 2 4" xfId="20515" xr:uid="{4D978C01-FFDB-4B36-AE5A-A231CF47CFEE}"/>
    <cellStyle name="Normal 10 3 3 2 2 4 2" xfId="20516" xr:uid="{208EEBCE-042E-4603-B42E-02EFB939852A}"/>
    <cellStyle name="Normal 10 3 3 2 2 4 2 2" xfId="20517" xr:uid="{EC5AD22E-0F4A-40AA-8345-8CC3BA3C5648}"/>
    <cellStyle name="Normal 10 3 3 2 2 4 2 2 2" xfId="20518" xr:uid="{CF80EFDD-CFC1-4053-BDDA-D3C14AD1225B}"/>
    <cellStyle name="Normal 10 3 3 2 2 4 2 2 2 2" xfId="20519" xr:uid="{AC18770C-36A0-4DA6-8357-22B1FB7257A7}"/>
    <cellStyle name="Normal 10 3 3 2 2 4 2 2 2 2 2" xfId="20520" xr:uid="{AA911626-37AA-4D29-B8EB-367E2AAC00BA}"/>
    <cellStyle name="Normal 10 3 3 2 2 4 2 2 2 3" xfId="20521" xr:uid="{15577CA9-D583-4721-A66E-41BBDFF5D10C}"/>
    <cellStyle name="Normal 10 3 3 2 2 4 2 2 3" xfId="20522" xr:uid="{CEECEA36-6089-4325-84DA-502D008C96EC}"/>
    <cellStyle name="Normal 10 3 3 2 2 4 2 2 3 2" xfId="20523" xr:uid="{7246ED46-E8C5-4645-8D82-028E3FF76483}"/>
    <cellStyle name="Normal 10 3 3 2 2 4 2 2 4" xfId="20524" xr:uid="{624C95E0-918D-4384-9CF3-8E2D9B8F8B12}"/>
    <cellStyle name="Normal 10 3 3 2 2 4 2 3" xfId="20525" xr:uid="{BC3A0206-9053-446D-95B5-989B2D00A8AF}"/>
    <cellStyle name="Normal 10 3 3 2 2 4 2 3 2" xfId="20526" xr:uid="{1476B24F-B2A3-455D-9201-DE5C7E5EB4BA}"/>
    <cellStyle name="Normal 10 3 3 2 2 4 2 3 2 2" xfId="20527" xr:uid="{10AB7FFF-82E5-423A-A107-3D23286FC0F0}"/>
    <cellStyle name="Normal 10 3 3 2 2 4 2 3 3" xfId="20528" xr:uid="{7FAF971A-2DDC-4AC8-97E1-F1C534780340}"/>
    <cellStyle name="Normal 10 3 3 2 2 4 2 4" xfId="20529" xr:uid="{C91791D7-691E-4B34-B6E4-9EBE96AA992E}"/>
    <cellStyle name="Normal 10 3 3 2 2 4 2 4 2" xfId="20530" xr:uid="{6827379B-291A-41C7-A806-DB971FFC1225}"/>
    <cellStyle name="Normal 10 3 3 2 2 4 2 5" xfId="20531" xr:uid="{02EA9E31-DEF8-40EE-A42A-85239FA49183}"/>
    <cellStyle name="Normal 10 3 3 2 2 4 3" xfId="20532" xr:uid="{9BC5CC9C-22EF-4CA3-A39A-40C2E6D896AB}"/>
    <cellStyle name="Normal 10 3 3 2 2 4 3 2" xfId="20533" xr:uid="{8D37831B-4834-4866-A076-39D7302DCEB2}"/>
    <cellStyle name="Normal 10 3 3 2 2 4 3 2 2" xfId="20534" xr:uid="{867AE414-BD87-4171-8141-13101E58BE4F}"/>
    <cellStyle name="Normal 10 3 3 2 2 4 3 2 2 2" xfId="20535" xr:uid="{694C184A-54F5-41BF-B965-306D45D59E30}"/>
    <cellStyle name="Normal 10 3 3 2 2 4 3 2 3" xfId="20536" xr:uid="{C879D3FA-D237-4EDE-86FA-FE9E2E627D53}"/>
    <cellStyle name="Normal 10 3 3 2 2 4 3 3" xfId="20537" xr:uid="{2F3F3EBB-A88E-43AC-ABB1-F843B0568605}"/>
    <cellStyle name="Normal 10 3 3 2 2 4 3 3 2" xfId="20538" xr:uid="{7B595C84-85C6-4B89-9BAD-EBC084DC4888}"/>
    <cellStyle name="Normal 10 3 3 2 2 4 3 4" xfId="20539" xr:uid="{B3D313AF-48D1-4833-B569-1BC6997806A4}"/>
    <cellStyle name="Normal 10 3 3 2 2 4 4" xfId="20540" xr:uid="{E83268F8-406B-4051-B10C-641080365A7B}"/>
    <cellStyle name="Normal 10 3 3 2 2 4 4 2" xfId="20541" xr:uid="{B8822DD8-10A1-4AAC-BF9A-9A513DFB197C}"/>
    <cellStyle name="Normal 10 3 3 2 2 4 4 2 2" xfId="20542" xr:uid="{A15C6142-E5C2-4239-A22E-F18F0D0899A6}"/>
    <cellStyle name="Normal 10 3 3 2 2 4 4 3" xfId="20543" xr:uid="{96387665-2690-4561-9FB0-7737F7A4F4EB}"/>
    <cellStyle name="Normal 10 3 3 2 2 4 5" xfId="20544" xr:uid="{587C3A86-01F3-4363-B0AD-8B7ABC5FE59C}"/>
    <cellStyle name="Normal 10 3 3 2 2 4 5 2" xfId="20545" xr:uid="{06AACD0B-021E-41C0-AEA8-7D84D4A4E391}"/>
    <cellStyle name="Normal 10 3 3 2 2 4 6" xfId="20546" xr:uid="{417FDA8B-0D3B-437B-88FF-20BFCDCD0F33}"/>
    <cellStyle name="Normal 10 3 3 2 2 5" xfId="20547" xr:uid="{DE51B09C-1924-44CC-A435-C18422F38F40}"/>
    <cellStyle name="Normal 10 3 3 2 2 5 2" xfId="20548" xr:uid="{D045188E-CAB4-4949-9B3E-F312A7BE6C2B}"/>
    <cellStyle name="Normal 10 3 3 2 2 5 2 2" xfId="20549" xr:uid="{303B11E8-7139-486A-81F2-9536443CBE04}"/>
    <cellStyle name="Normal 10 3 3 2 2 5 2 2 2" xfId="20550" xr:uid="{87BFEC0C-D7C6-430E-9D24-9B971A42CA74}"/>
    <cellStyle name="Normal 10 3 3 2 2 5 2 2 2 2" xfId="20551" xr:uid="{3FDCF15F-3100-44A7-93CC-B79503DDBDD5}"/>
    <cellStyle name="Normal 10 3 3 2 2 5 2 2 3" xfId="20552" xr:uid="{F891862F-F8A4-410A-89DC-9B2925239D14}"/>
    <cellStyle name="Normal 10 3 3 2 2 5 2 3" xfId="20553" xr:uid="{9E7EA30D-B037-49E6-96C5-99486D077879}"/>
    <cellStyle name="Normal 10 3 3 2 2 5 2 3 2" xfId="20554" xr:uid="{B457D69E-FB6D-41BF-A3ED-5753B65B9CEF}"/>
    <cellStyle name="Normal 10 3 3 2 2 5 2 4" xfId="20555" xr:uid="{EA3818F6-916E-4630-B939-2485DBF8AF92}"/>
    <cellStyle name="Normal 10 3 3 2 2 5 3" xfId="20556" xr:uid="{25662782-6727-4102-90F8-BB859579D905}"/>
    <cellStyle name="Normal 10 3 3 2 2 5 3 2" xfId="20557" xr:uid="{EDB867FB-A840-4A6A-8E77-B740FE7C658A}"/>
    <cellStyle name="Normal 10 3 3 2 2 5 3 2 2" xfId="20558" xr:uid="{8206E09C-C27B-4B5F-A771-EC6247EA4330}"/>
    <cellStyle name="Normal 10 3 3 2 2 5 3 3" xfId="20559" xr:uid="{EC47E73A-F568-410E-A418-B900DD2A5C5F}"/>
    <cellStyle name="Normal 10 3 3 2 2 5 4" xfId="20560" xr:uid="{983CF6E0-D471-4309-8761-D3ADD01DDBEC}"/>
    <cellStyle name="Normal 10 3 3 2 2 5 4 2" xfId="20561" xr:uid="{94274FAD-7562-4E47-A715-1C7DF9293B0D}"/>
    <cellStyle name="Normal 10 3 3 2 2 5 5" xfId="20562" xr:uid="{BF157862-CD03-4A9E-92D5-3B3C5528CA9D}"/>
    <cellStyle name="Normal 10 3 3 2 2 6" xfId="20563" xr:uid="{9216F7B4-E478-4573-BFED-B34968E7A7F0}"/>
    <cellStyle name="Normal 10 3 3 2 2 6 2" xfId="20564" xr:uid="{29D933CE-92DD-4AD9-90BF-9B12A7DDC653}"/>
    <cellStyle name="Normal 10 3 3 2 2 6 2 2" xfId="20565" xr:uid="{9C7B089C-8D74-4359-B979-5C3F20C82989}"/>
    <cellStyle name="Normal 10 3 3 2 2 6 2 2 2" xfId="20566" xr:uid="{0DA614FB-E685-459C-992A-06355F8CB7AB}"/>
    <cellStyle name="Normal 10 3 3 2 2 6 2 3" xfId="20567" xr:uid="{A65CA3EF-AC3E-45AD-B01B-181292D06E7D}"/>
    <cellStyle name="Normal 10 3 3 2 2 6 3" xfId="20568" xr:uid="{9B9E6D97-2FDD-4CD3-B45C-3F5C7063CBB9}"/>
    <cellStyle name="Normal 10 3 3 2 2 6 3 2" xfId="20569" xr:uid="{4FA72F74-3391-4EB6-8036-654FACFCCF28}"/>
    <cellStyle name="Normal 10 3 3 2 2 6 4" xfId="20570" xr:uid="{0EF97FBB-5A25-4AD1-99C1-E466A82C59CC}"/>
    <cellStyle name="Normal 10 3 3 2 2 7" xfId="20571" xr:uid="{8498161C-BAD6-4525-9623-B5EC88C8798E}"/>
    <cellStyle name="Normal 10 3 3 2 2 7 2" xfId="20572" xr:uid="{174DDE53-161F-4CE5-A868-A8E62F051789}"/>
    <cellStyle name="Normal 10 3 3 2 2 7 2 2" xfId="20573" xr:uid="{A8001F44-EA4C-42A2-8A1E-6EB73F9669A2}"/>
    <cellStyle name="Normal 10 3 3 2 2 7 3" xfId="20574" xr:uid="{D1D83F3D-67CF-4A65-88DF-EA30FB580D0C}"/>
    <cellStyle name="Normal 10 3 3 2 2 8" xfId="20575" xr:uid="{1975642E-ED75-47D4-BE61-EDC081879472}"/>
    <cellStyle name="Normal 10 3 3 2 2 8 2" xfId="20576" xr:uid="{04F6EA0E-76C9-42BB-A63F-3C77280D8FBA}"/>
    <cellStyle name="Normal 10 3 3 2 2 9" xfId="20577" xr:uid="{8BA809F2-E834-4C37-B32B-AD47335B1004}"/>
    <cellStyle name="Normal 10 3 3 2 3" xfId="462" xr:uid="{8F63E13A-3425-43C8-A562-DA20A7B89700}"/>
    <cellStyle name="Normal 10 3 3 2 3 2" xfId="20579" xr:uid="{5F3D0E1D-88A9-44A0-96B5-B14631C2B10B}"/>
    <cellStyle name="Normal 10 3 3 2 3 2 2" xfId="20580" xr:uid="{9B25007F-F535-4BE2-AE7F-E2FA4E0C919B}"/>
    <cellStyle name="Normal 10 3 3 2 3 2 2 2" xfId="20581" xr:uid="{EF85CB82-590B-4D6C-80F2-36DB4DD851F7}"/>
    <cellStyle name="Normal 10 3 3 2 3 2 2 2 2" xfId="20582" xr:uid="{65254C9A-671E-41CA-8BB5-5423EA0B36D4}"/>
    <cellStyle name="Normal 10 3 3 2 3 2 2 2 2 2" xfId="20583" xr:uid="{1AB4130D-122F-480F-9664-C15331357A4F}"/>
    <cellStyle name="Normal 10 3 3 2 3 2 2 2 2 2 2" xfId="20584" xr:uid="{F1A9BF99-F84E-4B4D-9304-3B2E48AC960C}"/>
    <cellStyle name="Normal 10 3 3 2 3 2 2 2 2 2 2 2" xfId="20585" xr:uid="{1508BCF6-5547-4BFA-8CAE-C91843B093A4}"/>
    <cellStyle name="Normal 10 3 3 2 3 2 2 2 2 2 3" xfId="20586" xr:uid="{BFD96F5E-1424-49F8-8463-307FF92210EE}"/>
    <cellStyle name="Normal 10 3 3 2 3 2 2 2 2 3" xfId="20587" xr:uid="{3C60BC6E-4E74-484A-8451-8BA6546DC9D1}"/>
    <cellStyle name="Normal 10 3 3 2 3 2 2 2 2 3 2" xfId="20588" xr:uid="{359B990C-F15E-4280-8C20-E008F99FB91D}"/>
    <cellStyle name="Normal 10 3 3 2 3 2 2 2 2 4" xfId="20589" xr:uid="{224AEF39-1953-4969-BEA3-574C0BD84975}"/>
    <cellStyle name="Normal 10 3 3 2 3 2 2 2 3" xfId="20590" xr:uid="{663C0283-F5E3-4062-BF08-5C0E4A4B9C3E}"/>
    <cellStyle name="Normal 10 3 3 2 3 2 2 2 3 2" xfId="20591" xr:uid="{64B9EC3F-2082-4556-BBD9-89DE5FE287DF}"/>
    <cellStyle name="Normal 10 3 3 2 3 2 2 2 3 2 2" xfId="20592" xr:uid="{C85FAB89-8F00-4106-A054-793A0561FFAD}"/>
    <cellStyle name="Normal 10 3 3 2 3 2 2 2 3 3" xfId="20593" xr:uid="{84A376A8-AAC2-4B91-88FC-45543A895F5B}"/>
    <cellStyle name="Normal 10 3 3 2 3 2 2 2 4" xfId="20594" xr:uid="{27CD1BB9-5106-410F-BA5D-6267CAB92509}"/>
    <cellStyle name="Normal 10 3 3 2 3 2 2 2 4 2" xfId="20595" xr:uid="{1F116FB6-4434-4655-B1AC-14310EFA9646}"/>
    <cellStyle name="Normal 10 3 3 2 3 2 2 2 5" xfId="20596" xr:uid="{528B8A8A-248B-47B8-B200-AF4C04F3B887}"/>
    <cellStyle name="Normal 10 3 3 2 3 2 2 3" xfId="20597" xr:uid="{FF1F54B6-FC03-486E-929A-0319CC22342C}"/>
    <cellStyle name="Normal 10 3 3 2 3 2 2 3 2" xfId="20598" xr:uid="{B22D9195-FC7C-4E3E-9ADD-F2A40DB45FF5}"/>
    <cellStyle name="Normal 10 3 3 2 3 2 2 3 2 2" xfId="20599" xr:uid="{C3B6E746-9358-4F6A-A5D3-EF1920FE2A8B}"/>
    <cellStyle name="Normal 10 3 3 2 3 2 2 3 2 2 2" xfId="20600" xr:uid="{17766206-68A7-4841-872A-B3BBF8641694}"/>
    <cellStyle name="Normal 10 3 3 2 3 2 2 3 2 3" xfId="20601" xr:uid="{88887E7B-3BD2-42ED-91B9-A5CC0137FA01}"/>
    <cellStyle name="Normal 10 3 3 2 3 2 2 3 3" xfId="20602" xr:uid="{934107F4-4C03-4A4C-84B2-334B3E23FE42}"/>
    <cellStyle name="Normal 10 3 3 2 3 2 2 3 3 2" xfId="20603" xr:uid="{6695C6F6-35F7-4149-9B34-6034559519EA}"/>
    <cellStyle name="Normal 10 3 3 2 3 2 2 3 4" xfId="20604" xr:uid="{570CBBED-81A7-4585-B4D5-C12EEBC21ABF}"/>
    <cellStyle name="Normal 10 3 3 2 3 2 2 4" xfId="20605" xr:uid="{48108841-9253-4B05-A5D4-83D9874B4371}"/>
    <cellStyle name="Normal 10 3 3 2 3 2 2 4 2" xfId="20606" xr:uid="{9AC4886E-85B8-4307-93B4-8871EEF66D13}"/>
    <cellStyle name="Normal 10 3 3 2 3 2 2 4 2 2" xfId="20607" xr:uid="{DB349D3C-2D65-49A6-94A4-888AC0A51036}"/>
    <cellStyle name="Normal 10 3 3 2 3 2 2 4 3" xfId="20608" xr:uid="{E1F8AE15-E474-412B-A177-25B4C8BF78D2}"/>
    <cellStyle name="Normal 10 3 3 2 3 2 2 5" xfId="20609" xr:uid="{CDBB9D77-15D9-470A-9310-A01D44D2BFA5}"/>
    <cellStyle name="Normal 10 3 3 2 3 2 2 5 2" xfId="20610" xr:uid="{6E7565ED-7CE4-4DA3-9595-39D4F387F2FB}"/>
    <cellStyle name="Normal 10 3 3 2 3 2 2 6" xfId="20611" xr:uid="{1DCAA1BC-24A6-4BD0-81CB-B3F28F93950B}"/>
    <cellStyle name="Normal 10 3 3 2 3 2 3" xfId="20612" xr:uid="{0F2EB268-892A-4F86-8F0B-7C16D89A84F0}"/>
    <cellStyle name="Normal 10 3 3 2 3 2 3 2" xfId="20613" xr:uid="{867A1BE8-E85B-4076-A682-33E4F17ED392}"/>
    <cellStyle name="Normal 10 3 3 2 3 2 3 2 2" xfId="20614" xr:uid="{12F297C8-D2EB-44EF-ADA7-BFA6B9E64C39}"/>
    <cellStyle name="Normal 10 3 3 2 3 2 3 2 2 2" xfId="20615" xr:uid="{26AD7B63-26A8-4E13-AA27-78F31643A11B}"/>
    <cellStyle name="Normal 10 3 3 2 3 2 3 2 2 2 2" xfId="20616" xr:uid="{36DC03F1-B0C8-40BE-8BAB-F3AFC061792F}"/>
    <cellStyle name="Normal 10 3 3 2 3 2 3 2 2 3" xfId="20617" xr:uid="{BC18881D-9B94-4960-A74A-C27BD78ACB0F}"/>
    <cellStyle name="Normal 10 3 3 2 3 2 3 2 3" xfId="20618" xr:uid="{C0AFB5AE-18AC-4C60-8AF6-38E2900AA221}"/>
    <cellStyle name="Normal 10 3 3 2 3 2 3 2 3 2" xfId="20619" xr:uid="{23897344-3D2C-4FD3-8005-4D67513941D4}"/>
    <cellStyle name="Normal 10 3 3 2 3 2 3 2 4" xfId="20620" xr:uid="{6AED27B9-D9A2-4500-B074-119F59976BFF}"/>
    <cellStyle name="Normal 10 3 3 2 3 2 3 3" xfId="20621" xr:uid="{BBE23D0C-2FF6-408A-80D5-2905C7D9FA52}"/>
    <cellStyle name="Normal 10 3 3 2 3 2 3 3 2" xfId="20622" xr:uid="{5E75146A-3E07-4F4B-8EAA-2CDEB6A02123}"/>
    <cellStyle name="Normal 10 3 3 2 3 2 3 3 2 2" xfId="20623" xr:uid="{B4B4F448-543E-4016-8765-EADC754056D4}"/>
    <cellStyle name="Normal 10 3 3 2 3 2 3 3 3" xfId="20624" xr:uid="{9666BCD5-C6EC-486C-9E8C-DC6550E320C0}"/>
    <cellStyle name="Normal 10 3 3 2 3 2 3 4" xfId="20625" xr:uid="{50124687-6585-46EC-82CA-DD6364A58FFA}"/>
    <cellStyle name="Normal 10 3 3 2 3 2 3 4 2" xfId="20626" xr:uid="{41D12A51-8D45-418A-B9C0-8F4BF5A67793}"/>
    <cellStyle name="Normal 10 3 3 2 3 2 3 5" xfId="20627" xr:uid="{D03FED98-EB3F-4970-AF50-4CB4100A781B}"/>
    <cellStyle name="Normal 10 3 3 2 3 2 4" xfId="20628" xr:uid="{0AC65E3F-B91A-4475-8527-8CAA3CD44266}"/>
    <cellStyle name="Normal 10 3 3 2 3 2 4 2" xfId="20629" xr:uid="{C4184110-8815-4C45-B3F2-5881449F968A}"/>
    <cellStyle name="Normal 10 3 3 2 3 2 4 2 2" xfId="20630" xr:uid="{D7A9C1B4-7190-4DD2-B79E-8DFB174F11BF}"/>
    <cellStyle name="Normal 10 3 3 2 3 2 4 2 2 2" xfId="20631" xr:uid="{E7C85301-9B64-455F-8F9D-AB419A446378}"/>
    <cellStyle name="Normal 10 3 3 2 3 2 4 2 3" xfId="20632" xr:uid="{1985BBA9-82D6-478E-B081-EC6F9E8AACA9}"/>
    <cellStyle name="Normal 10 3 3 2 3 2 4 3" xfId="20633" xr:uid="{E2A503DD-6D0D-4CEF-B184-BA37247C15EF}"/>
    <cellStyle name="Normal 10 3 3 2 3 2 4 3 2" xfId="20634" xr:uid="{F85FC956-0D54-497C-AB7C-07617A4B3922}"/>
    <cellStyle name="Normal 10 3 3 2 3 2 4 4" xfId="20635" xr:uid="{8BF962DA-BD04-443E-815B-5A53F28FE4CB}"/>
    <cellStyle name="Normal 10 3 3 2 3 2 5" xfId="20636" xr:uid="{A6CD960E-7B4C-4161-85EC-F2DAFA5873BE}"/>
    <cellStyle name="Normal 10 3 3 2 3 2 5 2" xfId="20637" xr:uid="{CC58CB45-7E90-4874-829C-2CB96D0E63B2}"/>
    <cellStyle name="Normal 10 3 3 2 3 2 5 2 2" xfId="20638" xr:uid="{80697F76-C46E-4509-9563-6D4BDC697433}"/>
    <cellStyle name="Normal 10 3 3 2 3 2 5 3" xfId="20639" xr:uid="{E450AE88-6B0A-414F-8053-344516D731BE}"/>
    <cellStyle name="Normal 10 3 3 2 3 2 6" xfId="20640" xr:uid="{58F3A4EE-400D-47CC-8AF2-01E9972083D8}"/>
    <cellStyle name="Normal 10 3 3 2 3 2 6 2" xfId="20641" xr:uid="{AF55021C-4544-4FFD-9A89-DF69E290A958}"/>
    <cellStyle name="Normal 10 3 3 2 3 2 7" xfId="20642" xr:uid="{F74E65D1-C6C0-4DF2-B8C5-F95A5227AB40}"/>
    <cellStyle name="Normal 10 3 3 2 3 3" xfId="20643" xr:uid="{4387F995-B2AE-4F29-80B0-5B7811D2FB69}"/>
    <cellStyle name="Normal 10 3 3 2 3 3 2" xfId="20644" xr:uid="{C515F077-0FA4-497F-8DB4-D4276CA019F5}"/>
    <cellStyle name="Normal 10 3 3 2 3 3 2 2" xfId="20645" xr:uid="{C927C87D-0912-475E-8F3E-65D1BE2CEFE5}"/>
    <cellStyle name="Normal 10 3 3 2 3 3 2 2 2" xfId="20646" xr:uid="{733413F6-4B11-458C-A20E-063D8B320AC2}"/>
    <cellStyle name="Normal 10 3 3 2 3 3 2 2 2 2" xfId="20647" xr:uid="{38C6DFC6-780F-45AE-B4DD-0E44C39F1C37}"/>
    <cellStyle name="Normal 10 3 3 2 3 3 2 2 2 2 2" xfId="20648" xr:uid="{436E42C7-FCEF-4237-8FEB-107513548FC1}"/>
    <cellStyle name="Normal 10 3 3 2 3 3 2 2 2 3" xfId="20649" xr:uid="{8078E1EB-3348-4F92-953B-9ECADF9BCD07}"/>
    <cellStyle name="Normal 10 3 3 2 3 3 2 2 3" xfId="20650" xr:uid="{AC4D416C-A917-4D8C-8D90-7972ACD1145D}"/>
    <cellStyle name="Normal 10 3 3 2 3 3 2 2 3 2" xfId="20651" xr:uid="{2CED3538-1EE9-4B15-B26A-95947619E8F0}"/>
    <cellStyle name="Normal 10 3 3 2 3 3 2 2 4" xfId="20652" xr:uid="{63A67F46-00D4-4112-B935-75CA521913DE}"/>
    <cellStyle name="Normal 10 3 3 2 3 3 2 3" xfId="20653" xr:uid="{EA3800BA-0E3C-4235-9EFF-8FBEB95E7210}"/>
    <cellStyle name="Normal 10 3 3 2 3 3 2 3 2" xfId="20654" xr:uid="{2DAACE9E-8D68-4685-9624-002A033AA807}"/>
    <cellStyle name="Normal 10 3 3 2 3 3 2 3 2 2" xfId="20655" xr:uid="{7086405C-58C5-4A7D-9566-EC9857C7433E}"/>
    <cellStyle name="Normal 10 3 3 2 3 3 2 3 3" xfId="20656" xr:uid="{FFEABD12-497F-4509-B60F-09796214ADE6}"/>
    <cellStyle name="Normal 10 3 3 2 3 3 2 4" xfId="20657" xr:uid="{C5D26F37-5FE2-4328-A62E-6847E74EB0DB}"/>
    <cellStyle name="Normal 10 3 3 2 3 3 2 4 2" xfId="20658" xr:uid="{A27B3696-A223-4E8E-BB82-57158C386F20}"/>
    <cellStyle name="Normal 10 3 3 2 3 3 2 5" xfId="20659" xr:uid="{9CC08950-C704-4B00-B3A9-D069C68BECB4}"/>
    <cellStyle name="Normal 10 3 3 2 3 3 3" xfId="20660" xr:uid="{422E1B68-782D-4435-B1B3-636973736F2A}"/>
    <cellStyle name="Normal 10 3 3 2 3 3 3 2" xfId="20661" xr:uid="{6525B2A7-7F10-4F49-B349-751B04535617}"/>
    <cellStyle name="Normal 10 3 3 2 3 3 3 2 2" xfId="20662" xr:uid="{DB963D52-1934-4E0F-B113-4C07332798D9}"/>
    <cellStyle name="Normal 10 3 3 2 3 3 3 2 2 2" xfId="20663" xr:uid="{4C662BC0-B7CB-4B9D-9F09-B2B2A15D285D}"/>
    <cellStyle name="Normal 10 3 3 2 3 3 3 2 3" xfId="20664" xr:uid="{AF2A68DD-51B1-4E4C-AAB4-17A1266CCABA}"/>
    <cellStyle name="Normal 10 3 3 2 3 3 3 3" xfId="20665" xr:uid="{84F99E51-77A3-4389-B089-70AAD7201682}"/>
    <cellStyle name="Normal 10 3 3 2 3 3 3 3 2" xfId="20666" xr:uid="{EC13A5F6-B0E1-4DE3-84DE-5E2505A9975E}"/>
    <cellStyle name="Normal 10 3 3 2 3 3 3 4" xfId="20667" xr:uid="{33416BB0-C73B-4A7B-A425-F70E21BBFE5A}"/>
    <cellStyle name="Normal 10 3 3 2 3 3 4" xfId="20668" xr:uid="{66373802-828B-4F3E-A791-9E5AD81E749D}"/>
    <cellStyle name="Normal 10 3 3 2 3 3 4 2" xfId="20669" xr:uid="{0B32911F-78E1-4BBB-A368-F18C230EAB8B}"/>
    <cellStyle name="Normal 10 3 3 2 3 3 4 2 2" xfId="20670" xr:uid="{ADADCEA7-3E88-4D4B-8664-BA05D2008EDD}"/>
    <cellStyle name="Normal 10 3 3 2 3 3 4 3" xfId="20671" xr:uid="{F44B10AC-9954-4243-9835-751350B4A6E2}"/>
    <cellStyle name="Normal 10 3 3 2 3 3 5" xfId="20672" xr:uid="{E2E0872D-0B28-4697-ACBD-55FBCF455E92}"/>
    <cellStyle name="Normal 10 3 3 2 3 3 5 2" xfId="20673" xr:uid="{02EFEBCE-43D8-4A1F-94C3-C679B052FE03}"/>
    <cellStyle name="Normal 10 3 3 2 3 3 6" xfId="20674" xr:uid="{97B36952-CEF1-4382-B5F7-0DFDA87CFBAD}"/>
    <cellStyle name="Normal 10 3 3 2 3 4" xfId="20675" xr:uid="{681454ED-9E35-471A-9068-D8E6A20A8FC8}"/>
    <cellStyle name="Normal 10 3 3 2 3 4 2" xfId="20676" xr:uid="{3B8EBFB1-0FBA-444E-8D4B-2004CD135942}"/>
    <cellStyle name="Normal 10 3 3 2 3 4 2 2" xfId="20677" xr:uid="{1D176D44-CA82-4479-9D9A-73F5AC5DAC65}"/>
    <cellStyle name="Normal 10 3 3 2 3 4 2 2 2" xfId="20678" xr:uid="{9014A1C6-E535-459F-9310-CF1C5B58B80F}"/>
    <cellStyle name="Normal 10 3 3 2 3 4 2 2 2 2" xfId="20679" xr:uid="{33B22BED-188D-40C1-AA9D-E856D268C823}"/>
    <cellStyle name="Normal 10 3 3 2 3 4 2 2 3" xfId="20680" xr:uid="{39F73122-6CAC-4E5E-A4F3-260CCF4507A8}"/>
    <cellStyle name="Normal 10 3 3 2 3 4 2 3" xfId="20681" xr:uid="{7DDDCFAF-4D8F-42FB-9D61-701DA1BA9887}"/>
    <cellStyle name="Normal 10 3 3 2 3 4 2 3 2" xfId="20682" xr:uid="{3B87402A-875D-4F11-BA0A-6951BEB3C06C}"/>
    <cellStyle name="Normal 10 3 3 2 3 4 2 4" xfId="20683" xr:uid="{77502376-AFF6-45C8-B5EF-ADB0F51B161A}"/>
    <cellStyle name="Normal 10 3 3 2 3 4 3" xfId="20684" xr:uid="{086989CB-D2C8-4EC4-850B-CE6A636FFEB2}"/>
    <cellStyle name="Normal 10 3 3 2 3 4 3 2" xfId="20685" xr:uid="{05DD5C91-D1B7-494C-8852-35F05E4C7F11}"/>
    <cellStyle name="Normal 10 3 3 2 3 4 3 2 2" xfId="20686" xr:uid="{32D48A30-EE4E-475A-AC19-AB368D354D06}"/>
    <cellStyle name="Normal 10 3 3 2 3 4 3 3" xfId="20687" xr:uid="{78D9F623-6937-4648-808A-1027CFD0109C}"/>
    <cellStyle name="Normal 10 3 3 2 3 4 4" xfId="20688" xr:uid="{7E08533F-5749-4549-A897-DB0FB2759948}"/>
    <cellStyle name="Normal 10 3 3 2 3 4 4 2" xfId="20689" xr:uid="{616CC4E8-A072-4767-A8F1-0216E732CB30}"/>
    <cellStyle name="Normal 10 3 3 2 3 4 5" xfId="20690" xr:uid="{74C78F9D-0C95-41E9-8079-E4906FCBD86A}"/>
    <cellStyle name="Normal 10 3 3 2 3 5" xfId="20691" xr:uid="{45069D66-C5C9-4847-8D64-D01A31F231F9}"/>
    <cellStyle name="Normal 10 3 3 2 3 5 2" xfId="20692" xr:uid="{C158FF2E-5EBB-44C7-8113-9932F897C4F3}"/>
    <cellStyle name="Normal 10 3 3 2 3 5 2 2" xfId="20693" xr:uid="{662C57FF-A163-477E-994B-A125F0C26EBA}"/>
    <cellStyle name="Normal 10 3 3 2 3 5 2 2 2" xfId="20694" xr:uid="{28B36EA4-1680-4161-9D1D-B727E6AC1107}"/>
    <cellStyle name="Normal 10 3 3 2 3 5 2 3" xfId="20695" xr:uid="{389CAC24-79EB-409B-8E6B-16F25FB0A351}"/>
    <cellStyle name="Normal 10 3 3 2 3 5 3" xfId="20696" xr:uid="{67CFCD22-2A4B-4E3E-8E59-37AF9EB4B59A}"/>
    <cellStyle name="Normal 10 3 3 2 3 5 3 2" xfId="20697" xr:uid="{B8F9054C-192C-44BB-8251-B74C4100119A}"/>
    <cellStyle name="Normal 10 3 3 2 3 5 4" xfId="20698" xr:uid="{835B5EDF-E1B2-4F09-A37C-2BCF24703C49}"/>
    <cellStyle name="Normal 10 3 3 2 3 6" xfId="20699" xr:uid="{C2A6E34F-A3C4-4003-8977-E042D3F8E6AC}"/>
    <cellStyle name="Normal 10 3 3 2 3 6 2" xfId="20700" xr:uid="{3C8605F8-4388-475D-A4B6-9825714EEAD6}"/>
    <cellStyle name="Normal 10 3 3 2 3 6 2 2" xfId="20701" xr:uid="{5FEDB8B2-311F-4C11-A47B-01F33D45FD61}"/>
    <cellStyle name="Normal 10 3 3 2 3 6 3" xfId="20702" xr:uid="{B6B1957D-67B6-4E62-9A7B-E49FB5091558}"/>
    <cellStyle name="Normal 10 3 3 2 3 7" xfId="20703" xr:uid="{245A9D7C-F882-4D78-9CCD-E2E6B6BCFDF1}"/>
    <cellStyle name="Normal 10 3 3 2 3 7 2" xfId="20704" xr:uid="{229334D9-0317-4FD2-84A6-3D26DDFB5A5C}"/>
    <cellStyle name="Normal 10 3 3 2 3 8" xfId="20705" xr:uid="{66696AD5-50C3-4268-BAB7-DDD393766BCF}"/>
    <cellStyle name="Normal 10 3 3 2 3 9" xfId="20578" xr:uid="{14116A1E-CBD9-44DB-933E-2248577C2049}"/>
    <cellStyle name="Normal 10 3 3 2 4" xfId="20706" xr:uid="{46CFA311-B69F-4794-9D80-D5B4C6A1CDA7}"/>
    <cellStyle name="Normal 10 3 3 2 4 2" xfId="20707" xr:uid="{F60A95BF-65B1-4C6D-B4EF-574DFC2278C0}"/>
    <cellStyle name="Normal 10 3 3 2 4 2 2" xfId="20708" xr:uid="{4E4A0AB7-C159-40A3-9BB2-8484DD2F8E65}"/>
    <cellStyle name="Normal 10 3 3 2 4 2 2 2" xfId="20709" xr:uid="{336D5F96-613D-4BA7-8F67-5FF97CCC3198}"/>
    <cellStyle name="Normal 10 3 3 2 4 2 2 2 2" xfId="20710" xr:uid="{EB6D1AF9-20A9-4FD6-8703-DD79A67C4DBC}"/>
    <cellStyle name="Normal 10 3 3 2 4 2 2 2 2 2" xfId="20711" xr:uid="{37C563B8-E1E4-4978-8B5B-E59CBAF93CAB}"/>
    <cellStyle name="Normal 10 3 3 2 4 2 2 2 2 2 2" xfId="20712" xr:uid="{66AECF7D-EFEC-48A5-A04B-4A3433892D91}"/>
    <cellStyle name="Normal 10 3 3 2 4 2 2 2 2 3" xfId="20713" xr:uid="{45287EEF-076D-4261-909A-1429BF11845E}"/>
    <cellStyle name="Normal 10 3 3 2 4 2 2 2 3" xfId="20714" xr:uid="{23D2A4E5-CDC7-40E5-8E32-BFE8C0B03E1F}"/>
    <cellStyle name="Normal 10 3 3 2 4 2 2 2 3 2" xfId="20715" xr:uid="{3D4D33C2-A1ED-4209-8A92-683EA6E87500}"/>
    <cellStyle name="Normal 10 3 3 2 4 2 2 2 4" xfId="20716" xr:uid="{44F4D290-0D43-4C17-ACFB-24A21E7C864B}"/>
    <cellStyle name="Normal 10 3 3 2 4 2 2 3" xfId="20717" xr:uid="{6043E387-90DA-49F8-AEFE-1DEF616D37A8}"/>
    <cellStyle name="Normal 10 3 3 2 4 2 2 3 2" xfId="20718" xr:uid="{01B521C6-804A-4B01-A1DC-8C89E7C32838}"/>
    <cellStyle name="Normal 10 3 3 2 4 2 2 3 2 2" xfId="20719" xr:uid="{B8A3E2E4-9BB9-4B52-8370-5C31D7C8DE4F}"/>
    <cellStyle name="Normal 10 3 3 2 4 2 2 3 3" xfId="20720" xr:uid="{B0048773-60FA-4C7A-82C0-41491A4D0241}"/>
    <cellStyle name="Normal 10 3 3 2 4 2 2 4" xfId="20721" xr:uid="{65AD78C8-F01B-4424-8A93-A7D9EBE41320}"/>
    <cellStyle name="Normal 10 3 3 2 4 2 2 4 2" xfId="20722" xr:uid="{876FDAFD-11D4-4089-91CB-E20852A6BF34}"/>
    <cellStyle name="Normal 10 3 3 2 4 2 2 5" xfId="20723" xr:uid="{AD2678CC-3FE9-4A05-8B99-B07D546DECA5}"/>
    <cellStyle name="Normal 10 3 3 2 4 2 3" xfId="20724" xr:uid="{FAA2C795-8D40-4457-813F-02CE0673720B}"/>
    <cellStyle name="Normal 10 3 3 2 4 2 3 2" xfId="20725" xr:uid="{9633C468-34F5-4482-AA47-7EDFFE3E7FC6}"/>
    <cellStyle name="Normal 10 3 3 2 4 2 3 2 2" xfId="20726" xr:uid="{DD1F5238-AEF0-4D3F-B763-AE22BB9847B4}"/>
    <cellStyle name="Normal 10 3 3 2 4 2 3 2 2 2" xfId="20727" xr:uid="{B4572DF3-785E-4237-8DA1-85C6D7F9C725}"/>
    <cellStyle name="Normal 10 3 3 2 4 2 3 2 3" xfId="20728" xr:uid="{4E92D9E1-5D75-461A-A6B0-9E83AA918C21}"/>
    <cellStyle name="Normal 10 3 3 2 4 2 3 3" xfId="20729" xr:uid="{EA9BD2D4-242F-446F-ADDC-28F2CADC1013}"/>
    <cellStyle name="Normal 10 3 3 2 4 2 3 3 2" xfId="20730" xr:uid="{A8F1DE62-CC01-4554-9C54-CAE4B4A14524}"/>
    <cellStyle name="Normal 10 3 3 2 4 2 3 4" xfId="20731" xr:uid="{516A1A28-71BA-4B37-ADE0-11B8D0FEF5CD}"/>
    <cellStyle name="Normal 10 3 3 2 4 2 4" xfId="20732" xr:uid="{2059ABB3-31E1-42C1-8772-782A5D1F55B7}"/>
    <cellStyle name="Normal 10 3 3 2 4 2 4 2" xfId="20733" xr:uid="{0DEA5F39-D5A0-4BC3-BFF4-4E1E51D62DAF}"/>
    <cellStyle name="Normal 10 3 3 2 4 2 4 2 2" xfId="20734" xr:uid="{D2840B55-5FAE-4AE4-A720-0B8B2908AE54}"/>
    <cellStyle name="Normal 10 3 3 2 4 2 4 3" xfId="20735" xr:uid="{2FC5DAAC-390C-4355-B555-4502F4B67D36}"/>
    <cellStyle name="Normal 10 3 3 2 4 2 5" xfId="20736" xr:uid="{6C4FB8E9-9EB8-4DCC-AE24-8155F304B9F7}"/>
    <cellStyle name="Normal 10 3 3 2 4 2 5 2" xfId="20737" xr:uid="{004E4007-B8E7-4E5C-86DC-F645BE600AA1}"/>
    <cellStyle name="Normal 10 3 3 2 4 2 6" xfId="20738" xr:uid="{ABD578A9-0342-4427-B438-D29115C5AA90}"/>
    <cellStyle name="Normal 10 3 3 2 4 3" xfId="20739" xr:uid="{1DFB5CFD-7A56-4E28-9F85-7E5B900E1190}"/>
    <cellStyle name="Normal 10 3 3 2 4 3 2" xfId="20740" xr:uid="{4C041D7B-8822-4883-BA48-503226ED769A}"/>
    <cellStyle name="Normal 10 3 3 2 4 3 2 2" xfId="20741" xr:uid="{44AEC02E-A40B-405B-AFE7-9FA30BF20500}"/>
    <cellStyle name="Normal 10 3 3 2 4 3 2 2 2" xfId="20742" xr:uid="{7407F0C0-4805-4C47-A1A5-35511D725030}"/>
    <cellStyle name="Normal 10 3 3 2 4 3 2 2 2 2" xfId="20743" xr:uid="{14A829D6-98D0-49F8-B708-2504790D1EAF}"/>
    <cellStyle name="Normal 10 3 3 2 4 3 2 2 3" xfId="20744" xr:uid="{AE477909-70CA-44C5-8DD1-3F40BA312FBF}"/>
    <cellStyle name="Normal 10 3 3 2 4 3 2 3" xfId="20745" xr:uid="{4C6AAB80-0468-42E0-BF0E-FDD249442989}"/>
    <cellStyle name="Normal 10 3 3 2 4 3 2 3 2" xfId="20746" xr:uid="{1D9EF44F-448C-4789-B183-99C5DB5FE89B}"/>
    <cellStyle name="Normal 10 3 3 2 4 3 2 4" xfId="20747" xr:uid="{84562E9E-DF8F-47D1-930B-FE4D46F8010E}"/>
    <cellStyle name="Normal 10 3 3 2 4 3 3" xfId="20748" xr:uid="{EB69A353-A297-4CF0-8A4D-A76DF50A6AE2}"/>
    <cellStyle name="Normal 10 3 3 2 4 3 3 2" xfId="20749" xr:uid="{031A710E-171F-4A33-81F6-9D371E1EFA06}"/>
    <cellStyle name="Normal 10 3 3 2 4 3 3 2 2" xfId="20750" xr:uid="{94C515C1-5354-4570-AAA1-4CEE5F99124F}"/>
    <cellStyle name="Normal 10 3 3 2 4 3 3 3" xfId="20751" xr:uid="{CA95C7C1-E08E-4956-965B-7D8E9C02E12D}"/>
    <cellStyle name="Normal 10 3 3 2 4 3 4" xfId="20752" xr:uid="{E06CBF8B-EDE8-4CD7-93F8-228890FE398F}"/>
    <cellStyle name="Normal 10 3 3 2 4 3 4 2" xfId="20753" xr:uid="{FC9E5427-4C1D-48F6-837D-6A128CE13ED2}"/>
    <cellStyle name="Normal 10 3 3 2 4 3 5" xfId="20754" xr:uid="{984A0578-9E65-4C09-A669-70DAEB3D70FF}"/>
    <cellStyle name="Normal 10 3 3 2 4 4" xfId="20755" xr:uid="{251153E9-9B43-48F7-98E4-9B4C37C313B0}"/>
    <cellStyle name="Normal 10 3 3 2 4 4 2" xfId="20756" xr:uid="{E88CF7C9-B669-4AE0-A612-E9E0D359B803}"/>
    <cellStyle name="Normal 10 3 3 2 4 4 2 2" xfId="20757" xr:uid="{D916370F-519F-433A-AD59-0718C9F2B8C2}"/>
    <cellStyle name="Normal 10 3 3 2 4 4 2 2 2" xfId="20758" xr:uid="{B474A588-4E2E-48F9-A3E7-EBA8759CD85C}"/>
    <cellStyle name="Normal 10 3 3 2 4 4 2 3" xfId="20759" xr:uid="{4589B044-17D1-4ABC-81EB-676D6504DBD4}"/>
    <cellStyle name="Normal 10 3 3 2 4 4 3" xfId="20760" xr:uid="{4EBD91E2-0D1A-49FF-A5A3-CDEEEAB37B92}"/>
    <cellStyle name="Normal 10 3 3 2 4 4 3 2" xfId="20761" xr:uid="{96FE8CB3-DB2E-4E7D-9D8E-E32C1810C0DC}"/>
    <cellStyle name="Normal 10 3 3 2 4 4 4" xfId="20762" xr:uid="{4441B2D5-BEB4-442E-8DCF-29513E73ECE1}"/>
    <cellStyle name="Normal 10 3 3 2 4 5" xfId="20763" xr:uid="{79A46E16-1F43-4DEB-94AA-D21231C7D2FC}"/>
    <cellStyle name="Normal 10 3 3 2 4 5 2" xfId="20764" xr:uid="{09AB06C9-1410-4FBD-9935-561B81329255}"/>
    <cellStyle name="Normal 10 3 3 2 4 5 2 2" xfId="20765" xr:uid="{38313BE1-8D40-460C-B63D-076D8D01B701}"/>
    <cellStyle name="Normal 10 3 3 2 4 5 3" xfId="20766" xr:uid="{EDA0C475-5FA7-408D-8CA7-A40BF7C94B23}"/>
    <cellStyle name="Normal 10 3 3 2 4 6" xfId="20767" xr:uid="{578EACCD-6238-44A4-9D30-0FA74D9F4F9C}"/>
    <cellStyle name="Normal 10 3 3 2 4 6 2" xfId="20768" xr:uid="{ACF2C340-129C-43FA-8356-31BBE7BBF44D}"/>
    <cellStyle name="Normal 10 3 3 2 4 7" xfId="20769" xr:uid="{396D0741-33A1-44CF-9121-6A20431AEAED}"/>
    <cellStyle name="Normal 10 3 3 2 5" xfId="20770" xr:uid="{512EB260-E879-4E11-8939-2C19EF5A72DA}"/>
    <cellStyle name="Normal 10 3 3 2 5 2" xfId="20771" xr:uid="{A041886F-52FC-4522-AA44-E236E03840AF}"/>
    <cellStyle name="Normal 10 3 3 2 5 2 2" xfId="20772" xr:uid="{C353FACF-C880-40ED-9507-AC4C3CA5DF54}"/>
    <cellStyle name="Normal 10 3 3 2 5 2 2 2" xfId="20773" xr:uid="{5C4E4AA2-C438-48A2-B0B1-3502E487AA79}"/>
    <cellStyle name="Normal 10 3 3 2 5 2 2 2 2" xfId="20774" xr:uid="{AC597DDE-8291-40A3-8040-9C0037137285}"/>
    <cellStyle name="Normal 10 3 3 2 5 2 2 2 2 2" xfId="20775" xr:uid="{4D25229E-090B-421E-81C2-341F199F363D}"/>
    <cellStyle name="Normal 10 3 3 2 5 2 2 2 3" xfId="20776" xr:uid="{6641605D-7646-4EC1-9E2A-7DBFF214AABE}"/>
    <cellStyle name="Normal 10 3 3 2 5 2 2 3" xfId="20777" xr:uid="{8364DF24-7291-4115-9DD5-E7808637F9E6}"/>
    <cellStyle name="Normal 10 3 3 2 5 2 2 3 2" xfId="20778" xr:uid="{16BDAD7D-9BF8-4A59-87BB-3A89BF10D29B}"/>
    <cellStyle name="Normal 10 3 3 2 5 2 2 4" xfId="20779" xr:uid="{31E4541B-3519-41A6-B772-442DDF66D8B0}"/>
    <cellStyle name="Normal 10 3 3 2 5 2 3" xfId="20780" xr:uid="{4D4FB568-B03D-4F9D-9C84-FDD09DBCC4E4}"/>
    <cellStyle name="Normal 10 3 3 2 5 2 3 2" xfId="20781" xr:uid="{A318A33F-E743-4651-8F03-701E315CF114}"/>
    <cellStyle name="Normal 10 3 3 2 5 2 3 2 2" xfId="20782" xr:uid="{C9CA0D20-F850-4F28-9102-05829C597E72}"/>
    <cellStyle name="Normal 10 3 3 2 5 2 3 3" xfId="20783" xr:uid="{4DFE7E40-B3FA-417C-86BD-8B84DDAB49F3}"/>
    <cellStyle name="Normal 10 3 3 2 5 2 4" xfId="20784" xr:uid="{A53749CC-3F73-40B7-9FD9-7F41EC3DD8D2}"/>
    <cellStyle name="Normal 10 3 3 2 5 2 4 2" xfId="20785" xr:uid="{C81C1673-8768-4C2A-B77C-C0193D46EE07}"/>
    <cellStyle name="Normal 10 3 3 2 5 2 5" xfId="20786" xr:uid="{61D49E6A-8A91-4195-A94E-0D408DB31853}"/>
    <cellStyle name="Normal 10 3 3 2 5 3" xfId="20787" xr:uid="{DC00CC90-C30F-4361-895F-DF1533FD3807}"/>
    <cellStyle name="Normal 10 3 3 2 5 3 2" xfId="20788" xr:uid="{8FFC1C07-A384-457E-AABE-70B3BAA0D629}"/>
    <cellStyle name="Normal 10 3 3 2 5 3 2 2" xfId="20789" xr:uid="{2F7407D5-B86B-408A-9E9C-86DDC311EC06}"/>
    <cellStyle name="Normal 10 3 3 2 5 3 2 2 2" xfId="20790" xr:uid="{E690877F-671E-45B4-BA67-F9CDE7E2AF3D}"/>
    <cellStyle name="Normal 10 3 3 2 5 3 2 3" xfId="20791" xr:uid="{168034BC-F807-41A8-9548-D247E88DDD2E}"/>
    <cellStyle name="Normal 10 3 3 2 5 3 3" xfId="20792" xr:uid="{F3FC2DBA-0E26-45A0-9479-D58001282AFA}"/>
    <cellStyle name="Normal 10 3 3 2 5 3 3 2" xfId="20793" xr:uid="{10CD9413-2D46-451D-A751-E3D3CD35CFAC}"/>
    <cellStyle name="Normal 10 3 3 2 5 3 4" xfId="20794" xr:uid="{F3B4805F-103F-41A4-8120-5DA1C4988928}"/>
    <cellStyle name="Normal 10 3 3 2 5 4" xfId="20795" xr:uid="{CE81AD5A-B949-4477-961A-0493E9E52E7E}"/>
    <cellStyle name="Normal 10 3 3 2 5 4 2" xfId="20796" xr:uid="{769F4C3B-4A64-4EAD-8AE7-9D456ADF8470}"/>
    <cellStyle name="Normal 10 3 3 2 5 4 2 2" xfId="20797" xr:uid="{6708157B-17C4-48F5-9849-1AF686649303}"/>
    <cellStyle name="Normal 10 3 3 2 5 4 3" xfId="20798" xr:uid="{BA5FDB67-00BF-4C6B-A6B3-B9F8A86E7EA9}"/>
    <cellStyle name="Normal 10 3 3 2 5 5" xfId="20799" xr:uid="{1276AFF9-AFEA-4AC6-B3CC-12285A57FAD0}"/>
    <cellStyle name="Normal 10 3 3 2 5 5 2" xfId="20800" xr:uid="{82E054F1-E1FA-413C-B325-D1297B55D71B}"/>
    <cellStyle name="Normal 10 3 3 2 5 6" xfId="20801" xr:uid="{E954EE6D-9F14-4499-ABDE-383951EA0FC3}"/>
    <cellStyle name="Normal 10 3 3 2 6" xfId="20802" xr:uid="{CEE7B56F-BB98-40B5-B6BA-312F4DE4C658}"/>
    <cellStyle name="Normal 10 3 3 2 6 2" xfId="20803" xr:uid="{E335699F-BB51-4A77-9890-877AE821B9AA}"/>
    <cellStyle name="Normal 10 3 3 2 6 2 2" xfId="20804" xr:uid="{18DA8E58-93E8-4BF8-A3E8-A5A937A68EC6}"/>
    <cellStyle name="Normal 10 3 3 2 6 2 2 2" xfId="20805" xr:uid="{E43AFF1D-2973-47F2-B940-D3DAAB3DDFAC}"/>
    <cellStyle name="Normal 10 3 3 2 6 2 2 2 2" xfId="20806" xr:uid="{1B0B6F35-8B66-4163-A208-89AAB0EAB635}"/>
    <cellStyle name="Normal 10 3 3 2 6 2 2 3" xfId="20807" xr:uid="{DB9CACE4-7F39-4FA2-ABCF-FF556CD3D41B}"/>
    <cellStyle name="Normal 10 3 3 2 6 2 3" xfId="20808" xr:uid="{15E19B6F-2556-4AB4-BE74-188DAB643744}"/>
    <cellStyle name="Normal 10 3 3 2 6 2 3 2" xfId="20809" xr:uid="{32503FEE-26FB-4114-991A-3214020CF458}"/>
    <cellStyle name="Normal 10 3 3 2 6 2 4" xfId="20810" xr:uid="{18582A51-2BFA-42F9-9D4E-45AF7F0007CD}"/>
    <cellStyle name="Normal 10 3 3 2 6 3" xfId="20811" xr:uid="{F4AB697A-B4BF-4AF7-8FFC-D9F570177C99}"/>
    <cellStyle name="Normal 10 3 3 2 6 3 2" xfId="20812" xr:uid="{626467E6-061A-4F7A-8D4A-936AB4A7913D}"/>
    <cellStyle name="Normal 10 3 3 2 6 3 2 2" xfId="20813" xr:uid="{F473DB92-58D4-4C56-AC0F-B99226E3C432}"/>
    <cellStyle name="Normal 10 3 3 2 6 3 3" xfId="20814" xr:uid="{EB12B798-44B7-4CFD-A116-3028CF79A33D}"/>
    <cellStyle name="Normal 10 3 3 2 6 4" xfId="20815" xr:uid="{C203B588-49E1-44A5-A712-B0FD2530E1FE}"/>
    <cellStyle name="Normal 10 3 3 2 6 4 2" xfId="20816" xr:uid="{89A53A95-0052-41A5-985D-D4CDEAE2E7F9}"/>
    <cellStyle name="Normal 10 3 3 2 6 5" xfId="20817" xr:uid="{64AF8B03-3462-4CE2-8DC5-778BE5146654}"/>
    <cellStyle name="Normal 10 3 3 2 7" xfId="20818" xr:uid="{7AD246CC-325B-4B2A-AE0C-F6B8F06B743B}"/>
    <cellStyle name="Normal 10 3 3 2 7 2" xfId="20819" xr:uid="{9C013A35-D0E3-4015-AC70-4B4DF0713152}"/>
    <cellStyle name="Normal 10 3 3 2 7 2 2" xfId="20820" xr:uid="{3B7435B6-3F41-4D2B-88D8-8B24E651402D}"/>
    <cellStyle name="Normal 10 3 3 2 7 2 2 2" xfId="20821" xr:uid="{68923C5E-DCDF-4069-9239-E420ABF2B1E1}"/>
    <cellStyle name="Normal 10 3 3 2 7 2 3" xfId="20822" xr:uid="{F26A09E2-B309-4542-AB19-4517D842F848}"/>
    <cellStyle name="Normal 10 3 3 2 7 3" xfId="20823" xr:uid="{B590986D-05CE-457E-9088-3CE9A2987E2C}"/>
    <cellStyle name="Normal 10 3 3 2 7 3 2" xfId="20824" xr:uid="{509D0D30-ED8D-4981-9EED-C360C67CC820}"/>
    <cellStyle name="Normal 10 3 3 2 7 4" xfId="20825" xr:uid="{00611A42-5089-493D-844B-55A004BE6F0D}"/>
    <cellStyle name="Normal 10 3 3 2 8" xfId="20826" xr:uid="{5B276B01-7F27-4190-BEAC-0B2500EE6749}"/>
    <cellStyle name="Normal 10 3 3 2 8 2" xfId="20827" xr:uid="{DCEB81B7-4909-4298-B86A-077A6D40F3EC}"/>
    <cellStyle name="Normal 10 3 3 2 8 2 2" xfId="20828" xr:uid="{29A7F218-5531-4777-B17F-C389B92B2AA8}"/>
    <cellStyle name="Normal 10 3 3 2 8 3" xfId="20829" xr:uid="{5712F60C-D187-49BF-A120-05B4EC7C7BD1}"/>
    <cellStyle name="Normal 10 3 3 2 9" xfId="20830" xr:uid="{78A49F11-27B9-489E-B14A-9C9C0FF10070}"/>
    <cellStyle name="Normal 10 3 3 2 9 2" xfId="20831" xr:uid="{9A52F819-8E0B-4B7B-B5F1-C4BD97752589}"/>
    <cellStyle name="Normal 10 3 3 3" xfId="243" xr:uid="{91BA7BF4-5EB0-472B-AD19-5E34B83B18E2}"/>
    <cellStyle name="Normal 10 3 3 3 10" xfId="20832" xr:uid="{DDDF9AB5-14C8-4095-8D1B-BD5DA00B201B}"/>
    <cellStyle name="Normal 10 3 3 3 11" xfId="567" xr:uid="{35A4E9F0-21DD-430A-ABFB-CA13300B2863}"/>
    <cellStyle name="Normal 10 3 3 3 2" xfId="340" xr:uid="{D34C0F44-5F33-4666-A4D9-E89658774C9F}"/>
    <cellStyle name="Normal 10 3 3 3 2 10" xfId="20833" xr:uid="{19AD5AF2-A479-4181-B808-76F80FA77D7D}"/>
    <cellStyle name="Normal 10 3 3 3 2 2" xfId="20834" xr:uid="{1B47318A-F44C-4E0F-9110-53103F8E8FD7}"/>
    <cellStyle name="Normal 10 3 3 3 2 2 2" xfId="20835" xr:uid="{E9DA0B99-6C36-4BED-AA3D-396D9419BEAD}"/>
    <cellStyle name="Normal 10 3 3 3 2 2 2 2" xfId="20836" xr:uid="{6368C5FD-A64E-43F4-A294-1CB9FFFD1362}"/>
    <cellStyle name="Normal 10 3 3 3 2 2 2 2 2" xfId="20837" xr:uid="{18856947-395D-42EB-9F43-618D15CB2B38}"/>
    <cellStyle name="Normal 10 3 3 3 2 2 2 2 2 2" xfId="20838" xr:uid="{6C47F506-0621-4DF2-BE89-82C0AA1069E7}"/>
    <cellStyle name="Normal 10 3 3 3 2 2 2 2 2 2 2" xfId="20839" xr:uid="{B584149A-04AC-444C-B04D-0CB4A83BFCE8}"/>
    <cellStyle name="Normal 10 3 3 3 2 2 2 2 2 2 2 2" xfId="20840" xr:uid="{8156C21B-AE5E-4370-B083-9CF69270A3D1}"/>
    <cellStyle name="Normal 10 3 3 3 2 2 2 2 2 2 2 2 2" xfId="20841" xr:uid="{1FBF9B17-C3C7-493A-82F0-AFE3CC93DEC4}"/>
    <cellStyle name="Normal 10 3 3 3 2 2 2 2 2 2 2 3" xfId="20842" xr:uid="{E815D810-5B40-4A12-9CB4-1F3338717D02}"/>
    <cellStyle name="Normal 10 3 3 3 2 2 2 2 2 2 3" xfId="20843" xr:uid="{7D15D2EC-9547-47AA-A0BA-BB72A390E46C}"/>
    <cellStyle name="Normal 10 3 3 3 2 2 2 2 2 2 3 2" xfId="20844" xr:uid="{300884C6-43D4-46B6-B7F7-B4AA3E0F27FB}"/>
    <cellStyle name="Normal 10 3 3 3 2 2 2 2 2 2 4" xfId="20845" xr:uid="{D2689065-9015-4F42-9466-7DE65BBEC6DB}"/>
    <cellStyle name="Normal 10 3 3 3 2 2 2 2 2 3" xfId="20846" xr:uid="{871D5A8F-D291-4E3C-9856-ECB7558065B7}"/>
    <cellStyle name="Normal 10 3 3 3 2 2 2 2 2 3 2" xfId="20847" xr:uid="{893E195F-CBF5-423A-91F6-72B78E036880}"/>
    <cellStyle name="Normal 10 3 3 3 2 2 2 2 2 3 2 2" xfId="20848" xr:uid="{31295235-6EFC-4756-8DCB-CEA2FFB9F975}"/>
    <cellStyle name="Normal 10 3 3 3 2 2 2 2 2 3 3" xfId="20849" xr:uid="{A2909D17-F8F1-4C48-B6A3-094705E1A9CB}"/>
    <cellStyle name="Normal 10 3 3 3 2 2 2 2 2 4" xfId="20850" xr:uid="{1BDF64BA-1013-48F5-B587-31E0EE7B165B}"/>
    <cellStyle name="Normal 10 3 3 3 2 2 2 2 2 4 2" xfId="20851" xr:uid="{DA56D7CD-C532-4824-A9D0-523F1832F0A5}"/>
    <cellStyle name="Normal 10 3 3 3 2 2 2 2 2 5" xfId="20852" xr:uid="{6C8619F1-0FB7-43B6-93B4-D5A1BBD8091C}"/>
    <cellStyle name="Normal 10 3 3 3 2 2 2 2 3" xfId="20853" xr:uid="{7EB78F5B-60DB-4A43-8ECD-594571E9806C}"/>
    <cellStyle name="Normal 10 3 3 3 2 2 2 2 3 2" xfId="20854" xr:uid="{2B63BBF6-5704-4DC5-8BD2-29F603FD8BDB}"/>
    <cellStyle name="Normal 10 3 3 3 2 2 2 2 3 2 2" xfId="20855" xr:uid="{78638046-8199-4BED-91CB-5FDF5543743F}"/>
    <cellStyle name="Normal 10 3 3 3 2 2 2 2 3 2 2 2" xfId="20856" xr:uid="{A5AD5651-12D0-4562-A860-3278149EDA08}"/>
    <cellStyle name="Normal 10 3 3 3 2 2 2 2 3 2 3" xfId="20857" xr:uid="{C9A258D7-17D0-4CD9-8228-9EFCA7C8596A}"/>
    <cellStyle name="Normal 10 3 3 3 2 2 2 2 3 3" xfId="20858" xr:uid="{33EB4A39-309E-4B31-8461-CECEBCC865B8}"/>
    <cellStyle name="Normal 10 3 3 3 2 2 2 2 3 3 2" xfId="20859" xr:uid="{8898805B-0694-4DDE-B6BB-63FCABC1FCD3}"/>
    <cellStyle name="Normal 10 3 3 3 2 2 2 2 3 4" xfId="20860" xr:uid="{488042B2-1B4F-4098-9053-E22BB2A41D96}"/>
    <cellStyle name="Normal 10 3 3 3 2 2 2 2 4" xfId="20861" xr:uid="{ACB83D2A-9A09-4223-8B74-15C0ED55D213}"/>
    <cellStyle name="Normal 10 3 3 3 2 2 2 2 4 2" xfId="20862" xr:uid="{A5182B6D-D967-4110-81F1-3E5DDD47E276}"/>
    <cellStyle name="Normal 10 3 3 3 2 2 2 2 4 2 2" xfId="20863" xr:uid="{A6DD0260-B11F-4E0F-977E-2887E4A2F870}"/>
    <cellStyle name="Normal 10 3 3 3 2 2 2 2 4 3" xfId="20864" xr:uid="{2A01CE00-4632-4A2F-924D-81EFDE381488}"/>
    <cellStyle name="Normal 10 3 3 3 2 2 2 2 5" xfId="20865" xr:uid="{F4B87E15-1181-4C59-A7ED-360586BCC14F}"/>
    <cellStyle name="Normal 10 3 3 3 2 2 2 2 5 2" xfId="20866" xr:uid="{26C9654D-A002-43C4-8CAD-CFF3C2AD4A35}"/>
    <cellStyle name="Normal 10 3 3 3 2 2 2 2 6" xfId="20867" xr:uid="{8CDA5481-6DE3-4596-89BA-9E8797717BA6}"/>
    <cellStyle name="Normal 10 3 3 3 2 2 2 3" xfId="20868" xr:uid="{F8937BDA-06C1-4D70-B64F-6385B5AE2679}"/>
    <cellStyle name="Normal 10 3 3 3 2 2 2 3 2" xfId="20869" xr:uid="{79376D04-7A08-4CB3-9398-CFED03D6AAAF}"/>
    <cellStyle name="Normal 10 3 3 3 2 2 2 3 2 2" xfId="20870" xr:uid="{8C62879B-976E-4B02-AB91-D84FC7C68B2A}"/>
    <cellStyle name="Normal 10 3 3 3 2 2 2 3 2 2 2" xfId="20871" xr:uid="{0E7B4F95-2B12-47EF-83F1-475705E2532F}"/>
    <cellStyle name="Normal 10 3 3 3 2 2 2 3 2 2 2 2" xfId="20872" xr:uid="{674B9A3D-D30F-4287-A7F8-6A8FB29F1CBA}"/>
    <cellStyle name="Normal 10 3 3 3 2 2 2 3 2 2 3" xfId="20873" xr:uid="{C30A1EDC-959F-41F0-AB34-F0EBED5AE996}"/>
    <cellStyle name="Normal 10 3 3 3 2 2 2 3 2 3" xfId="20874" xr:uid="{BE7C32B5-E628-4832-8523-09D95005B252}"/>
    <cellStyle name="Normal 10 3 3 3 2 2 2 3 2 3 2" xfId="20875" xr:uid="{72E45B43-C919-4548-8CAA-4675293BDEF9}"/>
    <cellStyle name="Normal 10 3 3 3 2 2 2 3 2 4" xfId="20876" xr:uid="{9AD94855-67B7-4036-9F0A-D2FF222D64F5}"/>
    <cellStyle name="Normal 10 3 3 3 2 2 2 3 3" xfId="20877" xr:uid="{AF982501-EFDA-460C-BC99-9C083EA91E98}"/>
    <cellStyle name="Normal 10 3 3 3 2 2 2 3 3 2" xfId="20878" xr:uid="{2A8BE5B2-B1B4-4C1C-8613-1C455D06BC80}"/>
    <cellStyle name="Normal 10 3 3 3 2 2 2 3 3 2 2" xfId="20879" xr:uid="{8F8DF199-4128-4C19-8862-46DB98C92FDF}"/>
    <cellStyle name="Normal 10 3 3 3 2 2 2 3 3 3" xfId="20880" xr:uid="{163C13AA-637E-4E05-979A-CE7C98EB4D72}"/>
    <cellStyle name="Normal 10 3 3 3 2 2 2 3 4" xfId="20881" xr:uid="{FC5380D8-DE2D-4603-9F18-234DD58A04F4}"/>
    <cellStyle name="Normal 10 3 3 3 2 2 2 3 4 2" xfId="20882" xr:uid="{ADF7966D-CC0D-4AF7-A16B-15B4E69B7192}"/>
    <cellStyle name="Normal 10 3 3 3 2 2 2 3 5" xfId="20883" xr:uid="{44924047-9E0E-4EB8-8AEB-09F30A27FA21}"/>
    <cellStyle name="Normal 10 3 3 3 2 2 2 4" xfId="20884" xr:uid="{A26227BE-6352-4324-AE6F-4AAED3E0FCD9}"/>
    <cellStyle name="Normal 10 3 3 3 2 2 2 4 2" xfId="20885" xr:uid="{DA3DB760-9744-437E-9031-5D84CE5A8821}"/>
    <cellStyle name="Normal 10 3 3 3 2 2 2 4 2 2" xfId="20886" xr:uid="{2C8DF8C2-E9D1-4C1B-959C-E44699040F02}"/>
    <cellStyle name="Normal 10 3 3 3 2 2 2 4 2 2 2" xfId="20887" xr:uid="{758DDC69-DE86-458C-8EED-B1A85556AB70}"/>
    <cellStyle name="Normal 10 3 3 3 2 2 2 4 2 3" xfId="20888" xr:uid="{918E1FC0-FBFE-48E4-A62E-F3C6E1379F5C}"/>
    <cellStyle name="Normal 10 3 3 3 2 2 2 4 3" xfId="20889" xr:uid="{8AB8BAEA-AE4F-489E-B4D5-64F9514E8CEE}"/>
    <cellStyle name="Normal 10 3 3 3 2 2 2 4 3 2" xfId="20890" xr:uid="{5B7147CB-4103-4DF3-8A47-5B7C7E1580B5}"/>
    <cellStyle name="Normal 10 3 3 3 2 2 2 4 4" xfId="20891" xr:uid="{592D4A87-B1B7-4CCD-8031-CC8814115EE3}"/>
    <cellStyle name="Normal 10 3 3 3 2 2 2 5" xfId="20892" xr:uid="{6C1C5300-C83A-4583-8576-21E613F5D15E}"/>
    <cellStyle name="Normal 10 3 3 3 2 2 2 5 2" xfId="20893" xr:uid="{31854C3B-45CF-4429-A3A7-3C41D0E9ECB6}"/>
    <cellStyle name="Normal 10 3 3 3 2 2 2 5 2 2" xfId="20894" xr:uid="{518FFF74-EB63-4FDF-B602-237107656FCE}"/>
    <cellStyle name="Normal 10 3 3 3 2 2 2 5 3" xfId="20895" xr:uid="{697BB05D-2655-4174-84BE-42248B6C2743}"/>
    <cellStyle name="Normal 10 3 3 3 2 2 2 6" xfId="20896" xr:uid="{DF2F31A6-A4EB-4EF6-8A89-3DC0E81DEDC4}"/>
    <cellStyle name="Normal 10 3 3 3 2 2 2 6 2" xfId="20897" xr:uid="{FE6842F9-2888-469C-8DB8-A6C90D6778C4}"/>
    <cellStyle name="Normal 10 3 3 3 2 2 2 7" xfId="20898" xr:uid="{B5D2D9EE-C64A-47A6-93DE-AC60ED225C9A}"/>
    <cellStyle name="Normal 10 3 3 3 2 2 3" xfId="20899" xr:uid="{36BAB4DE-4C70-4186-AFBB-A6752254E808}"/>
    <cellStyle name="Normal 10 3 3 3 2 2 3 2" xfId="20900" xr:uid="{1FCA01E1-484E-403D-AF4C-1E1F634069C9}"/>
    <cellStyle name="Normal 10 3 3 3 2 2 3 2 2" xfId="20901" xr:uid="{BACA95D3-E59F-4731-BDA7-A1C1CE87AE14}"/>
    <cellStyle name="Normal 10 3 3 3 2 2 3 2 2 2" xfId="20902" xr:uid="{E6E2FFF3-2D0F-481D-8EA1-71E7B1BE666A}"/>
    <cellStyle name="Normal 10 3 3 3 2 2 3 2 2 2 2" xfId="20903" xr:uid="{224F54BB-1A0D-4D73-8C83-5A975FA8ED88}"/>
    <cellStyle name="Normal 10 3 3 3 2 2 3 2 2 2 2 2" xfId="20904" xr:uid="{AAB882F2-4CB4-4C8B-936C-4F44E57A762B}"/>
    <cellStyle name="Normal 10 3 3 3 2 2 3 2 2 2 3" xfId="20905" xr:uid="{313BBFB9-CBD1-447A-8360-AF7E84DAEF42}"/>
    <cellStyle name="Normal 10 3 3 3 2 2 3 2 2 3" xfId="20906" xr:uid="{4C1354A8-ACCE-4214-9ACC-D334D23D3F26}"/>
    <cellStyle name="Normal 10 3 3 3 2 2 3 2 2 3 2" xfId="20907" xr:uid="{AF4D484C-A3EA-4B4D-B57D-8CB005C44D03}"/>
    <cellStyle name="Normal 10 3 3 3 2 2 3 2 2 4" xfId="20908" xr:uid="{940D903B-85C6-4056-9B6D-6BF9DE78050A}"/>
    <cellStyle name="Normal 10 3 3 3 2 2 3 2 3" xfId="20909" xr:uid="{DC88C708-16C5-438D-9428-BEEBBFED6F2A}"/>
    <cellStyle name="Normal 10 3 3 3 2 2 3 2 3 2" xfId="20910" xr:uid="{A4B55AAB-8729-4D23-AA05-01DA39A4673D}"/>
    <cellStyle name="Normal 10 3 3 3 2 2 3 2 3 2 2" xfId="20911" xr:uid="{83B72152-84FE-431F-8159-E86F62F4C709}"/>
    <cellStyle name="Normal 10 3 3 3 2 2 3 2 3 3" xfId="20912" xr:uid="{1752C341-7A86-436E-9F9B-EE4687E9F9B3}"/>
    <cellStyle name="Normal 10 3 3 3 2 2 3 2 4" xfId="20913" xr:uid="{2DAFC001-698C-4E8F-82D9-D46C09E1D409}"/>
    <cellStyle name="Normal 10 3 3 3 2 2 3 2 4 2" xfId="20914" xr:uid="{732807C7-FF6D-4C8C-A1E0-CB9E2D3A6FA7}"/>
    <cellStyle name="Normal 10 3 3 3 2 2 3 2 5" xfId="20915" xr:uid="{BE51C2DB-AE05-4A08-98BD-BE36E322BB25}"/>
    <cellStyle name="Normal 10 3 3 3 2 2 3 3" xfId="20916" xr:uid="{133C20B3-5002-4FE8-B66A-61E5C3D2ADC9}"/>
    <cellStyle name="Normal 10 3 3 3 2 2 3 3 2" xfId="20917" xr:uid="{2D10E776-CB56-49E2-B40E-8160F2E323D4}"/>
    <cellStyle name="Normal 10 3 3 3 2 2 3 3 2 2" xfId="20918" xr:uid="{8D4F874C-A9C7-477B-B6CF-8AA26022BE11}"/>
    <cellStyle name="Normal 10 3 3 3 2 2 3 3 2 2 2" xfId="20919" xr:uid="{6472F4E5-2FCF-45F9-9884-1CBDE457BD65}"/>
    <cellStyle name="Normal 10 3 3 3 2 2 3 3 2 3" xfId="20920" xr:uid="{E01554A1-286B-4FA9-8345-773D9262FCA2}"/>
    <cellStyle name="Normal 10 3 3 3 2 2 3 3 3" xfId="20921" xr:uid="{B8374988-6A96-476F-85C7-F9A7EE8CA74A}"/>
    <cellStyle name="Normal 10 3 3 3 2 2 3 3 3 2" xfId="20922" xr:uid="{8E0D3BA3-8466-43F4-93B7-ECFAE5EB070C}"/>
    <cellStyle name="Normal 10 3 3 3 2 2 3 3 4" xfId="20923" xr:uid="{EB671D7E-A4E9-4BDE-9F7E-A840B177ED43}"/>
    <cellStyle name="Normal 10 3 3 3 2 2 3 4" xfId="20924" xr:uid="{874CEAB0-3414-489E-800D-909CFCEF88DD}"/>
    <cellStyle name="Normal 10 3 3 3 2 2 3 4 2" xfId="20925" xr:uid="{DCA34B29-8F98-4A2E-BE70-BCB6C1AD7942}"/>
    <cellStyle name="Normal 10 3 3 3 2 2 3 4 2 2" xfId="20926" xr:uid="{0D582851-7EEF-4B06-AAD6-006384BA8908}"/>
    <cellStyle name="Normal 10 3 3 3 2 2 3 4 3" xfId="20927" xr:uid="{0242B0A6-68CF-4BC4-BF9A-BBEC53F5AE32}"/>
    <cellStyle name="Normal 10 3 3 3 2 2 3 5" xfId="20928" xr:uid="{1ECD1799-AA16-406C-BA63-10B01B7124FB}"/>
    <cellStyle name="Normal 10 3 3 3 2 2 3 5 2" xfId="20929" xr:uid="{BB657FB9-62EC-48AD-A4B7-72FC0DDD868F}"/>
    <cellStyle name="Normal 10 3 3 3 2 2 3 6" xfId="20930" xr:uid="{AE4829A0-29BC-4C7B-A87B-558D2AAC1F0C}"/>
    <cellStyle name="Normal 10 3 3 3 2 2 4" xfId="20931" xr:uid="{5C4549B3-DC4E-464C-A0BC-338C95943DF8}"/>
    <cellStyle name="Normal 10 3 3 3 2 2 4 2" xfId="20932" xr:uid="{3D52F992-868E-4E71-9DB5-972CB75D7B9C}"/>
    <cellStyle name="Normal 10 3 3 3 2 2 4 2 2" xfId="20933" xr:uid="{8D7BEED0-8891-466A-BB9F-EB46EE011228}"/>
    <cellStyle name="Normal 10 3 3 3 2 2 4 2 2 2" xfId="20934" xr:uid="{D9CACCB1-6F58-4087-B6EB-D331959CC3ED}"/>
    <cellStyle name="Normal 10 3 3 3 2 2 4 2 2 2 2" xfId="20935" xr:uid="{BA4ABEAB-A76B-4D09-A892-3610308A61EC}"/>
    <cellStyle name="Normal 10 3 3 3 2 2 4 2 2 3" xfId="20936" xr:uid="{FF48A256-0B70-41F8-BEB9-059948D607DE}"/>
    <cellStyle name="Normal 10 3 3 3 2 2 4 2 3" xfId="20937" xr:uid="{204BCA85-662C-4B1A-A5E7-204F0FDF8986}"/>
    <cellStyle name="Normal 10 3 3 3 2 2 4 2 3 2" xfId="20938" xr:uid="{6269488D-E343-4944-A0BE-2C13B3EB5B11}"/>
    <cellStyle name="Normal 10 3 3 3 2 2 4 2 4" xfId="20939" xr:uid="{525CB283-853E-4532-A2EF-B3784A3141B9}"/>
    <cellStyle name="Normal 10 3 3 3 2 2 4 3" xfId="20940" xr:uid="{6B4D9061-0BFD-47E5-B17B-08FA7BC01650}"/>
    <cellStyle name="Normal 10 3 3 3 2 2 4 3 2" xfId="20941" xr:uid="{3148C782-6258-49C6-AAD0-0033B093930D}"/>
    <cellStyle name="Normal 10 3 3 3 2 2 4 3 2 2" xfId="20942" xr:uid="{8F156E24-BF46-465D-B55C-4EE4632A75D7}"/>
    <cellStyle name="Normal 10 3 3 3 2 2 4 3 3" xfId="20943" xr:uid="{F2FD7621-33E3-4E7A-BA17-DE227A4DC5A4}"/>
    <cellStyle name="Normal 10 3 3 3 2 2 4 4" xfId="20944" xr:uid="{C2C7C36D-2F36-4276-9D0F-6C01DBA5C97B}"/>
    <cellStyle name="Normal 10 3 3 3 2 2 4 4 2" xfId="20945" xr:uid="{EF4F90DD-EB03-40AC-9885-2C0407165CA0}"/>
    <cellStyle name="Normal 10 3 3 3 2 2 4 5" xfId="20946" xr:uid="{A880984A-1D1E-42E5-BC0B-853DF42D668A}"/>
    <cellStyle name="Normal 10 3 3 3 2 2 5" xfId="20947" xr:uid="{26A66AEF-4FD8-4506-B3B6-75A539B3983D}"/>
    <cellStyle name="Normal 10 3 3 3 2 2 5 2" xfId="20948" xr:uid="{F68B3BC3-9A60-4E63-ABF4-13CD94FF74D0}"/>
    <cellStyle name="Normal 10 3 3 3 2 2 5 2 2" xfId="20949" xr:uid="{9C1D58B6-C87D-482B-9C90-9D61D6593DF9}"/>
    <cellStyle name="Normal 10 3 3 3 2 2 5 2 2 2" xfId="20950" xr:uid="{BF530E1F-2622-4D99-BC40-33E2B23F265E}"/>
    <cellStyle name="Normal 10 3 3 3 2 2 5 2 3" xfId="20951" xr:uid="{B8F64E0F-C102-4F22-B825-BF1DDC597BA9}"/>
    <cellStyle name="Normal 10 3 3 3 2 2 5 3" xfId="20952" xr:uid="{7DF36A6B-A4DA-47EB-B891-EF51AF90257E}"/>
    <cellStyle name="Normal 10 3 3 3 2 2 5 3 2" xfId="20953" xr:uid="{A50DE4EA-2C1D-4C4D-ACB5-2C4A6559E1DA}"/>
    <cellStyle name="Normal 10 3 3 3 2 2 5 4" xfId="20954" xr:uid="{2FE76FA6-D8AA-47CB-A49B-8D3FE2122CA5}"/>
    <cellStyle name="Normal 10 3 3 3 2 2 6" xfId="20955" xr:uid="{775CFA36-282C-41DC-88C4-D12EDCC1D676}"/>
    <cellStyle name="Normal 10 3 3 3 2 2 6 2" xfId="20956" xr:uid="{3EC8D7B7-613D-4E26-9C77-CE99139CE1B9}"/>
    <cellStyle name="Normal 10 3 3 3 2 2 6 2 2" xfId="20957" xr:uid="{7D0B4A59-DE15-4590-9591-89464696E1D5}"/>
    <cellStyle name="Normal 10 3 3 3 2 2 6 3" xfId="20958" xr:uid="{7337C506-3970-4551-B4CC-21B6ADABE358}"/>
    <cellStyle name="Normal 10 3 3 3 2 2 7" xfId="20959" xr:uid="{D5C1CD0F-21EB-4330-AB60-A60F0ED50B57}"/>
    <cellStyle name="Normal 10 3 3 3 2 2 7 2" xfId="20960" xr:uid="{59AF3128-64A7-47DE-A2FD-0EA08FD1B0DD}"/>
    <cellStyle name="Normal 10 3 3 3 2 2 8" xfId="20961" xr:uid="{4333D398-5B45-4E84-80BD-B3EEFF0D1523}"/>
    <cellStyle name="Normal 10 3 3 3 2 3" xfId="20962" xr:uid="{3B53BEB1-06BE-4DA6-A75E-044B5B154B51}"/>
    <cellStyle name="Normal 10 3 3 3 2 3 2" xfId="20963" xr:uid="{C5F9A427-4202-4C71-B8CD-3AE8015002E4}"/>
    <cellStyle name="Normal 10 3 3 3 2 3 2 2" xfId="20964" xr:uid="{408AD289-D06D-4933-B5CD-F31DF3515572}"/>
    <cellStyle name="Normal 10 3 3 3 2 3 2 2 2" xfId="20965" xr:uid="{030C4FCA-E3A8-46A4-9886-124749130CD1}"/>
    <cellStyle name="Normal 10 3 3 3 2 3 2 2 2 2" xfId="20966" xr:uid="{EB44580B-F002-438E-9628-D18AD11E7EE5}"/>
    <cellStyle name="Normal 10 3 3 3 2 3 2 2 2 2 2" xfId="20967" xr:uid="{A65B983B-A627-4E02-8AAC-2E7FE092D267}"/>
    <cellStyle name="Normal 10 3 3 3 2 3 2 2 2 2 2 2" xfId="20968" xr:uid="{29B9BEED-76A3-4A7E-821D-54F533C76EFF}"/>
    <cellStyle name="Normal 10 3 3 3 2 3 2 2 2 2 3" xfId="20969" xr:uid="{55D50CD8-F1ED-4A06-96BA-D0B183A56636}"/>
    <cellStyle name="Normal 10 3 3 3 2 3 2 2 2 3" xfId="20970" xr:uid="{8F2DCCBA-5D3C-43FF-A896-34AB730748B1}"/>
    <cellStyle name="Normal 10 3 3 3 2 3 2 2 2 3 2" xfId="20971" xr:uid="{1EABCD4D-B526-4113-A53D-9F75816090C1}"/>
    <cellStyle name="Normal 10 3 3 3 2 3 2 2 2 4" xfId="20972" xr:uid="{ABB7A461-12DD-49D2-A628-F2D3072909F2}"/>
    <cellStyle name="Normal 10 3 3 3 2 3 2 2 3" xfId="20973" xr:uid="{31E1D3A6-B0CF-405B-AA2F-D0AE12E1A208}"/>
    <cellStyle name="Normal 10 3 3 3 2 3 2 2 3 2" xfId="20974" xr:uid="{FB2DDA16-FB49-4DC4-AC0A-DF9B17647EB1}"/>
    <cellStyle name="Normal 10 3 3 3 2 3 2 2 3 2 2" xfId="20975" xr:uid="{7825BECC-CA20-4FEA-B11D-BA975EF83C13}"/>
    <cellStyle name="Normal 10 3 3 3 2 3 2 2 3 3" xfId="20976" xr:uid="{847B6F02-A886-4FEB-8EC9-F74449B57F63}"/>
    <cellStyle name="Normal 10 3 3 3 2 3 2 2 4" xfId="20977" xr:uid="{B0A91F16-30A7-429E-826F-B72A1239C749}"/>
    <cellStyle name="Normal 10 3 3 3 2 3 2 2 4 2" xfId="20978" xr:uid="{D3EF444B-3BA0-4442-9E51-1B065FF64BE0}"/>
    <cellStyle name="Normal 10 3 3 3 2 3 2 2 5" xfId="20979" xr:uid="{ACCE45BA-A6A4-48AD-B691-2FB2D6ACE82D}"/>
    <cellStyle name="Normal 10 3 3 3 2 3 2 3" xfId="20980" xr:uid="{505C9982-F3CA-43D9-9E58-5A776E8127A7}"/>
    <cellStyle name="Normal 10 3 3 3 2 3 2 3 2" xfId="20981" xr:uid="{1BBAB963-B651-48D2-B45B-D8C6AE629EE8}"/>
    <cellStyle name="Normal 10 3 3 3 2 3 2 3 2 2" xfId="20982" xr:uid="{F73A2981-FCC5-4E4B-A048-CD07951466D4}"/>
    <cellStyle name="Normal 10 3 3 3 2 3 2 3 2 2 2" xfId="20983" xr:uid="{F25126D7-AC49-45CB-97F8-E2F8E1533D19}"/>
    <cellStyle name="Normal 10 3 3 3 2 3 2 3 2 3" xfId="20984" xr:uid="{9862BD46-5462-4A24-B664-620F8F749BE8}"/>
    <cellStyle name="Normal 10 3 3 3 2 3 2 3 3" xfId="20985" xr:uid="{E516671E-2493-4CED-A726-634052FB623A}"/>
    <cellStyle name="Normal 10 3 3 3 2 3 2 3 3 2" xfId="20986" xr:uid="{0A693E7B-87DA-4998-81BF-3ED4E5701C47}"/>
    <cellStyle name="Normal 10 3 3 3 2 3 2 3 4" xfId="20987" xr:uid="{67221000-5EA2-484E-AD27-FA65F67867EA}"/>
    <cellStyle name="Normal 10 3 3 3 2 3 2 4" xfId="20988" xr:uid="{B43015CE-50CA-4904-8C31-2D2BB26B1710}"/>
    <cellStyle name="Normal 10 3 3 3 2 3 2 4 2" xfId="20989" xr:uid="{63845A71-6935-493E-BF25-8DABA3CA36AA}"/>
    <cellStyle name="Normal 10 3 3 3 2 3 2 4 2 2" xfId="20990" xr:uid="{B4563BCE-A6A4-4719-9704-7CCA95006216}"/>
    <cellStyle name="Normal 10 3 3 3 2 3 2 4 3" xfId="20991" xr:uid="{F581729D-3422-499C-8F4C-C8A579E2F482}"/>
    <cellStyle name="Normal 10 3 3 3 2 3 2 5" xfId="20992" xr:uid="{8B7627EB-B878-4A6F-AF07-F942337B530D}"/>
    <cellStyle name="Normal 10 3 3 3 2 3 2 5 2" xfId="20993" xr:uid="{EA8FB7A0-D160-4880-AB16-1373E3A9A7A8}"/>
    <cellStyle name="Normal 10 3 3 3 2 3 2 6" xfId="20994" xr:uid="{D29DCD1E-02DF-45DC-9422-FD049142A9D7}"/>
    <cellStyle name="Normal 10 3 3 3 2 3 3" xfId="20995" xr:uid="{4655182A-3D76-4212-8E05-4D52BAD021E6}"/>
    <cellStyle name="Normal 10 3 3 3 2 3 3 2" xfId="20996" xr:uid="{6CC815A4-6CF6-49ED-9B7A-2B1D60E5446A}"/>
    <cellStyle name="Normal 10 3 3 3 2 3 3 2 2" xfId="20997" xr:uid="{11DDB46F-B65D-44E1-995C-03ED6B819B31}"/>
    <cellStyle name="Normal 10 3 3 3 2 3 3 2 2 2" xfId="20998" xr:uid="{48249B46-193D-4A12-8658-4B17A6234EE4}"/>
    <cellStyle name="Normal 10 3 3 3 2 3 3 2 2 2 2" xfId="20999" xr:uid="{C98AC587-4708-48DD-B95F-1C23BC8A7981}"/>
    <cellStyle name="Normal 10 3 3 3 2 3 3 2 2 3" xfId="21000" xr:uid="{CE6B940B-359F-4AAE-BD36-6095999B9D7B}"/>
    <cellStyle name="Normal 10 3 3 3 2 3 3 2 3" xfId="21001" xr:uid="{55078990-FD9D-49BF-BD68-C9998546B254}"/>
    <cellStyle name="Normal 10 3 3 3 2 3 3 2 3 2" xfId="21002" xr:uid="{A741004A-0BF8-430A-997B-F2067B34B7DD}"/>
    <cellStyle name="Normal 10 3 3 3 2 3 3 2 4" xfId="21003" xr:uid="{DC46BBD9-101F-43E7-94A6-B4B30425F00A}"/>
    <cellStyle name="Normal 10 3 3 3 2 3 3 3" xfId="21004" xr:uid="{F0399816-CB48-4353-ACF6-5185055006CC}"/>
    <cellStyle name="Normal 10 3 3 3 2 3 3 3 2" xfId="21005" xr:uid="{7CCC9FD9-56F2-4D17-B883-2588D20ADE98}"/>
    <cellStyle name="Normal 10 3 3 3 2 3 3 3 2 2" xfId="21006" xr:uid="{88ACB7C1-2669-4A2D-A58F-C2A208F417D3}"/>
    <cellStyle name="Normal 10 3 3 3 2 3 3 3 3" xfId="21007" xr:uid="{A8C37FB3-875A-4C32-A833-EBEB4DC60D82}"/>
    <cellStyle name="Normal 10 3 3 3 2 3 3 4" xfId="21008" xr:uid="{B7C87DC3-34A1-487F-B43F-D506EE931A1A}"/>
    <cellStyle name="Normal 10 3 3 3 2 3 3 4 2" xfId="21009" xr:uid="{6BBFA4C3-7D62-440D-9BAD-6DB975BD5192}"/>
    <cellStyle name="Normal 10 3 3 3 2 3 3 5" xfId="21010" xr:uid="{D23363DB-523E-4EEE-8D38-12E4837F8FAF}"/>
    <cellStyle name="Normal 10 3 3 3 2 3 4" xfId="21011" xr:uid="{5364E32F-A328-4D86-A5D5-51DD8836F0D4}"/>
    <cellStyle name="Normal 10 3 3 3 2 3 4 2" xfId="21012" xr:uid="{2905F034-AEA7-4B81-9284-253F90505AF9}"/>
    <cellStyle name="Normal 10 3 3 3 2 3 4 2 2" xfId="21013" xr:uid="{B1114364-5BD4-4EE7-B451-482B9A1D3A75}"/>
    <cellStyle name="Normal 10 3 3 3 2 3 4 2 2 2" xfId="21014" xr:uid="{21DD1911-103A-4380-B7BE-98AD2D4BC3C2}"/>
    <cellStyle name="Normal 10 3 3 3 2 3 4 2 3" xfId="21015" xr:uid="{BEE508EE-1529-4541-ADE1-40929A0CE525}"/>
    <cellStyle name="Normal 10 3 3 3 2 3 4 3" xfId="21016" xr:uid="{8A39FA91-639A-4949-87F7-3941CE52BE90}"/>
    <cellStyle name="Normal 10 3 3 3 2 3 4 3 2" xfId="21017" xr:uid="{58AC38AB-3225-49AF-BCAF-44893EDBA08F}"/>
    <cellStyle name="Normal 10 3 3 3 2 3 4 4" xfId="21018" xr:uid="{66EB0DDF-51C8-48F7-B559-05D571775381}"/>
    <cellStyle name="Normal 10 3 3 3 2 3 5" xfId="21019" xr:uid="{362B2D41-B6A0-4DB1-B35D-97AAB0873624}"/>
    <cellStyle name="Normal 10 3 3 3 2 3 5 2" xfId="21020" xr:uid="{3C0708FA-1891-4305-8AAD-D637865C1992}"/>
    <cellStyle name="Normal 10 3 3 3 2 3 5 2 2" xfId="21021" xr:uid="{C5ADABA2-802B-43B7-B813-22529520245A}"/>
    <cellStyle name="Normal 10 3 3 3 2 3 5 3" xfId="21022" xr:uid="{6DE04F74-3E0E-4BCC-91BB-A61393734CE4}"/>
    <cellStyle name="Normal 10 3 3 3 2 3 6" xfId="21023" xr:uid="{F5053301-2E1E-4538-92E3-9CD82F49E6CD}"/>
    <cellStyle name="Normal 10 3 3 3 2 3 6 2" xfId="21024" xr:uid="{AEA74282-8FA8-4F2D-B1B4-F7969C588527}"/>
    <cellStyle name="Normal 10 3 3 3 2 3 7" xfId="21025" xr:uid="{C9BF57EA-DBD7-4B65-8EFC-798676D6507C}"/>
    <cellStyle name="Normal 10 3 3 3 2 4" xfId="21026" xr:uid="{90AD5D86-7ED2-423B-8F8D-A70B5C199C81}"/>
    <cellStyle name="Normal 10 3 3 3 2 4 2" xfId="21027" xr:uid="{BF33E63B-54F4-4A89-9429-AC1BF7EEA659}"/>
    <cellStyle name="Normal 10 3 3 3 2 4 2 2" xfId="21028" xr:uid="{EBF45747-3B65-4A46-8F29-7BA7A4B59495}"/>
    <cellStyle name="Normal 10 3 3 3 2 4 2 2 2" xfId="21029" xr:uid="{1BBDA107-73DD-448A-B07F-4A8448CA5DF7}"/>
    <cellStyle name="Normal 10 3 3 3 2 4 2 2 2 2" xfId="21030" xr:uid="{998791F8-3F88-4538-AEA1-DF7A9A8A9664}"/>
    <cellStyle name="Normal 10 3 3 3 2 4 2 2 2 2 2" xfId="21031" xr:uid="{B86320BB-2EE1-44C8-99A6-4DB0E622C0E0}"/>
    <cellStyle name="Normal 10 3 3 3 2 4 2 2 2 3" xfId="21032" xr:uid="{2862921E-81B2-4A40-AAD1-62D3A85CABDD}"/>
    <cellStyle name="Normal 10 3 3 3 2 4 2 2 3" xfId="21033" xr:uid="{B64FBBA6-1B86-4A7A-B3E4-0C4E9CF87E45}"/>
    <cellStyle name="Normal 10 3 3 3 2 4 2 2 3 2" xfId="21034" xr:uid="{DF57BC3A-CAF0-4C9B-94CC-CB6E136E8267}"/>
    <cellStyle name="Normal 10 3 3 3 2 4 2 2 4" xfId="21035" xr:uid="{EAD7DE92-6D28-406A-925E-E059EF4335B7}"/>
    <cellStyle name="Normal 10 3 3 3 2 4 2 3" xfId="21036" xr:uid="{EFFA21C7-C65C-4A73-855D-29CD2B7A9BDF}"/>
    <cellStyle name="Normal 10 3 3 3 2 4 2 3 2" xfId="21037" xr:uid="{FD1D0C98-E59E-4070-A58C-721E7958C93F}"/>
    <cellStyle name="Normal 10 3 3 3 2 4 2 3 2 2" xfId="21038" xr:uid="{9B41B76A-581A-4462-AF1C-37506A0A7351}"/>
    <cellStyle name="Normal 10 3 3 3 2 4 2 3 3" xfId="21039" xr:uid="{F8691E98-8262-4304-86CE-2188AF2B6A1F}"/>
    <cellStyle name="Normal 10 3 3 3 2 4 2 4" xfId="21040" xr:uid="{58FA99E8-7A45-4BDC-BEC7-C8DC4838CCF4}"/>
    <cellStyle name="Normal 10 3 3 3 2 4 2 4 2" xfId="21041" xr:uid="{4CC5310D-E781-40BF-9714-DA82EFFF910D}"/>
    <cellStyle name="Normal 10 3 3 3 2 4 2 5" xfId="21042" xr:uid="{00AC3263-44B2-4E17-8DBE-F76BDC3DA810}"/>
    <cellStyle name="Normal 10 3 3 3 2 4 3" xfId="21043" xr:uid="{8199590B-DB3D-4D1B-B3C9-C8D162BDE086}"/>
    <cellStyle name="Normal 10 3 3 3 2 4 3 2" xfId="21044" xr:uid="{02AF0A01-77FE-4D58-A15E-9F68ADBC648A}"/>
    <cellStyle name="Normal 10 3 3 3 2 4 3 2 2" xfId="21045" xr:uid="{BA1B6741-E324-4D23-A79C-7410B4C09A8F}"/>
    <cellStyle name="Normal 10 3 3 3 2 4 3 2 2 2" xfId="21046" xr:uid="{D4D69088-263F-4CD8-AF64-2511551482E0}"/>
    <cellStyle name="Normal 10 3 3 3 2 4 3 2 3" xfId="21047" xr:uid="{BC005C4C-1E1E-41F6-9158-ADB026DF31A7}"/>
    <cellStyle name="Normal 10 3 3 3 2 4 3 3" xfId="21048" xr:uid="{C7BE773C-2567-4E48-9C0C-BBF4D8F1B729}"/>
    <cellStyle name="Normal 10 3 3 3 2 4 3 3 2" xfId="21049" xr:uid="{331140E7-1DC2-43E7-8512-093443571EC7}"/>
    <cellStyle name="Normal 10 3 3 3 2 4 3 4" xfId="21050" xr:uid="{23A928DF-C511-4A59-A044-92F866296F54}"/>
    <cellStyle name="Normal 10 3 3 3 2 4 4" xfId="21051" xr:uid="{C4E65BBF-36E8-479A-BC88-0F293966CA22}"/>
    <cellStyle name="Normal 10 3 3 3 2 4 4 2" xfId="21052" xr:uid="{7743FAA1-8449-4E46-A8C0-EBE3568F5C1E}"/>
    <cellStyle name="Normal 10 3 3 3 2 4 4 2 2" xfId="21053" xr:uid="{7ADE885F-9059-4FB4-B304-1B4B13B9C7CA}"/>
    <cellStyle name="Normal 10 3 3 3 2 4 4 3" xfId="21054" xr:uid="{731DBE51-541C-49DE-A128-62F1DB9D7E55}"/>
    <cellStyle name="Normal 10 3 3 3 2 4 5" xfId="21055" xr:uid="{C98F1F59-09E3-4259-BBA8-CB178D45475B}"/>
    <cellStyle name="Normal 10 3 3 3 2 4 5 2" xfId="21056" xr:uid="{DE9C6D0D-E366-469C-90EF-128CD1A350BA}"/>
    <cellStyle name="Normal 10 3 3 3 2 4 6" xfId="21057" xr:uid="{FB59FFE8-92C9-4F18-A109-1B3FB8E50414}"/>
    <cellStyle name="Normal 10 3 3 3 2 5" xfId="21058" xr:uid="{EF489855-A358-4077-93C4-FC58B1436B39}"/>
    <cellStyle name="Normal 10 3 3 3 2 5 2" xfId="21059" xr:uid="{815D9A5B-B878-446A-8267-6090FB6EEE03}"/>
    <cellStyle name="Normal 10 3 3 3 2 5 2 2" xfId="21060" xr:uid="{B287068C-AD26-4BBA-920F-E9F7BB8AC14C}"/>
    <cellStyle name="Normal 10 3 3 3 2 5 2 2 2" xfId="21061" xr:uid="{98580EF5-DF9A-45C1-97BF-BBE48D3E696E}"/>
    <cellStyle name="Normal 10 3 3 3 2 5 2 2 2 2" xfId="21062" xr:uid="{42B6B020-6082-4FCA-BA51-8205A12030CA}"/>
    <cellStyle name="Normal 10 3 3 3 2 5 2 2 3" xfId="21063" xr:uid="{06683851-77C9-44FB-BEEF-0C73A924525F}"/>
    <cellStyle name="Normal 10 3 3 3 2 5 2 3" xfId="21064" xr:uid="{0ADDEA13-0E0A-4850-A4AA-6BF9BCE4282C}"/>
    <cellStyle name="Normal 10 3 3 3 2 5 2 3 2" xfId="21065" xr:uid="{911F8A80-DCEE-4D5F-8D34-FBAA538C95E5}"/>
    <cellStyle name="Normal 10 3 3 3 2 5 2 4" xfId="21066" xr:uid="{27EAC35C-2DD2-4E7A-99A7-83E1C827BE2A}"/>
    <cellStyle name="Normal 10 3 3 3 2 5 3" xfId="21067" xr:uid="{AD4BA517-6775-4AA8-9D79-6FC5CD4EFCE3}"/>
    <cellStyle name="Normal 10 3 3 3 2 5 3 2" xfId="21068" xr:uid="{546EBB95-30C9-402E-B971-09E4C436C29F}"/>
    <cellStyle name="Normal 10 3 3 3 2 5 3 2 2" xfId="21069" xr:uid="{B297CB62-8060-4F36-9C08-644AE43669C3}"/>
    <cellStyle name="Normal 10 3 3 3 2 5 3 3" xfId="21070" xr:uid="{462CC210-D319-4049-A64D-687C6E40AA75}"/>
    <cellStyle name="Normal 10 3 3 3 2 5 4" xfId="21071" xr:uid="{2383979A-EA1E-4EBC-B180-5EA19A115FCD}"/>
    <cellStyle name="Normal 10 3 3 3 2 5 4 2" xfId="21072" xr:uid="{5966F739-DDE1-4122-A413-20C8F30E91BF}"/>
    <cellStyle name="Normal 10 3 3 3 2 5 5" xfId="21073" xr:uid="{C2E18C1F-8C1E-4D79-A4E0-5E7A32A8B74F}"/>
    <cellStyle name="Normal 10 3 3 3 2 6" xfId="21074" xr:uid="{98D02F2F-8711-4990-ADEE-400C6ABFF775}"/>
    <cellStyle name="Normal 10 3 3 3 2 6 2" xfId="21075" xr:uid="{F45FD435-28F4-4743-971F-72F2997594A2}"/>
    <cellStyle name="Normal 10 3 3 3 2 6 2 2" xfId="21076" xr:uid="{2B8D0F4A-F5A9-4C98-87AF-3491EB1529E6}"/>
    <cellStyle name="Normal 10 3 3 3 2 6 2 2 2" xfId="21077" xr:uid="{E5A2A52F-81EA-4BE2-A5AD-6A639FF2CEB8}"/>
    <cellStyle name="Normal 10 3 3 3 2 6 2 3" xfId="21078" xr:uid="{1CE5BB36-60A5-4586-B5C7-A9F7D49EA9EB}"/>
    <cellStyle name="Normal 10 3 3 3 2 6 3" xfId="21079" xr:uid="{E15329B7-98FF-49E9-A70B-784188D8D0DF}"/>
    <cellStyle name="Normal 10 3 3 3 2 6 3 2" xfId="21080" xr:uid="{2195EB56-4CA7-4B7B-8336-A3064AFA2CA9}"/>
    <cellStyle name="Normal 10 3 3 3 2 6 4" xfId="21081" xr:uid="{59CEE427-E37C-4019-A149-77930F00935D}"/>
    <cellStyle name="Normal 10 3 3 3 2 7" xfId="21082" xr:uid="{3C7C8944-080D-4730-BC55-BD4EB549E621}"/>
    <cellStyle name="Normal 10 3 3 3 2 7 2" xfId="21083" xr:uid="{E7922AE7-FA37-4D0E-B7C1-ED57CCD2D314}"/>
    <cellStyle name="Normal 10 3 3 3 2 7 2 2" xfId="21084" xr:uid="{80311E60-EBF5-420D-A57C-7517540171A0}"/>
    <cellStyle name="Normal 10 3 3 3 2 7 3" xfId="21085" xr:uid="{F27A4D25-4FC0-4AFC-ACF6-0E7739E3433E}"/>
    <cellStyle name="Normal 10 3 3 3 2 8" xfId="21086" xr:uid="{4A8BC561-29C6-4C9A-9975-F596706B0B11}"/>
    <cellStyle name="Normal 10 3 3 3 2 8 2" xfId="21087" xr:uid="{1E9FDC25-921F-450A-8DAA-2640A3C81044}"/>
    <cellStyle name="Normal 10 3 3 3 2 9" xfId="21088" xr:uid="{5C4AC0C2-224B-43C3-9CE3-7F387435F5E9}"/>
    <cellStyle name="Normal 10 3 3 3 3" xfId="478" xr:uid="{78E604DA-AC77-4FCA-8D04-D59ECF549C13}"/>
    <cellStyle name="Normal 10 3 3 3 3 2" xfId="21090" xr:uid="{E693B5FB-CF0C-4FAD-AD86-02E3E206D2E6}"/>
    <cellStyle name="Normal 10 3 3 3 3 2 2" xfId="21091" xr:uid="{6F65409E-40D1-4707-9F9A-8EB40D242C13}"/>
    <cellStyle name="Normal 10 3 3 3 3 2 2 2" xfId="21092" xr:uid="{646D64F4-D972-46E0-A1D6-FF8768558C77}"/>
    <cellStyle name="Normal 10 3 3 3 3 2 2 2 2" xfId="21093" xr:uid="{43618B0D-721B-4D52-A3FE-7811B68BFDBB}"/>
    <cellStyle name="Normal 10 3 3 3 3 2 2 2 2 2" xfId="21094" xr:uid="{56065E13-6970-4984-A0D4-5B0487CD8D2A}"/>
    <cellStyle name="Normal 10 3 3 3 3 2 2 2 2 2 2" xfId="21095" xr:uid="{29773659-5269-452E-850C-C40AFF834987}"/>
    <cellStyle name="Normal 10 3 3 3 3 2 2 2 2 2 2 2" xfId="21096" xr:uid="{BA6C9D6D-8CFA-432F-8D4A-4887957D5D1B}"/>
    <cellStyle name="Normal 10 3 3 3 3 2 2 2 2 2 3" xfId="21097" xr:uid="{7E1E8E4C-45E3-4F5C-A6CB-FC1EB8219637}"/>
    <cellStyle name="Normal 10 3 3 3 3 2 2 2 2 3" xfId="21098" xr:uid="{48A85DFF-757C-422F-BF69-FB399236756A}"/>
    <cellStyle name="Normal 10 3 3 3 3 2 2 2 2 3 2" xfId="21099" xr:uid="{1CDF631B-65D4-43EF-B636-72769CB2D9D1}"/>
    <cellStyle name="Normal 10 3 3 3 3 2 2 2 2 4" xfId="21100" xr:uid="{01F929EC-DAE1-4831-84F5-7BAF50712B10}"/>
    <cellStyle name="Normal 10 3 3 3 3 2 2 2 3" xfId="21101" xr:uid="{AFB34E75-8E5C-440C-9DD5-0778F2C20D63}"/>
    <cellStyle name="Normal 10 3 3 3 3 2 2 2 3 2" xfId="21102" xr:uid="{E30CF0C3-8E8D-459E-812A-26F96CD7FCD8}"/>
    <cellStyle name="Normal 10 3 3 3 3 2 2 2 3 2 2" xfId="21103" xr:uid="{81BA61C4-9624-4752-A673-A4F328B708BC}"/>
    <cellStyle name="Normal 10 3 3 3 3 2 2 2 3 3" xfId="21104" xr:uid="{E1DC01DC-01EC-4D1F-BA15-0D528ACDF1E9}"/>
    <cellStyle name="Normal 10 3 3 3 3 2 2 2 4" xfId="21105" xr:uid="{8E0BE312-9647-43CD-B461-37E009E2E6A6}"/>
    <cellStyle name="Normal 10 3 3 3 3 2 2 2 4 2" xfId="21106" xr:uid="{914EA961-9E82-48C4-98EC-28C7CB767FF5}"/>
    <cellStyle name="Normal 10 3 3 3 3 2 2 2 5" xfId="21107" xr:uid="{6A763BAD-F87F-4335-9E57-AAF1305D8C2E}"/>
    <cellStyle name="Normal 10 3 3 3 3 2 2 3" xfId="21108" xr:uid="{926FA39B-C25F-4FFD-88B0-5486F2F20C89}"/>
    <cellStyle name="Normal 10 3 3 3 3 2 2 3 2" xfId="21109" xr:uid="{ED9AC4D1-268F-406D-9EAC-5BFDFA2A02CD}"/>
    <cellStyle name="Normal 10 3 3 3 3 2 2 3 2 2" xfId="21110" xr:uid="{899516BF-5A53-4BF3-BCDE-86261FA2A6C4}"/>
    <cellStyle name="Normal 10 3 3 3 3 2 2 3 2 2 2" xfId="21111" xr:uid="{059F4F21-597C-4CFA-9FED-50C11A07E6B9}"/>
    <cellStyle name="Normal 10 3 3 3 3 2 2 3 2 3" xfId="21112" xr:uid="{88EDAFDE-94E0-41AE-B3F6-8894A49EC6D6}"/>
    <cellStyle name="Normal 10 3 3 3 3 2 2 3 3" xfId="21113" xr:uid="{02138B38-67FC-47B2-A8BC-F807F1DA2A66}"/>
    <cellStyle name="Normal 10 3 3 3 3 2 2 3 3 2" xfId="21114" xr:uid="{486C2C96-1822-4784-84B0-6A76B71A8474}"/>
    <cellStyle name="Normal 10 3 3 3 3 2 2 3 4" xfId="21115" xr:uid="{06089ADD-3780-46F9-8B34-3F2C2176FA94}"/>
    <cellStyle name="Normal 10 3 3 3 3 2 2 4" xfId="21116" xr:uid="{441C446C-3155-4551-A7C6-EF4914821DE4}"/>
    <cellStyle name="Normal 10 3 3 3 3 2 2 4 2" xfId="21117" xr:uid="{1BAB222A-4C3D-437B-988E-4DE08CF5EB40}"/>
    <cellStyle name="Normal 10 3 3 3 3 2 2 4 2 2" xfId="21118" xr:uid="{A3E24EEC-810D-4D82-8743-9AC8E873A2BC}"/>
    <cellStyle name="Normal 10 3 3 3 3 2 2 4 3" xfId="21119" xr:uid="{F3D3890B-2086-49B4-B04B-6E361210B7DC}"/>
    <cellStyle name="Normal 10 3 3 3 3 2 2 5" xfId="21120" xr:uid="{4349C572-AE9D-4FC8-9F2F-F9CF5745EA26}"/>
    <cellStyle name="Normal 10 3 3 3 3 2 2 5 2" xfId="21121" xr:uid="{E861CDE6-221F-4E8C-BD13-D92377CAC5C0}"/>
    <cellStyle name="Normal 10 3 3 3 3 2 2 6" xfId="21122" xr:uid="{79EAA7F5-0F63-49E7-82EE-B27B269890AD}"/>
    <cellStyle name="Normal 10 3 3 3 3 2 3" xfId="21123" xr:uid="{985280B1-3D2A-4044-80C5-7AF49CAC2398}"/>
    <cellStyle name="Normal 10 3 3 3 3 2 3 2" xfId="21124" xr:uid="{818E3436-AAD9-4EF3-9C51-8EF9D582F4A8}"/>
    <cellStyle name="Normal 10 3 3 3 3 2 3 2 2" xfId="21125" xr:uid="{A6A736CB-B642-4E3A-B9DA-C0FC68D4A7D9}"/>
    <cellStyle name="Normal 10 3 3 3 3 2 3 2 2 2" xfId="21126" xr:uid="{066B83C9-2B9F-40E4-BCE0-2594FC7C5D7B}"/>
    <cellStyle name="Normal 10 3 3 3 3 2 3 2 2 2 2" xfId="21127" xr:uid="{63DEA169-8A45-4258-AC1B-BD263B3E3697}"/>
    <cellStyle name="Normal 10 3 3 3 3 2 3 2 2 3" xfId="21128" xr:uid="{79B8FD18-213A-4CDD-8C82-51A2B2837042}"/>
    <cellStyle name="Normal 10 3 3 3 3 2 3 2 3" xfId="21129" xr:uid="{E8A2453D-BB1D-4DAB-85C5-88C9416D371E}"/>
    <cellStyle name="Normal 10 3 3 3 3 2 3 2 3 2" xfId="21130" xr:uid="{E34353AD-2E1B-4FDB-82BB-04F534D53793}"/>
    <cellStyle name="Normal 10 3 3 3 3 2 3 2 4" xfId="21131" xr:uid="{ACDD8BE1-E470-41E6-BCB7-13A9C6C560C5}"/>
    <cellStyle name="Normal 10 3 3 3 3 2 3 3" xfId="21132" xr:uid="{81D8A3D6-368E-482B-87F6-5647BC84F1E3}"/>
    <cellStyle name="Normal 10 3 3 3 3 2 3 3 2" xfId="21133" xr:uid="{56D9F595-E6B1-4632-9D8F-5A0D3C69B19E}"/>
    <cellStyle name="Normal 10 3 3 3 3 2 3 3 2 2" xfId="21134" xr:uid="{F8F8B9CA-80CA-4383-9966-16A69F0FF9BD}"/>
    <cellStyle name="Normal 10 3 3 3 3 2 3 3 3" xfId="21135" xr:uid="{8CF89864-95E7-490F-B99E-9D54ED2F3F41}"/>
    <cellStyle name="Normal 10 3 3 3 3 2 3 4" xfId="21136" xr:uid="{D4751764-6B2A-4981-91FB-6C53502A3340}"/>
    <cellStyle name="Normal 10 3 3 3 3 2 3 4 2" xfId="21137" xr:uid="{3EB9E33C-B91B-430F-9CA4-EAE72EB435D8}"/>
    <cellStyle name="Normal 10 3 3 3 3 2 3 5" xfId="21138" xr:uid="{3E465CE5-8096-49A5-9AF2-7666FCF82E01}"/>
    <cellStyle name="Normal 10 3 3 3 3 2 4" xfId="21139" xr:uid="{B68821D3-C38A-461F-B22E-4724FF850D9A}"/>
    <cellStyle name="Normal 10 3 3 3 3 2 4 2" xfId="21140" xr:uid="{0835C3DC-A9C4-4957-8DDD-0425E5F16FE2}"/>
    <cellStyle name="Normal 10 3 3 3 3 2 4 2 2" xfId="21141" xr:uid="{49DAF7AD-6578-4FEE-9E59-6028DDEDED51}"/>
    <cellStyle name="Normal 10 3 3 3 3 2 4 2 2 2" xfId="21142" xr:uid="{F29BE9D7-7E7D-481C-B282-B21E67ADA872}"/>
    <cellStyle name="Normal 10 3 3 3 3 2 4 2 3" xfId="21143" xr:uid="{6E3EEED2-48AF-419D-8018-3ECDFEB57ADD}"/>
    <cellStyle name="Normal 10 3 3 3 3 2 4 3" xfId="21144" xr:uid="{4AAF960E-EB32-46E3-90EC-E247B03B50EF}"/>
    <cellStyle name="Normal 10 3 3 3 3 2 4 3 2" xfId="21145" xr:uid="{76821BFF-AF21-42E1-A304-000C532324ED}"/>
    <cellStyle name="Normal 10 3 3 3 3 2 4 4" xfId="21146" xr:uid="{70DED707-3DFF-47CC-8789-48E5773FF6F5}"/>
    <cellStyle name="Normal 10 3 3 3 3 2 5" xfId="21147" xr:uid="{694C94F5-C06C-4267-BAD7-ADB382C776DA}"/>
    <cellStyle name="Normal 10 3 3 3 3 2 5 2" xfId="21148" xr:uid="{0B671C18-9B2A-4B99-AD76-7022D06E92C5}"/>
    <cellStyle name="Normal 10 3 3 3 3 2 5 2 2" xfId="21149" xr:uid="{D77F5177-7952-498A-A9D6-FC48E15C818E}"/>
    <cellStyle name="Normal 10 3 3 3 3 2 5 3" xfId="21150" xr:uid="{411ED5BE-F67F-4FDF-BEB7-B25CEFA7A171}"/>
    <cellStyle name="Normal 10 3 3 3 3 2 6" xfId="21151" xr:uid="{4E620AFE-89FB-4D32-83D5-224D2204119A}"/>
    <cellStyle name="Normal 10 3 3 3 3 2 6 2" xfId="21152" xr:uid="{ADE335E5-CBA8-44A5-87CC-78318A72BB2B}"/>
    <cellStyle name="Normal 10 3 3 3 3 2 7" xfId="21153" xr:uid="{F4325702-673F-46BB-8268-C5416E2BDF4A}"/>
    <cellStyle name="Normal 10 3 3 3 3 3" xfId="21154" xr:uid="{64D359CF-60E8-4C4A-9530-E29F8398E383}"/>
    <cellStyle name="Normal 10 3 3 3 3 3 2" xfId="21155" xr:uid="{BCC9D933-B447-4C8B-BB97-99A7483A5B4B}"/>
    <cellStyle name="Normal 10 3 3 3 3 3 2 2" xfId="21156" xr:uid="{13ECAF44-47F2-4622-A1A7-46727D282B82}"/>
    <cellStyle name="Normal 10 3 3 3 3 3 2 2 2" xfId="21157" xr:uid="{8DF698B0-3791-4178-8490-AED5DD3BDBD5}"/>
    <cellStyle name="Normal 10 3 3 3 3 3 2 2 2 2" xfId="21158" xr:uid="{6A7FBA23-00B7-45FB-A087-1C91C0D65A39}"/>
    <cellStyle name="Normal 10 3 3 3 3 3 2 2 2 2 2" xfId="21159" xr:uid="{FB67A767-F35D-4B3A-8075-A60353A94653}"/>
    <cellStyle name="Normal 10 3 3 3 3 3 2 2 2 3" xfId="21160" xr:uid="{C708C32F-1A1F-40EF-BFA0-4970C00EA23F}"/>
    <cellStyle name="Normal 10 3 3 3 3 3 2 2 3" xfId="21161" xr:uid="{7B72CD58-FD4F-478A-96E9-A3F63AC9C26D}"/>
    <cellStyle name="Normal 10 3 3 3 3 3 2 2 3 2" xfId="21162" xr:uid="{58578C92-7720-44D3-B6E5-9F993E128BE5}"/>
    <cellStyle name="Normal 10 3 3 3 3 3 2 2 4" xfId="21163" xr:uid="{093F9594-ACB5-4C42-9B7E-7E1E7977601E}"/>
    <cellStyle name="Normal 10 3 3 3 3 3 2 3" xfId="21164" xr:uid="{0C34290A-C09A-4622-8F3E-B758C579E631}"/>
    <cellStyle name="Normal 10 3 3 3 3 3 2 3 2" xfId="21165" xr:uid="{2C7FDD3C-63BC-49D7-BE90-E16F66857D0A}"/>
    <cellStyle name="Normal 10 3 3 3 3 3 2 3 2 2" xfId="21166" xr:uid="{320011AA-EB60-47EC-85DF-832E88CD2FC6}"/>
    <cellStyle name="Normal 10 3 3 3 3 3 2 3 3" xfId="21167" xr:uid="{59198AF3-9B6E-43B5-A293-7F393306C593}"/>
    <cellStyle name="Normal 10 3 3 3 3 3 2 4" xfId="21168" xr:uid="{90579574-5CF1-4F2E-9E34-750B0C62AA94}"/>
    <cellStyle name="Normal 10 3 3 3 3 3 2 4 2" xfId="21169" xr:uid="{8C6C5BD8-0D61-4117-B107-63F98292042F}"/>
    <cellStyle name="Normal 10 3 3 3 3 3 2 5" xfId="21170" xr:uid="{0B3C56D6-496C-4BEC-BD46-F99322C0861A}"/>
    <cellStyle name="Normal 10 3 3 3 3 3 3" xfId="21171" xr:uid="{7DABD7D1-9A1D-4AEE-BC67-6E3051CE0B14}"/>
    <cellStyle name="Normal 10 3 3 3 3 3 3 2" xfId="21172" xr:uid="{832B0089-FB40-48A0-9306-BC290AC085B5}"/>
    <cellStyle name="Normal 10 3 3 3 3 3 3 2 2" xfId="21173" xr:uid="{31876ED3-C42B-4D95-9493-1A41081E3159}"/>
    <cellStyle name="Normal 10 3 3 3 3 3 3 2 2 2" xfId="21174" xr:uid="{45CFD2B8-05F7-4B01-8B29-59F58F77A260}"/>
    <cellStyle name="Normal 10 3 3 3 3 3 3 2 3" xfId="21175" xr:uid="{EC4A864B-B0D5-4273-8B62-EA1ACA9CFCC0}"/>
    <cellStyle name="Normal 10 3 3 3 3 3 3 3" xfId="21176" xr:uid="{246E10E1-82DF-4A05-9641-66E2EFF8471D}"/>
    <cellStyle name="Normal 10 3 3 3 3 3 3 3 2" xfId="21177" xr:uid="{2AFDE956-42B4-4A31-BE09-26F5094DFB67}"/>
    <cellStyle name="Normal 10 3 3 3 3 3 3 4" xfId="21178" xr:uid="{8B005226-D19C-4351-A5E5-9177E6265B43}"/>
    <cellStyle name="Normal 10 3 3 3 3 3 4" xfId="21179" xr:uid="{05A381DA-16F6-49BA-8B30-5188AA83D14E}"/>
    <cellStyle name="Normal 10 3 3 3 3 3 4 2" xfId="21180" xr:uid="{DD12F23A-E38A-4840-AB7F-1EA655145754}"/>
    <cellStyle name="Normal 10 3 3 3 3 3 4 2 2" xfId="21181" xr:uid="{AF3BE5CD-B112-4486-A61C-A9DD21C64853}"/>
    <cellStyle name="Normal 10 3 3 3 3 3 4 3" xfId="21182" xr:uid="{89AE41B4-201C-41A5-B59D-AB826694DA46}"/>
    <cellStyle name="Normal 10 3 3 3 3 3 5" xfId="21183" xr:uid="{EEA56144-D7CC-4151-B9DB-B3F4A4E6831A}"/>
    <cellStyle name="Normal 10 3 3 3 3 3 5 2" xfId="21184" xr:uid="{74CA7F7A-760E-459A-AEB2-9D9B22B06E6A}"/>
    <cellStyle name="Normal 10 3 3 3 3 3 6" xfId="21185" xr:uid="{296A1854-B749-4306-82DE-13A4762591C2}"/>
    <cellStyle name="Normal 10 3 3 3 3 4" xfId="21186" xr:uid="{ABF81BB1-5A0A-49B9-909B-1B5791D8CF9F}"/>
    <cellStyle name="Normal 10 3 3 3 3 4 2" xfId="21187" xr:uid="{F6F1B6CC-FF24-4E37-82F2-D10CA1DB50DF}"/>
    <cellStyle name="Normal 10 3 3 3 3 4 2 2" xfId="21188" xr:uid="{4A456542-1DD7-48C6-B350-D935A26EEADF}"/>
    <cellStyle name="Normal 10 3 3 3 3 4 2 2 2" xfId="21189" xr:uid="{26FC3984-5276-4402-AF63-C671D136769E}"/>
    <cellStyle name="Normal 10 3 3 3 3 4 2 2 2 2" xfId="21190" xr:uid="{86A0B1A0-2187-45CD-9BDC-1366F7F8751E}"/>
    <cellStyle name="Normal 10 3 3 3 3 4 2 2 3" xfId="21191" xr:uid="{BA05B517-609E-44D7-B54A-F1B0DD196C19}"/>
    <cellStyle name="Normal 10 3 3 3 3 4 2 3" xfId="21192" xr:uid="{B8EC060F-180A-4BD5-8F7A-5C9C46EE9916}"/>
    <cellStyle name="Normal 10 3 3 3 3 4 2 3 2" xfId="21193" xr:uid="{C403550B-2EAC-4DEA-9FC0-93C64C232CEC}"/>
    <cellStyle name="Normal 10 3 3 3 3 4 2 4" xfId="21194" xr:uid="{1956466C-6C71-462C-909B-9440EDB366D8}"/>
    <cellStyle name="Normal 10 3 3 3 3 4 3" xfId="21195" xr:uid="{9F2A1B28-39DC-40B6-B369-BA4BEC095FF9}"/>
    <cellStyle name="Normal 10 3 3 3 3 4 3 2" xfId="21196" xr:uid="{9CCD6E73-672C-4594-BD70-DBB5AFBFEAB6}"/>
    <cellStyle name="Normal 10 3 3 3 3 4 3 2 2" xfId="21197" xr:uid="{2E3D2C9B-0387-4B2C-9AB5-0845844CFB03}"/>
    <cellStyle name="Normal 10 3 3 3 3 4 3 3" xfId="21198" xr:uid="{6B9013DB-B32F-4B09-86B1-DE1A1DEC30BC}"/>
    <cellStyle name="Normal 10 3 3 3 3 4 4" xfId="21199" xr:uid="{724E5E90-85EC-4E10-AFD2-07DE50967556}"/>
    <cellStyle name="Normal 10 3 3 3 3 4 4 2" xfId="21200" xr:uid="{2DE68DFC-2711-4BB8-97AF-A9C0C9058224}"/>
    <cellStyle name="Normal 10 3 3 3 3 4 5" xfId="21201" xr:uid="{66E85C4B-F4DA-4502-9819-6DE8BF991773}"/>
    <cellStyle name="Normal 10 3 3 3 3 5" xfId="21202" xr:uid="{CB29C9A0-5411-4B6E-B722-74EA36C9227E}"/>
    <cellStyle name="Normal 10 3 3 3 3 5 2" xfId="21203" xr:uid="{CDF308A0-AD39-4A84-9661-8ABA6A67DD43}"/>
    <cellStyle name="Normal 10 3 3 3 3 5 2 2" xfId="21204" xr:uid="{488C4471-4258-4474-A966-DC87132C75ED}"/>
    <cellStyle name="Normal 10 3 3 3 3 5 2 2 2" xfId="21205" xr:uid="{7448B8D0-E4E1-45FF-9FA0-F0B42C1F944B}"/>
    <cellStyle name="Normal 10 3 3 3 3 5 2 3" xfId="21206" xr:uid="{F49D54EC-D2D6-4CFF-9C17-228D0CE84CF9}"/>
    <cellStyle name="Normal 10 3 3 3 3 5 3" xfId="21207" xr:uid="{65CC90BC-6808-4CE9-8A6E-CBADB541A3F8}"/>
    <cellStyle name="Normal 10 3 3 3 3 5 3 2" xfId="21208" xr:uid="{24E32CDC-518F-4FEE-B5C3-C71D883DEE4A}"/>
    <cellStyle name="Normal 10 3 3 3 3 5 4" xfId="21209" xr:uid="{11D43EE9-B324-4F89-93C1-4E18069A5D2B}"/>
    <cellStyle name="Normal 10 3 3 3 3 6" xfId="21210" xr:uid="{758DDE52-B069-4A98-9D5E-25DCC25386A5}"/>
    <cellStyle name="Normal 10 3 3 3 3 6 2" xfId="21211" xr:uid="{4192CFA0-5BCE-4030-9103-CAA76049A6ED}"/>
    <cellStyle name="Normal 10 3 3 3 3 6 2 2" xfId="21212" xr:uid="{EF750F27-243B-48E9-B362-38C9A4313E8E}"/>
    <cellStyle name="Normal 10 3 3 3 3 6 3" xfId="21213" xr:uid="{FEFFE2AF-0A64-47FF-BC15-763CA27D1061}"/>
    <cellStyle name="Normal 10 3 3 3 3 7" xfId="21214" xr:uid="{3D321E5D-BB9E-4A58-9CF9-02164280DE4E}"/>
    <cellStyle name="Normal 10 3 3 3 3 7 2" xfId="21215" xr:uid="{27991A57-6644-4333-B0B9-3F2C04AA9E7D}"/>
    <cellStyle name="Normal 10 3 3 3 3 8" xfId="21216" xr:uid="{788AB61B-DC58-486F-A44F-297293FC0483}"/>
    <cellStyle name="Normal 10 3 3 3 3 9" xfId="21089" xr:uid="{C3B24C7D-F2C2-48CD-8A25-D0E477847C81}"/>
    <cellStyle name="Normal 10 3 3 3 4" xfId="21217" xr:uid="{42F5B3B6-496E-43E4-9D2D-5AD2DC87937C}"/>
    <cellStyle name="Normal 10 3 3 3 4 2" xfId="21218" xr:uid="{546AEDEE-E625-486B-9784-14BC0098765E}"/>
    <cellStyle name="Normal 10 3 3 3 4 2 2" xfId="21219" xr:uid="{0D4880C1-D10C-42DC-ADDA-9EC59E048B65}"/>
    <cellStyle name="Normal 10 3 3 3 4 2 2 2" xfId="21220" xr:uid="{A8AE94F7-8DE2-4E8E-89AF-2306F9FAC065}"/>
    <cellStyle name="Normal 10 3 3 3 4 2 2 2 2" xfId="21221" xr:uid="{2FBFA46F-C026-4EDB-BD85-969EDE1E70FB}"/>
    <cellStyle name="Normal 10 3 3 3 4 2 2 2 2 2" xfId="21222" xr:uid="{0EE3044F-DFDA-401F-9A01-D449E5242BAC}"/>
    <cellStyle name="Normal 10 3 3 3 4 2 2 2 2 2 2" xfId="21223" xr:uid="{F7874CA3-94D0-48FC-B006-2EA389B42D48}"/>
    <cellStyle name="Normal 10 3 3 3 4 2 2 2 2 3" xfId="21224" xr:uid="{2A3FCDD5-E6CB-4D03-90A8-AA2295C22392}"/>
    <cellStyle name="Normal 10 3 3 3 4 2 2 2 3" xfId="21225" xr:uid="{E85998F1-C025-4583-97A2-256C9A682041}"/>
    <cellStyle name="Normal 10 3 3 3 4 2 2 2 3 2" xfId="21226" xr:uid="{039C94C6-BE23-4B4E-8DB6-8DDB8A7B6404}"/>
    <cellStyle name="Normal 10 3 3 3 4 2 2 2 4" xfId="21227" xr:uid="{D5044D3C-7C54-4FF9-9E89-B7B8E241A2DC}"/>
    <cellStyle name="Normal 10 3 3 3 4 2 2 3" xfId="21228" xr:uid="{E84C4D4D-FDA0-443A-B61E-4CE98F384503}"/>
    <cellStyle name="Normal 10 3 3 3 4 2 2 3 2" xfId="21229" xr:uid="{0C9A11C8-76AE-474D-939F-63B687F823E6}"/>
    <cellStyle name="Normal 10 3 3 3 4 2 2 3 2 2" xfId="21230" xr:uid="{09A4E9FA-D103-4D41-933D-D1D26D9203F5}"/>
    <cellStyle name="Normal 10 3 3 3 4 2 2 3 3" xfId="21231" xr:uid="{9A1BC9AC-347A-49B9-9D09-8407F622E6A3}"/>
    <cellStyle name="Normal 10 3 3 3 4 2 2 4" xfId="21232" xr:uid="{85414E66-A849-4A42-9135-4A926B0AE1EA}"/>
    <cellStyle name="Normal 10 3 3 3 4 2 2 4 2" xfId="21233" xr:uid="{18E31F12-D2A3-4407-AC99-6014EC6E32D0}"/>
    <cellStyle name="Normal 10 3 3 3 4 2 2 5" xfId="21234" xr:uid="{BC47CACC-B2E3-42E0-B7DC-55F519F5B1CE}"/>
    <cellStyle name="Normal 10 3 3 3 4 2 3" xfId="21235" xr:uid="{2D81812C-B08C-4CDE-89D5-DE41816E377F}"/>
    <cellStyle name="Normal 10 3 3 3 4 2 3 2" xfId="21236" xr:uid="{D5D5F958-2780-4B67-AD3F-752FF259080F}"/>
    <cellStyle name="Normal 10 3 3 3 4 2 3 2 2" xfId="21237" xr:uid="{1DD44983-C665-4C7C-8377-CAC69F2B8DFE}"/>
    <cellStyle name="Normal 10 3 3 3 4 2 3 2 2 2" xfId="21238" xr:uid="{A08358FC-77CC-4047-A968-9524DC58BE47}"/>
    <cellStyle name="Normal 10 3 3 3 4 2 3 2 3" xfId="21239" xr:uid="{2FDB192E-9D75-482D-8DDC-6D7E79AF8B8E}"/>
    <cellStyle name="Normal 10 3 3 3 4 2 3 3" xfId="21240" xr:uid="{35AB9435-93F5-42D6-A106-F84C8A61B3F8}"/>
    <cellStyle name="Normal 10 3 3 3 4 2 3 3 2" xfId="21241" xr:uid="{426FB80B-0376-4ECF-AA91-21D7488B58C4}"/>
    <cellStyle name="Normal 10 3 3 3 4 2 3 4" xfId="21242" xr:uid="{3287C909-3BC1-4ACE-A117-81A0E3CE4092}"/>
    <cellStyle name="Normal 10 3 3 3 4 2 4" xfId="21243" xr:uid="{90793154-9122-4767-8533-1C1C48F660A0}"/>
    <cellStyle name="Normal 10 3 3 3 4 2 4 2" xfId="21244" xr:uid="{78540771-D2C4-4253-B1AE-62E4D1FBC265}"/>
    <cellStyle name="Normal 10 3 3 3 4 2 4 2 2" xfId="21245" xr:uid="{B6F46B83-1B95-411B-BE11-D7B2C0F88BE4}"/>
    <cellStyle name="Normal 10 3 3 3 4 2 4 3" xfId="21246" xr:uid="{65621863-F888-4A25-BD8C-5098911EDD84}"/>
    <cellStyle name="Normal 10 3 3 3 4 2 5" xfId="21247" xr:uid="{C49DB97B-F4EF-44F9-8E9C-30D329D82336}"/>
    <cellStyle name="Normal 10 3 3 3 4 2 5 2" xfId="21248" xr:uid="{6F86A0F7-0232-4523-A893-3EEE5B5B7992}"/>
    <cellStyle name="Normal 10 3 3 3 4 2 6" xfId="21249" xr:uid="{6F308835-B482-4323-AAA0-7150D022363A}"/>
    <cellStyle name="Normal 10 3 3 3 4 3" xfId="21250" xr:uid="{833066FB-928F-4761-BE15-38657505A75C}"/>
    <cellStyle name="Normal 10 3 3 3 4 3 2" xfId="21251" xr:uid="{314B1D04-1C85-4350-AC7A-D5C5128C218D}"/>
    <cellStyle name="Normal 10 3 3 3 4 3 2 2" xfId="21252" xr:uid="{12FEC937-B329-446A-BCAC-94426A160DF0}"/>
    <cellStyle name="Normal 10 3 3 3 4 3 2 2 2" xfId="21253" xr:uid="{71A15924-0136-43BF-8A7B-341FA3DA527A}"/>
    <cellStyle name="Normal 10 3 3 3 4 3 2 2 2 2" xfId="21254" xr:uid="{0ED9FD9D-BABB-44EC-B94A-1836DCF11B43}"/>
    <cellStyle name="Normal 10 3 3 3 4 3 2 2 3" xfId="21255" xr:uid="{3A3A0654-883F-4C85-B32F-5CA88509E3C9}"/>
    <cellStyle name="Normal 10 3 3 3 4 3 2 3" xfId="21256" xr:uid="{27106F81-8A3B-4217-B77E-239182AEC165}"/>
    <cellStyle name="Normal 10 3 3 3 4 3 2 3 2" xfId="21257" xr:uid="{FE48DB74-8E08-4201-9E9C-6A8D5DAA8100}"/>
    <cellStyle name="Normal 10 3 3 3 4 3 2 4" xfId="21258" xr:uid="{12CC5662-4A8B-4D3F-A265-FFACA4F4A52E}"/>
    <cellStyle name="Normal 10 3 3 3 4 3 3" xfId="21259" xr:uid="{F4A99173-9CA0-4838-BE53-55D0B8F7FB7F}"/>
    <cellStyle name="Normal 10 3 3 3 4 3 3 2" xfId="21260" xr:uid="{8A14E6FA-6A80-4697-A9A1-1C5408A68A7D}"/>
    <cellStyle name="Normal 10 3 3 3 4 3 3 2 2" xfId="21261" xr:uid="{B3326E48-87FA-41C5-8B96-606006A493BF}"/>
    <cellStyle name="Normal 10 3 3 3 4 3 3 3" xfId="21262" xr:uid="{91C1545C-6CE2-4FDB-B144-F4C578088D4E}"/>
    <cellStyle name="Normal 10 3 3 3 4 3 4" xfId="21263" xr:uid="{FA7D0BD5-AC87-4DE3-8661-A7E0D6E42ABE}"/>
    <cellStyle name="Normal 10 3 3 3 4 3 4 2" xfId="21264" xr:uid="{954BDA9C-359F-428D-BC36-41596F328AA3}"/>
    <cellStyle name="Normal 10 3 3 3 4 3 5" xfId="21265" xr:uid="{32B7530A-7FE9-4B2A-B910-13A19EE097E2}"/>
    <cellStyle name="Normal 10 3 3 3 4 4" xfId="21266" xr:uid="{05DDE5BE-5E18-4A6A-AAAE-28ADEFE23EFD}"/>
    <cellStyle name="Normal 10 3 3 3 4 4 2" xfId="21267" xr:uid="{4DF81D64-A901-4C42-8614-C3DC6AAA52BC}"/>
    <cellStyle name="Normal 10 3 3 3 4 4 2 2" xfId="21268" xr:uid="{CA2907FF-82D7-44FC-B25A-9541171E029C}"/>
    <cellStyle name="Normal 10 3 3 3 4 4 2 2 2" xfId="21269" xr:uid="{F092C420-EAED-4627-85A8-BA0C5C362AA1}"/>
    <cellStyle name="Normal 10 3 3 3 4 4 2 3" xfId="21270" xr:uid="{A841D57A-127F-4D18-9B21-3A784CBC112D}"/>
    <cellStyle name="Normal 10 3 3 3 4 4 3" xfId="21271" xr:uid="{4494A77E-3BCF-4A41-AE44-427D257EC7A4}"/>
    <cellStyle name="Normal 10 3 3 3 4 4 3 2" xfId="21272" xr:uid="{C7FF6DA2-6126-419C-AC97-AA3F621B9346}"/>
    <cellStyle name="Normal 10 3 3 3 4 4 4" xfId="21273" xr:uid="{FE84BE10-BAF8-42FE-B3E6-7AF5C4509544}"/>
    <cellStyle name="Normal 10 3 3 3 4 5" xfId="21274" xr:uid="{4C8BE160-0755-4306-A241-EFBF5F17EE94}"/>
    <cellStyle name="Normal 10 3 3 3 4 5 2" xfId="21275" xr:uid="{DEA37A2C-DFC8-4518-AA0E-49A694A7E1E4}"/>
    <cellStyle name="Normal 10 3 3 3 4 5 2 2" xfId="21276" xr:uid="{6778956C-6691-431A-ABF9-B6881A522BA9}"/>
    <cellStyle name="Normal 10 3 3 3 4 5 3" xfId="21277" xr:uid="{5912CD4A-D458-4947-A03D-D25B962BD7EC}"/>
    <cellStyle name="Normal 10 3 3 3 4 6" xfId="21278" xr:uid="{22831365-44A8-41E1-BE23-1DBC59B5A2AF}"/>
    <cellStyle name="Normal 10 3 3 3 4 6 2" xfId="21279" xr:uid="{86336294-0DE6-4815-BFBA-B7EA52BBB9B5}"/>
    <cellStyle name="Normal 10 3 3 3 4 7" xfId="21280" xr:uid="{E445E3C6-2C87-4F88-955E-42737849D255}"/>
    <cellStyle name="Normal 10 3 3 3 5" xfId="21281" xr:uid="{46E354B8-86E7-43AB-A5BA-7A900B674454}"/>
    <cellStyle name="Normal 10 3 3 3 5 2" xfId="21282" xr:uid="{A9A319F4-AB38-4333-B9A1-F47CDC21917C}"/>
    <cellStyle name="Normal 10 3 3 3 5 2 2" xfId="21283" xr:uid="{D4C5ED76-F9E1-4976-AB14-E2C56C732898}"/>
    <cellStyle name="Normal 10 3 3 3 5 2 2 2" xfId="21284" xr:uid="{D0409AC1-DA3D-4863-9CD4-0EF622C79A5F}"/>
    <cellStyle name="Normal 10 3 3 3 5 2 2 2 2" xfId="21285" xr:uid="{D18D3AF8-DDF2-4BB8-BD95-4FAF762B2974}"/>
    <cellStyle name="Normal 10 3 3 3 5 2 2 2 2 2" xfId="21286" xr:uid="{79B4CF14-434A-4948-B640-5082D9DA4A8B}"/>
    <cellStyle name="Normal 10 3 3 3 5 2 2 2 3" xfId="21287" xr:uid="{D9FA09A8-99A2-458F-8F36-CE133448E3F4}"/>
    <cellStyle name="Normal 10 3 3 3 5 2 2 3" xfId="21288" xr:uid="{6ED0EF00-0275-473F-A95F-D04746ED3E82}"/>
    <cellStyle name="Normal 10 3 3 3 5 2 2 3 2" xfId="21289" xr:uid="{2D5559D5-2F0B-44E3-A2CF-4177D31E1910}"/>
    <cellStyle name="Normal 10 3 3 3 5 2 2 4" xfId="21290" xr:uid="{3AB77928-2E5F-4D26-869F-EBC230B0F4AA}"/>
    <cellStyle name="Normal 10 3 3 3 5 2 3" xfId="21291" xr:uid="{818D788D-F469-4A7D-B678-50BA8CC93CEC}"/>
    <cellStyle name="Normal 10 3 3 3 5 2 3 2" xfId="21292" xr:uid="{5429E512-2997-4BC5-A830-3DD1641BF02F}"/>
    <cellStyle name="Normal 10 3 3 3 5 2 3 2 2" xfId="21293" xr:uid="{6EFA75E0-D5D7-4851-96A1-D85E2CB1ACE8}"/>
    <cellStyle name="Normal 10 3 3 3 5 2 3 3" xfId="21294" xr:uid="{EC25A322-56C0-46E4-A081-626593FDAA54}"/>
    <cellStyle name="Normal 10 3 3 3 5 2 4" xfId="21295" xr:uid="{0AC495AB-BB2E-4A64-B4FF-F3A07E6F3108}"/>
    <cellStyle name="Normal 10 3 3 3 5 2 4 2" xfId="21296" xr:uid="{4345055B-A373-4A02-A2A9-BC9A7B1199C7}"/>
    <cellStyle name="Normal 10 3 3 3 5 2 5" xfId="21297" xr:uid="{BAFC10AC-18DC-4C75-B573-274D7317AC2D}"/>
    <cellStyle name="Normal 10 3 3 3 5 3" xfId="21298" xr:uid="{07E96F89-F9C9-4372-9C98-8AD631FCCFB7}"/>
    <cellStyle name="Normal 10 3 3 3 5 3 2" xfId="21299" xr:uid="{DFD14F75-6859-4FEF-AC37-0FD6C22E763F}"/>
    <cellStyle name="Normal 10 3 3 3 5 3 2 2" xfId="21300" xr:uid="{866195EA-EC73-4E1F-A658-8148F14DBE75}"/>
    <cellStyle name="Normal 10 3 3 3 5 3 2 2 2" xfId="21301" xr:uid="{946657E0-B1A4-43F7-BC2D-8F6911A631E5}"/>
    <cellStyle name="Normal 10 3 3 3 5 3 2 3" xfId="21302" xr:uid="{B1475DEE-69A8-4701-8A2B-E1CE0B309E39}"/>
    <cellStyle name="Normal 10 3 3 3 5 3 3" xfId="21303" xr:uid="{9B71A815-2261-4753-B200-9B6166D74B43}"/>
    <cellStyle name="Normal 10 3 3 3 5 3 3 2" xfId="21304" xr:uid="{8732A06C-ECB9-497C-BA35-2B944C44D9A1}"/>
    <cellStyle name="Normal 10 3 3 3 5 3 4" xfId="21305" xr:uid="{C490C098-F77D-408C-9FE1-389C531D89FC}"/>
    <cellStyle name="Normal 10 3 3 3 5 4" xfId="21306" xr:uid="{8C0BD327-A999-4256-8C03-8E78C623BAEB}"/>
    <cellStyle name="Normal 10 3 3 3 5 4 2" xfId="21307" xr:uid="{3FF52EFD-2266-4060-8559-FA252F9DB0CA}"/>
    <cellStyle name="Normal 10 3 3 3 5 4 2 2" xfId="21308" xr:uid="{F9D280F7-A839-4327-8C2C-2E347B0B8D50}"/>
    <cellStyle name="Normal 10 3 3 3 5 4 3" xfId="21309" xr:uid="{9CD3C067-2E18-46A4-924D-EEBFCADA9DA6}"/>
    <cellStyle name="Normal 10 3 3 3 5 5" xfId="21310" xr:uid="{6F569609-F2F0-4292-BE97-8CBA43525CD0}"/>
    <cellStyle name="Normal 10 3 3 3 5 5 2" xfId="21311" xr:uid="{DFCD89C6-A2AC-41DF-A57A-01237AE2EA4B}"/>
    <cellStyle name="Normal 10 3 3 3 5 6" xfId="21312" xr:uid="{C1C69519-876C-4928-9DBD-7DCB3826E330}"/>
    <cellStyle name="Normal 10 3 3 3 6" xfId="21313" xr:uid="{95C43711-FC42-41B6-9F06-E15D3C2C21D2}"/>
    <cellStyle name="Normal 10 3 3 3 6 2" xfId="21314" xr:uid="{25681D0A-0489-4089-AE83-489C15B67B29}"/>
    <cellStyle name="Normal 10 3 3 3 6 2 2" xfId="21315" xr:uid="{562B3775-F65E-466B-A6BD-98A51F3C5313}"/>
    <cellStyle name="Normal 10 3 3 3 6 2 2 2" xfId="21316" xr:uid="{513FE104-85DE-453E-A68B-8DDD0E0E9D58}"/>
    <cellStyle name="Normal 10 3 3 3 6 2 2 2 2" xfId="21317" xr:uid="{0ED22695-C9DF-4E20-873B-5B9056E2F6E2}"/>
    <cellStyle name="Normal 10 3 3 3 6 2 2 3" xfId="21318" xr:uid="{EC9D6672-184C-46AC-ADAA-07357C0DF020}"/>
    <cellStyle name="Normal 10 3 3 3 6 2 3" xfId="21319" xr:uid="{92466C0C-9F55-4812-B6CC-735930EAABAD}"/>
    <cellStyle name="Normal 10 3 3 3 6 2 3 2" xfId="21320" xr:uid="{5182720F-4373-4E17-964C-FF2215544747}"/>
    <cellStyle name="Normal 10 3 3 3 6 2 4" xfId="21321" xr:uid="{93C3C4AF-7ACF-4B6E-8023-B12BB631677A}"/>
    <cellStyle name="Normal 10 3 3 3 6 3" xfId="21322" xr:uid="{632E524E-94BD-4C1C-8A35-67423ACE3EDC}"/>
    <cellStyle name="Normal 10 3 3 3 6 3 2" xfId="21323" xr:uid="{DDF61F45-E109-4008-9025-EDCBB67A81FE}"/>
    <cellStyle name="Normal 10 3 3 3 6 3 2 2" xfId="21324" xr:uid="{320F8D24-5DD6-4A81-8700-5F6D86D2E5EC}"/>
    <cellStyle name="Normal 10 3 3 3 6 3 3" xfId="21325" xr:uid="{4B4F7178-4EAC-4E49-A0FA-C8B05C529488}"/>
    <cellStyle name="Normal 10 3 3 3 6 4" xfId="21326" xr:uid="{A7BC176C-E242-4935-A5CD-EEEA6F88CEE2}"/>
    <cellStyle name="Normal 10 3 3 3 6 4 2" xfId="21327" xr:uid="{A52B9633-0D6A-4470-8C92-D1C2400AF188}"/>
    <cellStyle name="Normal 10 3 3 3 6 5" xfId="21328" xr:uid="{C90FB7B5-60C8-4D43-85ED-B0D8AFB7D452}"/>
    <cellStyle name="Normal 10 3 3 3 7" xfId="21329" xr:uid="{7A0C7E43-1342-4327-A31E-CDD9D5BDE974}"/>
    <cellStyle name="Normal 10 3 3 3 7 2" xfId="21330" xr:uid="{E57D5127-D4A8-496E-9559-FE7F0C4B2193}"/>
    <cellStyle name="Normal 10 3 3 3 7 2 2" xfId="21331" xr:uid="{38AE90E3-5E52-4C4D-B9B0-4461C06063F0}"/>
    <cellStyle name="Normal 10 3 3 3 7 2 2 2" xfId="21332" xr:uid="{CE92CA2A-7C99-422C-888B-B23AF73110BA}"/>
    <cellStyle name="Normal 10 3 3 3 7 2 3" xfId="21333" xr:uid="{0DF6AD01-C39E-4505-A436-BDCC06801DFF}"/>
    <cellStyle name="Normal 10 3 3 3 7 3" xfId="21334" xr:uid="{636859FE-250C-49BB-A72D-DF97CF7EEBA9}"/>
    <cellStyle name="Normal 10 3 3 3 7 3 2" xfId="21335" xr:uid="{A94860DA-F455-471D-BEBD-1054F51684CF}"/>
    <cellStyle name="Normal 10 3 3 3 7 4" xfId="21336" xr:uid="{9290E59D-7EA0-4C90-A195-8C029742ED82}"/>
    <cellStyle name="Normal 10 3 3 3 8" xfId="21337" xr:uid="{8027D13D-5C4C-44F0-9D9D-7264B8905673}"/>
    <cellStyle name="Normal 10 3 3 3 8 2" xfId="21338" xr:uid="{299DE362-E521-44F8-8021-D819B9AF3E77}"/>
    <cellStyle name="Normal 10 3 3 3 8 2 2" xfId="21339" xr:uid="{A14A1242-02FA-4637-A9A9-ED64BE2FD34A}"/>
    <cellStyle name="Normal 10 3 3 3 8 3" xfId="21340" xr:uid="{A9B3B267-5000-4E36-9C47-027AD74ABBD4}"/>
    <cellStyle name="Normal 10 3 3 3 9" xfId="21341" xr:uid="{F3A04156-C658-4F04-9E0D-0CBAE82B8FBB}"/>
    <cellStyle name="Normal 10 3 3 3 9 2" xfId="21342" xr:uid="{4F9F2BE6-BC94-42AD-BC2B-DA39D58EA8FE}"/>
    <cellStyle name="Normal 10 3 3 4" xfId="259" xr:uid="{1351CC5F-EA77-449C-B6D5-B71CED1F8097}"/>
    <cellStyle name="Normal 10 3 3 4 10" xfId="21343" xr:uid="{312EBD6D-2D6D-4DBD-B05F-25B110D27A2F}"/>
    <cellStyle name="Normal 10 3 3 4 11" xfId="568" xr:uid="{1B03E82E-0157-4505-AE07-5CC50818C2DF}"/>
    <cellStyle name="Normal 10 3 3 4 2" xfId="341" xr:uid="{90056589-C549-4D96-B689-B6C47C23246A}"/>
    <cellStyle name="Normal 10 3 3 4 2 10" xfId="21344" xr:uid="{7E55EB02-9815-4CCD-A51E-4B60308410CD}"/>
    <cellStyle name="Normal 10 3 3 4 2 2" xfId="21345" xr:uid="{87405702-2E70-486C-9EF0-5AED7CD1DDC1}"/>
    <cellStyle name="Normal 10 3 3 4 2 2 2" xfId="21346" xr:uid="{A27D31F6-F230-4AB8-9E6F-D7BBE3084DF6}"/>
    <cellStyle name="Normal 10 3 3 4 2 2 2 2" xfId="21347" xr:uid="{53F78B3F-2626-4168-9CF9-D7DDF6B1D396}"/>
    <cellStyle name="Normal 10 3 3 4 2 2 2 2 2" xfId="21348" xr:uid="{423A08D4-E211-4F7E-8C30-8A32DF8855E2}"/>
    <cellStyle name="Normal 10 3 3 4 2 2 2 2 2 2" xfId="21349" xr:uid="{AE8E7346-1CDE-4405-BC02-3B4F63AEA4FD}"/>
    <cellStyle name="Normal 10 3 3 4 2 2 2 2 2 2 2" xfId="21350" xr:uid="{891E961C-0FC9-438E-B6B6-C16C4E8C0D64}"/>
    <cellStyle name="Normal 10 3 3 4 2 2 2 2 2 2 2 2" xfId="21351" xr:uid="{DEB09A7C-85E1-425F-BE9D-875084C882E6}"/>
    <cellStyle name="Normal 10 3 3 4 2 2 2 2 2 2 2 2 2" xfId="21352" xr:uid="{AF4AA33E-DF47-4E8B-B8DB-F9C4943D35AC}"/>
    <cellStyle name="Normal 10 3 3 4 2 2 2 2 2 2 2 3" xfId="21353" xr:uid="{C2BFBA7B-93C5-4C61-B0A3-71940C501583}"/>
    <cellStyle name="Normal 10 3 3 4 2 2 2 2 2 2 3" xfId="21354" xr:uid="{4FB9C82A-E0D6-4798-A3EA-E21CB7DB1B66}"/>
    <cellStyle name="Normal 10 3 3 4 2 2 2 2 2 2 3 2" xfId="21355" xr:uid="{60F08B28-89A7-45FC-B56C-7998332089CF}"/>
    <cellStyle name="Normal 10 3 3 4 2 2 2 2 2 2 4" xfId="21356" xr:uid="{8B5EFA81-0553-445C-AB7D-111DAAB1B1D1}"/>
    <cellStyle name="Normal 10 3 3 4 2 2 2 2 2 3" xfId="21357" xr:uid="{CBE97CE3-E53C-4ACB-90A4-E054DDCD4E0A}"/>
    <cellStyle name="Normal 10 3 3 4 2 2 2 2 2 3 2" xfId="21358" xr:uid="{DE2DE692-2A62-4A1D-A7DB-5A7DC5E56DC7}"/>
    <cellStyle name="Normal 10 3 3 4 2 2 2 2 2 3 2 2" xfId="21359" xr:uid="{F174029A-34BD-4950-8C81-7EA8688FCF35}"/>
    <cellStyle name="Normal 10 3 3 4 2 2 2 2 2 3 3" xfId="21360" xr:uid="{F1CB04DA-96DC-4FEC-9569-8084D2115DF5}"/>
    <cellStyle name="Normal 10 3 3 4 2 2 2 2 2 4" xfId="21361" xr:uid="{23D98AB6-87EE-4799-82C1-9862A344D068}"/>
    <cellStyle name="Normal 10 3 3 4 2 2 2 2 2 4 2" xfId="21362" xr:uid="{25F27DF8-FAE3-409E-8DAA-D69C05E547BD}"/>
    <cellStyle name="Normal 10 3 3 4 2 2 2 2 2 5" xfId="21363" xr:uid="{59A12518-1BD6-4D06-A0AD-3BB2BFA2893C}"/>
    <cellStyle name="Normal 10 3 3 4 2 2 2 2 3" xfId="21364" xr:uid="{E56848BF-27D4-46E0-AC23-CC5838B1C325}"/>
    <cellStyle name="Normal 10 3 3 4 2 2 2 2 3 2" xfId="21365" xr:uid="{F9AF5EB5-1E25-4852-A2D8-8383C98A2391}"/>
    <cellStyle name="Normal 10 3 3 4 2 2 2 2 3 2 2" xfId="21366" xr:uid="{60E287E8-2DF6-4F87-AECD-D31ADA69B0DF}"/>
    <cellStyle name="Normal 10 3 3 4 2 2 2 2 3 2 2 2" xfId="21367" xr:uid="{09B72730-73F8-4744-9B3E-B238657998A8}"/>
    <cellStyle name="Normal 10 3 3 4 2 2 2 2 3 2 3" xfId="21368" xr:uid="{5961407C-EBC5-40BE-916B-C874740F03A9}"/>
    <cellStyle name="Normal 10 3 3 4 2 2 2 2 3 3" xfId="21369" xr:uid="{D90AE433-DE38-426F-AC01-08948CDE5F49}"/>
    <cellStyle name="Normal 10 3 3 4 2 2 2 2 3 3 2" xfId="21370" xr:uid="{68FA8AAC-8E7F-4FB0-88D7-4CA46535B5A1}"/>
    <cellStyle name="Normal 10 3 3 4 2 2 2 2 3 4" xfId="21371" xr:uid="{6915EBBB-1655-47CC-A0FA-81CCB6D5207F}"/>
    <cellStyle name="Normal 10 3 3 4 2 2 2 2 4" xfId="21372" xr:uid="{4D191E44-8949-4FDE-9440-A7F8007BC834}"/>
    <cellStyle name="Normal 10 3 3 4 2 2 2 2 4 2" xfId="21373" xr:uid="{38D7F2E6-51A3-4AB1-8A26-674222824EF7}"/>
    <cellStyle name="Normal 10 3 3 4 2 2 2 2 4 2 2" xfId="21374" xr:uid="{88B8A8FF-46FC-4712-8ED2-A99F5C7CD980}"/>
    <cellStyle name="Normal 10 3 3 4 2 2 2 2 4 3" xfId="21375" xr:uid="{C7E1CC8F-1E12-4E9A-B2C7-234BC72593AE}"/>
    <cellStyle name="Normal 10 3 3 4 2 2 2 2 5" xfId="21376" xr:uid="{22BD5729-ACC9-4819-985C-3EC30AB31662}"/>
    <cellStyle name="Normal 10 3 3 4 2 2 2 2 5 2" xfId="21377" xr:uid="{5F8978D3-F985-4FB3-93B8-E871E50F7115}"/>
    <cellStyle name="Normal 10 3 3 4 2 2 2 2 6" xfId="21378" xr:uid="{D57359FE-66D9-4CDD-90E7-4E171FBBCC34}"/>
    <cellStyle name="Normal 10 3 3 4 2 2 2 3" xfId="21379" xr:uid="{2FE64405-CCBE-42CF-9F3C-0355F62E9AB1}"/>
    <cellStyle name="Normal 10 3 3 4 2 2 2 3 2" xfId="21380" xr:uid="{A0C51190-70A1-4212-A7F3-8971B338BF31}"/>
    <cellStyle name="Normal 10 3 3 4 2 2 2 3 2 2" xfId="21381" xr:uid="{1CEFBA25-DB25-48F9-B906-C02F309488AA}"/>
    <cellStyle name="Normal 10 3 3 4 2 2 2 3 2 2 2" xfId="21382" xr:uid="{4645468A-621E-4063-81AA-F7F48C22C0B8}"/>
    <cellStyle name="Normal 10 3 3 4 2 2 2 3 2 2 2 2" xfId="21383" xr:uid="{86B6090B-EA1C-4601-ADF9-9A880FC78A66}"/>
    <cellStyle name="Normal 10 3 3 4 2 2 2 3 2 2 3" xfId="21384" xr:uid="{7585A9A0-AB2D-46F6-8A0F-E388F0147C6E}"/>
    <cellStyle name="Normal 10 3 3 4 2 2 2 3 2 3" xfId="21385" xr:uid="{933E4E3E-DB71-4CE3-996E-86E61FB4A717}"/>
    <cellStyle name="Normal 10 3 3 4 2 2 2 3 2 3 2" xfId="21386" xr:uid="{FCFC6CE7-68E2-40E8-B36A-4712D5291FEA}"/>
    <cellStyle name="Normal 10 3 3 4 2 2 2 3 2 4" xfId="21387" xr:uid="{4282432D-BE61-41A9-AA8F-97D42C975D75}"/>
    <cellStyle name="Normal 10 3 3 4 2 2 2 3 3" xfId="21388" xr:uid="{3E315C0D-91D7-46B2-89D6-624F4219813F}"/>
    <cellStyle name="Normal 10 3 3 4 2 2 2 3 3 2" xfId="21389" xr:uid="{E4ABF635-39A1-4754-A790-8477568CF9E1}"/>
    <cellStyle name="Normal 10 3 3 4 2 2 2 3 3 2 2" xfId="21390" xr:uid="{9BBDD52D-CC70-4CD4-A51F-3DA2D70D17C8}"/>
    <cellStyle name="Normal 10 3 3 4 2 2 2 3 3 3" xfId="21391" xr:uid="{108F9FCE-3A2F-4168-98BD-5C21352AF771}"/>
    <cellStyle name="Normal 10 3 3 4 2 2 2 3 4" xfId="21392" xr:uid="{62A3CDCF-F5F3-4600-BE11-CAD6BE0AB7B9}"/>
    <cellStyle name="Normal 10 3 3 4 2 2 2 3 4 2" xfId="21393" xr:uid="{E824D6C4-A8A0-46EC-AE05-88124DF861A3}"/>
    <cellStyle name="Normal 10 3 3 4 2 2 2 3 5" xfId="21394" xr:uid="{A7D5CC2D-DC0C-4EC4-8CA5-04F141631E05}"/>
    <cellStyle name="Normal 10 3 3 4 2 2 2 4" xfId="21395" xr:uid="{B2ED49CE-3CF7-4791-87A0-F4C0B542C1C2}"/>
    <cellStyle name="Normal 10 3 3 4 2 2 2 4 2" xfId="21396" xr:uid="{9D9F55AD-D882-44C1-85B8-3350B27D1EDD}"/>
    <cellStyle name="Normal 10 3 3 4 2 2 2 4 2 2" xfId="21397" xr:uid="{08132232-EE89-4B5F-A25C-BE54357A3D5C}"/>
    <cellStyle name="Normal 10 3 3 4 2 2 2 4 2 2 2" xfId="21398" xr:uid="{A7F8E2A3-E297-43A3-9F80-F7DBB808E6EB}"/>
    <cellStyle name="Normal 10 3 3 4 2 2 2 4 2 3" xfId="21399" xr:uid="{87C46E50-6519-4B68-947C-0AC6F41B2BEA}"/>
    <cellStyle name="Normal 10 3 3 4 2 2 2 4 3" xfId="21400" xr:uid="{66FD24CB-703F-4BD3-AF6D-EFD8475A3651}"/>
    <cellStyle name="Normal 10 3 3 4 2 2 2 4 3 2" xfId="21401" xr:uid="{F8D4730C-6020-4414-A057-F793CD604A60}"/>
    <cellStyle name="Normal 10 3 3 4 2 2 2 4 4" xfId="21402" xr:uid="{84C74536-A60E-4FF2-A8F3-E64CDF8C57AC}"/>
    <cellStyle name="Normal 10 3 3 4 2 2 2 5" xfId="21403" xr:uid="{4ED477D2-9F93-4400-AD7C-876D7D93DE4E}"/>
    <cellStyle name="Normal 10 3 3 4 2 2 2 5 2" xfId="21404" xr:uid="{AF8E99EB-F740-434D-B6BA-15EE14863F0C}"/>
    <cellStyle name="Normal 10 3 3 4 2 2 2 5 2 2" xfId="21405" xr:uid="{1B70CC1E-E2EF-4216-866D-1258CB0BBFBA}"/>
    <cellStyle name="Normal 10 3 3 4 2 2 2 5 3" xfId="21406" xr:uid="{16C181AE-01CE-4B3B-83CA-3116BD98076E}"/>
    <cellStyle name="Normal 10 3 3 4 2 2 2 6" xfId="21407" xr:uid="{CEDB15E5-5210-4129-9EBD-D492A748B3D8}"/>
    <cellStyle name="Normal 10 3 3 4 2 2 2 6 2" xfId="21408" xr:uid="{3EC86DC6-5261-4986-95EC-364E326D94DB}"/>
    <cellStyle name="Normal 10 3 3 4 2 2 2 7" xfId="21409" xr:uid="{9F810180-AE3B-494E-8149-60C587DC2CD2}"/>
    <cellStyle name="Normal 10 3 3 4 2 2 3" xfId="21410" xr:uid="{86EA2063-DF23-43A1-AB12-3F1B7736B24A}"/>
    <cellStyle name="Normal 10 3 3 4 2 2 3 2" xfId="21411" xr:uid="{D2022F88-5C1B-4568-831C-3E112A9E488D}"/>
    <cellStyle name="Normal 10 3 3 4 2 2 3 2 2" xfId="21412" xr:uid="{8B0D1883-3A35-41B7-9562-D7ED4BBD0F3E}"/>
    <cellStyle name="Normal 10 3 3 4 2 2 3 2 2 2" xfId="21413" xr:uid="{6C2509A3-C072-414D-A98F-25877777A1F1}"/>
    <cellStyle name="Normal 10 3 3 4 2 2 3 2 2 2 2" xfId="21414" xr:uid="{F94A8D7F-6DBD-4D3F-9509-6F2DD7F0B2A6}"/>
    <cellStyle name="Normal 10 3 3 4 2 2 3 2 2 2 2 2" xfId="21415" xr:uid="{CBF66087-E3D4-4798-AABD-FDCBFFDA1B11}"/>
    <cellStyle name="Normal 10 3 3 4 2 2 3 2 2 2 3" xfId="21416" xr:uid="{AE9AE527-9B95-4A2C-9611-167B61B69905}"/>
    <cellStyle name="Normal 10 3 3 4 2 2 3 2 2 3" xfId="21417" xr:uid="{5448EBC0-42D2-41A4-8CE9-A9C30F274E19}"/>
    <cellStyle name="Normal 10 3 3 4 2 2 3 2 2 3 2" xfId="21418" xr:uid="{C8801E8A-4BC2-4E89-AFCD-DD26230B73B8}"/>
    <cellStyle name="Normal 10 3 3 4 2 2 3 2 2 4" xfId="21419" xr:uid="{895AF970-E6ED-410E-A5F5-AAB0DBE53BDD}"/>
    <cellStyle name="Normal 10 3 3 4 2 2 3 2 3" xfId="21420" xr:uid="{7C0F06B0-F390-4754-98E0-08231B485FC3}"/>
    <cellStyle name="Normal 10 3 3 4 2 2 3 2 3 2" xfId="21421" xr:uid="{F2071502-5A5A-4AEB-B67C-5AFC19C20472}"/>
    <cellStyle name="Normal 10 3 3 4 2 2 3 2 3 2 2" xfId="21422" xr:uid="{CD51AB0C-878E-4133-B24D-89E687145CD9}"/>
    <cellStyle name="Normal 10 3 3 4 2 2 3 2 3 3" xfId="21423" xr:uid="{5D0C9B61-40E7-4CC8-8299-46121DB5BC57}"/>
    <cellStyle name="Normal 10 3 3 4 2 2 3 2 4" xfId="21424" xr:uid="{6768477A-F42E-48A4-87F2-1A413BE24E7D}"/>
    <cellStyle name="Normal 10 3 3 4 2 2 3 2 4 2" xfId="21425" xr:uid="{99BBD1A9-EEFE-4C55-B889-088FDAB18393}"/>
    <cellStyle name="Normal 10 3 3 4 2 2 3 2 5" xfId="21426" xr:uid="{056C0A56-1A8C-4A71-849F-3B4BF5D9A724}"/>
    <cellStyle name="Normal 10 3 3 4 2 2 3 3" xfId="21427" xr:uid="{2AC41B4D-1180-420E-9DA3-F29A2E0BC7B1}"/>
    <cellStyle name="Normal 10 3 3 4 2 2 3 3 2" xfId="21428" xr:uid="{E3E29697-6084-4781-BE78-3C9C59199944}"/>
    <cellStyle name="Normal 10 3 3 4 2 2 3 3 2 2" xfId="21429" xr:uid="{47B35588-4710-4854-B515-46B7FA6A995D}"/>
    <cellStyle name="Normal 10 3 3 4 2 2 3 3 2 2 2" xfId="21430" xr:uid="{49641D4F-984A-479C-BCB4-ABD2C3E5D9AA}"/>
    <cellStyle name="Normal 10 3 3 4 2 2 3 3 2 3" xfId="21431" xr:uid="{23C4D625-9BB3-4FC8-ADBF-228A7ED4B33D}"/>
    <cellStyle name="Normal 10 3 3 4 2 2 3 3 3" xfId="21432" xr:uid="{699325A8-2AAD-4F16-AF45-35EE1B3F7244}"/>
    <cellStyle name="Normal 10 3 3 4 2 2 3 3 3 2" xfId="21433" xr:uid="{989C3F50-6894-415F-BC7B-7DE0E4CC0ED3}"/>
    <cellStyle name="Normal 10 3 3 4 2 2 3 3 4" xfId="21434" xr:uid="{6E6B6137-B522-4266-8CC4-A624A5BFACF0}"/>
    <cellStyle name="Normal 10 3 3 4 2 2 3 4" xfId="21435" xr:uid="{5F8AC580-1D57-4A5F-8BD4-86F8A9E7A465}"/>
    <cellStyle name="Normal 10 3 3 4 2 2 3 4 2" xfId="21436" xr:uid="{A1894E7E-EC4E-49DB-9B05-4192C4066D6B}"/>
    <cellStyle name="Normal 10 3 3 4 2 2 3 4 2 2" xfId="21437" xr:uid="{5CB00E22-9087-4109-8033-6419B67C8A85}"/>
    <cellStyle name="Normal 10 3 3 4 2 2 3 4 3" xfId="21438" xr:uid="{F47FB522-884B-42A2-9C1C-AC76A935936B}"/>
    <cellStyle name="Normal 10 3 3 4 2 2 3 5" xfId="21439" xr:uid="{27FA6496-E7CA-4F6B-B214-4790111B7E55}"/>
    <cellStyle name="Normal 10 3 3 4 2 2 3 5 2" xfId="21440" xr:uid="{D6BC7533-22B5-41F0-815F-8CC16FDD6698}"/>
    <cellStyle name="Normal 10 3 3 4 2 2 3 6" xfId="21441" xr:uid="{060FEA51-538A-442D-8575-4014CFADF9CC}"/>
    <cellStyle name="Normal 10 3 3 4 2 2 4" xfId="21442" xr:uid="{9EC7DD57-1CE0-4E89-9FFF-F8FE2C6A6FF9}"/>
    <cellStyle name="Normal 10 3 3 4 2 2 4 2" xfId="21443" xr:uid="{7C349A25-B86D-4E69-85C7-50B5DDA8EDF9}"/>
    <cellStyle name="Normal 10 3 3 4 2 2 4 2 2" xfId="21444" xr:uid="{B98E0EB7-219B-44BB-9A9A-079511595943}"/>
    <cellStyle name="Normal 10 3 3 4 2 2 4 2 2 2" xfId="21445" xr:uid="{5682C1B3-2840-4745-83D4-DA20582E7094}"/>
    <cellStyle name="Normal 10 3 3 4 2 2 4 2 2 2 2" xfId="21446" xr:uid="{36EB0E97-49E3-40D3-A130-083654D9A1A8}"/>
    <cellStyle name="Normal 10 3 3 4 2 2 4 2 2 3" xfId="21447" xr:uid="{9F686BD7-2709-4260-9016-1098013870F9}"/>
    <cellStyle name="Normal 10 3 3 4 2 2 4 2 3" xfId="21448" xr:uid="{AD3BC1C5-05C1-47E1-A36E-D953A70C0B99}"/>
    <cellStyle name="Normal 10 3 3 4 2 2 4 2 3 2" xfId="21449" xr:uid="{E6F26C0C-EA7F-4E2C-A9E3-65D8B3825B5C}"/>
    <cellStyle name="Normal 10 3 3 4 2 2 4 2 4" xfId="21450" xr:uid="{6F75E6D4-3E05-48C1-84B6-78428BABA731}"/>
    <cellStyle name="Normal 10 3 3 4 2 2 4 3" xfId="21451" xr:uid="{C91ABFFB-A30A-42CD-9144-93EFEF805C4C}"/>
    <cellStyle name="Normal 10 3 3 4 2 2 4 3 2" xfId="21452" xr:uid="{151A58A7-DEC3-41FF-8556-31110D5397F1}"/>
    <cellStyle name="Normal 10 3 3 4 2 2 4 3 2 2" xfId="21453" xr:uid="{666A05A1-A1AC-47CD-9E47-300852695E93}"/>
    <cellStyle name="Normal 10 3 3 4 2 2 4 3 3" xfId="21454" xr:uid="{686CF79E-3898-4ED8-95C1-827BB7A69845}"/>
    <cellStyle name="Normal 10 3 3 4 2 2 4 4" xfId="21455" xr:uid="{5204EF70-3F6F-47A4-9380-9BFADF287634}"/>
    <cellStyle name="Normal 10 3 3 4 2 2 4 4 2" xfId="21456" xr:uid="{FA9A35B7-E12B-427C-8EA8-D5A2E24212E5}"/>
    <cellStyle name="Normal 10 3 3 4 2 2 4 5" xfId="21457" xr:uid="{D991AAEE-A7E0-41E8-B188-5B7831F8A460}"/>
    <cellStyle name="Normal 10 3 3 4 2 2 5" xfId="21458" xr:uid="{9F288C5C-F4A2-4A5D-825E-0B0CB652D955}"/>
    <cellStyle name="Normal 10 3 3 4 2 2 5 2" xfId="21459" xr:uid="{A46EC067-4B90-4C6C-9721-E520E2FFC4BF}"/>
    <cellStyle name="Normal 10 3 3 4 2 2 5 2 2" xfId="21460" xr:uid="{E062F347-3C40-4605-8EEC-23315EFAB861}"/>
    <cellStyle name="Normal 10 3 3 4 2 2 5 2 2 2" xfId="21461" xr:uid="{E3FAF10E-4E44-42B9-8BD3-9E58F6048AE4}"/>
    <cellStyle name="Normal 10 3 3 4 2 2 5 2 3" xfId="21462" xr:uid="{40E03559-B02E-4268-9247-64B6F611CC2B}"/>
    <cellStyle name="Normal 10 3 3 4 2 2 5 3" xfId="21463" xr:uid="{35FE26F9-5268-4425-807B-9B9B16BCA31F}"/>
    <cellStyle name="Normal 10 3 3 4 2 2 5 3 2" xfId="21464" xr:uid="{C75A4C07-93E0-49B8-8F81-7635343CEC9D}"/>
    <cellStyle name="Normal 10 3 3 4 2 2 5 4" xfId="21465" xr:uid="{03393AB6-5258-4180-90B1-96CDE3BAAD19}"/>
    <cellStyle name="Normal 10 3 3 4 2 2 6" xfId="21466" xr:uid="{29A8A68D-AB2F-4617-B0A2-88D467DD655C}"/>
    <cellStyle name="Normal 10 3 3 4 2 2 6 2" xfId="21467" xr:uid="{87031018-E455-4A17-8510-B460F2EB87FE}"/>
    <cellStyle name="Normal 10 3 3 4 2 2 6 2 2" xfId="21468" xr:uid="{45A1DD68-6C1E-433A-A20C-925813E0BD90}"/>
    <cellStyle name="Normal 10 3 3 4 2 2 6 3" xfId="21469" xr:uid="{0A79588C-FD6E-4786-8F8B-5AAE9EF83389}"/>
    <cellStyle name="Normal 10 3 3 4 2 2 7" xfId="21470" xr:uid="{5A56CB21-47C2-40D0-8454-B2DCD19F5297}"/>
    <cellStyle name="Normal 10 3 3 4 2 2 7 2" xfId="21471" xr:uid="{9EC1335C-91FB-4207-8820-2D766EC86CC6}"/>
    <cellStyle name="Normal 10 3 3 4 2 2 8" xfId="21472" xr:uid="{DA0BAB00-16BD-44F0-89A9-1C149A6F5134}"/>
    <cellStyle name="Normal 10 3 3 4 2 3" xfId="21473" xr:uid="{86C704F1-B7A6-4170-B5F0-694C522B1A28}"/>
    <cellStyle name="Normal 10 3 3 4 2 3 2" xfId="21474" xr:uid="{F69C0389-050C-46CC-B274-83BFFBD095C8}"/>
    <cellStyle name="Normal 10 3 3 4 2 3 2 2" xfId="21475" xr:uid="{03B19EAD-5B16-455F-B107-51685CB865BF}"/>
    <cellStyle name="Normal 10 3 3 4 2 3 2 2 2" xfId="21476" xr:uid="{9B5BA56B-B8CD-4DE3-BDC7-5C67A02DFCFA}"/>
    <cellStyle name="Normal 10 3 3 4 2 3 2 2 2 2" xfId="21477" xr:uid="{76B867A2-288B-4F60-9C31-1580B8AB5813}"/>
    <cellStyle name="Normal 10 3 3 4 2 3 2 2 2 2 2" xfId="21478" xr:uid="{CFA39FDE-8771-4417-A79D-25FEA2CEAE36}"/>
    <cellStyle name="Normal 10 3 3 4 2 3 2 2 2 2 2 2" xfId="21479" xr:uid="{1D148FDB-E1FD-4483-8BC8-DA31137C09F3}"/>
    <cellStyle name="Normal 10 3 3 4 2 3 2 2 2 2 3" xfId="21480" xr:uid="{B1432AC2-C3BC-44F2-9106-C33435B77753}"/>
    <cellStyle name="Normal 10 3 3 4 2 3 2 2 2 3" xfId="21481" xr:uid="{44502391-1AE3-4A2A-B85E-94F1591560CF}"/>
    <cellStyle name="Normal 10 3 3 4 2 3 2 2 2 3 2" xfId="21482" xr:uid="{1C3C22A5-B983-4070-AD4E-58A488418FEA}"/>
    <cellStyle name="Normal 10 3 3 4 2 3 2 2 2 4" xfId="21483" xr:uid="{D83C73F6-F521-466F-B23D-01718EBEB1BE}"/>
    <cellStyle name="Normal 10 3 3 4 2 3 2 2 3" xfId="21484" xr:uid="{855BC70C-4A19-4727-B7C8-4A2D54C2E6A0}"/>
    <cellStyle name="Normal 10 3 3 4 2 3 2 2 3 2" xfId="21485" xr:uid="{87400EA5-BD8B-4DCE-B6C6-91026C337D3F}"/>
    <cellStyle name="Normal 10 3 3 4 2 3 2 2 3 2 2" xfId="21486" xr:uid="{8DF40558-2B28-409C-9981-190C8DCA5FB5}"/>
    <cellStyle name="Normal 10 3 3 4 2 3 2 2 3 3" xfId="21487" xr:uid="{2C4EF486-0670-4242-B6DA-840896001678}"/>
    <cellStyle name="Normal 10 3 3 4 2 3 2 2 4" xfId="21488" xr:uid="{4B612E6E-DF6D-481C-B318-835AF213AE09}"/>
    <cellStyle name="Normal 10 3 3 4 2 3 2 2 4 2" xfId="21489" xr:uid="{FDB89817-30F3-4DB8-A76D-ADE50627244A}"/>
    <cellStyle name="Normal 10 3 3 4 2 3 2 2 5" xfId="21490" xr:uid="{40F76467-237F-43A2-ACBA-90AA784FA14C}"/>
    <cellStyle name="Normal 10 3 3 4 2 3 2 3" xfId="21491" xr:uid="{B3835BE3-5C9B-4663-904C-674DA6E495AA}"/>
    <cellStyle name="Normal 10 3 3 4 2 3 2 3 2" xfId="21492" xr:uid="{73759C1B-14DB-487B-81A2-D8E5B6F761C8}"/>
    <cellStyle name="Normal 10 3 3 4 2 3 2 3 2 2" xfId="21493" xr:uid="{439BD6FF-E678-4129-B375-8AACCEBD806D}"/>
    <cellStyle name="Normal 10 3 3 4 2 3 2 3 2 2 2" xfId="21494" xr:uid="{1268E820-EBF2-48FE-ABF1-D4A831E31E36}"/>
    <cellStyle name="Normal 10 3 3 4 2 3 2 3 2 3" xfId="21495" xr:uid="{905938F9-A063-4AE9-99F7-06A00946BC61}"/>
    <cellStyle name="Normal 10 3 3 4 2 3 2 3 3" xfId="21496" xr:uid="{4CF53EA3-ED75-43FD-B01F-3AFFA2668C83}"/>
    <cellStyle name="Normal 10 3 3 4 2 3 2 3 3 2" xfId="21497" xr:uid="{FFDFA2B3-D8AD-4DC2-9803-9B83F219C87B}"/>
    <cellStyle name="Normal 10 3 3 4 2 3 2 3 4" xfId="21498" xr:uid="{AFFAC97D-D90A-4D94-AF63-CBB3A433D353}"/>
    <cellStyle name="Normal 10 3 3 4 2 3 2 4" xfId="21499" xr:uid="{CF628388-F3BB-4AC4-A946-389782D66D13}"/>
    <cellStyle name="Normal 10 3 3 4 2 3 2 4 2" xfId="21500" xr:uid="{EE58D818-75FD-43ED-B8D5-835EB4941395}"/>
    <cellStyle name="Normal 10 3 3 4 2 3 2 4 2 2" xfId="21501" xr:uid="{D8BF2CA6-7B9C-443E-A945-FA8EFBD93C7D}"/>
    <cellStyle name="Normal 10 3 3 4 2 3 2 4 3" xfId="21502" xr:uid="{E3741085-0520-421A-8ED2-754E754C6674}"/>
    <cellStyle name="Normal 10 3 3 4 2 3 2 5" xfId="21503" xr:uid="{B1DC44DF-EBA8-4A63-9AE3-00C56D131E55}"/>
    <cellStyle name="Normal 10 3 3 4 2 3 2 5 2" xfId="21504" xr:uid="{6E666DDF-C525-478F-9596-390B859E900A}"/>
    <cellStyle name="Normal 10 3 3 4 2 3 2 6" xfId="21505" xr:uid="{AD94BEEB-A33A-42D9-8361-77E271421CAC}"/>
    <cellStyle name="Normal 10 3 3 4 2 3 3" xfId="21506" xr:uid="{055B243C-6071-4754-A9FD-F486D97EA2CE}"/>
    <cellStyle name="Normal 10 3 3 4 2 3 3 2" xfId="21507" xr:uid="{2C446B26-5B68-41D4-9901-F49B12C1853F}"/>
    <cellStyle name="Normal 10 3 3 4 2 3 3 2 2" xfId="21508" xr:uid="{2F315BBF-D487-46F1-A08A-8FC0DCF1D7DF}"/>
    <cellStyle name="Normal 10 3 3 4 2 3 3 2 2 2" xfId="21509" xr:uid="{5034265F-739B-400D-B9B6-CF3FB0B508D7}"/>
    <cellStyle name="Normal 10 3 3 4 2 3 3 2 2 2 2" xfId="21510" xr:uid="{CD762046-3ED9-4142-9826-6A8F9CD082B0}"/>
    <cellStyle name="Normal 10 3 3 4 2 3 3 2 2 3" xfId="21511" xr:uid="{9FDCAFDF-7AE1-46E9-ACB0-8B7096C6DE16}"/>
    <cellStyle name="Normal 10 3 3 4 2 3 3 2 3" xfId="21512" xr:uid="{92C5DDA8-FFEE-43EB-81C8-004D4DDC560A}"/>
    <cellStyle name="Normal 10 3 3 4 2 3 3 2 3 2" xfId="21513" xr:uid="{260A5686-EC1E-4C1A-ABB7-E34285C5DE17}"/>
    <cellStyle name="Normal 10 3 3 4 2 3 3 2 4" xfId="21514" xr:uid="{29F8B507-15F5-47B0-8DFC-64CED4B019D1}"/>
    <cellStyle name="Normal 10 3 3 4 2 3 3 3" xfId="21515" xr:uid="{30828A2A-08E3-4EF4-BBA7-9FDDF3E02457}"/>
    <cellStyle name="Normal 10 3 3 4 2 3 3 3 2" xfId="21516" xr:uid="{84F0630C-5DD8-413B-BCAA-28AD05198B15}"/>
    <cellStyle name="Normal 10 3 3 4 2 3 3 3 2 2" xfId="21517" xr:uid="{7237CB88-34E0-4B05-BD2F-62AA46639CA1}"/>
    <cellStyle name="Normal 10 3 3 4 2 3 3 3 3" xfId="21518" xr:uid="{3E943056-491C-4BB3-B7B4-FDF7155BDD33}"/>
    <cellStyle name="Normal 10 3 3 4 2 3 3 4" xfId="21519" xr:uid="{341B4D72-8AB4-4B47-9F17-7604170931C7}"/>
    <cellStyle name="Normal 10 3 3 4 2 3 3 4 2" xfId="21520" xr:uid="{08D04588-28FA-4E85-B638-94A39902E95C}"/>
    <cellStyle name="Normal 10 3 3 4 2 3 3 5" xfId="21521" xr:uid="{FFD4DCE3-1EDE-4013-BD96-1D525A3251E3}"/>
    <cellStyle name="Normal 10 3 3 4 2 3 4" xfId="21522" xr:uid="{54096C59-9DFC-44B5-A914-0B10A40358B2}"/>
    <cellStyle name="Normal 10 3 3 4 2 3 4 2" xfId="21523" xr:uid="{F412122C-7414-4DBC-8414-8B0E4D45153C}"/>
    <cellStyle name="Normal 10 3 3 4 2 3 4 2 2" xfId="21524" xr:uid="{15634C3A-161E-4EA4-890B-C678C57140CE}"/>
    <cellStyle name="Normal 10 3 3 4 2 3 4 2 2 2" xfId="21525" xr:uid="{ED896C13-35C6-4BA0-BF69-8A830A63C14A}"/>
    <cellStyle name="Normal 10 3 3 4 2 3 4 2 3" xfId="21526" xr:uid="{87B9B2BF-F04D-4C0A-B957-2FC8616E4772}"/>
    <cellStyle name="Normal 10 3 3 4 2 3 4 3" xfId="21527" xr:uid="{E8C5B766-5D49-4E3C-9E7C-AB6E31EFB331}"/>
    <cellStyle name="Normal 10 3 3 4 2 3 4 3 2" xfId="21528" xr:uid="{7F80F311-6D1A-4EBE-A632-3E2FB15575CC}"/>
    <cellStyle name="Normal 10 3 3 4 2 3 4 4" xfId="21529" xr:uid="{F933D76C-99D9-47C0-B570-718DA7C24221}"/>
    <cellStyle name="Normal 10 3 3 4 2 3 5" xfId="21530" xr:uid="{C5CFE5AD-025E-484D-89DB-CD4BBC672DC3}"/>
    <cellStyle name="Normal 10 3 3 4 2 3 5 2" xfId="21531" xr:uid="{92B96EF9-B04C-41DF-AF2E-FD37E7EFA9F7}"/>
    <cellStyle name="Normal 10 3 3 4 2 3 5 2 2" xfId="21532" xr:uid="{A825C049-871B-45FD-B4E5-8308B7AA9610}"/>
    <cellStyle name="Normal 10 3 3 4 2 3 5 3" xfId="21533" xr:uid="{823597CA-DEB3-4D5D-8686-DE588F3EF009}"/>
    <cellStyle name="Normal 10 3 3 4 2 3 6" xfId="21534" xr:uid="{8BEFF870-CC9E-41DF-A59E-286AD3A523C5}"/>
    <cellStyle name="Normal 10 3 3 4 2 3 6 2" xfId="21535" xr:uid="{366FD5C7-9770-4496-A5E8-BC4398C84D01}"/>
    <cellStyle name="Normal 10 3 3 4 2 3 7" xfId="21536" xr:uid="{B8B0B0E7-5027-4E59-A0D5-3D4DD06E96FE}"/>
    <cellStyle name="Normal 10 3 3 4 2 4" xfId="21537" xr:uid="{49A1A853-EA8D-44B0-AAD5-595116FB53FF}"/>
    <cellStyle name="Normal 10 3 3 4 2 4 2" xfId="21538" xr:uid="{4D8552A7-97BC-473F-A3BD-088D4CD642B9}"/>
    <cellStyle name="Normal 10 3 3 4 2 4 2 2" xfId="21539" xr:uid="{642D22D9-5F6A-4C36-8C07-2B12E08C51BE}"/>
    <cellStyle name="Normal 10 3 3 4 2 4 2 2 2" xfId="21540" xr:uid="{9F0FB32B-5514-46CD-860D-054B3BFBA40A}"/>
    <cellStyle name="Normal 10 3 3 4 2 4 2 2 2 2" xfId="21541" xr:uid="{C238FECD-46E9-4D03-AD93-DB91D598298B}"/>
    <cellStyle name="Normal 10 3 3 4 2 4 2 2 2 2 2" xfId="21542" xr:uid="{30331336-5174-48BC-98B5-3C81780FB70D}"/>
    <cellStyle name="Normal 10 3 3 4 2 4 2 2 2 3" xfId="21543" xr:uid="{8BD9FEBD-FB9F-44C2-9BF3-9F6DE4286924}"/>
    <cellStyle name="Normal 10 3 3 4 2 4 2 2 3" xfId="21544" xr:uid="{655494D8-6ABA-47C8-99B5-CC6DF6637888}"/>
    <cellStyle name="Normal 10 3 3 4 2 4 2 2 3 2" xfId="21545" xr:uid="{F2C5446D-2B7A-416E-A33D-D2872204AD40}"/>
    <cellStyle name="Normal 10 3 3 4 2 4 2 2 4" xfId="21546" xr:uid="{55CCF288-E840-4A74-9157-FAF2128E1956}"/>
    <cellStyle name="Normal 10 3 3 4 2 4 2 3" xfId="21547" xr:uid="{58DE1AA5-870A-44F4-A8FE-7E289EE08221}"/>
    <cellStyle name="Normal 10 3 3 4 2 4 2 3 2" xfId="21548" xr:uid="{E805732B-A199-46B9-BCA3-C3AEB1295623}"/>
    <cellStyle name="Normal 10 3 3 4 2 4 2 3 2 2" xfId="21549" xr:uid="{1DCD7A80-FB23-4D32-9F13-523E1E2B65C2}"/>
    <cellStyle name="Normal 10 3 3 4 2 4 2 3 3" xfId="21550" xr:uid="{15A09146-3DE0-455B-AA47-BC8C51E760D2}"/>
    <cellStyle name="Normal 10 3 3 4 2 4 2 4" xfId="21551" xr:uid="{19C76C77-B58C-4A5C-99FA-291AB2771CD9}"/>
    <cellStyle name="Normal 10 3 3 4 2 4 2 4 2" xfId="21552" xr:uid="{83A52845-8F73-415D-B19F-4370402CAD2A}"/>
    <cellStyle name="Normal 10 3 3 4 2 4 2 5" xfId="21553" xr:uid="{F0BC5DAD-0B6C-4AF6-97DC-7A23462464F5}"/>
    <cellStyle name="Normal 10 3 3 4 2 4 3" xfId="21554" xr:uid="{F4CFBD02-1392-46D7-8EAE-BB46D477D8F2}"/>
    <cellStyle name="Normal 10 3 3 4 2 4 3 2" xfId="21555" xr:uid="{BC8D8D9C-A795-41DA-8639-0FEE190BCDA4}"/>
    <cellStyle name="Normal 10 3 3 4 2 4 3 2 2" xfId="21556" xr:uid="{BF5D3C9C-E6C6-4860-B1D3-DEB88E070DCB}"/>
    <cellStyle name="Normal 10 3 3 4 2 4 3 2 2 2" xfId="21557" xr:uid="{625B84E8-3A8A-4220-921F-20A7AEE96D4F}"/>
    <cellStyle name="Normal 10 3 3 4 2 4 3 2 3" xfId="21558" xr:uid="{C2113203-1473-4F51-AE49-A1AF7A362CD2}"/>
    <cellStyle name="Normal 10 3 3 4 2 4 3 3" xfId="21559" xr:uid="{C3740A67-A419-4D14-A1E8-110C7A95395F}"/>
    <cellStyle name="Normal 10 3 3 4 2 4 3 3 2" xfId="21560" xr:uid="{3B98AF1E-02F7-4F9B-8F63-70E77A410315}"/>
    <cellStyle name="Normal 10 3 3 4 2 4 3 4" xfId="21561" xr:uid="{174B715B-B536-4927-9792-7F1D2BF61C3D}"/>
    <cellStyle name="Normal 10 3 3 4 2 4 4" xfId="21562" xr:uid="{19EFA60B-06DE-472D-AEBB-6D92FB1DDE04}"/>
    <cellStyle name="Normal 10 3 3 4 2 4 4 2" xfId="21563" xr:uid="{D782F8FA-0E1C-46F8-ACB7-718348183E6F}"/>
    <cellStyle name="Normal 10 3 3 4 2 4 4 2 2" xfId="21564" xr:uid="{85CF3749-915F-423B-88A2-AB9D79FFB2DA}"/>
    <cellStyle name="Normal 10 3 3 4 2 4 4 3" xfId="21565" xr:uid="{D80711E5-7290-4729-9709-09B9418E23E2}"/>
    <cellStyle name="Normal 10 3 3 4 2 4 5" xfId="21566" xr:uid="{5873D43A-7E54-46B7-B662-57594B346775}"/>
    <cellStyle name="Normal 10 3 3 4 2 4 5 2" xfId="21567" xr:uid="{0AF7C322-9FFC-49E4-88BF-2DAD81570470}"/>
    <cellStyle name="Normal 10 3 3 4 2 4 6" xfId="21568" xr:uid="{B4B942DF-0341-4EE9-927D-091AE4B1F8BE}"/>
    <cellStyle name="Normal 10 3 3 4 2 5" xfId="21569" xr:uid="{B96170B8-C35A-4915-BBA5-043024D92C69}"/>
    <cellStyle name="Normal 10 3 3 4 2 5 2" xfId="21570" xr:uid="{62AA8814-2D47-47B7-B717-C981D43A9C38}"/>
    <cellStyle name="Normal 10 3 3 4 2 5 2 2" xfId="21571" xr:uid="{5609B12B-0CD6-48CC-BF40-8D98D4D78766}"/>
    <cellStyle name="Normal 10 3 3 4 2 5 2 2 2" xfId="21572" xr:uid="{2B7D7030-B4A2-4F4C-8522-F8CBB9DD4E5C}"/>
    <cellStyle name="Normal 10 3 3 4 2 5 2 2 2 2" xfId="21573" xr:uid="{EFDF5F78-E2A8-458E-8EA9-07791E4A98F8}"/>
    <cellStyle name="Normal 10 3 3 4 2 5 2 2 3" xfId="21574" xr:uid="{24B1750B-8B8F-4D87-B807-183533C3DE30}"/>
    <cellStyle name="Normal 10 3 3 4 2 5 2 3" xfId="21575" xr:uid="{EBB99B6D-A862-4578-B172-05DC91DCD473}"/>
    <cellStyle name="Normal 10 3 3 4 2 5 2 3 2" xfId="21576" xr:uid="{C4AE3510-1178-4C53-93DA-85CEA0F77567}"/>
    <cellStyle name="Normal 10 3 3 4 2 5 2 4" xfId="21577" xr:uid="{E6D0622A-FA29-455C-8827-BE2F9376A3DE}"/>
    <cellStyle name="Normal 10 3 3 4 2 5 3" xfId="21578" xr:uid="{BDB00648-2CF7-4908-9478-C715C6B3EF55}"/>
    <cellStyle name="Normal 10 3 3 4 2 5 3 2" xfId="21579" xr:uid="{7BCA2F07-6712-4AEF-B889-FC9C2BD96F55}"/>
    <cellStyle name="Normal 10 3 3 4 2 5 3 2 2" xfId="21580" xr:uid="{15C6E973-7ACF-4B1D-ADEB-D8144F61AB49}"/>
    <cellStyle name="Normal 10 3 3 4 2 5 3 3" xfId="21581" xr:uid="{23921961-6BE4-4A50-BD1A-F56712340EFC}"/>
    <cellStyle name="Normal 10 3 3 4 2 5 4" xfId="21582" xr:uid="{0570A2AE-3310-4644-949B-D75CB452B775}"/>
    <cellStyle name="Normal 10 3 3 4 2 5 4 2" xfId="21583" xr:uid="{6908D7C0-3F2E-45AA-989F-FB274F138D09}"/>
    <cellStyle name="Normal 10 3 3 4 2 5 5" xfId="21584" xr:uid="{717D42F0-4B21-4E2A-8D4B-177361FF6FEF}"/>
    <cellStyle name="Normal 10 3 3 4 2 6" xfId="21585" xr:uid="{3B88BF88-1CCC-4225-A269-31B21E7E6523}"/>
    <cellStyle name="Normal 10 3 3 4 2 6 2" xfId="21586" xr:uid="{9832E811-7E15-4B59-8704-6D02C8125C9C}"/>
    <cellStyle name="Normal 10 3 3 4 2 6 2 2" xfId="21587" xr:uid="{287829E1-5D51-4953-B21D-AEED28EB742E}"/>
    <cellStyle name="Normal 10 3 3 4 2 6 2 2 2" xfId="21588" xr:uid="{5B3D54E7-8165-4B65-B5A9-7E5A2DDDBEA1}"/>
    <cellStyle name="Normal 10 3 3 4 2 6 2 3" xfId="21589" xr:uid="{E15E17F7-90B2-4ED0-98BA-F89E7E700BFB}"/>
    <cellStyle name="Normal 10 3 3 4 2 6 3" xfId="21590" xr:uid="{FAEB57F3-50EF-423B-8448-0DFB6A1A4F16}"/>
    <cellStyle name="Normal 10 3 3 4 2 6 3 2" xfId="21591" xr:uid="{655C062B-0195-4E1A-A581-7DFC77EFBA30}"/>
    <cellStyle name="Normal 10 3 3 4 2 6 4" xfId="21592" xr:uid="{99BB82D9-3C9A-4157-814C-25259E02712A}"/>
    <cellStyle name="Normal 10 3 3 4 2 7" xfId="21593" xr:uid="{AE632CA1-920E-4867-B5FA-992A415839AB}"/>
    <cellStyle name="Normal 10 3 3 4 2 7 2" xfId="21594" xr:uid="{ABECD28E-BFC4-40E7-8BFD-EFAD27137A13}"/>
    <cellStyle name="Normal 10 3 3 4 2 7 2 2" xfId="21595" xr:uid="{6B7D71DA-F3DF-4ACB-BA57-FC0AEA6FCD57}"/>
    <cellStyle name="Normal 10 3 3 4 2 7 3" xfId="21596" xr:uid="{FE2565D4-F69C-4AE6-B911-B65C4A1C06ED}"/>
    <cellStyle name="Normal 10 3 3 4 2 8" xfId="21597" xr:uid="{33D17005-6D1E-490C-8DE5-22DDCC02F31E}"/>
    <cellStyle name="Normal 10 3 3 4 2 8 2" xfId="21598" xr:uid="{6919D8EC-BAF9-46B4-BAE8-8FBC2D8A7C1C}"/>
    <cellStyle name="Normal 10 3 3 4 2 9" xfId="21599" xr:uid="{73DD6FAC-A90B-4E40-A042-9B3E31C072CE}"/>
    <cellStyle name="Normal 10 3 3 4 3" xfId="494" xr:uid="{FF5645E1-DC67-4EAF-8896-847BC56D8997}"/>
    <cellStyle name="Normal 10 3 3 4 3 2" xfId="21601" xr:uid="{8DED6504-738E-449C-94A5-928C24CDFB51}"/>
    <cellStyle name="Normal 10 3 3 4 3 2 2" xfId="21602" xr:uid="{DABC51FE-0335-402E-B895-F07E0E0BF9A1}"/>
    <cellStyle name="Normal 10 3 3 4 3 2 2 2" xfId="21603" xr:uid="{10414A23-3313-442B-94C1-C57696FA6DC3}"/>
    <cellStyle name="Normal 10 3 3 4 3 2 2 2 2" xfId="21604" xr:uid="{4C2748F8-D92B-4CD5-AACF-F5021C448A14}"/>
    <cellStyle name="Normal 10 3 3 4 3 2 2 2 2 2" xfId="21605" xr:uid="{0D2F503D-F021-4CD9-9421-25765B02C5C3}"/>
    <cellStyle name="Normal 10 3 3 4 3 2 2 2 2 2 2" xfId="21606" xr:uid="{BA4DE298-44BE-462B-99D9-9BBFE105CCEE}"/>
    <cellStyle name="Normal 10 3 3 4 3 2 2 2 2 2 2 2" xfId="21607" xr:uid="{B5E77A93-4CE5-4FA6-BE99-B7776CF9A3DB}"/>
    <cellStyle name="Normal 10 3 3 4 3 2 2 2 2 2 3" xfId="21608" xr:uid="{5AD120BF-B445-4724-BC83-9857B23B8073}"/>
    <cellStyle name="Normal 10 3 3 4 3 2 2 2 2 3" xfId="21609" xr:uid="{C43ED790-EBC0-4ECD-A8B7-F9C811931662}"/>
    <cellStyle name="Normal 10 3 3 4 3 2 2 2 2 3 2" xfId="21610" xr:uid="{4A647610-CCF6-4589-9A02-885869E327C5}"/>
    <cellStyle name="Normal 10 3 3 4 3 2 2 2 2 4" xfId="21611" xr:uid="{B7F9EB0F-47BD-4AC3-BBF1-B93ACBFB437E}"/>
    <cellStyle name="Normal 10 3 3 4 3 2 2 2 3" xfId="21612" xr:uid="{A327F0C5-DD6E-462A-975B-C2ACFE27459E}"/>
    <cellStyle name="Normal 10 3 3 4 3 2 2 2 3 2" xfId="21613" xr:uid="{6084E9B2-7EC7-438F-B349-FB0AC19CB632}"/>
    <cellStyle name="Normal 10 3 3 4 3 2 2 2 3 2 2" xfId="21614" xr:uid="{06CECE9D-F214-4647-93E4-A7089EE90B17}"/>
    <cellStyle name="Normal 10 3 3 4 3 2 2 2 3 3" xfId="21615" xr:uid="{6591D16B-DB6A-4ADC-854C-CC3816DECB32}"/>
    <cellStyle name="Normal 10 3 3 4 3 2 2 2 4" xfId="21616" xr:uid="{F365F5B5-C84F-4A44-A96A-490C574D24A9}"/>
    <cellStyle name="Normal 10 3 3 4 3 2 2 2 4 2" xfId="21617" xr:uid="{DBEA7A29-BAA1-4330-B48C-B1858105AE9F}"/>
    <cellStyle name="Normal 10 3 3 4 3 2 2 2 5" xfId="21618" xr:uid="{34462DE4-9628-45BA-A381-3074780619E7}"/>
    <cellStyle name="Normal 10 3 3 4 3 2 2 3" xfId="21619" xr:uid="{8A9ABDD3-75E2-471A-A12F-E1648450F8A0}"/>
    <cellStyle name="Normal 10 3 3 4 3 2 2 3 2" xfId="21620" xr:uid="{52988ED4-2772-42DA-ACA5-2AC2487E45CF}"/>
    <cellStyle name="Normal 10 3 3 4 3 2 2 3 2 2" xfId="21621" xr:uid="{D3B4029C-5060-428C-8087-802E36D0D7F6}"/>
    <cellStyle name="Normal 10 3 3 4 3 2 2 3 2 2 2" xfId="21622" xr:uid="{CE1EE7ED-4ECE-462A-9445-DA5D75DA111A}"/>
    <cellStyle name="Normal 10 3 3 4 3 2 2 3 2 3" xfId="21623" xr:uid="{1F139799-5CF3-4FD1-B6FA-24FB9562489B}"/>
    <cellStyle name="Normal 10 3 3 4 3 2 2 3 3" xfId="21624" xr:uid="{E9920105-AE8C-41E7-A294-014288259497}"/>
    <cellStyle name="Normal 10 3 3 4 3 2 2 3 3 2" xfId="21625" xr:uid="{3093E295-A248-4C5A-8655-79E7F41878A5}"/>
    <cellStyle name="Normal 10 3 3 4 3 2 2 3 4" xfId="21626" xr:uid="{D32FF3FA-26C2-431D-8859-4FAE62B3C6B6}"/>
    <cellStyle name="Normal 10 3 3 4 3 2 2 4" xfId="21627" xr:uid="{002168DC-B3A3-493E-962F-21AA85FE2994}"/>
    <cellStyle name="Normal 10 3 3 4 3 2 2 4 2" xfId="21628" xr:uid="{99A0DAFB-D4F0-4B6F-81CF-D61EF00ACDCD}"/>
    <cellStyle name="Normal 10 3 3 4 3 2 2 4 2 2" xfId="21629" xr:uid="{B67EF4C4-F1D9-4CCF-AE8C-0B864CCCA874}"/>
    <cellStyle name="Normal 10 3 3 4 3 2 2 4 3" xfId="21630" xr:uid="{4F324D73-0E72-4F44-B61D-79E29D2A1B75}"/>
    <cellStyle name="Normal 10 3 3 4 3 2 2 5" xfId="21631" xr:uid="{21BF5D89-638A-4B66-86B4-02A5146583E1}"/>
    <cellStyle name="Normal 10 3 3 4 3 2 2 5 2" xfId="21632" xr:uid="{23EF138F-8A11-44A1-84A9-FD4CFFE64B30}"/>
    <cellStyle name="Normal 10 3 3 4 3 2 2 6" xfId="21633" xr:uid="{1C84952C-8DA9-4E5B-B324-D323F30837F2}"/>
    <cellStyle name="Normal 10 3 3 4 3 2 3" xfId="21634" xr:uid="{6E04AB31-8E53-4BB4-87DD-F74CBBD5F7CA}"/>
    <cellStyle name="Normal 10 3 3 4 3 2 3 2" xfId="21635" xr:uid="{C697822C-F3DE-47F5-831E-5EF232D66133}"/>
    <cellStyle name="Normal 10 3 3 4 3 2 3 2 2" xfId="21636" xr:uid="{8FBA6F17-1C5B-4ACC-A3D5-A7C25FCC84C0}"/>
    <cellStyle name="Normal 10 3 3 4 3 2 3 2 2 2" xfId="21637" xr:uid="{322FA158-EF11-4748-98BF-A773B86FA1F6}"/>
    <cellStyle name="Normal 10 3 3 4 3 2 3 2 2 2 2" xfId="21638" xr:uid="{49F70468-1A97-47E0-9419-24281141194D}"/>
    <cellStyle name="Normal 10 3 3 4 3 2 3 2 2 3" xfId="21639" xr:uid="{7230499F-E4A7-4413-985C-F7E8A4FAD2FE}"/>
    <cellStyle name="Normal 10 3 3 4 3 2 3 2 3" xfId="21640" xr:uid="{78AA4BDE-9232-41B1-8F3C-7A32AD7017D5}"/>
    <cellStyle name="Normal 10 3 3 4 3 2 3 2 3 2" xfId="21641" xr:uid="{EFF4A018-5D76-4FAB-B96D-CFE474460327}"/>
    <cellStyle name="Normal 10 3 3 4 3 2 3 2 4" xfId="21642" xr:uid="{0E3460BA-7549-413A-A9DA-A39401DD62B7}"/>
    <cellStyle name="Normal 10 3 3 4 3 2 3 3" xfId="21643" xr:uid="{9E8429B5-3216-46EC-AD48-3E6A6AC07ABE}"/>
    <cellStyle name="Normal 10 3 3 4 3 2 3 3 2" xfId="21644" xr:uid="{D75DBFF3-6250-4A72-87DE-93A719A862A4}"/>
    <cellStyle name="Normal 10 3 3 4 3 2 3 3 2 2" xfId="21645" xr:uid="{B127C083-3C1F-4E15-BDAE-9B3285B8DAB1}"/>
    <cellStyle name="Normal 10 3 3 4 3 2 3 3 3" xfId="21646" xr:uid="{B591A9B8-1EE3-4727-AF10-C15B04D35F78}"/>
    <cellStyle name="Normal 10 3 3 4 3 2 3 4" xfId="21647" xr:uid="{80F76EC9-A8C7-4ABD-8AAA-1813CD191657}"/>
    <cellStyle name="Normal 10 3 3 4 3 2 3 4 2" xfId="21648" xr:uid="{CD0C7759-8625-41B9-B13F-BB3599A3B4A3}"/>
    <cellStyle name="Normal 10 3 3 4 3 2 3 5" xfId="21649" xr:uid="{14979BAA-7BEB-4B26-AEEE-D5A7F4041DD8}"/>
    <cellStyle name="Normal 10 3 3 4 3 2 4" xfId="21650" xr:uid="{B921585F-9224-492B-8F53-64D96329CAF8}"/>
    <cellStyle name="Normal 10 3 3 4 3 2 4 2" xfId="21651" xr:uid="{DBAEECFD-B4A8-4F69-93B5-0B58371AB4A7}"/>
    <cellStyle name="Normal 10 3 3 4 3 2 4 2 2" xfId="21652" xr:uid="{38EF3639-CA15-4B72-B21B-4B598B012E6C}"/>
    <cellStyle name="Normal 10 3 3 4 3 2 4 2 2 2" xfId="21653" xr:uid="{4871E780-A290-48A9-8E93-06928909D05F}"/>
    <cellStyle name="Normal 10 3 3 4 3 2 4 2 3" xfId="21654" xr:uid="{57BEA8AD-5B4B-4B95-BBEE-440AFD252B57}"/>
    <cellStyle name="Normal 10 3 3 4 3 2 4 3" xfId="21655" xr:uid="{87C28147-82F2-4F82-9D8E-41352BB2D428}"/>
    <cellStyle name="Normal 10 3 3 4 3 2 4 3 2" xfId="21656" xr:uid="{2B0A465A-D3D1-48C3-9B1E-90E31F85DF10}"/>
    <cellStyle name="Normal 10 3 3 4 3 2 4 4" xfId="21657" xr:uid="{C3783044-0CA0-4595-B621-601742E9CEFB}"/>
    <cellStyle name="Normal 10 3 3 4 3 2 5" xfId="21658" xr:uid="{56C34A97-E7D3-497B-BF45-3DD4AA64041C}"/>
    <cellStyle name="Normal 10 3 3 4 3 2 5 2" xfId="21659" xr:uid="{E99B990D-EB5C-40F6-9E29-63A7104F641F}"/>
    <cellStyle name="Normal 10 3 3 4 3 2 5 2 2" xfId="21660" xr:uid="{8244CCE3-801A-4B54-94EF-F878CCADD5EB}"/>
    <cellStyle name="Normal 10 3 3 4 3 2 5 3" xfId="21661" xr:uid="{FA1BA239-3238-452E-BEDE-C3EEB81C6817}"/>
    <cellStyle name="Normal 10 3 3 4 3 2 6" xfId="21662" xr:uid="{09ABE64D-BBEC-4381-B96F-DA5936EC9446}"/>
    <cellStyle name="Normal 10 3 3 4 3 2 6 2" xfId="21663" xr:uid="{D288619E-D91B-40A6-9A72-8D7AF6689603}"/>
    <cellStyle name="Normal 10 3 3 4 3 2 7" xfId="21664" xr:uid="{D0EDB5A0-7F91-46E8-BD81-8D90EA484D64}"/>
    <cellStyle name="Normal 10 3 3 4 3 3" xfId="21665" xr:uid="{712F5E49-875A-46F1-A991-78B67981A62D}"/>
    <cellStyle name="Normal 10 3 3 4 3 3 2" xfId="21666" xr:uid="{7728FC64-D47C-48B5-AB66-77D5E4302C49}"/>
    <cellStyle name="Normal 10 3 3 4 3 3 2 2" xfId="21667" xr:uid="{5F5DAEB2-127B-4203-8DE2-0A24B6E06613}"/>
    <cellStyle name="Normal 10 3 3 4 3 3 2 2 2" xfId="21668" xr:uid="{56EFD2E4-2057-40E4-81B5-79936E0A96FF}"/>
    <cellStyle name="Normal 10 3 3 4 3 3 2 2 2 2" xfId="21669" xr:uid="{9A6761C8-E5D4-40C1-A30E-E12E6702DFE0}"/>
    <cellStyle name="Normal 10 3 3 4 3 3 2 2 2 2 2" xfId="21670" xr:uid="{31195259-5959-4D75-A0B8-E8DDA8CBDEAA}"/>
    <cellStyle name="Normal 10 3 3 4 3 3 2 2 2 3" xfId="21671" xr:uid="{DD461F3E-872B-4D91-8D99-A64A68AA684E}"/>
    <cellStyle name="Normal 10 3 3 4 3 3 2 2 3" xfId="21672" xr:uid="{B2D80B45-B618-4AEE-BA81-BCC19DC448CD}"/>
    <cellStyle name="Normal 10 3 3 4 3 3 2 2 3 2" xfId="21673" xr:uid="{0109B85E-4239-43A1-92A1-C621AA2739DF}"/>
    <cellStyle name="Normal 10 3 3 4 3 3 2 2 4" xfId="21674" xr:uid="{2C16434F-5943-46DE-923C-62F014140102}"/>
    <cellStyle name="Normal 10 3 3 4 3 3 2 3" xfId="21675" xr:uid="{EB780978-3037-4688-B259-800CF3C150BE}"/>
    <cellStyle name="Normal 10 3 3 4 3 3 2 3 2" xfId="21676" xr:uid="{9130AC14-B5D6-4279-AF41-45E3684912A9}"/>
    <cellStyle name="Normal 10 3 3 4 3 3 2 3 2 2" xfId="21677" xr:uid="{43448ED0-5725-4689-9146-5783E33C6461}"/>
    <cellStyle name="Normal 10 3 3 4 3 3 2 3 3" xfId="21678" xr:uid="{4065E168-F96B-4095-BA16-7C1E6CDC666B}"/>
    <cellStyle name="Normal 10 3 3 4 3 3 2 4" xfId="21679" xr:uid="{CC37A5E3-A50E-4A49-ABA0-67868012C24B}"/>
    <cellStyle name="Normal 10 3 3 4 3 3 2 4 2" xfId="21680" xr:uid="{8753B0F5-0D09-4C1C-80F8-5A6E651234C0}"/>
    <cellStyle name="Normal 10 3 3 4 3 3 2 5" xfId="21681" xr:uid="{FAEEC111-1A8F-469F-AB39-53DDB543F12B}"/>
    <cellStyle name="Normal 10 3 3 4 3 3 3" xfId="21682" xr:uid="{5378D69D-84D0-4232-A1B4-4BD91D274AAB}"/>
    <cellStyle name="Normal 10 3 3 4 3 3 3 2" xfId="21683" xr:uid="{BB2E4DB3-BCBC-4D5C-9907-7E9588DD4A5F}"/>
    <cellStyle name="Normal 10 3 3 4 3 3 3 2 2" xfId="21684" xr:uid="{D9F63E9A-59A8-4BBF-8673-483F38012733}"/>
    <cellStyle name="Normal 10 3 3 4 3 3 3 2 2 2" xfId="21685" xr:uid="{06BD8F9B-6A81-4A5E-9AD3-607E471BF89B}"/>
    <cellStyle name="Normal 10 3 3 4 3 3 3 2 3" xfId="21686" xr:uid="{BD7C79A5-78B4-4F3F-9D53-8CE907E93387}"/>
    <cellStyle name="Normal 10 3 3 4 3 3 3 3" xfId="21687" xr:uid="{C793E889-F5F0-4DA1-8DB6-8110FE5D08E6}"/>
    <cellStyle name="Normal 10 3 3 4 3 3 3 3 2" xfId="21688" xr:uid="{FD8A175C-BFF5-4487-9303-E14C8CF5682E}"/>
    <cellStyle name="Normal 10 3 3 4 3 3 3 4" xfId="21689" xr:uid="{FEB14E1C-A301-4B86-902F-E5076C3724F5}"/>
    <cellStyle name="Normal 10 3 3 4 3 3 4" xfId="21690" xr:uid="{9E805600-747B-4B14-8BB7-78773A97D46B}"/>
    <cellStyle name="Normal 10 3 3 4 3 3 4 2" xfId="21691" xr:uid="{A1DA0AC2-932B-4CA9-9A1E-BC1585B7CDD0}"/>
    <cellStyle name="Normal 10 3 3 4 3 3 4 2 2" xfId="21692" xr:uid="{EEB8282F-A4F3-40FC-8738-40A1616E27A6}"/>
    <cellStyle name="Normal 10 3 3 4 3 3 4 3" xfId="21693" xr:uid="{89EA7CCF-BDD0-4A9A-ACE2-67ADD74EB39E}"/>
    <cellStyle name="Normal 10 3 3 4 3 3 5" xfId="21694" xr:uid="{802A2938-487D-4282-8DC3-571BE7CD0CBD}"/>
    <cellStyle name="Normal 10 3 3 4 3 3 5 2" xfId="21695" xr:uid="{90E49C05-C996-4D43-B42A-740F6424CC43}"/>
    <cellStyle name="Normal 10 3 3 4 3 3 6" xfId="21696" xr:uid="{4B901D78-A102-4F7D-BA5F-A7A7E0D0D5DE}"/>
    <cellStyle name="Normal 10 3 3 4 3 4" xfId="21697" xr:uid="{D1D7436D-8AD6-47EA-88A2-3321B4B7848E}"/>
    <cellStyle name="Normal 10 3 3 4 3 4 2" xfId="21698" xr:uid="{1ECA8B7A-CB38-4318-8F66-174F1F76A41E}"/>
    <cellStyle name="Normal 10 3 3 4 3 4 2 2" xfId="21699" xr:uid="{EAFAD3D1-8B61-488F-AB09-30E5527492FA}"/>
    <cellStyle name="Normal 10 3 3 4 3 4 2 2 2" xfId="21700" xr:uid="{1AC5717B-98F8-4F0A-BAEE-C62261A0580E}"/>
    <cellStyle name="Normal 10 3 3 4 3 4 2 2 2 2" xfId="21701" xr:uid="{E1E36B11-9B0A-42F7-95A3-27243D5D5F8E}"/>
    <cellStyle name="Normal 10 3 3 4 3 4 2 2 3" xfId="21702" xr:uid="{04DEEC03-31CF-4CFC-9B68-5CEF1681D52A}"/>
    <cellStyle name="Normal 10 3 3 4 3 4 2 3" xfId="21703" xr:uid="{4847B33E-C131-4446-B9E1-0F212AA1B4EB}"/>
    <cellStyle name="Normal 10 3 3 4 3 4 2 3 2" xfId="21704" xr:uid="{2CAFBF7C-8BCA-41E1-AA9B-A8FFF74BF825}"/>
    <cellStyle name="Normal 10 3 3 4 3 4 2 4" xfId="21705" xr:uid="{2EBDB8D2-1B4D-4100-A019-F108DD3FF062}"/>
    <cellStyle name="Normal 10 3 3 4 3 4 3" xfId="21706" xr:uid="{AC115D2F-AC4D-4C8D-B51C-0FFB73922EA0}"/>
    <cellStyle name="Normal 10 3 3 4 3 4 3 2" xfId="21707" xr:uid="{BA668055-892C-48F0-9E9E-629E9B7D728A}"/>
    <cellStyle name="Normal 10 3 3 4 3 4 3 2 2" xfId="21708" xr:uid="{79764D91-91FC-419F-9882-4B6E0DAE2F61}"/>
    <cellStyle name="Normal 10 3 3 4 3 4 3 3" xfId="21709" xr:uid="{914D5070-C028-4B41-B860-CE8A3C49E258}"/>
    <cellStyle name="Normal 10 3 3 4 3 4 4" xfId="21710" xr:uid="{F56B5646-5634-47DF-9935-16502E3A771C}"/>
    <cellStyle name="Normal 10 3 3 4 3 4 4 2" xfId="21711" xr:uid="{36DB365B-FC9C-4701-87D3-783766A7F3D2}"/>
    <cellStyle name="Normal 10 3 3 4 3 4 5" xfId="21712" xr:uid="{8CFD8319-C07F-4E7B-B290-EA8377A778B2}"/>
    <cellStyle name="Normal 10 3 3 4 3 5" xfId="21713" xr:uid="{7BE7FD91-F795-4559-B227-A87A3F7AA87C}"/>
    <cellStyle name="Normal 10 3 3 4 3 5 2" xfId="21714" xr:uid="{766403F4-C1E3-4A2D-9FEA-F019F87C7CAE}"/>
    <cellStyle name="Normal 10 3 3 4 3 5 2 2" xfId="21715" xr:uid="{81BE4299-F055-460E-9970-48F8538998F5}"/>
    <cellStyle name="Normal 10 3 3 4 3 5 2 2 2" xfId="21716" xr:uid="{F6158182-DEA7-449F-9B2A-D122949054DD}"/>
    <cellStyle name="Normal 10 3 3 4 3 5 2 3" xfId="21717" xr:uid="{B4DC5274-95A8-43FF-928B-56DFA2CA0D80}"/>
    <cellStyle name="Normal 10 3 3 4 3 5 3" xfId="21718" xr:uid="{3C4B9B44-122E-46FB-8130-4FA512963594}"/>
    <cellStyle name="Normal 10 3 3 4 3 5 3 2" xfId="21719" xr:uid="{0F383FB6-EE5A-411D-A519-D6AC540A269F}"/>
    <cellStyle name="Normal 10 3 3 4 3 5 4" xfId="21720" xr:uid="{45EDB7E8-59CA-4C0D-8B1C-31E8B5DCFDCA}"/>
    <cellStyle name="Normal 10 3 3 4 3 6" xfId="21721" xr:uid="{E73BF584-48C1-4857-9E83-B4F41D531636}"/>
    <cellStyle name="Normal 10 3 3 4 3 6 2" xfId="21722" xr:uid="{DF032BA9-13FD-4AD5-960A-8C7892D37F17}"/>
    <cellStyle name="Normal 10 3 3 4 3 6 2 2" xfId="21723" xr:uid="{620EA85D-3D31-4DB3-99BD-E4C5C18D8EBD}"/>
    <cellStyle name="Normal 10 3 3 4 3 6 3" xfId="21724" xr:uid="{E9CFB676-4D5D-403C-A182-FF72821B4F9F}"/>
    <cellStyle name="Normal 10 3 3 4 3 7" xfId="21725" xr:uid="{6243469B-684C-459F-A2FC-6E6166508372}"/>
    <cellStyle name="Normal 10 3 3 4 3 7 2" xfId="21726" xr:uid="{5F5C3047-DABA-418E-B220-F924FB670AC0}"/>
    <cellStyle name="Normal 10 3 3 4 3 8" xfId="21727" xr:uid="{54766F60-1E9E-413B-8F94-43C66A66890E}"/>
    <cellStyle name="Normal 10 3 3 4 3 9" xfId="21600" xr:uid="{792C2151-02B2-40BB-8761-92D87B062E54}"/>
    <cellStyle name="Normal 10 3 3 4 4" xfId="21728" xr:uid="{7BB28B5E-2B8E-4161-9D12-C80268EC2916}"/>
    <cellStyle name="Normal 10 3 3 4 4 2" xfId="21729" xr:uid="{0416214D-0F62-445F-90F2-B15F8B8C0FAE}"/>
    <cellStyle name="Normal 10 3 3 4 4 2 2" xfId="21730" xr:uid="{FC1B4458-6CC3-4ADE-9175-627AB9768B57}"/>
    <cellStyle name="Normal 10 3 3 4 4 2 2 2" xfId="21731" xr:uid="{0346DAF8-8D2B-4DB0-B9D5-C6A709F7A091}"/>
    <cellStyle name="Normal 10 3 3 4 4 2 2 2 2" xfId="21732" xr:uid="{3C31D753-8938-4FA6-8EB3-3A38E1B6E787}"/>
    <cellStyle name="Normal 10 3 3 4 4 2 2 2 2 2" xfId="21733" xr:uid="{CD99B010-B034-4D78-8998-9412F9F01D6B}"/>
    <cellStyle name="Normal 10 3 3 4 4 2 2 2 2 2 2" xfId="21734" xr:uid="{3E767877-BEA0-4BB9-9EBD-491115BFA651}"/>
    <cellStyle name="Normal 10 3 3 4 4 2 2 2 2 3" xfId="21735" xr:uid="{40CCFF30-395D-4443-B810-D1351455AEBC}"/>
    <cellStyle name="Normal 10 3 3 4 4 2 2 2 3" xfId="21736" xr:uid="{E026BFEC-C19C-4C21-9549-12009A262E8D}"/>
    <cellStyle name="Normal 10 3 3 4 4 2 2 2 3 2" xfId="21737" xr:uid="{D569239F-E9E7-403F-BCBC-40E5C91C002D}"/>
    <cellStyle name="Normal 10 3 3 4 4 2 2 2 4" xfId="21738" xr:uid="{B1179F74-C9DF-413A-81E3-513E00CCB462}"/>
    <cellStyle name="Normal 10 3 3 4 4 2 2 3" xfId="21739" xr:uid="{99199FE8-1BFF-4C77-8C6F-9964805D133F}"/>
    <cellStyle name="Normal 10 3 3 4 4 2 2 3 2" xfId="21740" xr:uid="{50294EA0-A43E-41A4-A9EA-E972F064A182}"/>
    <cellStyle name="Normal 10 3 3 4 4 2 2 3 2 2" xfId="21741" xr:uid="{FDCCE963-38DB-4168-AC2A-06E7B29F0067}"/>
    <cellStyle name="Normal 10 3 3 4 4 2 2 3 3" xfId="21742" xr:uid="{5BE99941-AF43-4920-8541-D4A2CFDF182F}"/>
    <cellStyle name="Normal 10 3 3 4 4 2 2 4" xfId="21743" xr:uid="{7F2CDB1F-278F-4D1E-828F-6BF5855CACDB}"/>
    <cellStyle name="Normal 10 3 3 4 4 2 2 4 2" xfId="21744" xr:uid="{C7D9D448-17D3-4C6F-BDD8-043D79AED885}"/>
    <cellStyle name="Normal 10 3 3 4 4 2 2 5" xfId="21745" xr:uid="{3F4B50EF-B65B-4143-BAE3-2628D98B1457}"/>
    <cellStyle name="Normal 10 3 3 4 4 2 3" xfId="21746" xr:uid="{25BE7DC2-8B05-436A-8710-46BC04CCC5C0}"/>
    <cellStyle name="Normal 10 3 3 4 4 2 3 2" xfId="21747" xr:uid="{6F1B9345-C87B-496B-8482-08E112AB6989}"/>
    <cellStyle name="Normal 10 3 3 4 4 2 3 2 2" xfId="21748" xr:uid="{C54A9EE2-E4FA-4A7C-AB2A-3409312782B3}"/>
    <cellStyle name="Normal 10 3 3 4 4 2 3 2 2 2" xfId="21749" xr:uid="{583C248D-D58E-47CB-B3AF-EBF3FE236DC2}"/>
    <cellStyle name="Normal 10 3 3 4 4 2 3 2 3" xfId="21750" xr:uid="{72220A4C-C260-4033-BC9F-B89C49E69221}"/>
    <cellStyle name="Normal 10 3 3 4 4 2 3 3" xfId="21751" xr:uid="{EBC32231-91E1-42E7-907A-D84A8524DA60}"/>
    <cellStyle name="Normal 10 3 3 4 4 2 3 3 2" xfId="21752" xr:uid="{5206DE19-5551-4A50-B2CB-E8516B79EFF7}"/>
    <cellStyle name="Normal 10 3 3 4 4 2 3 4" xfId="21753" xr:uid="{F5817585-F76F-4B68-A44F-A39F0DA6D7CE}"/>
    <cellStyle name="Normal 10 3 3 4 4 2 4" xfId="21754" xr:uid="{DE7FF7FC-02B8-48F1-942F-20EF78C0EB97}"/>
    <cellStyle name="Normal 10 3 3 4 4 2 4 2" xfId="21755" xr:uid="{AFD04B65-202E-4360-9637-935862719600}"/>
    <cellStyle name="Normal 10 3 3 4 4 2 4 2 2" xfId="21756" xr:uid="{E7CBC83F-C9C7-4F24-B66A-47CD7C53F975}"/>
    <cellStyle name="Normal 10 3 3 4 4 2 4 3" xfId="21757" xr:uid="{7A63808D-EDD1-4B29-9140-E2C975C27F6A}"/>
    <cellStyle name="Normal 10 3 3 4 4 2 5" xfId="21758" xr:uid="{570CB446-DE9C-4DC3-A62D-2123FD265874}"/>
    <cellStyle name="Normal 10 3 3 4 4 2 5 2" xfId="21759" xr:uid="{B21FA514-8D2D-4201-85B5-EADF7367FBEF}"/>
    <cellStyle name="Normal 10 3 3 4 4 2 6" xfId="21760" xr:uid="{83708DFD-04DB-4F8E-B7E8-5521439D1CDE}"/>
    <cellStyle name="Normal 10 3 3 4 4 3" xfId="21761" xr:uid="{9D3459B9-1265-421F-8AC4-EFD9E7D562A2}"/>
    <cellStyle name="Normal 10 3 3 4 4 3 2" xfId="21762" xr:uid="{A0F2C0FE-708C-4A82-88B1-0C704FEAE7F4}"/>
    <cellStyle name="Normal 10 3 3 4 4 3 2 2" xfId="21763" xr:uid="{185B87D4-44C0-4C09-B314-3704111BF711}"/>
    <cellStyle name="Normal 10 3 3 4 4 3 2 2 2" xfId="21764" xr:uid="{DA21C9A0-5B07-4DCE-844E-8CA5A48BB55E}"/>
    <cellStyle name="Normal 10 3 3 4 4 3 2 2 2 2" xfId="21765" xr:uid="{C07FF697-9EFE-4F18-97D7-2ACAC427C937}"/>
    <cellStyle name="Normal 10 3 3 4 4 3 2 2 3" xfId="21766" xr:uid="{C20E9D0B-392E-421A-901A-316395348792}"/>
    <cellStyle name="Normal 10 3 3 4 4 3 2 3" xfId="21767" xr:uid="{A89B9D29-4F3C-4427-9CF5-83694043A465}"/>
    <cellStyle name="Normal 10 3 3 4 4 3 2 3 2" xfId="21768" xr:uid="{3D77CEBE-4E33-4D29-A89D-EC79192A9193}"/>
    <cellStyle name="Normal 10 3 3 4 4 3 2 4" xfId="21769" xr:uid="{79478A6E-1566-4C79-92C5-629FD8335FC5}"/>
    <cellStyle name="Normal 10 3 3 4 4 3 3" xfId="21770" xr:uid="{9CC14EDF-69F6-4616-9005-C6C69D267F8A}"/>
    <cellStyle name="Normal 10 3 3 4 4 3 3 2" xfId="21771" xr:uid="{A74251A9-9311-43B7-9D21-482F14DFAD7F}"/>
    <cellStyle name="Normal 10 3 3 4 4 3 3 2 2" xfId="21772" xr:uid="{633DC4B5-8B11-42FC-835B-07C0F75A3C9C}"/>
    <cellStyle name="Normal 10 3 3 4 4 3 3 3" xfId="21773" xr:uid="{45F4A26F-43DB-4507-A217-A3E933FC115E}"/>
    <cellStyle name="Normal 10 3 3 4 4 3 4" xfId="21774" xr:uid="{B36B412F-C8C2-4E44-BE87-9E7DD71CA7EA}"/>
    <cellStyle name="Normal 10 3 3 4 4 3 4 2" xfId="21775" xr:uid="{A72B80E6-6837-4CC4-A717-67435D28A180}"/>
    <cellStyle name="Normal 10 3 3 4 4 3 5" xfId="21776" xr:uid="{CBA9DD0C-E2A4-43A6-A6BF-453027CE5380}"/>
    <cellStyle name="Normal 10 3 3 4 4 4" xfId="21777" xr:uid="{FD2693A9-D16A-4CAD-8D01-02359C9B6E44}"/>
    <cellStyle name="Normal 10 3 3 4 4 4 2" xfId="21778" xr:uid="{4D25CD2E-BA55-4E5F-95F7-B87DADC6A3E9}"/>
    <cellStyle name="Normal 10 3 3 4 4 4 2 2" xfId="21779" xr:uid="{85990537-0B15-4BB1-8275-95767E8B2693}"/>
    <cellStyle name="Normal 10 3 3 4 4 4 2 2 2" xfId="21780" xr:uid="{E524F8ED-234B-4920-BEA8-C044AA325081}"/>
    <cellStyle name="Normal 10 3 3 4 4 4 2 3" xfId="21781" xr:uid="{F6F10B61-8CCD-49C8-A648-9ACFDFA4918E}"/>
    <cellStyle name="Normal 10 3 3 4 4 4 3" xfId="21782" xr:uid="{782F3E9F-2441-491B-AC76-931B49FD7299}"/>
    <cellStyle name="Normal 10 3 3 4 4 4 3 2" xfId="21783" xr:uid="{CF4E384F-3A9A-429B-9351-7AA4A874B148}"/>
    <cellStyle name="Normal 10 3 3 4 4 4 4" xfId="21784" xr:uid="{FC6477E8-17AA-4997-B9AB-3BF2EFD2EC03}"/>
    <cellStyle name="Normal 10 3 3 4 4 5" xfId="21785" xr:uid="{6575A64F-92B3-406B-8673-B8781FFE9ADE}"/>
    <cellStyle name="Normal 10 3 3 4 4 5 2" xfId="21786" xr:uid="{13906D5D-B13C-436A-B297-00B0F72D41A1}"/>
    <cellStyle name="Normal 10 3 3 4 4 5 2 2" xfId="21787" xr:uid="{D104A77D-8214-4B7A-A155-358AEF083132}"/>
    <cellStyle name="Normal 10 3 3 4 4 5 3" xfId="21788" xr:uid="{6645C07A-FF66-477C-8738-057F7A54D722}"/>
    <cellStyle name="Normal 10 3 3 4 4 6" xfId="21789" xr:uid="{DEA6CDCA-ED19-4F55-89CB-7DE21E373BD5}"/>
    <cellStyle name="Normal 10 3 3 4 4 6 2" xfId="21790" xr:uid="{6CE15795-5FA9-417B-AC12-93D9D4AE1AF9}"/>
    <cellStyle name="Normal 10 3 3 4 4 7" xfId="21791" xr:uid="{DBF8FF1B-3D08-4F72-8EF2-5E62E4B25445}"/>
    <cellStyle name="Normal 10 3 3 4 5" xfId="21792" xr:uid="{EA246C9E-DB6F-4FBB-BA8D-6F7C94E784EB}"/>
    <cellStyle name="Normal 10 3 3 4 5 2" xfId="21793" xr:uid="{54B1D711-BAA0-47D0-BDF0-47254238ED94}"/>
    <cellStyle name="Normal 10 3 3 4 5 2 2" xfId="21794" xr:uid="{1C81A319-28FA-4498-81A2-3D231E10E98D}"/>
    <cellStyle name="Normal 10 3 3 4 5 2 2 2" xfId="21795" xr:uid="{EE1BE034-6299-423E-805D-6556B40A87F5}"/>
    <cellStyle name="Normal 10 3 3 4 5 2 2 2 2" xfId="21796" xr:uid="{C36F2D98-9361-4120-B3A9-BC324215F771}"/>
    <cellStyle name="Normal 10 3 3 4 5 2 2 2 2 2" xfId="21797" xr:uid="{25BCF795-4A59-4F91-B7D8-7E3D3195B069}"/>
    <cellStyle name="Normal 10 3 3 4 5 2 2 2 3" xfId="21798" xr:uid="{D084BCFF-91BE-45F4-8DA0-2D84A30AAFDD}"/>
    <cellStyle name="Normal 10 3 3 4 5 2 2 3" xfId="21799" xr:uid="{0ED297EE-DA2F-42FF-9963-FA2EA0B72E92}"/>
    <cellStyle name="Normal 10 3 3 4 5 2 2 3 2" xfId="21800" xr:uid="{B9C2F02D-DB62-45A9-A7DE-1AA738DCD25A}"/>
    <cellStyle name="Normal 10 3 3 4 5 2 2 4" xfId="21801" xr:uid="{6C7B3BD8-CB7D-49ED-B1D9-61AEAD274CFC}"/>
    <cellStyle name="Normal 10 3 3 4 5 2 3" xfId="21802" xr:uid="{4D220FEE-7FAC-4346-A311-D5833950FD07}"/>
    <cellStyle name="Normal 10 3 3 4 5 2 3 2" xfId="21803" xr:uid="{330300BB-DF38-4737-9881-A5BCAA66CF00}"/>
    <cellStyle name="Normal 10 3 3 4 5 2 3 2 2" xfId="21804" xr:uid="{5E68EC6F-19C2-42C5-97D0-6C0F13482AA9}"/>
    <cellStyle name="Normal 10 3 3 4 5 2 3 3" xfId="21805" xr:uid="{0A867A56-26EC-433B-AFE4-3B7F4E75B6B3}"/>
    <cellStyle name="Normal 10 3 3 4 5 2 4" xfId="21806" xr:uid="{ECA09D5F-46A6-49F1-BA0C-53A88E80736E}"/>
    <cellStyle name="Normal 10 3 3 4 5 2 4 2" xfId="21807" xr:uid="{A1AD1C14-1F5C-4D3F-B9E4-F91820683668}"/>
    <cellStyle name="Normal 10 3 3 4 5 2 5" xfId="21808" xr:uid="{CD03A480-C231-4DA9-838C-89C715726266}"/>
    <cellStyle name="Normal 10 3 3 4 5 3" xfId="21809" xr:uid="{8C5F416A-D450-4346-B968-E28B094C81BA}"/>
    <cellStyle name="Normal 10 3 3 4 5 3 2" xfId="21810" xr:uid="{BE8FF914-CF3F-4DCD-85AA-867386E88135}"/>
    <cellStyle name="Normal 10 3 3 4 5 3 2 2" xfId="21811" xr:uid="{8FDFC9C8-ADDC-4D75-A759-0566915CB3BE}"/>
    <cellStyle name="Normal 10 3 3 4 5 3 2 2 2" xfId="21812" xr:uid="{25224201-2466-43CC-BC7A-8901EF0BB1E1}"/>
    <cellStyle name="Normal 10 3 3 4 5 3 2 3" xfId="21813" xr:uid="{F85D0384-E76F-4407-B2F9-EDC9E956D25D}"/>
    <cellStyle name="Normal 10 3 3 4 5 3 3" xfId="21814" xr:uid="{AB5202B8-2BAF-4A35-8C07-020D255A6F34}"/>
    <cellStyle name="Normal 10 3 3 4 5 3 3 2" xfId="21815" xr:uid="{803B44CA-B67C-4093-AE27-5EFA943098AA}"/>
    <cellStyle name="Normal 10 3 3 4 5 3 4" xfId="21816" xr:uid="{D2F04831-8D7F-4921-9249-146A09F4D037}"/>
    <cellStyle name="Normal 10 3 3 4 5 4" xfId="21817" xr:uid="{26EDA47C-E0F9-42F8-86CE-3F0CE9681A89}"/>
    <cellStyle name="Normal 10 3 3 4 5 4 2" xfId="21818" xr:uid="{630B4C5E-3485-4C99-9CA8-3BDE833228B3}"/>
    <cellStyle name="Normal 10 3 3 4 5 4 2 2" xfId="21819" xr:uid="{15C40FEF-903A-4C7B-BA07-96CAA87AB37A}"/>
    <cellStyle name="Normal 10 3 3 4 5 4 3" xfId="21820" xr:uid="{91759E08-7900-492F-8915-553A0DE26415}"/>
    <cellStyle name="Normal 10 3 3 4 5 5" xfId="21821" xr:uid="{ABE79FCB-FFA7-4F67-A22E-BB05B8DE99C6}"/>
    <cellStyle name="Normal 10 3 3 4 5 5 2" xfId="21822" xr:uid="{EE5DA8F3-F651-408F-AB9A-20A056180861}"/>
    <cellStyle name="Normal 10 3 3 4 5 6" xfId="21823" xr:uid="{823D3B6B-8694-4E82-94DD-D5ABB7A88A5B}"/>
    <cellStyle name="Normal 10 3 3 4 6" xfId="21824" xr:uid="{C675549D-22A7-4F63-95AB-B2701B818676}"/>
    <cellStyle name="Normal 10 3 3 4 6 2" xfId="21825" xr:uid="{080170AB-D66B-4F8B-8A08-CDEFF2F3D1FB}"/>
    <cellStyle name="Normal 10 3 3 4 6 2 2" xfId="21826" xr:uid="{B8935B1F-E990-4EC0-A13D-87C8F0961EBB}"/>
    <cellStyle name="Normal 10 3 3 4 6 2 2 2" xfId="21827" xr:uid="{9C196870-EA83-4937-A549-F1A724EC27EE}"/>
    <cellStyle name="Normal 10 3 3 4 6 2 2 2 2" xfId="21828" xr:uid="{76132F31-C643-4CBC-8CC6-19A40EFC8045}"/>
    <cellStyle name="Normal 10 3 3 4 6 2 2 3" xfId="21829" xr:uid="{FDAF1A73-A69C-47B4-8B2D-B06FB2E24861}"/>
    <cellStyle name="Normal 10 3 3 4 6 2 3" xfId="21830" xr:uid="{4A3330AD-81FD-4D11-B25D-1B37C5AFDD5A}"/>
    <cellStyle name="Normal 10 3 3 4 6 2 3 2" xfId="21831" xr:uid="{BCA96DE0-4DF3-45EE-9B6C-573D7590F56B}"/>
    <cellStyle name="Normal 10 3 3 4 6 2 4" xfId="21832" xr:uid="{EA386F27-EE5D-4E6D-88BB-B366F9A9DB4D}"/>
    <cellStyle name="Normal 10 3 3 4 6 3" xfId="21833" xr:uid="{4053B054-BB7F-4283-8CA6-39EBC1D96EF1}"/>
    <cellStyle name="Normal 10 3 3 4 6 3 2" xfId="21834" xr:uid="{3A96E2BD-86A0-4A50-B13B-F7AD3DC25BB4}"/>
    <cellStyle name="Normal 10 3 3 4 6 3 2 2" xfId="21835" xr:uid="{E6E41DC2-59C1-415F-97E3-4AFD888AAC5D}"/>
    <cellStyle name="Normal 10 3 3 4 6 3 3" xfId="21836" xr:uid="{283E85FD-A85F-41CC-8111-B3E28639C474}"/>
    <cellStyle name="Normal 10 3 3 4 6 4" xfId="21837" xr:uid="{1C90D5AE-5666-4388-87ED-3C8C521687AB}"/>
    <cellStyle name="Normal 10 3 3 4 6 4 2" xfId="21838" xr:uid="{2CBC883F-5CD4-46F9-B795-CA424997A28F}"/>
    <cellStyle name="Normal 10 3 3 4 6 5" xfId="21839" xr:uid="{FD747F27-536D-4605-9EFA-05A720742F52}"/>
    <cellStyle name="Normal 10 3 3 4 7" xfId="21840" xr:uid="{484D3292-39DE-4FFB-889F-685881B3D11A}"/>
    <cellStyle name="Normal 10 3 3 4 7 2" xfId="21841" xr:uid="{74D311C5-BB2D-4BFB-B423-45A984069659}"/>
    <cellStyle name="Normal 10 3 3 4 7 2 2" xfId="21842" xr:uid="{F4115579-6D55-487B-ADF2-45EE7BE3FAA6}"/>
    <cellStyle name="Normal 10 3 3 4 7 2 2 2" xfId="21843" xr:uid="{81A5E706-D86F-4A32-A866-B185E5E6F4C9}"/>
    <cellStyle name="Normal 10 3 3 4 7 2 3" xfId="21844" xr:uid="{2BC7E537-D7DC-437D-AD47-0BF8D35C9D1A}"/>
    <cellStyle name="Normal 10 3 3 4 7 3" xfId="21845" xr:uid="{464195F2-F5EB-4588-B939-C53951EE0535}"/>
    <cellStyle name="Normal 10 3 3 4 7 3 2" xfId="21846" xr:uid="{FC918E3D-BE80-4681-B94E-D79E367EDFF8}"/>
    <cellStyle name="Normal 10 3 3 4 7 4" xfId="21847" xr:uid="{8B34C590-F48D-4F02-9C2E-6F8640E05493}"/>
    <cellStyle name="Normal 10 3 3 4 8" xfId="21848" xr:uid="{E2C034B8-F9F2-4B37-B0E9-93A9A3BFED1B}"/>
    <cellStyle name="Normal 10 3 3 4 8 2" xfId="21849" xr:uid="{C4D4784E-5589-4AE4-BB1A-8E4D35F86A60}"/>
    <cellStyle name="Normal 10 3 3 4 8 2 2" xfId="21850" xr:uid="{5555CBBA-92F6-4CD1-9B9E-C80BED6EB722}"/>
    <cellStyle name="Normal 10 3 3 4 8 3" xfId="21851" xr:uid="{F23E6E51-539A-4710-8512-3229E60728A3}"/>
    <cellStyle name="Normal 10 3 3 4 9" xfId="21852" xr:uid="{782FA0F5-CFB2-46AC-92F8-26C434D8D293}"/>
    <cellStyle name="Normal 10 3 3 4 9 2" xfId="21853" xr:uid="{340DDC40-F8D2-46B9-B2E7-CC964F40C5AD}"/>
    <cellStyle name="Normal 10 3 3 5" xfId="275" xr:uid="{3F66A5B2-BD22-48C1-8DFB-B8B2391273A3}"/>
    <cellStyle name="Normal 10 3 3 5 10" xfId="21854" xr:uid="{E5AB38B4-E85C-4654-874A-0F412CBDC446}"/>
    <cellStyle name="Normal 10 3 3 5 11" xfId="569" xr:uid="{08426765-AB81-49C4-A3F3-D0ADE70AD506}"/>
    <cellStyle name="Normal 10 3 3 5 2" xfId="342" xr:uid="{16FEFFC6-0BB7-4A30-B8F6-32D2D05EF287}"/>
    <cellStyle name="Normal 10 3 3 5 2 10" xfId="21855" xr:uid="{B3F3B306-F26A-4260-B03D-9DA3A6680212}"/>
    <cellStyle name="Normal 10 3 3 5 2 2" xfId="21856" xr:uid="{FFE2FC05-EAA3-4B5F-A3B9-6E5E10AE2552}"/>
    <cellStyle name="Normal 10 3 3 5 2 2 2" xfId="21857" xr:uid="{7249BA9A-D3FC-4369-AC71-ECCBF628E92A}"/>
    <cellStyle name="Normal 10 3 3 5 2 2 2 2" xfId="21858" xr:uid="{AD4CD6C9-AF24-43F4-8BD6-DD0C84B12C11}"/>
    <cellStyle name="Normal 10 3 3 5 2 2 2 2 2" xfId="21859" xr:uid="{EA4A87AC-911D-498E-AE50-241AADCFD08B}"/>
    <cellStyle name="Normal 10 3 3 5 2 2 2 2 2 2" xfId="21860" xr:uid="{D9E74666-00C9-46BA-BDCF-2B00E54213C5}"/>
    <cellStyle name="Normal 10 3 3 5 2 2 2 2 2 2 2" xfId="21861" xr:uid="{B111894D-F45C-4065-87C8-25A009C0C27E}"/>
    <cellStyle name="Normal 10 3 3 5 2 2 2 2 2 2 2 2" xfId="21862" xr:uid="{01054179-0107-47C4-AB36-D99EDEF8AC0C}"/>
    <cellStyle name="Normal 10 3 3 5 2 2 2 2 2 2 2 2 2" xfId="21863" xr:uid="{CD5E387A-DC77-422F-89F0-B1EBD80CD17D}"/>
    <cellStyle name="Normal 10 3 3 5 2 2 2 2 2 2 2 3" xfId="21864" xr:uid="{1A773C9A-119C-47CB-AE3E-04A41EB2A45E}"/>
    <cellStyle name="Normal 10 3 3 5 2 2 2 2 2 2 3" xfId="21865" xr:uid="{C11D59F7-564A-4F77-9B26-811E6EA0B46D}"/>
    <cellStyle name="Normal 10 3 3 5 2 2 2 2 2 2 3 2" xfId="21866" xr:uid="{D087AB25-8A8C-48B6-8D8B-B71964E97A9B}"/>
    <cellStyle name="Normal 10 3 3 5 2 2 2 2 2 2 4" xfId="21867" xr:uid="{62577E87-A120-46CE-8786-B70866CB02CE}"/>
    <cellStyle name="Normal 10 3 3 5 2 2 2 2 2 3" xfId="21868" xr:uid="{B6206671-662B-4D23-BFA1-DC9024CE54A6}"/>
    <cellStyle name="Normal 10 3 3 5 2 2 2 2 2 3 2" xfId="21869" xr:uid="{E1696D4C-A0B7-4EE7-A6BB-F07EB9114BBF}"/>
    <cellStyle name="Normal 10 3 3 5 2 2 2 2 2 3 2 2" xfId="21870" xr:uid="{B41289D5-47BF-4816-A8C2-5253EF372245}"/>
    <cellStyle name="Normal 10 3 3 5 2 2 2 2 2 3 3" xfId="21871" xr:uid="{07BB2D3D-7BBE-426D-8152-0C3EBA49D5EA}"/>
    <cellStyle name="Normal 10 3 3 5 2 2 2 2 2 4" xfId="21872" xr:uid="{CD56DB6B-4839-4F64-9BD5-1E63981E2D7E}"/>
    <cellStyle name="Normal 10 3 3 5 2 2 2 2 2 4 2" xfId="21873" xr:uid="{979C9754-AFC9-4027-A627-1936066B05D2}"/>
    <cellStyle name="Normal 10 3 3 5 2 2 2 2 2 5" xfId="21874" xr:uid="{48B1A3DB-6D48-4191-AFCF-0ACB25BA92C3}"/>
    <cellStyle name="Normal 10 3 3 5 2 2 2 2 3" xfId="21875" xr:uid="{ABD0FEA5-B59A-4B88-A7F0-1F2430700323}"/>
    <cellStyle name="Normal 10 3 3 5 2 2 2 2 3 2" xfId="21876" xr:uid="{C2E20951-6A79-4D16-B82E-6F29CC4825FA}"/>
    <cellStyle name="Normal 10 3 3 5 2 2 2 2 3 2 2" xfId="21877" xr:uid="{9653882D-9D62-483A-B16F-78AA4F1F83D0}"/>
    <cellStyle name="Normal 10 3 3 5 2 2 2 2 3 2 2 2" xfId="21878" xr:uid="{C389024A-7E5C-4CF7-8DED-75638C9C6C2A}"/>
    <cellStyle name="Normal 10 3 3 5 2 2 2 2 3 2 3" xfId="21879" xr:uid="{6CCDF0B4-4352-4EC9-8D40-2CB1BEE42E72}"/>
    <cellStyle name="Normal 10 3 3 5 2 2 2 2 3 3" xfId="21880" xr:uid="{86E66151-EBCA-4B40-8CE6-8A1A911CBA6B}"/>
    <cellStyle name="Normal 10 3 3 5 2 2 2 2 3 3 2" xfId="21881" xr:uid="{5C0419B0-7417-4A89-AFB3-FB775E20BAE3}"/>
    <cellStyle name="Normal 10 3 3 5 2 2 2 2 3 4" xfId="21882" xr:uid="{808074BB-9C8C-4278-9CF0-430BBE7CF8EA}"/>
    <cellStyle name="Normal 10 3 3 5 2 2 2 2 4" xfId="21883" xr:uid="{049F0DCF-CDFB-465D-9A72-D1B0EC933C71}"/>
    <cellStyle name="Normal 10 3 3 5 2 2 2 2 4 2" xfId="21884" xr:uid="{2CBE9955-D112-46D4-80ED-4767F36F700A}"/>
    <cellStyle name="Normal 10 3 3 5 2 2 2 2 4 2 2" xfId="21885" xr:uid="{0D6F9239-DC13-4122-AB73-14193721EB27}"/>
    <cellStyle name="Normal 10 3 3 5 2 2 2 2 4 3" xfId="21886" xr:uid="{22623052-7E46-4E9B-B5B1-C56F9FD5E099}"/>
    <cellStyle name="Normal 10 3 3 5 2 2 2 2 5" xfId="21887" xr:uid="{43E69A72-F92B-4173-8838-6EEAF07988C8}"/>
    <cellStyle name="Normal 10 3 3 5 2 2 2 2 5 2" xfId="21888" xr:uid="{FA88CCB6-48FD-4A03-A958-AA822B1FDB8A}"/>
    <cellStyle name="Normal 10 3 3 5 2 2 2 2 6" xfId="21889" xr:uid="{6E53031C-6FB1-44DC-BC59-3EAC78F92103}"/>
    <cellStyle name="Normal 10 3 3 5 2 2 2 3" xfId="21890" xr:uid="{5CAE0299-44BD-4EC7-B5A5-54CB8BDF5F0A}"/>
    <cellStyle name="Normal 10 3 3 5 2 2 2 3 2" xfId="21891" xr:uid="{3A5B59F6-94CD-4831-9ED9-8C81F0B5D211}"/>
    <cellStyle name="Normal 10 3 3 5 2 2 2 3 2 2" xfId="21892" xr:uid="{9FA22428-7588-4702-B515-79702384991D}"/>
    <cellStyle name="Normal 10 3 3 5 2 2 2 3 2 2 2" xfId="21893" xr:uid="{82AD98C3-D5D5-43AF-9992-F2C6CCCEB50E}"/>
    <cellStyle name="Normal 10 3 3 5 2 2 2 3 2 2 2 2" xfId="21894" xr:uid="{E46B7F3F-04C7-4330-8281-DBA1271A0B52}"/>
    <cellStyle name="Normal 10 3 3 5 2 2 2 3 2 2 3" xfId="21895" xr:uid="{1D2A75CC-8094-442A-9888-423FF879EA6C}"/>
    <cellStyle name="Normal 10 3 3 5 2 2 2 3 2 3" xfId="21896" xr:uid="{360D135C-C8B4-424E-82D2-CA48F1A1C761}"/>
    <cellStyle name="Normal 10 3 3 5 2 2 2 3 2 3 2" xfId="21897" xr:uid="{1B0A8B18-A4D5-489C-A68B-A05937D0AA45}"/>
    <cellStyle name="Normal 10 3 3 5 2 2 2 3 2 4" xfId="21898" xr:uid="{30804E3D-630C-4AD6-AACA-73C5098E1FF3}"/>
    <cellStyle name="Normal 10 3 3 5 2 2 2 3 3" xfId="21899" xr:uid="{80B57D2C-C8C7-46C1-ADE3-7D186269A234}"/>
    <cellStyle name="Normal 10 3 3 5 2 2 2 3 3 2" xfId="21900" xr:uid="{B6F9E3AD-D287-4C9E-AC21-CB8150DF02A5}"/>
    <cellStyle name="Normal 10 3 3 5 2 2 2 3 3 2 2" xfId="21901" xr:uid="{243C5B79-C8C0-4083-960E-F8AE06CE76BB}"/>
    <cellStyle name="Normal 10 3 3 5 2 2 2 3 3 3" xfId="21902" xr:uid="{9D13CE51-B23C-4B47-8173-2AA5AFD93401}"/>
    <cellStyle name="Normal 10 3 3 5 2 2 2 3 4" xfId="21903" xr:uid="{BD88E098-C2FA-4E19-9675-B25A027218FE}"/>
    <cellStyle name="Normal 10 3 3 5 2 2 2 3 4 2" xfId="21904" xr:uid="{14868C30-5FA4-4577-BD22-0AF96D657E28}"/>
    <cellStyle name="Normal 10 3 3 5 2 2 2 3 5" xfId="21905" xr:uid="{AE79A2A4-4D0E-4E91-80A2-773676AD3A80}"/>
    <cellStyle name="Normal 10 3 3 5 2 2 2 4" xfId="21906" xr:uid="{159811D0-7EB7-4BFC-8CA2-3C6498F713CB}"/>
    <cellStyle name="Normal 10 3 3 5 2 2 2 4 2" xfId="21907" xr:uid="{AFCA4C49-9695-47B5-A8A4-018160DC3108}"/>
    <cellStyle name="Normal 10 3 3 5 2 2 2 4 2 2" xfId="21908" xr:uid="{2E02E760-CAE2-4AB0-A086-9DD53AA88BBB}"/>
    <cellStyle name="Normal 10 3 3 5 2 2 2 4 2 2 2" xfId="21909" xr:uid="{200C3C0E-9AF4-40F7-871F-9311ACB0D544}"/>
    <cellStyle name="Normal 10 3 3 5 2 2 2 4 2 3" xfId="21910" xr:uid="{646A11F7-C604-4562-8E9D-1FFEFB7D4FEA}"/>
    <cellStyle name="Normal 10 3 3 5 2 2 2 4 3" xfId="21911" xr:uid="{4C0C1482-D987-4368-A3E7-32239EBA3F95}"/>
    <cellStyle name="Normal 10 3 3 5 2 2 2 4 3 2" xfId="21912" xr:uid="{73CBD2D4-E6E2-4963-93D3-12C826D15726}"/>
    <cellStyle name="Normal 10 3 3 5 2 2 2 4 4" xfId="21913" xr:uid="{93C383F8-79AC-46BB-A16E-D824AA83186E}"/>
    <cellStyle name="Normal 10 3 3 5 2 2 2 5" xfId="21914" xr:uid="{D9B2D913-60AF-41E1-810E-484181F989F7}"/>
    <cellStyle name="Normal 10 3 3 5 2 2 2 5 2" xfId="21915" xr:uid="{EF10839A-C128-4862-ADA0-8EE5AE61F3F8}"/>
    <cellStyle name="Normal 10 3 3 5 2 2 2 5 2 2" xfId="21916" xr:uid="{764BC08F-257D-428A-9801-0BA8AA57CDDB}"/>
    <cellStyle name="Normal 10 3 3 5 2 2 2 5 3" xfId="21917" xr:uid="{0F5A3DD6-BC93-47AC-8FAD-3AFFEDFB84F7}"/>
    <cellStyle name="Normal 10 3 3 5 2 2 2 6" xfId="21918" xr:uid="{0E54236D-A5F8-484E-8325-F922E6642AC9}"/>
    <cellStyle name="Normal 10 3 3 5 2 2 2 6 2" xfId="21919" xr:uid="{A2D0B592-1A06-4C2B-93EA-0E3A2600BA2A}"/>
    <cellStyle name="Normal 10 3 3 5 2 2 2 7" xfId="21920" xr:uid="{DB31A69C-A89A-4BA2-89D4-2EDFA41375F8}"/>
    <cellStyle name="Normal 10 3 3 5 2 2 3" xfId="21921" xr:uid="{5A212791-6FC9-48FE-9710-60C49F10CCB7}"/>
    <cellStyle name="Normal 10 3 3 5 2 2 3 2" xfId="21922" xr:uid="{2D338D6F-828C-4EC1-B354-31BAFD3E0D8C}"/>
    <cellStyle name="Normal 10 3 3 5 2 2 3 2 2" xfId="21923" xr:uid="{8C7A64B9-8190-4D86-8290-44E0DE464543}"/>
    <cellStyle name="Normal 10 3 3 5 2 2 3 2 2 2" xfId="21924" xr:uid="{A31EB35A-C7C6-491B-85FF-BC8A2914A663}"/>
    <cellStyle name="Normal 10 3 3 5 2 2 3 2 2 2 2" xfId="21925" xr:uid="{2F623FFD-9117-4E5C-90C2-2B6CB392C335}"/>
    <cellStyle name="Normal 10 3 3 5 2 2 3 2 2 2 2 2" xfId="21926" xr:uid="{5097B29F-46E2-4E40-99FA-555D8F507854}"/>
    <cellStyle name="Normal 10 3 3 5 2 2 3 2 2 2 3" xfId="21927" xr:uid="{5829D000-7088-460F-B366-A9A80796156E}"/>
    <cellStyle name="Normal 10 3 3 5 2 2 3 2 2 3" xfId="21928" xr:uid="{4DFDBCE0-B41F-4B9A-B763-F3A662C17750}"/>
    <cellStyle name="Normal 10 3 3 5 2 2 3 2 2 3 2" xfId="21929" xr:uid="{CAE4E5ED-2E47-4FD2-AA3E-B03F62ADA035}"/>
    <cellStyle name="Normal 10 3 3 5 2 2 3 2 2 4" xfId="21930" xr:uid="{BC8615F7-4DA8-457C-8AA2-3259158D582E}"/>
    <cellStyle name="Normal 10 3 3 5 2 2 3 2 3" xfId="21931" xr:uid="{405689DA-2D09-4544-AC90-B963AF11A272}"/>
    <cellStyle name="Normal 10 3 3 5 2 2 3 2 3 2" xfId="21932" xr:uid="{ABAE4B92-3E91-441D-AD2C-3BF357304F22}"/>
    <cellStyle name="Normal 10 3 3 5 2 2 3 2 3 2 2" xfId="21933" xr:uid="{A63B81F9-B3B1-459A-8477-043E4C4F7B3B}"/>
    <cellStyle name="Normal 10 3 3 5 2 2 3 2 3 3" xfId="21934" xr:uid="{25D0BA8A-5C38-4897-9B5C-10BB128D2F9B}"/>
    <cellStyle name="Normal 10 3 3 5 2 2 3 2 4" xfId="21935" xr:uid="{E1D8D443-033D-4165-A6B5-08E6AE0EC84A}"/>
    <cellStyle name="Normal 10 3 3 5 2 2 3 2 4 2" xfId="21936" xr:uid="{ABA729C0-5B14-40DD-97CF-A5E9E420E4C9}"/>
    <cellStyle name="Normal 10 3 3 5 2 2 3 2 5" xfId="21937" xr:uid="{9BF5444C-2DDB-4D5D-BFDD-756F24A2B792}"/>
    <cellStyle name="Normal 10 3 3 5 2 2 3 3" xfId="21938" xr:uid="{936ED299-E3EF-45BF-9763-4506632BC585}"/>
    <cellStyle name="Normal 10 3 3 5 2 2 3 3 2" xfId="21939" xr:uid="{480EFC87-7C42-41AD-8B27-7DEE8BB1689C}"/>
    <cellStyle name="Normal 10 3 3 5 2 2 3 3 2 2" xfId="21940" xr:uid="{6D0DBBDD-F1A4-4E83-A350-75178240037A}"/>
    <cellStyle name="Normal 10 3 3 5 2 2 3 3 2 2 2" xfId="21941" xr:uid="{CCFFD099-E864-4992-8B5C-2B210F774991}"/>
    <cellStyle name="Normal 10 3 3 5 2 2 3 3 2 3" xfId="21942" xr:uid="{729913A3-6CCF-4C53-957A-E915AF34EAF6}"/>
    <cellStyle name="Normal 10 3 3 5 2 2 3 3 3" xfId="21943" xr:uid="{AB2A9C36-1789-4A3F-97C2-B3C84575CBFE}"/>
    <cellStyle name="Normal 10 3 3 5 2 2 3 3 3 2" xfId="21944" xr:uid="{A0EC7781-E4B3-4D80-BE8B-3087CD8B6A0A}"/>
    <cellStyle name="Normal 10 3 3 5 2 2 3 3 4" xfId="21945" xr:uid="{CD3B448C-4A7D-4B36-9633-4FE96F5930B6}"/>
    <cellStyle name="Normal 10 3 3 5 2 2 3 4" xfId="21946" xr:uid="{06B2F810-6F2F-4AA1-85CF-1F5AB6C6AAF5}"/>
    <cellStyle name="Normal 10 3 3 5 2 2 3 4 2" xfId="21947" xr:uid="{5D428FC1-1DC8-4954-884E-DE5C3B1D20B1}"/>
    <cellStyle name="Normal 10 3 3 5 2 2 3 4 2 2" xfId="21948" xr:uid="{F7C5ED8E-4602-478B-B916-8A175D767599}"/>
    <cellStyle name="Normal 10 3 3 5 2 2 3 4 3" xfId="21949" xr:uid="{679D11DF-A15A-4A4F-916D-02376BA2C7F7}"/>
    <cellStyle name="Normal 10 3 3 5 2 2 3 5" xfId="21950" xr:uid="{5C9077C1-1BCB-4640-8DE7-EF181DF61181}"/>
    <cellStyle name="Normal 10 3 3 5 2 2 3 5 2" xfId="21951" xr:uid="{73C3188A-645B-430D-8E12-F77668BDFFF5}"/>
    <cellStyle name="Normal 10 3 3 5 2 2 3 6" xfId="21952" xr:uid="{EF15874E-E318-4675-A917-8E65F6640482}"/>
    <cellStyle name="Normal 10 3 3 5 2 2 4" xfId="21953" xr:uid="{C6DCD4A6-3DCF-4405-B8B1-805154AB8847}"/>
    <cellStyle name="Normal 10 3 3 5 2 2 4 2" xfId="21954" xr:uid="{41D5EFED-030D-4BF5-A2AC-3A34EA09E1AC}"/>
    <cellStyle name="Normal 10 3 3 5 2 2 4 2 2" xfId="21955" xr:uid="{6511703C-5061-4FF6-A953-2E72127644E0}"/>
    <cellStyle name="Normal 10 3 3 5 2 2 4 2 2 2" xfId="21956" xr:uid="{6B4C02DA-2C1A-475D-BA4A-E453ADE26578}"/>
    <cellStyle name="Normal 10 3 3 5 2 2 4 2 2 2 2" xfId="21957" xr:uid="{A822E960-8EE7-4B48-8AC0-479B7E2CD18D}"/>
    <cellStyle name="Normal 10 3 3 5 2 2 4 2 2 3" xfId="21958" xr:uid="{59401530-FA70-4C10-8695-8EFAE25DDF0C}"/>
    <cellStyle name="Normal 10 3 3 5 2 2 4 2 3" xfId="21959" xr:uid="{17C22B49-228B-4AB8-8AF7-A5C3F3E82FD8}"/>
    <cellStyle name="Normal 10 3 3 5 2 2 4 2 3 2" xfId="21960" xr:uid="{BA705610-DFDE-423F-9748-3884E630A8C9}"/>
    <cellStyle name="Normal 10 3 3 5 2 2 4 2 4" xfId="21961" xr:uid="{588604EC-5567-45B0-9932-0ECE87E2CACD}"/>
    <cellStyle name="Normal 10 3 3 5 2 2 4 3" xfId="21962" xr:uid="{858C5E1D-6E51-437E-A9EF-061D15845B46}"/>
    <cellStyle name="Normal 10 3 3 5 2 2 4 3 2" xfId="21963" xr:uid="{C28A32C1-EF91-4A34-B32E-24EBDF5969CE}"/>
    <cellStyle name="Normal 10 3 3 5 2 2 4 3 2 2" xfId="21964" xr:uid="{3E013E84-5F54-427A-B0FC-AAD21021A47A}"/>
    <cellStyle name="Normal 10 3 3 5 2 2 4 3 3" xfId="21965" xr:uid="{F7784389-2F3D-4B47-B0C0-EF666B6ED1FA}"/>
    <cellStyle name="Normal 10 3 3 5 2 2 4 4" xfId="21966" xr:uid="{3EF78848-2935-4333-86C6-E0A96A59FD4F}"/>
    <cellStyle name="Normal 10 3 3 5 2 2 4 4 2" xfId="21967" xr:uid="{50047BCE-BBAB-4333-9B2F-3BA5AEC63852}"/>
    <cellStyle name="Normal 10 3 3 5 2 2 4 5" xfId="21968" xr:uid="{7B2A32A1-3C4B-405E-B652-D2506F054F1C}"/>
    <cellStyle name="Normal 10 3 3 5 2 2 5" xfId="21969" xr:uid="{A5BA5944-DD10-4DE6-AFFF-E0CAC67B90AB}"/>
    <cellStyle name="Normal 10 3 3 5 2 2 5 2" xfId="21970" xr:uid="{1D9994B6-0B79-49EA-8D76-088312BE189A}"/>
    <cellStyle name="Normal 10 3 3 5 2 2 5 2 2" xfId="21971" xr:uid="{9EE5E2DA-84B4-4FDF-BBBB-BABE14E16196}"/>
    <cellStyle name="Normal 10 3 3 5 2 2 5 2 2 2" xfId="21972" xr:uid="{899D3700-C4A6-4932-95CA-E3ABF880B965}"/>
    <cellStyle name="Normal 10 3 3 5 2 2 5 2 3" xfId="21973" xr:uid="{5EBFFB7A-A112-434E-8923-3F19670BC927}"/>
    <cellStyle name="Normal 10 3 3 5 2 2 5 3" xfId="21974" xr:uid="{2260BD39-08DB-46D6-AF81-BE4587F72FA8}"/>
    <cellStyle name="Normal 10 3 3 5 2 2 5 3 2" xfId="21975" xr:uid="{A002E2EA-0A1C-440D-882B-E0D1306DB738}"/>
    <cellStyle name="Normal 10 3 3 5 2 2 5 4" xfId="21976" xr:uid="{D8C16537-FEC2-400A-ABB7-3E8F40C2A4CF}"/>
    <cellStyle name="Normal 10 3 3 5 2 2 6" xfId="21977" xr:uid="{DE8200F4-597F-416D-A998-0B88BFDBA878}"/>
    <cellStyle name="Normal 10 3 3 5 2 2 6 2" xfId="21978" xr:uid="{AF7BF88F-3F99-4149-8EEF-F9E8FED5AB1E}"/>
    <cellStyle name="Normal 10 3 3 5 2 2 6 2 2" xfId="21979" xr:uid="{8F24244F-DAEC-4546-9B98-B5BD62520D42}"/>
    <cellStyle name="Normal 10 3 3 5 2 2 6 3" xfId="21980" xr:uid="{67B874CF-F314-4ADA-876B-8C3474A9735C}"/>
    <cellStyle name="Normal 10 3 3 5 2 2 7" xfId="21981" xr:uid="{DA5441D9-140C-4871-8B95-ABB5F46164D5}"/>
    <cellStyle name="Normal 10 3 3 5 2 2 7 2" xfId="21982" xr:uid="{60B0A1D9-9E07-46CD-976B-DC4ED8B7D893}"/>
    <cellStyle name="Normal 10 3 3 5 2 2 8" xfId="21983" xr:uid="{0ABA6BF2-7F3C-4CD1-AB2E-AED2F480EB5D}"/>
    <cellStyle name="Normal 10 3 3 5 2 3" xfId="21984" xr:uid="{96FC5E4A-F6B3-43DD-BC27-9B5E27407850}"/>
    <cellStyle name="Normal 10 3 3 5 2 3 2" xfId="21985" xr:uid="{1A258A71-865D-49C6-BC7C-AFD9AD4DBC21}"/>
    <cellStyle name="Normal 10 3 3 5 2 3 2 2" xfId="21986" xr:uid="{3A03A2F8-AF6C-41AC-92A7-1F83EDC7FDD2}"/>
    <cellStyle name="Normal 10 3 3 5 2 3 2 2 2" xfId="21987" xr:uid="{D4473D69-5C3C-4F6F-BEC3-06903F9AEBD8}"/>
    <cellStyle name="Normal 10 3 3 5 2 3 2 2 2 2" xfId="21988" xr:uid="{E341146E-B3DB-4B08-ABC1-F0CCC276ED51}"/>
    <cellStyle name="Normal 10 3 3 5 2 3 2 2 2 2 2" xfId="21989" xr:uid="{0A4CA929-C2E9-426D-9AA3-4734CDA12737}"/>
    <cellStyle name="Normal 10 3 3 5 2 3 2 2 2 2 2 2" xfId="21990" xr:uid="{5681EB85-7D1E-4529-AF38-CE06A014BC0C}"/>
    <cellStyle name="Normal 10 3 3 5 2 3 2 2 2 2 3" xfId="21991" xr:uid="{CEBA8E32-58A7-4EE5-B840-16A392B45652}"/>
    <cellStyle name="Normal 10 3 3 5 2 3 2 2 2 3" xfId="21992" xr:uid="{DB11CCAE-E803-4332-8009-F27514723724}"/>
    <cellStyle name="Normal 10 3 3 5 2 3 2 2 2 3 2" xfId="21993" xr:uid="{C55D563B-A7D0-4F17-B6D6-E24A98D288A2}"/>
    <cellStyle name="Normal 10 3 3 5 2 3 2 2 2 4" xfId="21994" xr:uid="{A725561A-D95F-459D-80DE-27D02F4DC45B}"/>
    <cellStyle name="Normal 10 3 3 5 2 3 2 2 3" xfId="21995" xr:uid="{F157756E-B916-488D-8485-884D5651A03D}"/>
    <cellStyle name="Normal 10 3 3 5 2 3 2 2 3 2" xfId="21996" xr:uid="{D7613D8A-5D2C-42E0-ADF2-7533262B1725}"/>
    <cellStyle name="Normal 10 3 3 5 2 3 2 2 3 2 2" xfId="21997" xr:uid="{370DF09D-3575-4009-A98A-0D41FC551994}"/>
    <cellStyle name="Normal 10 3 3 5 2 3 2 2 3 3" xfId="21998" xr:uid="{EF3A631D-A960-4731-81BB-FA913F9E5167}"/>
    <cellStyle name="Normal 10 3 3 5 2 3 2 2 4" xfId="21999" xr:uid="{CD4A04BC-1A41-4F27-9A62-F2AC051BCBD3}"/>
    <cellStyle name="Normal 10 3 3 5 2 3 2 2 4 2" xfId="22000" xr:uid="{A7942DAF-AC5B-43BB-B8F0-9C6C95C45940}"/>
    <cellStyle name="Normal 10 3 3 5 2 3 2 2 5" xfId="22001" xr:uid="{B2239AF3-C08B-49C6-B2F3-8E82B502235F}"/>
    <cellStyle name="Normal 10 3 3 5 2 3 2 3" xfId="22002" xr:uid="{F9B72675-EB95-4C65-B9CA-84A2BA660148}"/>
    <cellStyle name="Normal 10 3 3 5 2 3 2 3 2" xfId="22003" xr:uid="{96A14C65-646B-490A-89AB-211288FCC821}"/>
    <cellStyle name="Normal 10 3 3 5 2 3 2 3 2 2" xfId="22004" xr:uid="{6FD6740E-B39A-462C-9325-46A1FF858A8E}"/>
    <cellStyle name="Normal 10 3 3 5 2 3 2 3 2 2 2" xfId="22005" xr:uid="{595036F0-8C01-4884-BFC5-9444F1B33395}"/>
    <cellStyle name="Normal 10 3 3 5 2 3 2 3 2 3" xfId="22006" xr:uid="{869BF9FF-EAB8-450B-8E54-99C54AF53922}"/>
    <cellStyle name="Normal 10 3 3 5 2 3 2 3 3" xfId="22007" xr:uid="{1DCA3DEA-F959-433F-90A2-44B068B90FC6}"/>
    <cellStyle name="Normal 10 3 3 5 2 3 2 3 3 2" xfId="22008" xr:uid="{59736D3C-F46A-437C-B2BE-99C72FC486A4}"/>
    <cellStyle name="Normal 10 3 3 5 2 3 2 3 4" xfId="22009" xr:uid="{F36ACEBA-D6DB-4FEC-BBB7-0B2913B2D679}"/>
    <cellStyle name="Normal 10 3 3 5 2 3 2 4" xfId="22010" xr:uid="{6F71163E-311F-4D30-9AA6-063EDF8136DF}"/>
    <cellStyle name="Normal 10 3 3 5 2 3 2 4 2" xfId="22011" xr:uid="{32B14E76-1454-44EB-A296-53A0B6C0B5A0}"/>
    <cellStyle name="Normal 10 3 3 5 2 3 2 4 2 2" xfId="22012" xr:uid="{53073C5C-6609-49E0-91CF-51659DEF35EE}"/>
    <cellStyle name="Normal 10 3 3 5 2 3 2 4 3" xfId="22013" xr:uid="{584BE9E1-6104-435D-99D9-0D6B228A1C7D}"/>
    <cellStyle name="Normal 10 3 3 5 2 3 2 5" xfId="22014" xr:uid="{710EDA3A-2B3E-4ED5-8F93-7327CA1DDDCC}"/>
    <cellStyle name="Normal 10 3 3 5 2 3 2 5 2" xfId="22015" xr:uid="{D81489C1-3A74-43F6-92D3-AA0246D1F80A}"/>
    <cellStyle name="Normal 10 3 3 5 2 3 2 6" xfId="22016" xr:uid="{A2B9B782-3938-42EC-9945-A4BC187B606A}"/>
    <cellStyle name="Normal 10 3 3 5 2 3 3" xfId="22017" xr:uid="{CBCA7101-5758-417B-AFEA-780BE650043B}"/>
    <cellStyle name="Normal 10 3 3 5 2 3 3 2" xfId="22018" xr:uid="{3F5B90B4-D52A-498F-84B6-9A84AFB29C6F}"/>
    <cellStyle name="Normal 10 3 3 5 2 3 3 2 2" xfId="22019" xr:uid="{37ACA469-1A02-404C-8543-B4A5A99CE50E}"/>
    <cellStyle name="Normal 10 3 3 5 2 3 3 2 2 2" xfId="22020" xr:uid="{2F96C536-6785-469B-9F26-EE2A3CBCB3C9}"/>
    <cellStyle name="Normal 10 3 3 5 2 3 3 2 2 2 2" xfId="22021" xr:uid="{E03A32A7-0BA5-49E8-A7FA-733AD14CCF21}"/>
    <cellStyle name="Normal 10 3 3 5 2 3 3 2 2 3" xfId="22022" xr:uid="{8F063F5B-013F-483B-A7E9-AC9A1A894600}"/>
    <cellStyle name="Normal 10 3 3 5 2 3 3 2 3" xfId="22023" xr:uid="{E9D4ECCC-C01C-495F-8BE6-5C99E3EA7FD9}"/>
    <cellStyle name="Normal 10 3 3 5 2 3 3 2 3 2" xfId="22024" xr:uid="{250104E8-7855-4B7B-9968-AF715C0D4872}"/>
    <cellStyle name="Normal 10 3 3 5 2 3 3 2 4" xfId="22025" xr:uid="{74F26D4B-94C5-4E28-B1C5-BD71823B37F6}"/>
    <cellStyle name="Normal 10 3 3 5 2 3 3 3" xfId="22026" xr:uid="{77FF6FE0-9973-47BD-BE6C-0EF9D7A80230}"/>
    <cellStyle name="Normal 10 3 3 5 2 3 3 3 2" xfId="22027" xr:uid="{C70ABF21-3368-49D0-8BA9-A01BFF86FEF1}"/>
    <cellStyle name="Normal 10 3 3 5 2 3 3 3 2 2" xfId="22028" xr:uid="{540B54C0-9578-4A2B-BFDF-6D805AE78BD5}"/>
    <cellStyle name="Normal 10 3 3 5 2 3 3 3 3" xfId="22029" xr:uid="{C2434088-289B-4602-946D-0A0806CDEE62}"/>
    <cellStyle name="Normal 10 3 3 5 2 3 3 4" xfId="22030" xr:uid="{0325A724-081C-4753-BF4E-5FD9B855B959}"/>
    <cellStyle name="Normal 10 3 3 5 2 3 3 4 2" xfId="22031" xr:uid="{E1836CF0-D7EA-4584-BB91-E1C5F5DF450A}"/>
    <cellStyle name="Normal 10 3 3 5 2 3 3 5" xfId="22032" xr:uid="{EA1D3915-74BC-4066-AEF5-E9822FCE2331}"/>
    <cellStyle name="Normal 10 3 3 5 2 3 4" xfId="22033" xr:uid="{3BADCFCE-84EC-47FE-82DD-252E91CD24EC}"/>
    <cellStyle name="Normal 10 3 3 5 2 3 4 2" xfId="22034" xr:uid="{769F42B5-FC7F-4324-9CB9-3C19CA874EDC}"/>
    <cellStyle name="Normal 10 3 3 5 2 3 4 2 2" xfId="22035" xr:uid="{AE0E5C10-8935-4C17-BB62-D7E74CC32FEB}"/>
    <cellStyle name="Normal 10 3 3 5 2 3 4 2 2 2" xfId="22036" xr:uid="{2D7B2A5B-866B-4926-9E9E-049FDFFFBD29}"/>
    <cellStyle name="Normal 10 3 3 5 2 3 4 2 3" xfId="22037" xr:uid="{16EA1B7A-941B-4C1C-9C06-F99102311FDE}"/>
    <cellStyle name="Normal 10 3 3 5 2 3 4 3" xfId="22038" xr:uid="{A45C84AC-61F6-4ADE-9800-DDB2B2A54B40}"/>
    <cellStyle name="Normal 10 3 3 5 2 3 4 3 2" xfId="22039" xr:uid="{5CED46A6-8C9C-4462-B87A-4B64D11CCB86}"/>
    <cellStyle name="Normal 10 3 3 5 2 3 4 4" xfId="22040" xr:uid="{739192F2-1AD1-41E4-9148-B920F2BD8550}"/>
    <cellStyle name="Normal 10 3 3 5 2 3 5" xfId="22041" xr:uid="{1C547405-3841-45B2-9183-F764EDAC32EE}"/>
    <cellStyle name="Normal 10 3 3 5 2 3 5 2" xfId="22042" xr:uid="{D7370D2F-BA34-4F1F-9ADE-D1D52DD4BA58}"/>
    <cellStyle name="Normal 10 3 3 5 2 3 5 2 2" xfId="22043" xr:uid="{243E42E9-FB8B-489A-8E94-2A0307B127EF}"/>
    <cellStyle name="Normal 10 3 3 5 2 3 5 3" xfId="22044" xr:uid="{286F5CCC-264B-4697-9191-66F64E89A62D}"/>
    <cellStyle name="Normal 10 3 3 5 2 3 6" xfId="22045" xr:uid="{B8794115-D7F2-4213-A711-9CF063DA111A}"/>
    <cellStyle name="Normal 10 3 3 5 2 3 6 2" xfId="22046" xr:uid="{936B7F9D-2E58-4F20-972D-4A0A24F22A2D}"/>
    <cellStyle name="Normal 10 3 3 5 2 3 7" xfId="22047" xr:uid="{66AD2074-7337-4866-90EC-24C2E776D0D4}"/>
    <cellStyle name="Normal 10 3 3 5 2 4" xfId="22048" xr:uid="{E9A5F738-10BB-4B80-A4FE-A0267A4B8013}"/>
    <cellStyle name="Normal 10 3 3 5 2 4 2" xfId="22049" xr:uid="{35E66D92-EDFB-440D-8390-675EE72CF4BC}"/>
    <cellStyle name="Normal 10 3 3 5 2 4 2 2" xfId="22050" xr:uid="{1489E8B7-19C7-4C6B-9352-47B5F3AD8EBC}"/>
    <cellStyle name="Normal 10 3 3 5 2 4 2 2 2" xfId="22051" xr:uid="{FAA3064C-8456-47EE-95D5-27EAD585B342}"/>
    <cellStyle name="Normal 10 3 3 5 2 4 2 2 2 2" xfId="22052" xr:uid="{BA19691E-AA53-46D5-B39D-661A280443C2}"/>
    <cellStyle name="Normal 10 3 3 5 2 4 2 2 2 2 2" xfId="22053" xr:uid="{7916F544-0E34-4994-8D47-43BC963596C7}"/>
    <cellStyle name="Normal 10 3 3 5 2 4 2 2 2 3" xfId="22054" xr:uid="{938E56A4-A96F-4F46-B9CF-1F4501112263}"/>
    <cellStyle name="Normal 10 3 3 5 2 4 2 2 3" xfId="22055" xr:uid="{4FC4A2E8-0535-4475-9E55-96EC2F4D5EB8}"/>
    <cellStyle name="Normal 10 3 3 5 2 4 2 2 3 2" xfId="22056" xr:uid="{231E11D5-F3E8-4D7C-825A-B0844AEAB33A}"/>
    <cellStyle name="Normal 10 3 3 5 2 4 2 2 4" xfId="22057" xr:uid="{B73118B9-7F2C-4132-B502-D7B590B35C36}"/>
    <cellStyle name="Normal 10 3 3 5 2 4 2 3" xfId="22058" xr:uid="{B374179F-1316-4DB0-B6FA-C2428DD9D1CC}"/>
    <cellStyle name="Normal 10 3 3 5 2 4 2 3 2" xfId="22059" xr:uid="{118C02EC-EEBA-4F6D-B12C-5DE5AED950C2}"/>
    <cellStyle name="Normal 10 3 3 5 2 4 2 3 2 2" xfId="22060" xr:uid="{FF531C20-C12F-42CF-921B-8A247C2E4D04}"/>
    <cellStyle name="Normal 10 3 3 5 2 4 2 3 3" xfId="22061" xr:uid="{EBB4A4F0-6296-4216-9833-066623838320}"/>
    <cellStyle name="Normal 10 3 3 5 2 4 2 4" xfId="22062" xr:uid="{D728CA06-E00F-4911-BF35-41ADAADC6504}"/>
    <cellStyle name="Normal 10 3 3 5 2 4 2 4 2" xfId="22063" xr:uid="{4E7A7F99-5E7A-4855-8F7C-EC5B1F1B156B}"/>
    <cellStyle name="Normal 10 3 3 5 2 4 2 5" xfId="22064" xr:uid="{F08685DD-BA44-4C81-95E8-92C00E82F690}"/>
    <cellStyle name="Normal 10 3 3 5 2 4 3" xfId="22065" xr:uid="{680DC061-F966-4BDA-A5D9-1688608B9DF2}"/>
    <cellStyle name="Normal 10 3 3 5 2 4 3 2" xfId="22066" xr:uid="{157E18AE-E711-4CE6-A79D-56863BC13D4D}"/>
    <cellStyle name="Normal 10 3 3 5 2 4 3 2 2" xfId="22067" xr:uid="{08180D7B-D5E7-4898-BF13-7760DD0AD19F}"/>
    <cellStyle name="Normal 10 3 3 5 2 4 3 2 2 2" xfId="22068" xr:uid="{211E73AB-5F42-4DE7-A9F3-603478D0ABD6}"/>
    <cellStyle name="Normal 10 3 3 5 2 4 3 2 3" xfId="22069" xr:uid="{36B63519-9472-4934-8836-B8DBAA708B8C}"/>
    <cellStyle name="Normal 10 3 3 5 2 4 3 3" xfId="22070" xr:uid="{690E02EA-6621-4661-8F56-D57455E7EE66}"/>
    <cellStyle name="Normal 10 3 3 5 2 4 3 3 2" xfId="22071" xr:uid="{0A41F766-C7B4-4564-8F98-9220EEC9826B}"/>
    <cellStyle name="Normal 10 3 3 5 2 4 3 4" xfId="22072" xr:uid="{3C7D4772-85A3-42CB-9DBC-A228F8BDA22B}"/>
    <cellStyle name="Normal 10 3 3 5 2 4 4" xfId="22073" xr:uid="{2B6763EB-F9DB-498C-9870-D1EC979D8ABE}"/>
    <cellStyle name="Normal 10 3 3 5 2 4 4 2" xfId="22074" xr:uid="{70A9C7D1-6C4B-4531-A237-D67AE4A862CF}"/>
    <cellStyle name="Normal 10 3 3 5 2 4 4 2 2" xfId="22075" xr:uid="{1C6404E0-AF1E-473C-9A4E-E60963FD1A03}"/>
    <cellStyle name="Normal 10 3 3 5 2 4 4 3" xfId="22076" xr:uid="{2673158D-0D28-4BAB-9E27-F1FAFCBCE4EA}"/>
    <cellStyle name="Normal 10 3 3 5 2 4 5" xfId="22077" xr:uid="{27EA9224-0795-405F-B2BE-17F1FE139403}"/>
    <cellStyle name="Normal 10 3 3 5 2 4 5 2" xfId="22078" xr:uid="{14B6A69A-057D-40B7-A2BB-1782368FD6EF}"/>
    <cellStyle name="Normal 10 3 3 5 2 4 6" xfId="22079" xr:uid="{380EB80A-CF53-4CF9-9AEB-B2F09FA3AB6B}"/>
    <cellStyle name="Normal 10 3 3 5 2 5" xfId="22080" xr:uid="{211AEE64-9F09-4A56-A6F5-04A0598351C8}"/>
    <cellStyle name="Normal 10 3 3 5 2 5 2" xfId="22081" xr:uid="{A70EC8BB-AB29-4296-8D26-98ED51D9FFB2}"/>
    <cellStyle name="Normal 10 3 3 5 2 5 2 2" xfId="22082" xr:uid="{1673C325-B66B-479E-A073-DA65DAC9AC80}"/>
    <cellStyle name="Normal 10 3 3 5 2 5 2 2 2" xfId="22083" xr:uid="{49614BB2-ED0A-405D-B703-D4DD6509B0E4}"/>
    <cellStyle name="Normal 10 3 3 5 2 5 2 2 2 2" xfId="22084" xr:uid="{3628A080-BF84-44BC-9986-75A3D6875CA0}"/>
    <cellStyle name="Normal 10 3 3 5 2 5 2 2 3" xfId="22085" xr:uid="{BCA43E75-4A0E-4A99-B4DF-FC528FF60970}"/>
    <cellStyle name="Normal 10 3 3 5 2 5 2 3" xfId="22086" xr:uid="{CC980555-887F-4CB0-8FAB-8E73E45930C6}"/>
    <cellStyle name="Normal 10 3 3 5 2 5 2 3 2" xfId="22087" xr:uid="{1E82C7C6-9D3B-4EAF-BC15-48A9D6CD3026}"/>
    <cellStyle name="Normal 10 3 3 5 2 5 2 4" xfId="22088" xr:uid="{AC15CDCA-BC68-4A41-BC8A-5D352E531F8B}"/>
    <cellStyle name="Normal 10 3 3 5 2 5 3" xfId="22089" xr:uid="{5EB0E73E-E212-43B7-880F-7DAF3E3DEFE3}"/>
    <cellStyle name="Normal 10 3 3 5 2 5 3 2" xfId="22090" xr:uid="{33AC6701-FBFF-4A26-96F9-1DEA6BAE9181}"/>
    <cellStyle name="Normal 10 3 3 5 2 5 3 2 2" xfId="22091" xr:uid="{66C8550A-7210-4D82-AFF4-EBCA3571F2F5}"/>
    <cellStyle name="Normal 10 3 3 5 2 5 3 3" xfId="22092" xr:uid="{3C89A969-DE4A-4F73-A291-18BC93C81865}"/>
    <cellStyle name="Normal 10 3 3 5 2 5 4" xfId="22093" xr:uid="{942B7DBE-E166-4A44-9C36-10F4940683EB}"/>
    <cellStyle name="Normal 10 3 3 5 2 5 4 2" xfId="22094" xr:uid="{1A71EAD5-D6FF-42C1-9FB6-E381E73D582F}"/>
    <cellStyle name="Normal 10 3 3 5 2 5 5" xfId="22095" xr:uid="{B0CCE9CF-45D3-4EAD-B79E-B7ADF9D96A8F}"/>
    <cellStyle name="Normal 10 3 3 5 2 6" xfId="22096" xr:uid="{88DC5583-B22A-4AEF-9E9C-D36F37FDC5DD}"/>
    <cellStyle name="Normal 10 3 3 5 2 6 2" xfId="22097" xr:uid="{280B358C-4AAB-40B2-9622-2291FA6EF877}"/>
    <cellStyle name="Normal 10 3 3 5 2 6 2 2" xfId="22098" xr:uid="{4EB8DE57-FE82-4DAA-BCE1-C2B5533CBE68}"/>
    <cellStyle name="Normal 10 3 3 5 2 6 2 2 2" xfId="22099" xr:uid="{64A6A4E1-77F2-45C3-AA0D-DC6022B469CB}"/>
    <cellStyle name="Normal 10 3 3 5 2 6 2 3" xfId="22100" xr:uid="{EE9F1695-74B7-43D6-8519-62AC62724366}"/>
    <cellStyle name="Normal 10 3 3 5 2 6 3" xfId="22101" xr:uid="{FC2CEA51-24B1-4CCE-B769-1A8E035C487A}"/>
    <cellStyle name="Normal 10 3 3 5 2 6 3 2" xfId="22102" xr:uid="{C70B11A3-0260-4841-84C7-894DD7127985}"/>
    <cellStyle name="Normal 10 3 3 5 2 6 4" xfId="22103" xr:uid="{DD697C9B-CF6D-46BE-918C-49DF428657E8}"/>
    <cellStyle name="Normal 10 3 3 5 2 7" xfId="22104" xr:uid="{3290CA09-A4BA-491F-ACC8-9204D87842F1}"/>
    <cellStyle name="Normal 10 3 3 5 2 7 2" xfId="22105" xr:uid="{C325AA45-5861-4ACA-9063-E30395A74B82}"/>
    <cellStyle name="Normal 10 3 3 5 2 7 2 2" xfId="22106" xr:uid="{A4AA63BC-F2C0-467E-86A6-4A997E0F69A0}"/>
    <cellStyle name="Normal 10 3 3 5 2 7 3" xfId="22107" xr:uid="{6A75FA3B-73D4-4F76-9E29-E9A780CC0938}"/>
    <cellStyle name="Normal 10 3 3 5 2 8" xfId="22108" xr:uid="{E169D138-A20E-4CE1-A33D-627AA711B97C}"/>
    <cellStyle name="Normal 10 3 3 5 2 8 2" xfId="22109" xr:uid="{6C127042-3A83-4C85-B96E-8BC69F4DE96E}"/>
    <cellStyle name="Normal 10 3 3 5 2 9" xfId="22110" xr:uid="{870756A4-F2FC-46EC-9435-C064CA2316B1}"/>
    <cellStyle name="Normal 10 3 3 5 3" xfId="510" xr:uid="{042B8337-5AC2-4F0D-B0F8-8638E5A1C196}"/>
    <cellStyle name="Normal 10 3 3 5 3 2" xfId="22112" xr:uid="{D84ABEEE-C268-4782-ACB6-951EF1101C93}"/>
    <cellStyle name="Normal 10 3 3 5 3 2 2" xfId="22113" xr:uid="{BA146497-B3FE-4D25-A235-304FF28F5EDE}"/>
    <cellStyle name="Normal 10 3 3 5 3 2 2 2" xfId="22114" xr:uid="{AFAA8754-C80B-47EF-B7E8-5BC92EB32921}"/>
    <cellStyle name="Normal 10 3 3 5 3 2 2 2 2" xfId="22115" xr:uid="{1693AA3E-5ED1-4C16-A37C-282300F8E7F1}"/>
    <cellStyle name="Normal 10 3 3 5 3 2 2 2 2 2" xfId="22116" xr:uid="{88FA5D8D-AC9B-4A9E-A87A-837793634BF0}"/>
    <cellStyle name="Normal 10 3 3 5 3 2 2 2 2 2 2" xfId="22117" xr:uid="{BDE08F41-CA38-4456-B767-B41C8450E8AD}"/>
    <cellStyle name="Normal 10 3 3 5 3 2 2 2 2 2 2 2" xfId="22118" xr:uid="{ED9BB95A-987D-45BE-A986-B05B525FEAB5}"/>
    <cellStyle name="Normal 10 3 3 5 3 2 2 2 2 2 3" xfId="22119" xr:uid="{A67583A8-8145-4306-87EA-B234B69BB05F}"/>
    <cellStyle name="Normal 10 3 3 5 3 2 2 2 2 3" xfId="22120" xr:uid="{419F7EF7-BFB9-4979-975F-174F09938E61}"/>
    <cellStyle name="Normal 10 3 3 5 3 2 2 2 2 3 2" xfId="22121" xr:uid="{E0B6532A-88BC-49FD-B8E9-B36001277FF3}"/>
    <cellStyle name="Normal 10 3 3 5 3 2 2 2 2 4" xfId="22122" xr:uid="{95BFEE04-4149-4733-9DDA-2E134AC694FE}"/>
    <cellStyle name="Normal 10 3 3 5 3 2 2 2 3" xfId="22123" xr:uid="{B418A049-3A1F-49A8-A733-172BAEDEED7C}"/>
    <cellStyle name="Normal 10 3 3 5 3 2 2 2 3 2" xfId="22124" xr:uid="{DA118C78-7997-45E6-8899-AF9BFA469786}"/>
    <cellStyle name="Normal 10 3 3 5 3 2 2 2 3 2 2" xfId="22125" xr:uid="{A3211207-215A-412F-95F5-27A09F0D6623}"/>
    <cellStyle name="Normal 10 3 3 5 3 2 2 2 3 3" xfId="22126" xr:uid="{6ABC6403-5776-49CF-9B95-A96F23A36760}"/>
    <cellStyle name="Normal 10 3 3 5 3 2 2 2 4" xfId="22127" xr:uid="{50672F0C-0F1B-4EA5-A1B9-6607DEE98649}"/>
    <cellStyle name="Normal 10 3 3 5 3 2 2 2 4 2" xfId="22128" xr:uid="{4DEB6146-D3ED-4333-8D32-32C6DDFB744C}"/>
    <cellStyle name="Normal 10 3 3 5 3 2 2 2 5" xfId="22129" xr:uid="{169D27D3-3A94-4BC5-B964-F6E992441827}"/>
    <cellStyle name="Normal 10 3 3 5 3 2 2 3" xfId="22130" xr:uid="{23B6930F-ADB7-46E0-8958-FFDFA5D89842}"/>
    <cellStyle name="Normal 10 3 3 5 3 2 2 3 2" xfId="22131" xr:uid="{BDE5D95E-77C3-4E0B-827E-5050167E0D9C}"/>
    <cellStyle name="Normal 10 3 3 5 3 2 2 3 2 2" xfId="22132" xr:uid="{E647C34D-E520-4C2C-B5F7-37F319FEFDD3}"/>
    <cellStyle name="Normal 10 3 3 5 3 2 2 3 2 2 2" xfId="22133" xr:uid="{581818F1-46F1-4F9D-A89C-6440020FB7BA}"/>
    <cellStyle name="Normal 10 3 3 5 3 2 2 3 2 3" xfId="22134" xr:uid="{0B0853F2-B657-4F93-9857-969D13A4C9E4}"/>
    <cellStyle name="Normal 10 3 3 5 3 2 2 3 3" xfId="22135" xr:uid="{AA39E077-10F3-4DC3-86FA-FE9B76DE74DE}"/>
    <cellStyle name="Normal 10 3 3 5 3 2 2 3 3 2" xfId="22136" xr:uid="{1068FAA5-99A4-49BD-BFF1-AA0D6A0C6174}"/>
    <cellStyle name="Normal 10 3 3 5 3 2 2 3 4" xfId="22137" xr:uid="{EA46BAA7-5601-4045-9946-721A3DDD4A4A}"/>
    <cellStyle name="Normal 10 3 3 5 3 2 2 4" xfId="22138" xr:uid="{8731D875-F197-4887-85E6-ACDBAE3715DB}"/>
    <cellStyle name="Normal 10 3 3 5 3 2 2 4 2" xfId="22139" xr:uid="{0C8E350F-0E55-4C8C-965D-0DBF1B18024D}"/>
    <cellStyle name="Normal 10 3 3 5 3 2 2 4 2 2" xfId="22140" xr:uid="{E597CE95-1C4B-44D3-B7E8-979355CE78A5}"/>
    <cellStyle name="Normal 10 3 3 5 3 2 2 4 3" xfId="22141" xr:uid="{9C4C1FE5-22B5-4D85-B9C8-C15380D4DC33}"/>
    <cellStyle name="Normal 10 3 3 5 3 2 2 5" xfId="22142" xr:uid="{823C6729-7170-4AC6-AC8B-0D9121ED8BB2}"/>
    <cellStyle name="Normal 10 3 3 5 3 2 2 5 2" xfId="22143" xr:uid="{A212F584-BB39-49C3-B198-F18102CB8CA8}"/>
    <cellStyle name="Normal 10 3 3 5 3 2 2 6" xfId="22144" xr:uid="{3EFBA6C6-73B1-427B-A0CF-250F0882F1CF}"/>
    <cellStyle name="Normal 10 3 3 5 3 2 3" xfId="22145" xr:uid="{F75B8F60-1CE2-452A-8ABB-4C5EB4FBB716}"/>
    <cellStyle name="Normal 10 3 3 5 3 2 3 2" xfId="22146" xr:uid="{809C3CB7-6D60-4742-87C1-FB065AAF96CC}"/>
    <cellStyle name="Normal 10 3 3 5 3 2 3 2 2" xfId="22147" xr:uid="{9D304DD7-57FE-4082-8DDE-5A6241822C07}"/>
    <cellStyle name="Normal 10 3 3 5 3 2 3 2 2 2" xfId="22148" xr:uid="{0099A513-ECAE-403D-83B0-937136F44052}"/>
    <cellStyle name="Normal 10 3 3 5 3 2 3 2 2 2 2" xfId="22149" xr:uid="{F94D0B0D-EE07-43B6-BF85-EA5294C8B837}"/>
    <cellStyle name="Normal 10 3 3 5 3 2 3 2 2 3" xfId="22150" xr:uid="{89C840B6-3758-4EAF-8008-5902E021CCD2}"/>
    <cellStyle name="Normal 10 3 3 5 3 2 3 2 3" xfId="22151" xr:uid="{7B4E97FD-4D35-4534-BD87-8FA4C4FD04B2}"/>
    <cellStyle name="Normal 10 3 3 5 3 2 3 2 3 2" xfId="22152" xr:uid="{37D65D12-AA90-4680-8B2F-0CB5337464F4}"/>
    <cellStyle name="Normal 10 3 3 5 3 2 3 2 4" xfId="22153" xr:uid="{62E4C186-3385-41BC-BF87-708A1208E6AD}"/>
    <cellStyle name="Normal 10 3 3 5 3 2 3 3" xfId="22154" xr:uid="{A8EBF683-AB66-46A3-A501-496EA9A6ADC8}"/>
    <cellStyle name="Normal 10 3 3 5 3 2 3 3 2" xfId="22155" xr:uid="{8E9E29B0-E98D-4A47-B742-B9117FCFFBB0}"/>
    <cellStyle name="Normal 10 3 3 5 3 2 3 3 2 2" xfId="22156" xr:uid="{1D6D39E5-289E-4A03-8325-4F67FC8152DE}"/>
    <cellStyle name="Normal 10 3 3 5 3 2 3 3 3" xfId="22157" xr:uid="{075C02D8-B4D0-4278-A39A-225BB3985662}"/>
    <cellStyle name="Normal 10 3 3 5 3 2 3 4" xfId="22158" xr:uid="{54143F22-AABB-43CA-8BC3-BF3E443D8F59}"/>
    <cellStyle name="Normal 10 3 3 5 3 2 3 4 2" xfId="22159" xr:uid="{2565A079-B552-4F75-9F34-F4393F9A7740}"/>
    <cellStyle name="Normal 10 3 3 5 3 2 3 5" xfId="22160" xr:uid="{819FF072-DB4D-4878-B7F9-FE0E3FE96228}"/>
    <cellStyle name="Normal 10 3 3 5 3 2 4" xfId="22161" xr:uid="{BC4E04F5-F3F3-402F-BCDD-EC69F3D9468D}"/>
    <cellStyle name="Normal 10 3 3 5 3 2 4 2" xfId="22162" xr:uid="{FFE963D2-1CE0-4829-8BBA-8DCC0A2189EA}"/>
    <cellStyle name="Normal 10 3 3 5 3 2 4 2 2" xfId="22163" xr:uid="{D57C3351-7B4A-455E-A33A-402785523A8E}"/>
    <cellStyle name="Normal 10 3 3 5 3 2 4 2 2 2" xfId="22164" xr:uid="{F0261A83-3B9D-49A0-A80D-8AD834876BFD}"/>
    <cellStyle name="Normal 10 3 3 5 3 2 4 2 3" xfId="22165" xr:uid="{B8606540-9A55-49DD-BF33-D21C69C7436E}"/>
    <cellStyle name="Normal 10 3 3 5 3 2 4 3" xfId="22166" xr:uid="{A8FAF0FB-8EFB-426F-8426-DAF7BF54099C}"/>
    <cellStyle name="Normal 10 3 3 5 3 2 4 3 2" xfId="22167" xr:uid="{BCAE6E2F-E436-482B-8A7A-9DA05A771A50}"/>
    <cellStyle name="Normal 10 3 3 5 3 2 4 4" xfId="22168" xr:uid="{503CED34-BEB9-44A1-80EA-B50B0A48FC0B}"/>
    <cellStyle name="Normal 10 3 3 5 3 2 5" xfId="22169" xr:uid="{3F079FCE-81B0-450B-BA32-2C6FA45EA36E}"/>
    <cellStyle name="Normal 10 3 3 5 3 2 5 2" xfId="22170" xr:uid="{20C98A5E-D970-49CB-8452-D7230A45296E}"/>
    <cellStyle name="Normal 10 3 3 5 3 2 5 2 2" xfId="22171" xr:uid="{A4ADC3CF-3859-4FFF-9DCF-C523840C54EB}"/>
    <cellStyle name="Normal 10 3 3 5 3 2 5 3" xfId="22172" xr:uid="{4C71D5DD-886E-437D-B151-5699C1C87C2F}"/>
    <cellStyle name="Normal 10 3 3 5 3 2 6" xfId="22173" xr:uid="{33A31309-8C8B-44D4-9242-4BF89068F602}"/>
    <cellStyle name="Normal 10 3 3 5 3 2 6 2" xfId="22174" xr:uid="{EAF6ADA0-4A68-4E47-94B8-F2A4CC5863E5}"/>
    <cellStyle name="Normal 10 3 3 5 3 2 7" xfId="22175" xr:uid="{CBCAFD2D-FB5B-45B9-9B21-56CAC1C9A9B9}"/>
    <cellStyle name="Normal 10 3 3 5 3 3" xfId="22176" xr:uid="{DA4EAAE8-5B97-4454-818B-902568365B7F}"/>
    <cellStyle name="Normal 10 3 3 5 3 3 2" xfId="22177" xr:uid="{8DCF9AFF-AB6E-4EF8-AC77-38A32069CF74}"/>
    <cellStyle name="Normal 10 3 3 5 3 3 2 2" xfId="22178" xr:uid="{5C30041F-68D1-4125-96F3-37EE4D19F8E2}"/>
    <cellStyle name="Normal 10 3 3 5 3 3 2 2 2" xfId="22179" xr:uid="{7F9EEC40-4B0C-4A6D-83F6-51F529A12B8A}"/>
    <cellStyle name="Normal 10 3 3 5 3 3 2 2 2 2" xfId="22180" xr:uid="{850150B2-D650-4DFE-8EF5-3BD847C84098}"/>
    <cellStyle name="Normal 10 3 3 5 3 3 2 2 2 2 2" xfId="22181" xr:uid="{8C5AF9BE-6143-4288-843A-82436EF45678}"/>
    <cellStyle name="Normal 10 3 3 5 3 3 2 2 2 3" xfId="22182" xr:uid="{E5ABE6A7-4DA1-4E2C-B901-2F4435DE9D93}"/>
    <cellStyle name="Normal 10 3 3 5 3 3 2 2 3" xfId="22183" xr:uid="{10C27D56-2B9A-4C43-A184-9E7BE574F5FD}"/>
    <cellStyle name="Normal 10 3 3 5 3 3 2 2 3 2" xfId="22184" xr:uid="{8DA74CD7-B1C9-4D61-A7A3-5CA9C04F588F}"/>
    <cellStyle name="Normal 10 3 3 5 3 3 2 2 4" xfId="22185" xr:uid="{FB25E0FD-FC03-4867-8639-201A2157100C}"/>
    <cellStyle name="Normal 10 3 3 5 3 3 2 3" xfId="22186" xr:uid="{8F57A5BD-1DDB-486E-83CA-9C7B1DAF9376}"/>
    <cellStyle name="Normal 10 3 3 5 3 3 2 3 2" xfId="22187" xr:uid="{2D38BF6E-CD62-4D96-B465-6F94DB98786A}"/>
    <cellStyle name="Normal 10 3 3 5 3 3 2 3 2 2" xfId="22188" xr:uid="{F106F139-AF4F-4E08-B244-4203C184E8A1}"/>
    <cellStyle name="Normal 10 3 3 5 3 3 2 3 3" xfId="22189" xr:uid="{8C8AC247-CBA2-425D-BE2A-E77D467B3760}"/>
    <cellStyle name="Normal 10 3 3 5 3 3 2 4" xfId="22190" xr:uid="{01C8868D-D776-4986-BDA4-14E60DFBA531}"/>
    <cellStyle name="Normal 10 3 3 5 3 3 2 4 2" xfId="22191" xr:uid="{494BA455-CF83-4F6C-B5DC-B1EC74FF0B34}"/>
    <cellStyle name="Normal 10 3 3 5 3 3 2 5" xfId="22192" xr:uid="{F1FE50D0-EEC1-4FF1-8C29-B0BD55F63889}"/>
    <cellStyle name="Normal 10 3 3 5 3 3 3" xfId="22193" xr:uid="{8AA4A6F5-F802-40CA-9757-D9066BD98FA1}"/>
    <cellStyle name="Normal 10 3 3 5 3 3 3 2" xfId="22194" xr:uid="{2643DE40-7F32-4C8F-B35F-A7294DC6FAEF}"/>
    <cellStyle name="Normal 10 3 3 5 3 3 3 2 2" xfId="22195" xr:uid="{038B573B-928D-4B15-94FC-6011AEF43F9F}"/>
    <cellStyle name="Normal 10 3 3 5 3 3 3 2 2 2" xfId="22196" xr:uid="{58D5D7FB-D602-4BB2-A14B-5FC7812021E9}"/>
    <cellStyle name="Normal 10 3 3 5 3 3 3 2 3" xfId="22197" xr:uid="{C8637E3D-1FEC-4427-AFD9-B0105C093111}"/>
    <cellStyle name="Normal 10 3 3 5 3 3 3 3" xfId="22198" xr:uid="{501931F1-5E03-4298-AE6D-E7B263B53095}"/>
    <cellStyle name="Normal 10 3 3 5 3 3 3 3 2" xfId="22199" xr:uid="{FB37D2FF-40EC-4A74-95B2-3DAB7CA018E7}"/>
    <cellStyle name="Normal 10 3 3 5 3 3 3 4" xfId="22200" xr:uid="{9701968F-A713-4F59-8351-4732994D5EA8}"/>
    <cellStyle name="Normal 10 3 3 5 3 3 4" xfId="22201" xr:uid="{7F9CEF9B-E85C-417C-A33E-7D8C103918C2}"/>
    <cellStyle name="Normal 10 3 3 5 3 3 4 2" xfId="22202" xr:uid="{2A109F83-E19C-4ADB-9BD7-11C9E020940D}"/>
    <cellStyle name="Normal 10 3 3 5 3 3 4 2 2" xfId="22203" xr:uid="{79EF75CD-91E3-420F-AEEF-71CAE560D793}"/>
    <cellStyle name="Normal 10 3 3 5 3 3 4 3" xfId="22204" xr:uid="{37DDCB8D-B745-4C26-8BD9-725FCF822D53}"/>
    <cellStyle name="Normal 10 3 3 5 3 3 5" xfId="22205" xr:uid="{D6A1B908-BBAF-4475-B206-082DEEA54068}"/>
    <cellStyle name="Normal 10 3 3 5 3 3 5 2" xfId="22206" xr:uid="{3A7BF834-8EF7-4861-B7C7-75C5DE27D125}"/>
    <cellStyle name="Normal 10 3 3 5 3 3 6" xfId="22207" xr:uid="{15AF2316-A344-4C48-9E45-7619A6962D3E}"/>
    <cellStyle name="Normal 10 3 3 5 3 4" xfId="22208" xr:uid="{2ECBE1AF-309C-41B5-9315-8D9F6C10946A}"/>
    <cellStyle name="Normal 10 3 3 5 3 4 2" xfId="22209" xr:uid="{AA922026-B3FF-40AD-B530-8584B0BAB4C7}"/>
    <cellStyle name="Normal 10 3 3 5 3 4 2 2" xfId="22210" xr:uid="{6DCC8634-8845-4C2A-A20B-440EB5D52B5E}"/>
    <cellStyle name="Normal 10 3 3 5 3 4 2 2 2" xfId="22211" xr:uid="{FFDF3AC9-BF06-4603-9696-3770679E3840}"/>
    <cellStyle name="Normal 10 3 3 5 3 4 2 2 2 2" xfId="22212" xr:uid="{5DFFB430-D0BB-47A5-82C4-47C312F3D86E}"/>
    <cellStyle name="Normal 10 3 3 5 3 4 2 2 3" xfId="22213" xr:uid="{4A811093-8650-4F44-AD97-E5F2171622D7}"/>
    <cellStyle name="Normal 10 3 3 5 3 4 2 3" xfId="22214" xr:uid="{EEB573C2-B56E-4867-BB10-2D284E9B9C45}"/>
    <cellStyle name="Normal 10 3 3 5 3 4 2 3 2" xfId="22215" xr:uid="{32944128-E3E1-4627-ADE5-A1DD5D2B44BD}"/>
    <cellStyle name="Normal 10 3 3 5 3 4 2 4" xfId="22216" xr:uid="{66502751-952E-4781-AE82-5D05A6F5AF30}"/>
    <cellStyle name="Normal 10 3 3 5 3 4 3" xfId="22217" xr:uid="{88F7216F-27CB-467F-A93F-6F20B41E5B57}"/>
    <cellStyle name="Normal 10 3 3 5 3 4 3 2" xfId="22218" xr:uid="{25DA7856-D9B7-40DF-8A2C-71810CB3B38C}"/>
    <cellStyle name="Normal 10 3 3 5 3 4 3 2 2" xfId="22219" xr:uid="{BE161A38-955E-4441-9716-1FC5BEAFFE92}"/>
    <cellStyle name="Normal 10 3 3 5 3 4 3 3" xfId="22220" xr:uid="{18F4603F-AD0F-4B06-839A-FA08B65E2138}"/>
    <cellStyle name="Normal 10 3 3 5 3 4 4" xfId="22221" xr:uid="{F87F4F5B-B9D8-4638-BC4D-BD6F6FE94775}"/>
    <cellStyle name="Normal 10 3 3 5 3 4 4 2" xfId="22222" xr:uid="{65A49297-086F-4813-861E-850AC156ADD8}"/>
    <cellStyle name="Normal 10 3 3 5 3 4 5" xfId="22223" xr:uid="{AB8FDABB-5372-4148-A043-808CFCA6375D}"/>
    <cellStyle name="Normal 10 3 3 5 3 5" xfId="22224" xr:uid="{80CFF9E2-0F27-4CA3-B3D0-AED882DE15E4}"/>
    <cellStyle name="Normal 10 3 3 5 3 5 2" xfId="22225" xr:uid="{3F0FD391-7DD3-4087-BB1A-6604C7BA713F}"/>
    <cellStyle name="Normal 10 3 3 5 3 5 2 2" xfId="22226" xr:uid="{BEDB7DB3-F2F3-41F6-A668-30A790697664}"/>
    <cellStyle name="Normal 10 3 3 5 3 5 2 2 2" xfId="22227" xr:uid="{E7110CD8-307E-4A89-97CF-960C4B82822B}"/>
    <cellStyle name="Normal 10 3 3 5 3 5 2 3" xfId="22228" xr:uid="{025EFF44-9E63-4ABA-AFB3-9C424F64BA2B}"/>
    <cellStyle name="Normal 10 3 3 5 3 5 3" xfId="22229" xr:uid="{611F4E07-D583-41A9-A355-5948E2073E85}"/>
    <cellStyle name="Normal 10 3 3 5 3 5 3 2" xfId="22230" xr:uid="{674E0BD9-DE2B-42A9-BA5E-A6C1F090644F}"/>
    <cellStyle name="Normal 10 3 3 5 3 5 4" xfId="22231" xr:uid="{CF875E00-C318-4686-A876-C74BA6AF8BB5}"/>
    <cellStyle name="Normal 10 3 3 5 3 6" xfId="22232" xr:uid="{E2572804-2931-4FF0-BB59-4CA456673174}"/>
    <cellStyle name="Normal 10 3 3 5 3 6 2" xfId="22233" xr:uid="{FBA1E287-E1E8-4D90-AC70-4663018103DC}"/>
    <cellStyle name="Normal 10 3 3 5 3 6 2 2" xfId="22234" xr:uid="{97B2F4F4-A88C-4793-93D4-61528BE71BF3}"/>
    <cellStyle name="Normal 10 3 3 5 3 6 3" xfId="22235" xr:uid="{5F50F419-40AC-4415-AE65-29F2537D3B86}"/>
    <cellStyle name="Normal 10 3 3 5 3 7" xfId="22236" xr:uid="{0E93A803-C26E-42B7-979C-56FC3F489946}"/>
    <cellStyle name="Normal 10 3 3 5 3 7 2" xfId="22237" xr:uid="{883F75D1-7D42-479D-BCA7-F3E6A3668FAE}"/>
    <cellStyle name="Normal 10 3 3 5 3 8" xfId="22238" xr:uid="{C222609D-B5F6-48E5-B5B1-8415837D5976}"/>
    <cellStyle name="Normal 10 3 3 5 3 9" xfId="22111" xr:uid="{9FE77EBB-A8CE-4610-8189-85391AD89413}"/>
    <cellStyle name="Normal 10 3 3 5 4" xfId="22239" xr:uid="{C9BA1BB1-EC60-4E19-A11C-9AE9292B8E81}"/>
    <cellStyle name="Normal 10 3 3 5 4 2" xfId="22240" xr:uid="{6C38AAE1-B327-4A72-8381-BD4D1E9757AA}"/>
    <cellStyle name="Normal 10 3 3 5 4 2 2" xfId="22241" xr:uid="{E54BDD6A-D04F-4A90-8F21-CF51F5F3C0FC}"/>
    <cellStyle name="Normal 10 3 3 5 4 2 2 2" xfId="22242" xr:uid="{FB75FBF6-F7B5-492B-96D1-BD9702DDEAC7}"/>
    <cellStyle name="Normal 10 3 3 5 4 2 2 2 2" xfId="22243" xr:uid="{34BFFDD9-6649-43E8-AA8F-A8DCF4B752A0}"/>
    <cellStyle name="Normal 10 3 3 5 4 2 2 2 2 2" xfId="22244" xr:uid="{1AF88F1A-A2E0-4ED8-BB8B-335E73D5EB94}"/>
    <cellStyle name="Normal 10 3 3 5 4 2 2 2 2 2 2" xfId="22245" xr:uid="{D8D9A322-5A54-4FD6-A0E9-DCD8C471E1A1}"/>
    <cellStyle name="Normal 10 3 3 5 4 2 2 2 2 3" xfId="22246" xr:uid="{B0CDC7C4-C362-4F40-887E-C485309B27AD}"/>
    <cellStyle name="Normal 10 3 3 5 4 2 2 2 3" xfId="22247" xr:uid="{BFA39E23-B0C6-4DC5-A263-A899F713E978}"/>
    <cellStyle name="Normal 10 3 3 5 4 2 2 2 3 2" xfId="22248" xr:uid="{BBDA391E-8E27-4E92-8365-F89C8D89ADC6}"/>
    <cellStyle name="Normal 10 3 3 5 4 2 2 2 4" xfId="22249" xr:uid="{FAA02087-D579-4DBE-A910-CEBC58EA3C40}"/>
    <cellStyle name="Normal 10 3 3 5 4 2 2 3" xfId="22250" xr:uid="{94797F93-A855-48E2-A84F-6BDDC08EBB1D}"/>
    <cellStyle name="Normal 10 3 3 5 4 2 2 3 2" xfId="22251" xr:uid="{1A94E030-B973-435D-9301-99A9317A8C66}"/>
    <cellStyle name="Normal 10 3 3 5 4 2 2 3 2 2" xfId="22252" xr:uid="{4FE4ACF6-DD6B-4EB0-8ACF-60DC5CD79E30}"/>
    <cellStyle name="Normal 10 3 3 5 4 2 2 3 3" xfId="22253" xr:uid="{B99A9E34-5D45-4602-B59A-66ED3FAF53EB}"/>
    <cellStyle name="Normal 10 3 3 5 4 2 2 4" xfId="22254" xr:uid="{5ED73574-C79C-4022-AFA2-C6AD0C0F7EF8}"/>
    <cellStyle name="Normal 10 3 3 5 4 2 2 4 2" xfId="22255" xr:uid="{63B2DF4E-2E38-4F84-B8A3-0B839F57D8BF}"/>
    <cellStyle name="Normal 10 3 3 5 4 2 2 5" xfId="22256" xr:uid="{DD4499B3-63F4-49FB-8158-3F321D155D1D}"/>
    <cellStyle name="Normal 10 3 3 5 4 2 3" xfId="22257" xr:uid="{BD7CB6C1-D203-4583-A992-2C2E9954BCE8}"/>
    <cellStyle name="Normal 10 3 3 5 4 2 3 2" xfId="22258" xr:uid="{5D75DBE6-E64D-4E6B-9608-C3A2CE7FD29A}"/>
    <cellStyle name="Normal 10 3 3 5 4 2 3 2 2" xfId="22259" xr:uid="{06DA1066-DA27-4506-B774-7751C5549BF3}"/>
    <cellStyle name="Normal 10 3 3 5 4 2 3 2 2 2" xfId="22260" xr:uid="{9B52C2BF-616F-4C5C-8A5D-05174717E874}"/>
    <cellStyle name="Normal 10 3 3 5 4 2 3 2 3" xfId="22261" xr:uid="{FFFAD99A-4440-4E22-9754-047FE010C128}"/>
    <cellStyle name="Normal 10 3 3 5 4 2 3 3" xfId="22262" xr:uid="{80A02628-020B-4D81-8896-341E6A92C4D7}"/>
    <cellStyle name="Normal 10 3 3 5 4 2 3 3 2" xfId="22263" xr:uid="{62811EFC-13E0-4548-AAB5-6DCE112358D3}"/>
    <cellStyle name="Normal 10 3 3 5 4 2 3 4" xfId="22264" xr:uid="{EB03440C-B91D-4F8B-99DC-4965BB64AA4F}"/>
    <cellStyle name="Normal 10 3 3 5 4 2 4" xfId="22265" xr:uid="{C6936CEF-7F35-4D93-8FCF-814584A78A54}"/>
    <cellStyle name="Normal 10 3 3 5 4 2 4 2" xfId="22266" xr:uid="{0D1AFE5B-3FB0-4599-96A1-93903EC8713B}"/>
    <cellStyle name="Normal 10 3 3 5 4 2 4 2 2" xfId="22267" xr:uid="{18F4158F-766E-4751-9F72-AB0615A8B329}"/>
    <cellStyle name="Normal 10 3 3 5 4 2 4 3" xfId="22268" xr:uid="{67BB9CFE-1BDC-4A9A-BB76-4D48DB30EFC5}"/>
    <cellStyle name="Normal 10 3 3 5 4 2 5" xfId="22269" xr:uid="{3F21448E-CC02-4737-8FCF-D3E00B51AF80}"/>
    <cellStyle name="Normal 10 3 3 5 4 2 5 2" xfId="22270" xr:uid="{81A4BD5F-9D00-4A6F-A8B6-7F44B9A7564A}"/>
    <cellStyle name="Normal 10 3 3 5 4 2 6" xfId="22271" xr:uid="{EA13386C-A807-4B4A-A6F3-3C21AED9EC80}"/>
    <cellStyle name="Normal 10 3 3 5 4 3" xfId="22272" xr:uid="{DA6DEBFE-4036-46EB-9D70-63CC259C001B}"/>
    <cellStyle name="Normal 10 3 3 5 4 3 2" xfId="22273" xr:uid="{C65B4A46-4B80-428B-AF79-BC1D419632BB}"/>
    <cellStyle name="Normal 10 3 3 5 4 3 2 2" xfId="22274" xr:uid="{C4DC9BE7-823B-4B99-842F-BAF13350CC57}"/>
    <cellStyle name="Normal 10 3 3 5 4 3 2 2 2" xfId="22275" xr:uid="{E4432028-28A8-43E0-B5D5-00FE29B8732C}"/>
    <cellStyle name="Normal 10 3 3 5 4 3 2 2 2 2" xfId="22276" xr:uid="{40F234CD-555C-4EE2-B828-015F7817841A}"/>
    <cellStyle name="Normal 10 3 3 5 4 3 2 2 3" xfId="22277" xr:uid="{196F0BD5-F6CB-430F-984A-CB8861230443}"/>
    <cellStyle name="Normal 10 3 3 5 4 3 2 3" xfId="22278" xr:uid="{489C8F33-732E-4C15-A20D-7CE9DEFDD2B2}"/>
    <cellStyle name="Normal 10 3 3 5 4 3 2 3 2" xfId="22279" xr:uid="{6E045421-C936-41FF-87C0-0A0AEFCFC7B2}"/>
    <cellStyle name="Normal 10 3 3 5 4 3 2 4" xfId="22280" xr:uid="{92998168-6C28-4BB9-BA40-40720D6C46FA}"/>
    <cellStyle name="Normal 10 3 3 5 4 3 3" xfId="22281" xr:uid="{95B779A4-151A-4B9D-85C9-E7A1C8E26C31}"/>
    <cellStyle name="Normal 10 3 3 5 4 3 3 2" xfId="22282" xr:uid="{6B220022-08AA-40D0-B2DA-0ED7DBF1C2E7}"/>
    <cellStyle name="Normal 10 3 3 5 4 3 3 2 2" xfId="22283" xr:uid="{FB9AD77B-915F-4DF1-8C5A-83C03903B36C}"/>
    <cellStyle name="Normal 10 3 3 5 4 3 3 3" xfId="22284" xr:uid="{7EE16B56-7004-4654-B444-9472440E4C6E}"/>
    <cellStyle name="Normal 10 3 3 5 4 3 4" xfId="22285" xr:uid="{FB3CC272-AD8D-433E-B99D-709AFF44CCD8}"/>
    <cellStyle name="Normal 10 3 3 5 4 3 4 2" xfId="22286" xr:uid="{FF446767-D145-4A7F-917B-D6A6267D8CDA}"/>
    <cellStyle name="Normal 10 3 3 5 4 3 5" xfId="22287" xr:uid="{CB5F3852-39E1-4415-A662-33FE25E099D0}"/>
    <cellStyle name="Normal 10 3 3 5 4 4" xfId="22288" xr:uid="{265B81BD-14F2-4481-983A-992199AA5772}"/>
    <cellStyle name="Normal 10 3 3 5 4 4 2" xfId="22289" xr:uid="{C3E8A23D-E3A1-4564-8510-B8F86D40159F}"/>
    <cellStyle name="Normal 10 3 3 5 4 4 2 2" xfId="22290" xr:uid="{DE07F7FC-1225-4F02-A8E4-82CCC2871E57}"/>
    <cellStyle name="Normal 10 3 3 5 4 4 2 2 2" xfId="22291" xr:uid="{951283C9-419F-47EA-8F91-AFB8E3189197}"/>
    <cellStyle name="Normal 10 3 3 5 4 4 2 3" xfId="22292" xr:uid="{1D5B357C-2D26-4B0C-9481-BDA19A0AD159}"/>
    <cellStyle name="Normal 10 3 3 5 4 4 3" xfId="22293" xr:uid="{A8A76231-B358-4094-8DAF-23378684AB15}"/>
    <cellStyle name="Normal 10 3 3 5 4 4 3 2" xfId="22294" xr:uid="{8F462A58-09DC-4BFB-9D26-E3467C9C2041}"/>
    <cellStyle name="Normal 10 3 3 5 4 4 4" xfId="22295" xr:uid="{02F57FF8-72D7-49A7-B000-A5FF5727639C}"/>
    <cellStyle name="Normal 10 3 3 5 4 5" xfId="22296" xr:uid="{E3F85E4F-098B-49FD-8D4F-4FC41CAFFD30}"/>
    <cellStyle name="Normal 10 3 3 5 4 5 2" xfId="22297" xr:uid="{8F087ACC-43CA-4520-A952-173B13662973}"/>
    <cellStyle name="Normal 10 3 3 5 4 5 2 2" xfId="22298" xr:uid="{15B5848F-63A1-4BDC-BE7D-98A07487D1C6}"/>
    <cellStyle name="Normal 10 3 3 5 4 5 3" xfId="22299" xr:uid="{A57FA351-5730-449C-A608-78E4C2291976}"/>
    <cellStyle name="Normal 10 3 3 5 4 6" xfId="22300" xr:uid="{E0A286E1-F64A-4E74-BA9A-57560A5D4BAD}"/>
    <cellStyle name="Normal 10 3 3 5 4 6 2" xfId="22301" xr:uid="{EB22249B-08B9-480C-9DB9-030CCF5E5640}"/>
    <cellStyle name="Normal 10 3 3 5 4 7" xfId="22302" xr:uid="{AB3582C0-9484-4F72-ADCB-09864A56396A}"/>
    <cellStyle name="Normal 10 3 3 5 5" xfId="22303" xr:uid="{1F8D4F2D-B2BF-4C98-9946-BB4FF3603B54}"/>
    <cellStyle name="Normal 10 3 3 5 5 2" xfId="22304" xr:uid="{317799CB-CFB2-474A-9DC4-A89DC2162336}"/>
    <cellStyle name="Normal 10 3 3 5 5 2 2" xfId="22305" xr:uid="{0CF47957-41C7-4ED8-8D34-1079F6E24212}"/>
    <cellStyle name="Normal 10 3 3 5 5 2 2 2" xfId="22306" xr:uid="{2546A1C0-D584-4C18-AF53-2B989EB117CA}"/>
    <cellStyle name="Normal 10 3 3 5 5 2 2 2 2" xfId="22307" xr:uid="{388C15E2-F806-4C5E-AD0A-E36CEAE5FFE2}"/>
    <cellStyle name="Normal 10 3 3 5 5 2 2 2 2 2" xfId="22308" xr:uid="{357058EF-CDDA-449E-944E-624EDE8DADBB}"/>
    <cellStyle name="Normal 10 3 3 5 5 2 2 2 3" xfId="22309" xr:uid="{0BBE6040-1509-4E70-A668-69E7FF366DD9}"/>
    <cellStyle name="Normal 10 3 3 5 5 2 2 3" xfId="22310" xr:uid="{E79B5BF0-FE4C-4582-9E30-34C695D241B4}"/>
    <cellStyle name="Normal 10 3 3 5 5 2 2 3 2" xfId="22311" xr:uid="{37CDAA80-D526-4FEB-8972-BE71DC8E24B9}"/>
    <cellStyle name="Normal 10 3 3 5 5 2 2 4" xfId="22312" xr:uid="{84A9CB74-1A93-403D-BA7E-3B2604AB11C5}"/>
    <cellStyle name="Normal 10 3 3 5 5 2 3" xfId="22313" xr:uid="{A20EC629-5425-4F56-A93C-48275E55ED1D}"/>
    <cellStyle name="Normal 10 3 3 5 5 2 3 2" xfId="22314" xr:uid="{9F4B32F7-5E3E-43A5-A34E-51C2EE62381B}"/>
    <cellStyle name="Normal 10 3 3 5 5 2 3 2 2" xfId="22315" xr:uid="{9DDAB8C3-B6FA-4875-9ADE-6B51FED962B3}"/>
    <cellStyle name="Normal 10 3 3 5 5 2 3 3" xfId="22316" xr:uid="{6377D3BA-4B26-43D5-BFE9-BFAAB812873C}"/>
    <cellStyle name="Normal 10 3 3 5 5 2 4" xfId="22317" xr:uid="{31ACFF23-E8B2-4BC2-AFE9-8BDA5D64C15F}"/>
    <cellStyle name="Normal 10 3 3 5 5 2 4 2" xfId="22318" xr:uid="{8B387A57-D1C2-4996-B2EB-168BEC8AF4B2}"/>
    <cellStyle name="Normal 10 3 3 5 5 2 5" xfId="22319" xr:uid="{09E81976-EA55-4F60-AEF7-E4FF2838BE07}"/>
    <cellStyle name="Normal 10 3 3 5 5 3" xfId="22320" xr:uid="{7295F32D-A446-44E7-8771-F2C8F7CB5903}"/>
    <cellStyle name="Normal 10 3 3 5 5 3 2" xfId="22321" xr:uid="{8DEDBEEC-25CA-441E-819E-949E68B57E63}"/>
    <cellStyle name="Normal 10 3 3 5 5 3 2 2" xfId="22322" xr:uid="{212F314A-3F17-4255-AFAA-6B3FA9F89DBE}"/>
    <cellStyle name="Normal 10 3 3 5 5 3 2 2 2" xfId="22323" xr:uid="{0EBE6E4D-DDF5-4EB8-8995-9A777A9658CA}"/>
    <cellStyle name="Normal 10 3 3 5 5 3 2 3" xfId="22324" xr:uid="{52C35D90-F7E1-4564-A234-48879DCC007D}"/>
    <cellStyle name="Normal 10 3 3 5 5 3 3" xfId="22325" xr:uid="{4CFAD978-7CDC-4CED-961D-72CE8E525D38}"/>
    <cellStyle name="Normal 10 3 3 5 5 3 3 2" xfId="22326" xr:uid="{E9370E49-5C59-4668-9150-0E3D5FB6A49C}"/>
    <cellStyle name="Normal 10 3 3 5 5 3 4" xfId="22327" xr:uid="{629D00CF-F5FE-4EB2-84F9-4D9F8F57A622}"/>
    <cellStyle name="Normal 10 3 3 5 5 4" xfId="22328" xr:uid="{53FA196F-4BB3-4A2C-8D22-F13E4B575D40}"/>
    <cellStyle name="Normal 10 3 3 5 5 4 2" xfId="22329" xr:uid="{17FE1F21-DB5D-4490-904A-6DA24EA34EBB}"/>
    <cellStyle name="Normal 10 3 3 5 5 4 2 2" xfId="22330" xr:uid="{C4FDCF3F-3B8E-4788-BDB0-16846DC8D327}"/>
    <cellStyle name="Normal 10 3 3 5 5 4 3" xfId="22331" xr:uid="{A9ADC46C-3E5E-47C0-BB2B-1E8B1358FBE7}"/>
    <cellStyle name="Normal 10 3 3 5 5 5" xfId="22332" xr:uid="{A34BFAA8-FD78-43CE-9DBD-02D1A418CF2F}"/>
    <cellStyle name="Normal 10 3 3 5 5 5 2" xfId="22333" xr:uid="{66A7FFA8-E33E-4864-BCA9-864D8F1A3978}"/>
    <cellStyle name="Normal 10 3 3 5 5 6" xfId="22334" xr:uid="{59942C0C-49A0-49C6-A52D-AE64F302263A}"/>
    <cellStyle name="Normal 10 3 3 5 6" xfId="22335" xr:uid="{84362C32-633D-4F9D-8D01-90FF54F4AC17}"/>
    <cellStyle name="Normal 10 3 3 5 6 2" xfId="22336" xr:uid="{05F50C30-BE48-4D1B-B3D9-48BA5FA003E9}"/>
    <cellStyle name="Normal 10 3 3 5 6 2 2" xfId="22337" xr:uid="{C47FFD53-EED0-4388-B511-897BFFE37C20}"/>
    <cellStyle name="Normal 10 3 3 5 6 2 2 2" xfId="22338" xr:uid="{49EEFE13-AECE-4B2B-9C99-64E559E828B6}"/>
    <cellStyle name="Normal 10 3 3 5 6 2 2 2 2" xfId="22339" xr:uid="{6BF6D32F-0A8A-4449-A358-2634F21EF5DB}"/>
    <cellStyle name="Normal 10 3 3 5 6 2 2 3" xfId="22340" xr:uid="{37A1147E-E174-488C-94AF-B459ADAF2B69}"/>
    <cellStyle name="Normal 10 3 3 5 6 2 3" xfId="22341" xr:uid="{0BD464DC-2160-4F7C-9E06-FF1EE19EBA86}"/>
    <cellStyle name="Normal 10 3 3 5 6 2 3 2" xfId="22342" xr:uid="{9B4EE4CD-1582-4F6C-BB96-F16B8241FB48}"/>
    <cellStyle name="Normal 10 3 3 5 6 2 4" xfId="22343" xr:uid="{17E81CF2-F178-4487-BF8F-D7E8D133A86A}"/>
    <cellStyle name="Normal 10 3 3 5 6 3" xfId="22344" xr:uid="{202BE2C3-A1FB-4477-B6DA-ABF5B777C122}"/>
    <cellStyle name="Normal 10 3 3 5 6 3 2" xfId="22345" xr:uid="{4640EC4E-0746-4BDE-BCCC-A2F868DBDE9D}"/>
    <cellStyle name="Normal 10 3 3 5 6 3 2 2" xfId="22346" xr:uid="{215C0E2B-390A-4926-A67B-B31E09FD4398}"/>
    <cellStyle name="Normal 10 3 3 5 6 3 3" xfId="22347" xr:uid="{ED528EBB-6142-4CE1-9FB6-1AE667D881E8}"/>
    <cellStyle name="Normal 10 3 3 5 6 4" xfId="22348" xr:uid="{D0395A75-4971-41FF-A286-1C798EDF6AFF}"/>
    <cellStyle name="Normal 10 3 3 5 6 4 2" xfId="22349" xr:uid="{AEDA328B-7F5F-4978-82E4-12CDE32C95AE}"/>
    <cellStyle name="Normal 10 3 3 5 6 5" xfId="22350" xr:uid="{E8B8F5D9-79ED-4AD2-B870-495D906F5D9A}"/>
    <cellStyle name="Normal 10 3 3 5 7" xfId="22351" xr:uid="{AC58DEF0-E6E5-45B6-9924-B0A49EFAA7DB}"/>
    <cellStyle name="Normal 10 3 3 5 7 2" xfId="22352" xr:uid="{3BC4BE13-6790-415F-ABF4-BA4774585AA9}"/>
    <cellStyle name="Normal 10 3 3 5 7 2 2" xfId="22353" xr:uid="{B8BB6CE1-90AB-4F58-8502-A6DC959E9CDE}"/>
    <cellStyle name="Normal 10 3 3 5 7 2 2 2" xfId="22354" xr:uid="{B0427038-16B9-4383-A535-4A7C3A23E0B1}"/>
    <cellStyle name="Normal 10 3 3 5 7 2 3" xfId="22355" xr:uid="{D34772DF-5B0E-4DF5-BDE1-FAE1F6772C60}"/>
    <cellStyle name="Normal 10 3 3 5 7 3" xfId="22356" xr:uid="{773CC145-A203-408D-80DD-C93004A429E7}"/>
    <cellStyle name="Normal 10 3 3 5 7 3 2" xfId="22357" xr:uid="{CD4929EB-4AC6-445C-A6B1-1A609CB29864}"/>
    <cellStyle name="Normal 10 3 3 5 7 4" xfId="22358" xr:uid="{92B59DAE-A27B-4261-8975-0CF37CAA45A6}"/>
    <cellStyle name="Normal 10 3 3 5 8" xfId="22359" xr:uid="{1C6CAFDF-675F-4E7F-92F3-7A41AEA4752A}"/>
    <cellStyle name="Normal 10 3 3 5 8 2" xfId="22360" xr:uid="{B3815AA3-1A43-4640-8397-345A1A5D26AF}"/>
    <cellStyle name="Normal 10 3 3 5 8 2 2" xfId="22361" xr:uid="{BC94FD26-3EFE-419D-9DD7-962225876222}"/>
    <cellStyle name="Normal 10 3 3 5 8 3" xfId="22362" xr:uid="{31BC2A31-C4D0-4D28-BCC0-C1F496411992}"/>
    <cellStyle name="Normal 10 3 3 5 9" xfId="22363" xr:uid="{B58D7A34-BCA0-4003-9DCA-3BA9E954B50D}"/>
    <cellStyle name="Normal 10 3 3 5 9 2" xfId="22364" xr:uid="{E0E1E71F-522D-418F-9406-90E389F2686C}"/>
    <cellStyle name="Normal 10 3 3 6" xfId="338" xr:uid="{BF715479-204C-4711-96C0-E688E52ACAD5}"/>
    <cellStyle name="Normal 10 3 3 6 10" xfId="22365" xr:uid="{56D81A3F-D0ED-4B8A-97EB-05B29EC5B85B}"/>
    <cellStyle name="Normal 10 3 3 6 2" xfId="22366" xr:uid="{E18B3BB3-2235-471A-BF36-A4563DE9330B}"/>
    <cellStyle name="Normal 10 3 3 6 2 2" xfId="22367" xr:uid="{7903B735-AA49-4D4D-A4F9-6636BF2DBA05}"/>
    <cellStyle name="Normal 10 3 3 6 2 2 2" xfId="22368" xr:uid="{84867BD8-EAE7-464D-B2AF-0ADC6489C4B9}"/>
    <cellStyle name="Normal 10 3 3 6 2 2 2 2" xfId="22369" xr:uid="{5DC4A0BA-7890-496B-8BA7-D4ADB1D058A4}"/>
    <cellStyle name="Normal 10 3 3 6 2 2 2 2 2" xfId="22370" xr:uid="{D770AE44-4637-4728-B42C-A8E4703C84A6}"/>
    <cellStyle name="Normal 10 3 3 6 2 2 2 2 2 2" xfId="22371" xr:uid="{F1B1187D-97C8-4FB8-8D2C-A363F90E6345}"/>
    <cellStyle name="Normal 10 3 3 6 2 2 2 2 2 2 2" xfId="22372" xr:uid="{4F38872D-367C-4202-BE2B-A5D7BAB7CF8E}"/>
    <cellStyle name="Normal 10 3 3 6 2 2 2 2 2 2 2 2" xfId="22373" xr:uid="{5019BB1E-143F-4706-8F3E-BCAB82595498}"/>
    <cellStyle name="Normal 10 3 3 6 2 2 2 2 2 2 3" xfId="22374" xr:uid="{8598D609-47C3-4B23-A6E9-3CE9864C6762}"/>
    <cellStyle name="Normal 10 3 3 6 2 2 2 2 2 3" xfId="22375" xr:uid="{094D7A60-EEBC-4EB9-8DEE-143CDCF3EFFE}"/>
    <cellStyle name="Normal 10 3 3 6 2 2 2 2 2 3 2" xfId="22376" xr:uid="{C42B7E7C-55DE-4014-8AA9-449223C78427}"/>
    <cellStyle name="Normal 10 3 3 6 2 2 2 2 2 4" xfId="22377" xr:uid="{2F10718A-721B-4B3E-B831-766131EB8B11}"/>
    <cellStyle name="Normal 10 3 3 6 2 2 2 2 3" xfId="22378" xr:uid="{7FA9E0A8-0992-4996-9723-52280853EFC4}"/>
    <cellStyle name="Normal 10 3 3 6 2 2 2 2 3 2" xfId="22379" xr:uid="{04C03B91-2C0B-42A6-AF0E-17A76C693C62}"/>
    <cellStyle name="Normal 10 3 3 6 2 2 2 2 3 2 2" xfId="22380" xr:uid="{9571E87C-9B67-49E1-8FF9-F72B94BD8366}"/>
    <cellStyle name="Normal 10 3 3 6 2 2 2 2 3 3" xfId="22381" xr:uid="{6CA56948-CF69-41DC-8936-292B54D89256}"/>
    <cellStyle name="Normal 10 3 3 6 2 2 2 2 4" xfId="22382" xr:uid="{9EDCEE4A-7E23-461D-8BAD-E291A7202A8B}"/>
    <cellStyle name="Normal 10 3 3 6 2 2 2 2 4 2" xfId="22383" xr:uid="{813D1460-65D4-4CA7-B011-6701D857DAB8}"/>
    <cellStyle name="Normal 10 3 3 6 2 2 2 2 5" xfId="22384" xr:uid="{73B8E49D-4CB3-473C-9D33-A05551E4CADD}"/>
    <cellStyle name="Normal 10 3 3 6 2 2 2 3" xfId="22385" xr:uid="{2A31332D-05D5-4BF0-9DC6-D832778CECFE}"/>
    <cellStyle name="Normal 10 3 3 6 2 2 2 3 2" xfId="22386" xr:uid="{A6F798AA-61C8-4F4F-9EDE-594CEAFF03B5}"/>
    <cellStyle name="Normal 10 3 3 6 2 2 2 3 2 2" xfId="22387" xr:uid="{07DC400A-B317-49D8-B75E-18B89B97C333}"/>
    <cellStyle name="Normal 10 3 3 6 2 2 2 3 2 2 2" xfId="22388" xr:uid="{5807D4DC-2A8C-4D8B-A0EC-1BB9C3D31433}"/>
    <cellStyle name="Normal 10 3 3 6 2 2 2 3 2 3" xfId="22389" xr:uid="{BD621CDA-E9AF-49BC-A172-DE9D1845654A}"/>
    <cellStyle name="Normal 10 3 3 6 2 2 2 3 3" xfId="22390" xr:uid="{FCA75208-2AC3-4AEB-9339-E10DD1EC9CAF}"/>
    <cellStyle name="Normal 10 3 3 6 2 2 2 3 3 2" xfId="22391" xr:uid="{D1A24598-0B55-4426-B359-9F6C37D31E0D}"/>
    <cellStyle name="Normal 10 3 3 6 2 2 2 3 4" xfId="22392" xr:uid="{661AA28B-060C-4727-8E75-A85FA18F6193}"/>
    <cellStyle name="Normal 10 3 3 6 2 2 2 4" xfId="22393" xr:uid="{5601763F-0B37-445D-BBBC-48F6A715BD2E}"/>
    <cellStyle name="Normal 10 3 3 6 2 2 2 4 2" xfId="22394" xr:uid="{AACEF051-F1EF-486D-80A7-5AED73606175}"/>
    <cellStyle name="Normal 10 3 3 6 2 2 2 4 2 2" xfId="22395" xr:uid="{0D5E0701-0F24-41B2-AE11-4A95FA93F653}"/>
    <cellStyle name="Normal 10 3 3 6 2 2 2 4 3" xfId="22396" xr:uid="{3C4B8AD5-3572-43EA-B18A-5884D562782A}"/>
    <cellStyle name="Normal 10 3 3 6 2 2 2 5" xfId="22397" xr:uid="{E4AEF3EF-699F-470F-B73C-DEBCBFD616FC}"/>
    <cellStyle name="Normal 10 3 3 6 2 2 2 5 2" xfId="22398" xr:uid="{1678F8BE-E132-4DBF-BB66-4729629816BD}"/>
    <cellStyle name="Normal 10 3 3 6 2 2 2 6" xfId="22399" xr:uid="{D104C457-A6C0-453D-B91A-62447019CB8D}"/>
    <cellStyle name="Normal 10 3 3 6 2 2 3" xfId="22400" xr:uid="{6DE8CBA1-3146-4B2A-9767-ACC63A1178B7}"/>
    <cellStyle name="Normal 10 3 3 6 2 2 3 2" xfId="22401" xr:uid="{82E5E0E1-59B1-4068-8744-8E7DDFBBED1A}"/>
    <cellStyle name="Normal 10 3 3 6 2 2 3 2 2" xfId="22402" xr:uid="{62209E63-1F37-40EE-AED9-2B206D8BC231}"/>
    <cellStyle name="Normal 10 3 3 6 2 2 3 2 2 2" xfId="22403" xr:uid="{5C26529B-B169-41D1-AB20-7D4AFFF567B5}"/>
    <cellStyle name="Normal 10 3 3 6 2 2 3 2 2 2 2" xfId="22404" xr:uid="{B1B362D3-0D36-4A46-969B-E38F143F86D5}"/>
    <cellStyle name="Normal 10 3 3 6 2 2 3 2 2 3" xfId="22405" xr:uid="{0D0C4A73-EB9F-4A4B-AF75-EB1EFA5A7F88}"/>
    <cellStyle name="Normal 10 3 3 6 2 2 3 2 3" xfId="22406" xr:uid="{68F8F553-DD23-4205-A690-C4FF4297F26A}"/>
    <cellStyle name="Normal 10 3 3 6 2 2 3 2 3 2" xfId="22407" xr:uid="{46A9E898-8736-4B49-A4B6-D0C1AEC2F3F3}"/>
    <cellStyle name="Normal 10 3 3 6 2 2 3 2 4" xfId="22408" xr:uid="{78286252-F0A6-45B4-A737-702936ECDF61}"/>
    <cellStyle name="Normal 10 3 3 6 2 2 3 3" xfId="22409" xr:uid="{D4EC83E5-120F-40D6-9CAB-F5FF65579009}"/>
    <cellStyle name="Normal 10 3 3 6 2 2 3 3 2" xfId="22410" xr:uid="{31F882BE-C791-41D7-890A-07C4F6593CEE}"/>
    <cellStyle name="Normal 10 3 3 6 2 2 3 3 2 2" xfId="22411" xr:uid="{FE36695F-9F2D-4947-882E-9BAF777FAF1E}"/>
    <cellStyle name="Normal 10 3 3 6 2 2 3 3 3" xfId="22412" xr:uid="{7CFDF584-DD12-423D-A5DF-5ABDDC6CC690}"/>
    <cellStyle name="Normal 10 3 3 6 2 2 3 4" xfId="22413" xr:uid="{3E3E651D-A329-4712-BB1C-691409E63491}"/>
    <cellStyle name="Normal 10 3 3 6 2 2 3 4 2" xfId="22414" xr:uid="{DB8FC394-3C35-4E5D-A5F2-E913F00F63FA}"/>
    <cellStyle name="Normal 10 3 3 6 2 2 3 5" xfId="22415" xr:uid="{721644A7-093F-4E9B-8C6E-FA13FEC8DF36}"/>
    <cellStyle name="Normal 10 3 3 6 2 2 4" xfId="22416" xr:uid="{E6B68536-3B45-4243-8608-44C3DB90D292}"/>
    <cellStyle name="Normal 10 3 3 6 2 2 4 2" xfId="22417" xr:uid="{4FD91893-AD55-45F4-A19C-0369AB3EBB8B}"/>
    <cellStyle name="Normal 10 3 3 6 2 2 4 2 2" xfId="22418" xr:uid="{AB1F2588-09DE-440A-9E0E-117643ED5495}"/>
    <cellStyle name="Normal 10 3 3 6 2 2 4 2 2 2" xfId="22419" xr:uid="{F8223458-2E30-4AE7-8DA1-E002E51F350D}"/>
    <cellStyle name="Normal 10 3 3 6 2 2 4 2 3" xfId="22420" xr:uid="{D0FA1DFE-A9C8-46D9-BF92-011048EDFF10}"/>
    <cellStyle name="Normal 10 3 3 6 2 2 4 3" xfId="22421" xr:uid="{5A9C8769-4CC2-4403-9667-7F499E9E629C}"/>
    <cellStyle name="Normal 10 3 3 6 2 2 4 3 2" xfId="22422" xr:uid="{85670AE0-134D-4C08-9C68-967A5BC274A5}"/>
    <cellStyle name="Normal 10 3 3 6 2 2 4 4" xfId="22423" xr:uid="{C51D7E9D-552F-4EB1-B822-6E3DE5A76637}"/>
    <cellStyle name="Normal 10 3 3 6 2 2 5" xfId="22424" xr:uid="{758B5051-35A5-4B4F-B296-0BA949A95043}"/>
    <cellStyle name="Normal 10 3 3 6 2 2 5 2" xfId="22425" xr:uid="{B321218E-7F89-41D0-8720-F143CDA0DBFE}"/>
    <cellStyle name="Normal 10 3 3 6 2 2 5 2 2" xfId="22426" xr:uid="{713A7C6F-C49E-4903-8BA7-61E91DDABFC3}"/>
    <cellStyle name="Normal 10 3 3 6 2 2 5 3" xfId="22427" xr:uid="{D176C793-309C-4F94-A306-E1818091928F}"/>
    <cellStyle name="Normal 10 3 3 6 2 2 6" xfId="22428" xr:uid="{80415A49-0809-480D-885F-87F13800FEE2}"/>
    <cellStyle name="Normal 10 3 3 6 2 2 6 2" xfId="22429" xr:uid="{11C3DC70-8288-48D0-B0B2-339F39FE68DA}"/>
    <cellStyle name="Normal 10 3 3 6 2 2 7" xfId="22430" xr:uid="{B08B0AD7-A656-4E93-9D4A-05E0B5895178}"/>
    <cellStyle name="Normal 10 3 3 6 2 3" xfId="22431" xr:uid="{0E5DF594-AD60-4140-9F58-D8CFF891642A}"/>
    <cellStyle name="Normal 10 3 3 6 2 3 2" xfId="22432" xr:uid="{89DCC815-1720-4D50-AE5B-FC791E0D5FD1}"/>
    <cellStyle name="Normal 10 3 3 6 2 3 2 2" xfId="22433" xr:uid="{356AD68A-7DD2-4DCC-B322-387BD80EAE5A}"/>
    <cellStyle name="Normal 10 3 3 6 2 3 2 2 2" xfId="22434" xr:uid="{1693ADDA-53F0-4F66-BB14-73AE56781C68}"/>
    <cellStyle name="Normal 10 3 3 6 2 3 2 2 2 2" xfId="22435" xr:uid="{B43EFC29-543D-4387-BCE1-7A174B58913D}"/>
    <cellStyle name="Normal 10 3 3 6 2 3 2 2 2 2 2" xfId="22436" xr:uid="{EAA9300A-DEFF-476D-B933-E6EB9FDAEC62}"/>
    <cellStyle name="Normal 10 3 3 6 2 3 2 2 2 3" xfId="22437" xr:uid="{F9C62A26-9312-4741-954A-49702E5023EF}"/>
    <cellStyle name="Normal 10 3 3 6 2 3 2 2 3" xfId="22438" xr:uid="{1398B35A-6404-4B13-BEF3-51E1D99D5424}"/>
    <cellStyle name="Normal 10 3 3 6 2 3 2 2 3 2" xfId="22439" xr:uid="{80516467-4DF4-4F26-88CB-D39033C109A2}"/>
    <cellStyle name="Normal 10 3 3 6 2 3 2 2 4" xfId="22440" xr:uid="{8482B997-63D4-47BC-A857-7E7791135285}"/>
    <cellStyle name="Normal 10 3 3 6 2 3 2 3" xfId="22441" xr:uid="{F7D22353-F0AB-4850-B9EB-30E4E4CD5A26}"/>
    <cellStyle name="Normal 10 3 3 6 2 3 2 3 2" xfId="22442" xr:uid="{5AD8459C-C900-44D3-9FA0-3E27011FEAF5}"/>
    <cellStyle name="Normal 10 3 3 6 2 3 2 3 2 2" xfId="22443" xr:uid="{D3887889-A339-451E-8956-6611229865A1}"/>
    <cellStyle name="Normal 10 3 3 6 2 3 2 3 3" xfId="22444" xr:uid="{A9A53015-564A-45A8-A3EA-C0039FA98FC1}"/>
    <cellStyle name="Normal 10 3 3 6 2 3 2 4" xfId="22445" xr:uid="{13718AAC-317B-402A-8B8B-88F006E83800}"/>
    <cellStyle name="Normal 10 3 3 6 2 3 2 4 2" xfId="22446" xr:uid="{511B10CC-57A5-4413-95C0-10C8C51B36D6}"/>
    <cellStyle name="Normal 10 3 3 6 2 3 2 5" xfId="22447" xr:uid="{5336E7D3-19E1-4564-9BAC-53E539425C9D}"/>
    <cellStyle name="Normal 10 3 3 6 2 3 3" xfId="22448" xr:uid="{B638CE15-C96A-4496-9035-AF2ECA815CCA}"/>
    <cellStyle name="Normal 10 3 3 6 2 3 3 2" xfId="22449" xr:uid="{7365D62D-9A3E-4561-96DF-DF9128B3F6DA}"/>
    <cellStyle name="Normal 10 3 3 6 2 3 3 2 2" xfId="22450" xr:uid="{3B856258-FF32-4ABB-AA66-4FEAC90F7D95}"/>
    <cellStyle name="Normal 10 3 3 6 2 3 3 2 2 2" xfId="22451" xr:uid="{66AB86A4-7386-46AD-9D37-50CED11E3BEF}"/>
    <cellStyle name="Normal 10 3 3 6 2 3 3 2 3" xfId="22452" xr:uid="{DB2E637E-90CB-47A4-83BA-8E399DD6CEC6}"/>
    <cellStyle name="Normal 10 3 3 6 2 3 3 3" xfId="22453" xr:uid="{06AA75D6-6CB4-4D55-85BC-0A84C7DD18A9}"/>
    <cellStyle name="Normal 10 3 3 6 2 3 3 3 2" xfId="22454" xr:uid="{3F29FEDB-1AEC-437A-8F2A-8C02F2712A85}"/>
    <cellStyle name="Normal 10 3 3 6 2 3 3 4" xfId="22455" xr:uid="{CD27EBC5-E4DB-497F-A104-2A97817A0CAA}"/>
    <cellStyle name="Normal 10 3 3 6 2 3 4" xfId="22456" xr:uid="{43673820-0A01-4E9D-8274-4F60FAFB8322}"/>
    <cellStyle name="Normal 10 3 3 6 2 3 4 2" xfId="22457" xr:uid="{DDA342C1-9F68-48BC-B5D9-3149156BB329}"/>
    <cellStyle name="Normal 10 3 3 6 2 3 4 2 2" xfId="22458" xr:uid="{C33F8CE2-5E5D-4CCD-932A-C160D92EEC4F}"/>
    <cellStyle name="Normal 10 3 3 6 2 3 4 3" xfId="22459" xr:uid="{EB04A564-18E4-4F97-8AAC-ED2D070C42C3}"/>
    <cellStyle name="Normal 10 3 3 6 2 3 5" xfId="22460" xr:uid="{1F334139-9EF9-4C95-A52C-FAAA1CCA58AF}"/>
    <cellStyle name="Normal 10 3 3 6 2 3 5 2" xfId="22461" xr:uid="{D59521D0-BDE8-43B0-B995-1B9252E67AC8}"/>
    <cellStyle name="Normal 10 3 3 6 2 3 6" xfId="22462" xr:uid="{34AEFCBE-21B3-425A-9B0C-EE27C01A0D7E}"/>
    <cellStyle name="Normal 10 3 3 6 2 4" xfId="22463" xr:uid="{D5047228-A506-4B61-9409-D34A3E58F334}"/>
    <cellStyle name="Normal 10 3 3 6 2 4 2" xfId="22464" xr:uid="{E1ED0D5D-7F72-49F7-9CCC-8F85D04E70DD}"/>
    <cellStyle name="Normal 10 3 3 6 2 4 2 2" xfId="22465" xr:uid="{F53C6032-8BFE-4D1B-8550-C57E0CE2E425}"/>
    <cellStyle name="Normal 10 3 3 6 2 4 2 2 2" xfId="22466" xr:uid="{F83868E2-A4F9-4A36-BA15-9E887FBF5B39}"/>
    <cellStyle name="Normal 10 3 3 6 2 4 2 2 2 2" xfId="22467" xr:uid="{3051CB3A-8FB1-4312-9661-EDE28FE80215}"/>
    <cellStyle name="Normal 10 3 3 6 2 4 2 2 3" xfId="22468" xr:uid="{6A29E50E-27BC-4888-B73A-1CDBBF16E404}"/>
    <cellStyle name="Normal 10 3 3 6 2 4 2 3" xfId="22469" xr:uid="{0FCCB81B-46AA-4218-BB07-1490768782CA}"/>
    <cellStyle name="Normal 10 3 3 6 2 4 2 3 2" xfId="22470" xr:uid="{E559C666-BE5F-45E3-9738-2802980675D9}"/>
    <cellStyle name="Normal 10 3 3 6 2 4 2 4" xfId="22471" xr:uid="{B87E9F0C-3361-4FFA-B873-650BD5C6B4C6}"/>
    <cellStyle name="Normal 10 3 3 6 2 4 3" xfId="22472" xr:uid="{C954C424-4BAB-4E89-988E-3D627A1CA616}"/>
    <cellStyle name="Normal 10 3 3 6 2 4 3 2" xfId="22473" xr:uid="{F615214E-AC32-449C-9B83-13F654C8EB87}"/>
    <cellStyle name="Normal 10 3 3 6 2 4 3 2 2" xfId="22474" xr:uid="{357CDC8C-AF46-4E7D-982A-FFB4233E2421}"/>
    <cellStyle name="Normal 10 3 3 6 2 4 3 3" xfId="22475" xr:uid="{F4FAD89C-8B83-4B1F-901B-DBEDD23009EC}"/>
    <cellStyle name="Normal 10 3 3 6 2 4 4" xfId="22476" xr:uid="{420567A2-CB7A-484A-8794-2FFEC86C70E6}"/>
    <cellStyle name="Normal 10 3 3 6 2 4 4 2" xfId="22477" xr:uid="{E16627C0-F3DA-430B-9759-6E828328FAA5}"/>
    <cellStyle name="Normal 10 3 3 6 2 4 5" xfId="22478" xr:uid="{C8235281-229D-43C9-81A3-502022EAF92D}"/>
    <cellStyle name="Normal 10 3 3 6 2 5" xfId="22479" xr:uid="{A99BBFE0-B101-45A4-9644-2605261C057C}"/>
    <cellStyle name="Normal 10 3 3 6 2 5 2" xfId="22480" xr:uid="{2193EF8A-F9BF-467E-92E3-EBECFEC2EDCD}"/>
    <cellStyle name="Normal 10 3 3 6 2 5 2 2" xfId="22481" xr:uid="{9EB069BB-0A57-4AA6-AD0F-2BB7C047367E}"/>
    <cellStyle name="Normal 10 3 3 6 2 5 2 2 2" xfId="22482" xr:uid="{6904E5EA-02A2-49CE-A122-5229CEE089B6}"/>
    <cellStyle name="Normal 10 3 3 6 2 5 2 3" xfId="22483" xr:uid="{53D142C7-66FE-4825-B9B1-DBB5278F8295}"/>
    <cellStyle name="Normal 10 3 3 6 2 5 3" xfId="22484" xr:uid="{D008302C-DC6D-406F-A21C-DD52083ED3A0}"/>
    <cellStyle name="Normal 10 3 3 6 2 5 3 2" xfId="22485" xr:uid="{CBD364FC-F84F-45AD-9075-7924C2AC55EF}"/>
    <cellStyle name="Normal 10 3 3 6 2 5 4" xfId="22486" xr:uid="{BCBB2D0E-A705-4247-987F-14C877DB0FC7}"/>
    <cellStyle name="Normal 10 3 3 6 2 6" xfId="22487" xr:uid="{92CEA9AC-2680-4BC7-8524-52B6F0B49438}"/>
    <cellStyle name="Normal 10 3 3 6 2 6 2" xfId="22488" xr:uid="{DBA64603-0B27-4C72-81F9-0FF677C4A158}"/>
    <cellStyle name="Normal 10 3 3 6 2 6 2 2" xfId="22489" xr:uid="{89F64BEB-FEAD-48A6-A6C2-901122630DFF}"/>
    <cellStyle name="Normal 10 3 3 6 2 6 3" xfId="22490" xr:uid="{2900538C-6E33-4E1D-8D82-84B2796BFF40}"/>
    <cellStyle name="Normal 10 3 3 6 2 7" xfId="22491" xr:uid="{F08416B4-257B-46BE-9A76-DEEA0B266D60}"/>
    <cellStyle name="Normal 10 3 3 6 2 7 2" xfId="22492" xr:uid="{CD4BCDF0-CEED-498B-A633-44599008FF7F}"/>
    <cellStyle name="Normal 10 3 3 6 2 8" xfId="22493" xr:uid="{9E1A54F0-B0D2-4001-B090-8D583E14DD77}"/>
    <cellStyle name="Normal 10 3 3 6 3" xfId="22494" xr:uid="{9F323093-597B-42B5-A4DE-A268DAF42E15}"/>
    <cellStyle name="Normal 10 3 3 6 3 2" xfId="22495" xr:uid="{B19EFB0B-6BE7-4829-9620-4203669CA325}"/>
    <cellStyle name="Normal 10 3 3 6 3 2 2" xfId="22496" xr:uid="{DBB5AB26-346B-410D-BB91-8833B2483AF0}"/>
    <cellStyle name="Normal 10 3 3 6 3 2 2 2" xfId="22497" xr:uid="{042BE2D1-82CE-4CB0-A3A2-48C199D20606}"/>
    <cellStyle name="Normal 10 3 3 6 3 2 2 2 2" xfId="22498" xr:uid="{8ED7C776-D1A3-4070-A78A-9B7F5C2C5DA0}"/>
    <cellStyle name="Normal 10 3 3 6 3 2 2 2 2 2" xfId="22499" xr:uid="{86FECD23-0745-4FCF-8030-572BF2FEDDB3}"/>
    <cellStyle name="Normal 10 3 3 6 3 2 2 2 2 2 2" xfId="22500" xr:uid="{A6530202-C0A3-4726-857F-9D4A380E70C9}"/>
    <cellStyle name="Normal 10 3 3 6 3 2 2 2 2 3" xfId="22501" xr:uid="{D8433BEC-75F5-4EF7-AEDB-C2775B450695}"/>
    <cellStyle name="Normal 10 3 3 6 3 2 2 2 3" xfId="22502" xr:uid="{2F0B6B98-9DA8-4FDD-8FE0-1034CFBA92EB}"/>
    <cellStyle name="Normal 10 3 3 6 3 2 2 2 3 2" xfId="22503" xr:uid="{4E589CBB-C69E-4966-9882-00DB82E08558}"/>
    <cellStyle name="Normal 10 3 3 6 3 2 2 2 4" xfId="22504" xr:uid="{1ED15735-4C61-414C-A8E7-E124C440A9B9}"/>
    <cellStyle name="Normal 10 3 3 6 3 2 2 3" xfId="22505" xr:uid="{28A2BCEE-EE39-47FB-BC3F-F1BDC5B709C8}"/>
    <cellStyle name="Normal 10 3 3 6 3 2 2 3 2" xfId="22506" xr:uid="{6EDAEF05-766E-47DE-9938-32388A2B699C}"/>
    <cellStyle name="Normal 10 3 3 6 3 2 2 3 2 2" xfId="22507" xr:uid="{16913984-97F8-44AA-9BB4-D25121E50BDE}"/>
    <cellStyle name="Normal 10 3 3 6 3 2 2 3 3" xfId="22508" xr:uid="{43E8F909-511C-477F-A41D-2A3D9E67B7FC}"/>
    <cellStyle name="Normal 10 3 3 6 3 2 2 4" xfId="22509" xr:uid="{2D8016D7-8668-49E6-8396-8020C4F6275D}"/>
    <cellStyle name="Normal 10 3 3 6 3 2 2 4 2" xfId="22510" xr:uid="{094ADBC2-6E8E-4A02-887F-6A2A7C38AC9F}"/>
    <cellStyle name="Normal 10 3 3 6 3 2 2 5" xfId="22511" xr:uid="{3482ED5C-E45E-4312-BEE6-ADD67DFC46A4}"/>
    <cellStyle name="Normal 10 3 3 6 3 2 3" xfId="22512" xr:uid="{A65C568B-C228-4DFE-8BDF-6B762E26CC85}"/>
    <cellStyle name="Normal 10 3 3 6 3 2 3 2" xfId="22513" xr:uid="{74E07545-CEDF-4514-9909-41A3576F3258}"/>
    <cellStyle name="Normal 10 3 3 6 3 2 3 2 2" xfId="22514" xr:uid="{58957F34-68BD-404B-8861-CBCD2B5202EF}"/>
    <cellStyle name="Normal 10 3 3 6 3 2 3 2 2 2" xfId="22515" xr:uid="{9112B833-167D-41CE-B448-A94125CED93F}"/>
    <cellStyle name="Normal 10 3 3 6 3 2 3 2 3" xfId="22516" xr:uid="{D5EB4731-F992-4E7C-B3FC-153DCF6E14E2}"/>
    <cellStyle name="Normal 10 3 3 6 3 2 3 3" xfId="22517" xr:uid="{92653898-46EE-4F87-9D92-FB1A3F2F3A75}"/>
    <cellStyle name="Normal 10 3 3 6 3 2 3 3 2" xfId="22518" xr:uid="{A85B211D-2D0D-468F-BFF8-21605B87CD2E}"/>
    <cellStyle name="Normal 10 3 3 6 3 2 3 4" xfId="22519" xr:uid="{0E53ABDE-0D98-4A4A-85B3-C3A9C17799FF}"/>
    <cellStyle name="Normal 10 3 3 6 3 2 4" xfId="22520" xr:uid="{E91E9238-A5F0-4A6F-A90D-3ACFABEF9345}"/>
    <cellStyle name="Normal 10 3 3 6 3 2 4 2" xfId="22521" xr:uid="{2E0B8DF2-66AE-4C00-B743-3D3D8E7D96AF}"/>
    <cellStyle name="Normal 10 3 3 6 3 2 4 2 2" xfId="22522" xr:uid="{2992F3DF-3A32-48A2-B20D-F6FE3C398DED}"/>
    <cellStyle name="Normal 10 3 3 6 3 2 4 3" xfId="22523" xr:uid="{9DE76E7E-A0C6-4C99-ADBA-DA686F3931F8}"/>
    <cellStyle name="Normal 10 3 3 6 3 2 5" xfId="22524" xr:uid="{60C8AB5C-4B86-4DD1-9D2A-D88C809E8800}"/>
    <cellStyle name="Normal 10 3 3 6 3 2 5 2" xfId="22525" xr:uid="{2F93AC1B-B6DA-4F7E-B30D-ACDD812BAD0B}"/>
    <cellStyle name="Normal 10 3 3 6 3 2 6" xfId="22526" xr:uid="{D711B91B-2134-4E9F-A81D-49547531E828}"/>
    <cellStyle name="Normal 10 3 3 6 3 3" xfId="22527" xr:uid="{D3CC43C6-2846-4304-9159-46550B331AF8}"/>
    <cellStyle name="Normal 10 3 3 6 3 3 2" xfId="22528" xr:uid="{39FDFD1D-742F-4ECE-A160-8869F74820E9}"/>
    <cellStyle name="Normal 10 3 3 6 3 3 2 2" xfId="22529" xr:uid="{C31C3771-63B7-482D-BDE0-33471F45A19D}"/>
    <cellStyle name="Normal 10 3 3 6 3 3 2 2 2" xfId="22530" xr:uid="{3BDB8B45-4152-4951-A1FD-FC88DBB770A1}"/>
    <cellStyle name="Normal 10 3 3 6 3 3 2 2 2 2" xfId="22531" xr:uid="{D04D0865-5527-4D4E-BFB1-67E08BFDD98D}"/>
    <cellStyle name="Normal 10 3 3 6 3 3 2 2 3" xfId="22532" xr:uid="{77383D67-E6CB-4AE3-B478-FA51420A1949}"/>
    <cellStyle name="Normal 10 3 3 6 3 3 2 3" xfId="22533" xr:uid="{9240CD80-34D6-4025-9FF2-95EF1CE35161}"/>
    <cellStyle name="Normal 10 3 3 6 3 3 2 3 2" xfId="22534" xr:uid="{09D64C36-B830-444A-999E-8318E3FDE6F4}"/>
    <cellStyle name="Normal 10 3 3 6 3 3 2 4" xfId="22535" xr:uid="{D5A5E3CA-ECB8-4CA9-9E24-B21611B380ED}"/>
    <cellStyle name="Normal 10 3 3 6 3 3 3" xfId="22536" xr:uid="{42DF4032-760B-4195-A811-C7C11F33BAEB}"/>
    <cellStyle name="Normal 10 3 3 6 3 3 3 2" xfId="22537" xr:uid="{0D285655-4AB1-47D1-B381-C0BCB25DEBFB}"/>
    <cellStyle name="Normal 10 3 3 6 3 3 3 2 2" xfId="22538" xr:uid="{02D51C81-F6D0-41BD-B2E5-883F3B8A4469}"/>
    <cellStyle name="Normal 10 3 3 6 3 3 3 3" xfId="22539" xr:uid="{EC64BEF4-DCC4-4985-A134-F95539267BAF}"/>
    <cellStyle name="Normal 10 3 3 6 3 3 4" xfId="22540" xr:uid="{35FB3606-2210-45BE-B9FC-6DBAD17224B5}"/>
    <cellStyle name="Normal 10 3 3 6 3 3 4 2" xfId="22541" xr:uid="{00B843F5-BDE0-40B6-8400-42AD61780698}"/>
    <cellStyle name="Normal 10 3 3 6 3 3 5" xfId="22542" xr:uid="{082D251F-FBF6-42F2-8F5A-2C0ED89EC8AA}"/>
    <cellStyle name="Normal 10 3 3 6 3 4" xfId="22543" xr:uid="{125E604E-663A-4AAC-A823-3A4909E77B71}"/>
    <cellStyle name="Normal 10 3 3 6 3 4 2" xfId="22544" xr:uid="{86699326-427A-4E9F-B0C1-900C12953DFE}"/>
    <cellStyle name="Normal 10 3 3 6 3 4 2 2" xfId="22545" xr:uid="{98592A21-D132-4427-B88F-3237C9D306A4}"/>
    <cellStyle name="Normal 10 3 3 6 3 4 2 2 2" xfId="22546" xr:uid="{20A021A3-27E0-4CCC-8390-CC83EF40DE02}"/>
    <cellStyle name="Normal 10 3 3 6 3 4 2 3" xfId="22547" xr:uid="{2F0D7023-72E9-448D-9360-4C297FAC2E51}"/>
    <cellStyle name="Normal 10 3 3 6 3 4 3" xfId="22548" xr:uid="{E0F15F56-546D-4163-89C0-CFFC86024E7A}"/>
    <cellStyle name="Normal 10 3 3 6 3 4 3 2" xfId="22549" xr:uid="{DBDEF525-BBDA-4B87-A393-FC2A0DABEDF7}"/>
    <cellStyle name="Normal 10 3 3 6 3 4 4" xfId="22550" xr:uid="{6CCC7C34-CE8A-4328-B20E-AAE567BD8FCB}"/>
    <cellStyle name="Normal 10 3 3 6 3 5" xfId="22551" xr:uid="{B66C3A4F-9D96-4DDF-9F14-CB94BE952752}"/>
    <cellStyle name="Normal 10 3 3 6 3 5 2" xfId="22552" xr:uid="{6DD89608-AF23-4BC8-8BA5-A45F80030276}"/>
    <cellStyle name="Normal 10 3 3 6 3 5 2 2" xfId="22553" xr:uid="{FE48ED5A-AA5C-42EF-895A-5B61D57EA2D5}"/>
    <cellStyle name="Normal 10 3 3 6 3 5 3" xfId="22554" xr:uid="{18F8B105-5866-403A-BF7C-E6C25890C253}"/>
    <cellStyle name="Normal 10 3 3 6 3 6" xfId="22555" xr:uid="{0F97B0B7-6536-4040-833C-09425718C417}"/>
    <cellStyle name="Normal 10 3 3 6 3 6 2" xfId="22556" xr:uid="{1889F47B-5086-493C-BC63-473480BF3A73}"/>
    <cellStyle name="Normal 10 3 3 6 3 7" xfId="22557" xr:uid="{468E2D78-7DA2-497E-91E2-37C95FA35F0A}"/>
    <cellStyle name="Normal 10 3 3 6 4" xfId="22558" xr:uid="{A8BD846D-CFB1-4344-99E8-EF554A86A87F}"/>
    <cellStyle name="Normal 10 3 3 6 4 2" xfId="22559" xr:uid="{D9A129B7-1945-4C41-834A-BFFD732567CB}"/>
    <cellStyle name="Normal 10 3 3 6 4 2 2" xfId="22560" xr:uid="{F135B3EB-47F7-49D2-B462-116DD30E0153}"/>
    <cellStyle name="Normal 10 3 3 6 4 2 2 2" xfId="22561" xr:uid="{0E1D2720-B6CD-4924-933E-F107689492CD}"/>
    <cellStyle name="Normal 10 3 3 6 4 2 2 2 2" xfId="22562" xr:uid="{3DD9C79A-6529-4EE0-84FB-D2FC56C5D37F}"/>
    <cellStyle name="Normal 10 3 3 6 4 2 2 2 2 2" xfId="22563" xr:uid="{415F539E-A69A-45E7-BABC-1FEB5F5BCEB5}"/>
    <cellStyle name="Normal 10 3 3 6 4 2 2 2 3" xfId="22564" xr:uid="{D8F92745-16B0-484E-BCE1-B4FCC457DA80}"/>
    <cellStyle name="Normal 10 3 3 6 4 2 2 3" xfId="22565" xr:uid="{F82379DC-BEC7-41A0-8ADF-BA216C6A27EF}"/>
    <cellStyle name="Normal 10 3 3 6 4 2 2 3 2" xfId="22566" xr:uid="{D2CE1D35-9DF7-46A0-8AC6-FF0D6E92E770}"/>
    <cellStyle name="Normal 10 3 3 6 4 2 2 4" xfId="22567" xr:uid="{52FD8832-CDD8-4CE1-8F35-6FA0F00CD3A1}"/>
    <cellStyle name="Normal 10 3 3 6 4 2 3" xfId="22568" xr:uid="{64BE2FC9-0DCD-4D72-B62C-0A5AEE224A6F}"/>
    <cellStyle name="Normal 10 3 3 6 4 2 3 2" xfId="22569" xr:uid="{2C9D4912-6E98-4770-9AB0-8F0F9124DC41}"/>
    <cellStyle name="Normal 10 3 3 6 4 2 3 2 2" xfId="22570" xr:uid="{DCEEFB42-76B9-414B-A094-3A901E83EE49}"/>
    <cellStyle name="Normal 10 3 3 6 4 2 3 3" xfId="22571" xr:uid="{68E99D79-B4EA-4573-B6E7-573B75674394}"/>
    <cellStyle name="Normal 10 3 3 6 4 2 4" xfId="22572" xr:uid="{BE1C293F-03F7-4403-B25A-C7B750BFC3B6}"/>
    <cellStyle name="Normal 10 3 3 6 4 2 4 2" xfId="22573" xr:uid="{EBA7524F-9044-44A0-A738-C02F228648A6}"/>
    <cellStyle name="Normal 10 3 3 6 4 2 5" xfId="22574" xr:uid="{140F3B1D-8E20-44F5-8A60-509A1EA51C40}"/>
    <cellStyle name="Normal 10 3 3 6 4 3" xfId="22575" xr:uid="{96C4AA56-91C8-4E37-A5D3-2DF6A57B6046}"/>
    <cellStyle name="Normal 10 3 3 6 4 3 2" xfId="22576" xr:uid="{CF194449-EB42-47C0-9037-EDC2C53C7DD4}"/>
    <cellStyle name="Normal 10 3 3 6 4 3 2 2" xfId="22577" xr:uid="{988FFDAE-E993-4434-AC2A-2DC61DBD5B6F}"/>
    <cellStyle name="Normal 10 3 3 6 4 3 2 2 2" xfId="22578" xr:uid="{4EDA1859-2E9D-4120-98C8-036C55797C23}"/>
    <cellStyle name="Normal 10 3 3 6 4 3 2 3" xfId="22579" xr:uid="{626D22F1-31E5-4E08-9EBC-AFB0DEABD37C}"/>
    <cellStyle name="Normal 10 3 3 6 4 3 3" xfId="22580" xr:uid="{A93F6C03-2749-4692-930D-7099FA60A95D}"/>
    <cellStyle name="Normal 10 3 3 6 4 3 3 2" xfId="22581" xr:uid="{A7B0DAEC-9934-40D6-A236-7D967A675276}"/>
    <cellStyle name="Normal 10 3 3 6 4 3 4" xfId="22582" xr:uid="{02061D05-524F-43B4-9B20-7A94E61C37B2}"/>
    <cellStyle name="Normal 10 3 3 6 4 4" xfId="22583" xr:uid="{BC896D5F-68E8-4742-AC98-8D5019F4E8EC}"/>
    <cellStyle name="Normal 10 3 3 6 4 4 2" xfId="22584" xr:uid="{EEEDEA97-68D2-4807-B152-A72E7241EDE0}"/>
    <cellStyle name="Normal 10 3 3 6 4 4 2 2" xfId="22585" xr:uid="{3F8DC36E-F617-40E2-B13D-189349CED7DE}"/>
    <cellStyle name="Normal 10 3 3 6 4 4 3" xfId="22586" xr:uid="{A8A6ED8D-DEB7-470A-BB93-777962F5F1B0}"/>
    <cellStyle name="Normal 10 3 3 6 4 5" xfId="22587" xr:uid="{241D55DE-2ADE-4905-808A-04FFA4A8F7C5}"/>
    <cellStyle name="Normal 10 3 3 6 4 5 2" xfId="22588" xr:uid="{287C98C0-DC07-4C80-961B-016B2410D8AE}"/>
    <cellStyle name="Normal 10 3 3 6 4 6" xfId="22589" xr:uid="{E0055FEF-4A31-470F-9045-219AC0950511}"/>
    <cellStyle name="Normal 10 3 3 6 5" xfId="22590" xr:uid="{7A54E368-B89C-44E9-B940-CDB3E6CEFB8D}"/>
    <cellStyle name="Normal 10 3 3 6 5 2" xfId="22591" xr:uid="{7E1F9C0D-C389-400A-828F-915A50379F17}"/>
    <cellStyle name="Normal 10 3 3 6 5 2 2" xfId="22592" xr:uid="{4EB2418B-1651-40EF-9CAE-F8F15383F285}"/>
    <cellStyle name="Normal 10 3 3 6 5 2 2 2" xfId="22593" xr:uid="{5DEBE323-A79D-4A50-AA9B-8E0BA632BEEE}"/>
    <cellStyle name="Normal 10 3 3 6 5 2 2 2 2" xfId="22594" xr:uid="{CDDCB973-75EA-4367-9E4A-FBE5E31BE383}"/>
    <cellStyle name="Normal 10 3 3 6 5 2 2 3" xfId="22595" xr:uid="{991EF9B6-23C4-4F93-BD80-0427FAC1F34C}"/>
    <cellStyle name="Normal 10 3 3 6 5 2 3" xfId="22596" xr:uid="{17BA555E-C8B5-4FDC-873D-D4C9703B3EA8}"/>
    <cellStyle name="Normal 10 3 3 6 5 2 3 2" xfId="22597" xr:uid="{49AB10D2-616B-41D1-A7F8-37933E96BE2D}"/>
    <cellStyle name="Normal 10 3 3 6 5 2 4" xfId="22598" xr:uid="{A1AD46C7-8FDE-413F-9643-248DA333E556}"/>
    <cellStyle name="Normal 10 3 3 6 5 3" xfId="22599" xr:uid="{277922C4-55AE-41C5-8218-7B4CC1AD1B41}"/>
    <cellStyle name="Normal 10 3 3 6 5 3 2" xfId="22600" xr:uid="{44861DC9-4520-454A-9CB1-3A8F609B0BD1}"/>
    <cellStyle name="Normal 10 3 3 6 5 3 2 2" xfId="22601" xr:uid="{D0B82493-56E1-4C04-AD07-33AE1BB42AAD}"/>
    <cellStyle name="Normal 10 3 3 6 5 3 3" xfId="22602" xr:uid="{738B33FB-E1C4-47CE-8592-2B8576DD1D4A}"/>
    <cellStyle name="Normal 10 3 3 6 5 4" xfId="22603" xr:uid="{BAB0AC58-86B6-4123-8769-EBE21C8FA6F2}"/>
    <cellStyle name="Normal 10 3 3 6 5 4 2" xfId="22604" xr:uid="{1A13B254-2678-49E8-B2CA-2A28541C580A}"/>
    <cellStyle name="Normal 10 3 3 6 5 5" xfId="22605" xr:uid="{9C90B174-DF11-497D-BB80-31F480770659}"/>
    <cellStyle name="Normal 10 3 3 6 6" xfId="22606" xr:uid="{71AF8FD8-251A-4A8C-96A2-1F9CF3EB29A2}"/>
    <cellStyle name="Normal 10 3 3 6 6 2" xfId="22607" xr:uid="{474DBA74-B79F-4A59-B426-8565F25ED046}"/>
    <cellStyle name="Normal 10 3 3 6 6 2 2" xfId="22608" xr:uid="{A724635D-CD15-4412-B26E-ECBD5FE9B37F}"/>
    <cellStyle name="Normal 10 3 3 6 6 2 2 2" xfId="22609" xr:uid="{4C90E066-059D-463C-822F-2884A13702C5}"/>
    <cellStyle name="Normal 10 3 3 6 6 2 3" xfId="22610" xr:uid="{5BD39EF9-9566-42D3-BD30-03E31F2C5B5D}"/>
    <cellStyle name="Normal 10 3 3 6 6 3" xfId="22611" xr:uid="{B9D5F2FF-4A8A-499C-829F-C593FBDD42B7}"/>
    <cellStyle name="Normal 10 3 3 6 6 3 2" xfId="22612" xr:uid="{B2742892-B415-4747-965B-69635A2A9C35}"/>
    <cellStyle name="Normal 10 3 3 6 6 4" xfId="22613" xr:uid="{C91CCFC2-00AC-468A-81CA-475C3D6D84D3}"/>
    <cellStyle name="Normal 10 3 3 6 7" xfId="22614" xr:uid="{D2F5FED9-C8C4-4997-9771-D9FD2F7E3387}"/>
    <cellStyle name="Normal 10 3 3 6 7 2" xfId="22615" xr:uid="{43E89D81-29A2-4E28-946C-B14FBEB462A6}"/>
    <cellStyle name="Normal 10 3 3 6 7 2 2" xfId="22616" xr:uid="{D18B96A6-A5D7-4662-9C64-BE80963BECE3}"/>
    <cellStyle name="Normal 10 3 3 6 7 3" xfId="22617" xr:uid="{FF154ECF-9D93-4577-B115-1EDEB6F715EE}"/>
    <cellStyle name="Normal 10 3 3 6 8" xfId="22618" xr:uid="{E487B28E-86E8-4E7A-93F3-BCC3A0542E1A}"/>
    <cellStyle name="Normal 10 3 3 6 8 2" xfId="22619" xr:uid="{9A49D779-44D7-4C84-8EC5-F51622C8C577}"/>
    <cellStyle name="Normal 10 3 3 6 9" xfId="22620" xr:uid="{4D42BF47-1282-4263-BA2D-BDCFEF7A75AB}"/>
    <cellStyle name="Normal 10 3 3 7" xfId="446" xr:uid="{C135656D-D898-46CD-8E29-3A054892EA61}"/>
    <cellStyle name="Normal 10 3 3 7 2" xfId="22622" xr:uid="{E67DBBF5-786F-48A5-B5D3-BF397DD7BB69}"/>
    <cellStyle name="Normal 10 3 3 7 2 2" xfId="22623" xr:uid="{737B6F8D-3F29-49D2-993A-C8AE72271B07}"/>
    <cellStyle name="Normal 10 3 3 7 2 2 2" xfId="22624" xr:uid="{C2F95024-99E5-48A3-88AC-0128FCFD0E9C}"/>
    <cellStyle name="Normal 10 3 3 7 2 2 2 2" xfId="22625" xr:uid="{645F60BC-5A34-4704-AB3F-9B4F07E966A1}"/>
    <cellStyle name="Normal 10 3 3 7 2 2 2 2 2" xfId="22626" xr:uid="{FECBC313-38A6-4A48-BD80-A7DB97D01DCF}"/>
    <cellStyle name="Normal 10 3 3 7 2 2 2 2 2 2" xfId="22627" xr:uid="{D1ADB0E1-006C-4192-A965-7C744552895D}"/>
    <cellStyle name="Normal 10 3 3 7 2 2 2 2 2 2 2" xfId="22628" xr:uid="{89D6EF19-959E-4555-9DE7-D9EF059A0124}"/>
    <cellStyle name="Normal 10 3 3 7 2 2 2 2 2 3" xfId="22629" xr:uid="{A5F96245-2BBE-4C7F-A380-87DE8C2E9327}"/>
    <cellStyle name="Normal 10 3 3 7 2 2 2 2 3" xfId="22630" xr:uid="{88846A09-60A0-4C5F-AA7A-EF022EC516C0}"/>
    <cellStyle name="Normal 10 3 3 7 2 2 2 2 3 2" xfId="22631" xr:uid="{76043E65-95BD-41E1-8C24-2378E8146F5E}"/>
    <cellStyle name="Normal 10 3 3 7 2 2 2 2 4" xfId="22632" xr:uid="{452DA115-F378-4FD3-9D62-89BFB9DBFDBF}"/>
    <cellStyle name="Normal 10 3 3 7 2 2 2 3" xfId="22633" xr:uid="{7EF604E5-DE2B-4BEE-A12B-0CE76EE4A91F}"/>
    <cellStyle name="Normal 10 3 3 7 2 2 2 3 2" xfId="22634" xr:uid="{1F32FF9E-D286-4ABF-9F71-50FB6D70B9CB}"/>
    <cellStyle name="Normal 10 3 3 7 2 2 2 3 2 2" xfId="22635" xr:uid="{A3FC3597-1DA0-4E8A-84ED-928075510824}"/>
    <cellStyle name="Normal 10 3 3 7 2 2 2 3 3" xfId="22636" xr:uid="{ED075976-4086-4F94-9B25-7899CDA769E7}"/>
    <cellStyle name="Normal 10 3 3 7 2 2 2 4" xfId="22637" xr:uid="{601AF5F2-A652-4605-95B2-EC74970A29E1}"/>
    <cellStyle name="Normal 10 3 3 7 2 2 2 4 2" xfId="22638" xr:uid="{348E9129-C17B-4C91-AD08-D0B0F51E0EB7}"/>
    <cellStyle name="Normal 10 3 3 7 2 2 2 5" xfId="22639" xr:uid="{900F8FBB-C509-4923-9521-9285C89BDCB6}"/>
    <cellStyle name="Normal 10 3 3 7 2 2 3" xfId="22640" xr:uid="{F4ED33D0-C722-4C2E-8258-E9840546949A}"/>
    <cellStyle name="Normal 10 3 3 7 2 2 3 2" xfId="22641" xr:uid="{41422A0A-308E-4014-B85B-3A2A4B1A0386}"/>
    <cellStyle name="Normal 10 3 3 7 2 2 3 2 2" xfId="22642" xr:uid="{574D8CF6-754B-467F-8928-CD39CF645814}"/>
    <cellStyle name="Normal 10 3 3 7 2 2 3 2 2 2" xfId="22643" xr:uid="{1DC64A96-48F2-431C-A850-84FD8CFDBA1A}"/>
    <cellStyle name="Normal 10 3 3 7 2 2 3 2 3" xfId="22644" xr:uid="{32131806-9316-4523-9501-558B949BD1AE}"/>
    <cellStyle name="Normal 10 3 3 7 2 2 3 3" xfId="22645" xr:uid="{AC26D32D-CF13-49FF-870A-8F8772ED4953}"/>
    <cellStyle name="Normal 10 3 3 7 2 2 3 3 2" xfId="22646" xr:uid="{8AD7AE61-1F6F-45C4-A363-2837EE1DAFEB}"/>
    <cellStyle name="Normal 10 3 3 7 2 2 3 4" xfId="22647" xr:uid="{1AAB6FA9-C8E1-4F55-A2F3-75E88DF83959}"/>
    <cellStyle name="Normal 10 3 3 7 2 2 4" xfId="22648" xr:uid="{BE0325FE-84DE-4E6E-A2DD-B1AECAA9C17D}"/>
    <cellStyle name="Normal 10 3 3 7 2 2 4 2" xfId="22649" xr:uid="{D208F810-CC6D-4E07-9BEF-96A8492C4623}"/>
    <cellStyle name="Normal 10 3 3 7 2 2 4 2 2" xfId="22650" xr:uid="{1B25A374-C09F-488B-93E1-1BA9B64FC6CD}"/>
    <cellStyle name="Normal 10 3 3 7 2 2 4 3" xfId="22651" xr:uid="{5236C26F-7711-4EA5-9913-EA78B893F5D0}"/>
    <cellStyle name="Normal 10 3 3 7 2 2 5" xfId="22652" xr:uid="{A4FAEB24-2B7E-4321-AE40-B7AC40EABD7B}"/>
    <cellStyle name="Normal 10 3 3 7 2 2 5 2" xfId="22653" xr:uid="{BA86D657-2809-45B9-AD89-548FD43C3851}"/>
    <cellStyle name="Normal 10 3 3 7 2 2 6" xfId="22654" xr:uid="{E8BA4BFD-5D70-40D1-9CAD-CE51123CB376}"/>
    <cellStyle name="Normal 10 3 3 7 2 3" xfId="22655" xr:uid="{01563A76-837B-4EB0-B00F-2DDE96835736}"/>
    <cellStyle name="Normal 10 3 3 7 2 3 2" xfId="22656" xr:uid="{5CA57397-B229-4F94-8818-8A8311D41BDF}"/>
    <cellStyle name="Normal 10 3 3 7 2 3 2 2" xfId="22657" xr:uid="{F98552FB-82EB-45B7-BB6C-A7B275CBADD6}"/>
    <cellStyle name="Normal 10 3 3 7 2 3 2 2 2" xfId="22658" xr:uid="{A71C008D-C127-493B-B28D-073DED48EE17}"/>
    <cellStyle name="Normal 10 3 3 7 2 3 2 2 2 2" xfId="22659" xr:uid="{F75D7B5F-07F3-4CE6-A7E9-F5FE848F816D}"/>
    <cellStyle name="Normal 10 3 3 7 2 3 2 2 3" xfId="22660" xr:uid="{BBC0EBE2-C40D-4F55-9285-1E58A6E16130}"/>
    <cellStyle name="Normal 10 3 3 7 2 3 2 3" xfId="22661" xr:uid="{40340418-107E-4E0F-8204-C37931DEEB91}"/>
    <cellStyle name="Normal 10 3 3 7 2 3 2 3 2" xfId="22662" xr:uid="{0A388D9C-4E54-4DA5-BBA7-AD1CA63126D9}"/>
    <cellStyle name="Normal 10 3 3 7 2 3 2 4" xfId="22663" xr:uid="{1C8F99E4-4669-4F7A-9C6D-63A83B83BAE6}"/>
    <cellStyle name="Normal 10 3 3 7 2 3 3" xfId="22664" xr:uid="{D6E51621-B716-4CDC-9DE3-1047FA5FE983}"/>
    <cellStyle name="Normal 10 3 3 7 2 3 3 2" xfId="22665" xr:uid="{896A48D7-80F7-49DE-BF42-4F1F54AD1E7B}"/>
    <cellStyle name="Normal 10 3 3 7 2 3 3 2 2" xfId="22666" xr:uid="{C21A112F-75F6-46CC-B108-762D22C8901B}"/>
    <cellStyle name="Normal 10 3 3 7 2 3 3 3" xfId="22667" xr:uid="{157E07CB-521D-4504-9E66-9923017AA9D9}"/>
    <cellStyle name="Normal 10 3 3 7 2 3 4" xfId="22668" xr:uid="{A7C154DA-F074-4A1B-8A4E-33DB3AD708A0}"/>
    <cellStyle name="Normal 10 3 3 7 2 3 4 2" xfId="22669" xr:uid="{F6C83B8A-74FE-48A5-82D9-7F695EC4B4EB}"/>
    <cellStyle name="Normal 10 3 3 7 2 3 5" xfId="22670" xr:uid="{F8EFADCD-C3B3-4710-829E-26D770ED86E0}"/>
    <cellStyle name="Normal 10 3 3 7 2 4" xfId="22671" xr:uid="{3222EF07-CC46-46D2-8481-06BDDFB4EE37}"/>
    <cellStyle name="Normal 10 3 3 7 2 4 2" xfId="22672" xr:uid="{97198D03-4FC4-4FD4-B019-60BCFF54FEFD}"/>
    <cellStyle name="Normal 10 3 3 7 2 4 2 2" xfId="22673" xr:uid="{155B8E8E-CF05-4773-8CF2-BCD386DA2BEC}"/>
    <cellStyle name="Normal 10 3 3 7 2 4 2 2 2" xfId="22674" xr:uid="{231081FC-E25C-484E-B78E-C33B3C150634}"/>
    <cellStyle name="Normal 10 3 3 7 2 4 2 3" xfId="22675" xr:uid="{24A9BC84-3FC0-4EF7-A314-62145A47BA85}"/>
    <cellStyle name="Normal 10 3 3 7 2 4 3" xfId="22676" xr:uid="{F4D05342-F7FB-43E8-9507-F0AF9B9708F0}"/>
    <cellStyle name="Normal 10 3 3 7 2 4 3 2" xfId="22677" xr:uid="{72213E2C-B043-470B-B993-B0CFED4A178F}"/>
    <cellStyle name="Normal 10 3 3 7 2 4 4" xfId="22678" xr:uid="{927B35DA-0712-4C2E-92E6-C539B8391A55}"/>
    <cellStyle name="Normal 10 3 3 7 2 5" xfId="22679" xr:uid="{6600CA97-3EE6-432A-94E4-CAF372BF00E9}"/>
    <cellStyle name="Normal 10 3 3 7 2 5 2" xfId="22680" xr:uid="{19308218-04AB-4365-BE32-4DB03ABD4C99}"/>
    <cellStyle name="Normal 10 3 3 7 2 5 2 2" xfId="22681" xr:uid="{E46B18BC-B8BC-4764-9510-B2F82348A02E}"/>
    <cellStyle name="Normal 10 3 3 7 2 5 3" xfId="22682" xr:uid="{B0F14E3A-FB31-498B-82CF-1728F3239D25}"/>
    <cellStyle name="Normal 10 3 3 7 2 6" xfId="22683" xr:uid="{430F21FB-035C-4F98-85F6-C685A105BE9E}"/>
    <cellStyle name="Normal 10 3 3 7 2 6 2" xfId="22684" xr:uid="{13722A5E-84B7-4AFE-A614-AAC45847B061}"/>
    <cellStyle name="Normal 10 3 3 7 2 7" xfId="22685" xr:uid="{868133CD-576C-487D-A811-2BC2CF18D139}"/>
    <cellStyle name="Normal 10 3 3 7 3" xfId="22686" xr:uid="{768CB498-E97B-4F0A-AEA0-F8B22A01B72E}"/>
    <cellStyle name="Normal 10 3 3 7 3 2" xfId="22687" xr:uid="{FE57A8F1-5557-4078-8DE4-BBA401CD1E91}"/>
    <cellStyle name="Normal 10 3 3 7 3 2 2" xfId="22688" xr:uid="{E3AD01E4-0A1F-4576-8D71-006D58ADA4AB}"/>
    <cellStyle name="Normal 10 3 3 7 3 2 2 2" xfId="22689" xr:uid="{D427315B-D6D6-4598-91D0-A51B53C7B5A5}"/>
    <cellStyle name="Normal 10 3 3 7 3 2 2 2 2" xfId="22690" xr:uid="{D9D7B873-80F0-460A-9B0F-87ECD1FA2E0C}"/>
    <cellStyle name="Normal 10 3 3 7 3 2 2 2 2 2" xfId="22691" xr:uid="{6498DEAF-B3C1-4B53-ACB8-99353E625465}"/>
    <cellStyle name="Normal 10 3 3 7 3 2 2 2 3" xfId="22692" xr:uid="{A7BB2607-137F-41D6-B68C-DDE91DA82B79}"/>
    <cellStyle name="Normal 10 3 3 7 3 2 2 3" xfId="22693" xr:uid="{8FE910C4-F232-46C1-AFB6-BEAD6145BF38}"/>
    <cellStyle name="Normal 10 3 3 7 3 2 2 3 2" xfId="22694" xr:uid="{7341C49B-6E15-4F63-AD9A-3FF8C64C7F3D}"/>
    <cellStyle name="Normal 10 3 3 7 3 2 2 4" xfId="22695" xr:uid="{9346482B-8AE9-4FE5-BF18-4974BDFE5D28}"/>
    <cellStyle name="Normal 10 3 3 7 3 2 3" xfId="22696" xr:uid="{B107BC6A-9706-462A-8614-8CFDBF043BDE}"/>
    <cellStyle name="Normal 10 3 3 7 3 2 3 2" xfId="22697" xr:uid="{8AE6FEFE-32F8-4DE3-BB9D-22F5CD0DA1A9}"/>
    <cellStyle name="Normal 10 3 3 7 3 2 3 2 2" xfId="22698" xr:uid="{880950F7-45DD-47C5-8A85-A0F686A4A6CD}"/>
    <cellStyle name="Normal 10 3 3 7 3 2 3 3" xfId="22699" xr:uid="{76CAF4D4-3C3B-4EFB-9FF4-1A1C16B3F55E}"/>
    <cellStyle name="Normal 10 3 3 7 3 2 4" xfId="22700" xr:uid="{B5252A4F-0E63-416A-9601-A67EA60DDC91}"/>
    <cellStyle name="Normal 10 3 3 7 3 2 4 2" xfId="22701" xr:uid="{9D7E1E11-88DC-4D2A-A2A1-278FE163B59B}"/>
    <cellStyle name="Normal 10 3 3 7 3 2 5" xfId="22702" xr:uid="{576FBA86-F8AA-4F6A-9F6E-E9EBC4E62C74}"/>
    <cellStyle name="Normal 10 3 3 7 3 3" xfId="22703" xr:uid="{69C2E297-51B0-476B-9F83-6104BADF6358}"/>
    <cellStyle name="Normal 10 3 3 7 3 3 2" xfId="22704" xr:uid="{272D6E2F-B63D-4900-BDB2-BB00E42D97D6}"/>
    <cellStyle name="Normal 10 3 3 7 3 3 2 2" xfId="22705" xr:uid="{7ABFB910-4798-4BB7-9547-F554DDE8BBE1}"/>
    <cellStyle name="Normal 10 3 3 7 3 3 2 2 2" xfId="22706" xr:uid="{C25FF940-78A8-4E69-97E0-4596BC7F51E8}"/>
    <cellStyle name="Normal 10 3 3 7 3 3 2 3" xfId="22707" xr:uid="{4C9CF285-415C-4B93-9015-068BF8B7088D}"/>
    <cellStyle name="Normal 10 3 3 7 3 3 3" xfId="22708" xr:uid="{D4A7B966-D3E0-4D42-8987-C43E4B3E9376}"/>
    <cellStyle name="Normal 10 3 3 7 3 3 3 2" xfId="22709" xr:uid="{10B60FB0-AEF2-44A4-A0EF-090FCFA7A5D6}"/>
    <cellStyle name="Normal 10 3 3 7 3 3 4" xfId="22710" xr:uid="{F6ED5F78-43C0-4871-AC27-F4FA1C923400}"/>
    <cellStyle name="Normal 10 3 3 7 3 4" xfId="22711" xr:uid="{9F51AD1B-F84D-45B1-AE70-4CE6F893A3C5}"/>
    <cellStyle name="Normal 10 3 3 7 3 4 2" xfId="22712" xr:uid="{54D369F3-4332-46D5-895F-FA02F50FE4DF}"/>
    <cellStyle name="Normal 10 3 3 7 3 4 2 2" xfId="22713" xr:uid="{95845BE4-D895-4626-8051-BE89E48FD787}"/>
    <cellStyle name="Normal 10 3 3 7 3 4 3" xfId="22714" xr:uid="{74E67A3C-54E0-4999-A8F7-08BAF1BC969C}"/>
    <cellStyle name="Normal 10 3 3 7 3 5" xfId="22715" xr:uid="{38B9A9A1-0220-4BE6-9C01-C6A33E0342B4}"/>
    <cellStyle name="Normal 10 3 3 7 3 5 2" xfId="22716" xr:uid="{EEC30A5F-61C4-48C0-B175-8F19C7E913B4}"/>
    <cellStyle name="Normal 10 3 3 7 3 6" xfId="22717" xr:uid="{CCDF113C-70BB-40AC-B71D-622C97A8FB77}"/>
    <cellStyle name="Normal 10 3 3 7 4" xfId="22718" xr:uid="{923AC3BB-C763-42BD-82A0-FE15949B036F}"/>
    <cellStyle name="Normal 10 3 3 7 4 2" xfId="22719" xr:uid="{AAB76445-F250-4B1A-965F-F5DCD04B15AB}"/>
    <cellStyle name="Normal 10 3 3 7 4 2 2" xfId="22720" xr:uid="{66770AA4-9D87-41A6-AE65-323C0D4D1ABF}"/>
    <cellStyle name="Normal 10 3 3 7 4 2 2 2" xfId="22721" xr:uid="{0B0C2A75-87F8-4BA6-B5AE-E508026157EF}"/>
    <cellStyle name="Normal 10 3 3 7 4 2 2 2 2" xfId="22722" xr:uid="{E9F648F0-9E51-4CE0-B354-4C086EFFB4BB}"/>
    <cellStyle name="Normal 10 3 3 7 4 2 2 3" xfId="22723" xr:uid="{DC75C352-B03B-4334-8227-ABAF92E2188C}"/>
    <cellStyle name="Normal 10 3 3 7 4 2 3" xfId="22724" xr:uid="{AE68C8E4-1AE1-471B-ABB5-7F1D6B1B7208}"/>
    <cellStyle name="Normal 10 3 3 7 4 2 3 2" xfId="22725" xr:uid="{49B42E3F-039E-4A13-A584-B5066E5E5E00}"/>
    <cellStyle name="Normal 10 3 3 7 4 2 4" xfId="22726" xr:uid="{0DCB92DC-97C1-4EB6-AE95-0177E5815B3C}"/>
    <cellStyle name="Normal 10 3 3 7 4 3" xfId="22727" xr:uid="{A4D9FC01-E687-49D2-B1B8-2E6E75EF6BE6}"/>
    <cellStyle name="Normal 10 3 3 7 4 3 2" xfId="22728" xr:uid="{A013A4D5-96EF-4E80-AE9B-118A923FC052}"/>
    <cellStyle name="Normal 10 3 3 7 4 3 2 2" xfId="22729" xr:uid="{58D6F214-93D9-4C1B-883B-D695C3AFDA23}"/>
    <cellStyle name="Normal 10 3 3 7 4 3 3" xfId="22730" xr:uid="{D6F9448D-8802-47AA-A14A-03336E0B38A8}"/>
    <cellStyle name="Normal 10 3 3 7 4 4" xfId="22731" xr:uid="{A727DA79-B215-4760-831B-5815CDEB4CA5}"/>
    <cellStyle name="Normal 10 3 3 7 4 4 2" xfId="22732" xr:uid="{D58F1802-82DC-42B3-B3BA-E9870E0AEEF8}"/>
    <cellStyle name="Normal 10 3 3 7 4 5" xfId="22733" xr:uid="{AF574F26-FCBF-40C1-B34E-FFE71AA91B42}"/>
    <cellStyle name="Normal 10 3 3 7 5" xfId="22734" xr:uid="{811ECF01-CC19-4556-AE22-062FC88A87E8}"/>
    <cellStyle name="Normal 10 3 3 7 5 2" xfId="22735" xr:uid="{67516547-E932-4194-B105-6B277EC68506}"/>
    <cellStyle name="Normal 10 3 3 7 5 2 2" xfId="22736" xr:uid="{1C856649-CB4D-4282-B34C-78B7A3B7DF3C}"/>
    <cellStyle name="Normal 10 3 3 7 5 2 2 2" xfId="22737" xr:uid="{8D87EECF-7177-4F81-BDC7-2CB18C19E8CB}"/>
    <cellStyle name="Normal 10 3 3 7 5 2 3" xfId="22738" xr:uid="{AFE5A2F0-8798-4E13-9A8E-D128E300CADC}"/>
    <cellStyle name="Normal 10 3 3 7 5 3" xfId="22739" xr:uid="{2F2862A0-1C7B-4D16-A6BA-05D90731C643}"/>
    <cellStyle name="Normal 10 3 3 7 5 3 2" xfId="22740" xr:uid="{0B05367C-49DC-49C8-8366-0E49878001C5}"/>
    <cellStyle name="Normal 10 3 3 7 5 4" xfId="22741" xr:uid="{E68E3E84-8F5C-440B-9695-D74336722E8A}"/>
    <cellStyle name="Normal 10 3 3 7 6" xfId="22742" xr:uid="{95AD2C1C-A06D-4DAC-9CF8-BE306AC9F679}"/>
    <cellStyle name="Normal 10 3 3 7 6 2" xfId="22743" xr:uid="{8049C7DE-37FB-4B3E-B85D-09CCDA1B4F49}"/>
    <cellStyle name="Normal 10 3 3 7 6 2 2" xfId="22744" xr:uid="{ED4DC131-C43A-4A1B-B7AE-01B00736CFFA}"/>
    <cellStyle name="Normal 10 3 3 7 6 3" xfId="22745" xr:uid="{3DBEC2C5-3A03-4B26-B613-780DDCA9A373}"/>
    <cellStyle name="Normal 10 3 3 7 7" xfId="22746" xr:uid="{9BBB6C1C-6B72-4DBD-80AF-C7F27F451251}"/>
    <cellStyle name="Normal 10 3 3 7 7 2" xfId="22747" xr:uid="{87AEA619-75A8-4CAB-9D51-8724B5B0880E}"/>
    <cellStyle name="Normal 10 3 3 7 8" xfId="22748" xr:uid="{EFE4FF0B-0B79-454E-ADBB-7554F85F2CFE}"/>
    <cellStyle name="Normal 10 3 3 7 9" xfId="22621" xr:uid="{378AE628-B493-47C4-A257-47017309835E}"/>
    <cellStyle name="Normal 10 3 3 8" xfId="22749" xr:uid="{E9A09B61-171B-4671-819F-18F42DF6EBDB}"/>
    <cellStyle name="Normal 10 3 3 8 2" xfId="22750" xr:uid="{C8CB17A0-8C35-4690-8001-067F5FD6AC47}"/>
    <cellStyle name="Normal 10 3 3 8 2 2" xfId="22751" xr:uid="{6DAB1E2B-4490-4CBD-8C2A-76B87AED93B7}"/>
    <cellStyle name="Normal 10 3 3 8 2 2 2" xfId="22752" xr:uid="{AE63F59D-6BF3-47F7-87F0-6572A51429FF}"/>
    <cellStyle name="Normal 10 3 3 8 2 2 2 2" xfId="22753" xr:uid="{9D117FF2-FB7A-4D58-A45F-7EFCBA411F24}"/>
    <cellStyle name="Normal 10 3 3 8 2 2 2 2 2" xfId="22754" xr:uid="{AB96CB98-08C2-450C-9519-98134E66AAF6}"/>
    <cellStyle name="Normal 10 3 3 8 2 2 2 2 2 2" xfId="22755" xr:uid="{5CA92F6B-1C23-42A9-BB00-77647F5585EE}"/>
    <cellStyle name="Normal 10 3 3 8 2 2 2 2 3" xfId="22756" xr:uid="{89378D2B-3C47-4BDD-93B5-674024FDA162}"/>
    <cellStyle name="Normal 10 3 3 8 2 2 2 3" xfId="22757" xr:uid="{9BF8FACA-FAC5-425A-94A5-CB9B3548EBBB}"/>
    <cellStyle name="Normal 10 3 3 8 2 2 2 3 2" xfId="22758" xr:uid="{5C2A0B85-76BD-4999-81F1-1F45DD0548AF}"/>
    <cellStyle name="Normal 10 3 3 8 2 2 2 4" xfId="22759" xr:uid="{348806B4-039F-4479-96C7-447393794EF2}"/>
    <cellStyle name="Normal 10 3 3 8 2 2 3" xfId="22760" xr:uid="{D93257E5-44C7-416F-BA8E-5A486FC39169}"/>
    <cellStyle name="Normal 10 3 3 8 2 2 3 2" xfId="22761" xr:uid="{A21BB5EC-6D5E-4B07-952F-06A1E6F201FC}"/>
    <cellStyle name="Normal 10 3 3 8 2 2 3 2 2" xfId="22762" xr:uid="{EE247AB9-0650-408D-BC68-BBA124F5D35F}"/>
    <cellStyle name="Normal 10 3 3 8 2 2 3 3" xfId="22763" xr:uid="{488BA423-8503-4D31-BB49-C95A6EA3003A}"/>
    <cellStyle name="Normal 10 3 3 8 2 2 4" xfId="22764" xr:uid="{383843A4-AD84-4988-98F5-2988D6A55880}"/>
    <cellStyle name="Normal 10 3 3 8 2 2 4 2" xfId="22765" xr:uid="{38C66094-64CC-497F-AB8C-3C951B8D58CE}"/>
    <cellStyle name="Normal 10 3 3 8 2 2 5" xfId="22766" xr:uid="{3CA1F2DA-8FE4-4EF3-9CA3-4BC2F76ECAD0}"/>
    <cellStyle name="Normal 10 3 3 8 2 3" xfId="22767" xr:uid="{19FA6DA6-B589-43D0-B7BE-AAFD74AFF799}"/>
    <cellStyle name="Normal 10 3 3 8 2 3 2" xfId="22768" xr:uid="{E060FE28-D796-459D-94A1-58D5825BC29F}"/>
    <cellStyle name="Normal 10 3 3 8 2 3 2 2" xfId="22769" xr:uid="{36A6C30F-A106-4C63-A961-FA2A34C5C6FA}"/>
    <cellStyle name="Normal 10 3 3 8 2 3 2 2 2" xfId="22770" xr:uid="{A7453363-28BB-439C-B33B-B4DE6BF3DD23}"/>
    <cellStyle name="Normal 10 3 3 8 2 3 2 3" xfId="22771" xr:uid="{5DEE47F7-C168-4922-9830-8EB5972DAC5C}"/>
    <cellStyle name="Normal 10 3 3 8 2 3 3" xfId="22772" xr:uid="{2DC9A383-D08D-4441-8E9E-3550C519B194}"/>
    <cellStyle name="Normal 10 3 3 8 2 3 3 2" xfId="22773" xr:uid="{D4E7EF87-4510-4901-9E46-E2F1FCCECC1C}"/>
    <cellStyle name="Normal 10 3 3 8 2 3 4" xfId="22774" xr:uid="{4E92A9EB-A061-4AB2-A784-1CE70064130C}"/>
    <cellStyle name="Normal 10 3 3 8 2 4" xfId="22775" xr:uid="{0170D294-8050-4547-8F58-207F8AE34949}"/>
    <cellStyle name="Normal 10 3 3 8 2 4 2" xfId="22776" xr:uid="{D30A0600-8F30-4F4F-AD08-D22FF1EEAF48}"/>
    <cellStyle name="Normal 10 3 3 8 2 4 2 2" xfId="22777" xr:uid="{125CACDE-8C4A-47F6-ADD2-3D347FF903A8}"/>
    <cellStyle name="Normal 10 3 3 8 2 4 3" xfId="22778" xr:uid="{E93B835A-3EBD-4739-9414-2E4B0339687A}"/>
    <cellStyle name="Normal 10 3 3 8 2 5" xfId="22779" xr:uid="{CD3B7422-AA42-4ED9-A533-EF40663A82AA}"/>
    <cellStyle name="Normal 10 3 3 8 2 5 2" xfId="22780" xr:uid="{E125DF52-AF77-4A31-A651-B9D5EF5594E8}"/>
    <cellStyle name="Normal 10 3 3 8 2 6" xfId="22781" xr:uid="{3B457EAA-513C-4D14-ACD0-59625E7C31C8}"/>
    <cellStyle name="Normal 10 3 3 8 3" xfId="22782" xr:uid="{1084C8E3-FA9E-4411-9F17-32DAE3D72366}"/>
    <cellStyle name="Normal 10 3 3 8 3 2" xfId="22783" xr:uid="{C20DB79B-AE18-4D54-9049-29F2B16E80F4}"/>
    <cellStyle name="Normal 10 3 3 8 3 2 2" xfId="22784" xr:uid="{40B3C272-38C8-40F6-9C77-C15E674EC5D3}"/>
    <cellStyle name="Normal 10 3 3 8 3 2 2 2" xfId="22785" xr:uid="{F6E8FEF9-2312-40BD-B53A-2FBA68D4F1E6}"/>
    <cellStyle name="Normal 10 3 3 8 3 2 2 2 2" xfId="22786" xr:uid="{8341C42C-C1E8-4D73-8367-37F78678BBDF}"/>
    <cellStyle name="Normal 10 3 3 8 3 2 2 3" xfId="22787" xr:uid="{ACB22C22-BECB-4B3E-8E0C-24DE6FAC832C}"/>
    <cellStyle name="Normal 10 3 3 8 3 2 3" xfId="22788" xr:uid="{DD2658C7-BC46-4D08-98C5-255731DB0E48}"/>
    <cellStyle name="Normal 10 3 3 8 3 2 3 2" xfId="22789" xr:uid="{DB4354EA-8AD9-4A5E-864B-CDEC2BC30571}"/>
    <cellStyle name="Normal 10 3 3 8 3 2 4" xfId="22790" xr:uid="{F89B1EAC-3B2B-4032-9BB7-291DEBFF20ED}"/>
    <cellStyle name="Normal 10 3 3 8 3 3" xfId="22791" xr:uid="{D64BBADF-EB1E-4BF3-9FB2-B2BD51828FA5}"/>
    <cellStyle name="Normal 10 3 3 8 3 3 2" xfId="22792" xr:uid="{802C4EAC-658F-4B63-A59D-08F4B22C4A97}"/>
    <cellStyle name="Normal 10 3 3 8 3 3 2 2" xfId="22793" xr:uid="{A54AC38B-1461-4876-A197-172D06E41E08}"/>
    <cellStyle name="Normal 10 3 3 8 3 3 3" xfId="22794" xr:uid="{E4880CA9-BFEE-4137-A9A0-1A2D32CA5A97}"/>
    <cellStyle name="Normal 10 3 3 8 3 4" xfId="22795" xr:uid="{59ED0341-C677-437A-B896-B41284E6840F}"/>
    <cellStyle name="Normal 10 3 3 8 3 4 2" xfId="22796" xr:uid="{A72D6616-14B1-4E16-82EA-CFDAB5A991A1}"/>
    <cellStyle name="Normal 10 3 3 8 3 5" xfId="22797" xr:uid="{5BF643D1-D582-4A64-8EC0-ED1FA1584DB7}"/>
    <cellStyle name="Normal 10 3 3 8 4" xfId="22798" xr:uid="{8264F18A-3F14-4B45-AB02-63708A1014EC}"/>
    <cellStyle name="Normal 10 3 3 8 4 2" xfId="22799" xr:uid="{AA4C89F9-9A94-4D84-B01A-B49BF3713AC6}"/>
    <cellStyle name="Normal 10 3 3 8 4 2 2" xfId="22800" xr:uid="{23401116-85FD-49BE-8BB1-EEC1A3CF5317}"/>
    <cellStyle name="Normal 10 3 3 8 4 2 2 2" xfId="22801" xr:uid="{AD891562-0F03-4C5B-93D2-67C94668CF26}"/>
    <cellStyle name="Normal 10 3 3 8 4 2 3" xfId="22802" xr:uid="{E15008B1-9F5A-47DC-BF26-45B8B0BDEF23}"/>
    <cellStyle name="Normal 10 3 3 8 4 3" xfId="22803" xr:uid="{C4285A5F-FA34-4008-BFE0-82857DF040CE}"/>
    <cellStyle name="Normal 10 3 3 8 4 3 2" xfId="22804" xr:uid="{957FC40A-9866-4077-90F2-1F3D69D9B4F8}"/>
    <cellStyle name="Normal 10 3 3 8 4 4" xfId="22805" xr:uid="{05E3EF9C-381C-419B-AC5B-FC916C55C82D}"/>
    <cellStyle name="Normal 10 3 3 8 5" xfId="22806" xr:uid="{F150F1E5-ABE2-4243-80ED-F8DACF94C9BF}"/>
    <cellStyle name="Normal 10 3 3 8 5 2" xfId="22807" xr:uid="{137D1628-FB07-4B78-9041-86755A837264}"/>
    <cellStyle name="Normal 10 3 3 8 5 2 2" xfId="22808" xr:uid="{E104A54B-83D2-483E-BCD2-7873A8178450}"/>
    <cellStyle name="Normal 10 3 3 8 5 3" xfId="22809" xr:uid="{A8D6D4B2-AC3F-4DEA-B311-5DA5EB4EA80F}"/>
    <cellStyle name="Normal 10 3 3 8 6" xfId="22810" xr:uid="{95657EF1-B27E-4B55-9444-F32C290E62AD}"/>
    <cellStyle name="Normal 10 3 3 8 6 2" xfId="22811" xr:uid="{F0DC332E-8B0D-4137-9840-8B7107FA3FE7}"/>
    <cellStyle name="Normal 10 3 3 8 7" xfId="22812" xr:uid="{3DC188DD-FCEA-451F-9721-AC31CE6F463A}"/>
    <cellStyle name="Normal 10 3 3 9" xfId="22813" xr:uid="{A847ECBA-2739-43DF-A5ED-FAB347098333}"/>
    <cellStyle name="Normal 10 3 3 9 2" xfId="22814" xr:uid="{01EECB2E-8677-4151-A5EC-EFBE3A3AD232}"/>
    <cellStyle name="Normal 10 3 3 9 2 2" xfId="22815" xr:uid="{7EDE8712-2323-44D0-9788-674FE223EF13}"/>
    <cellStyle name="Normal 10 3 3 9 2 2 2" xfId="22816" xr:uid="{2A416BCB-1ABB-46EE-87FF-BEB5F26C2E34}"/>
    <cellStyle name="Normal 10 3 3 9 2 2 2 2" xfId="22817" xr:uid="{A3C24AE5-FAB9-4D85-887A-84C8F2510534}"/>
    <cellStyle name="Normal 10 3 3 9 2 2 2 2 2" xfId="22818" xr:uid="{766091A6-3EBF-41F4-B1B3-02AF9FC693F1}"/>
    <cellStyle name="Normal 10 3 3 9 2 2 2 3" xfId="22819" xr:uid="{9EBD96BD-7E1D-4F9C-A36E-C2A298D0B6D9}"/>
    <cellStyle name="Normal 10 3 3 9 2 2 3" xfId="22820" xr:uid="{95E536C6-9461-4165-B228-414D5A28F894}"/>
    <cellStyle name="Normal 10 3 3 9 2 2 3 2" xfId="22821" xr:uid="{F288439D-B075-4D33-8F61-05A9CF4D1253}"/>
    <cellStyle name="Normal 10 3 3 9 2 2 4" xfId="22822" xr:uid="{BB299892-3CAA-42DD-86A5-A18CEF44199D}"/>
    <cellStyle name="Normal 10 3 3 9 2 3" xfId="22823" xr:uid="{F7B785C8-30CB-4267-9BF8-E9498D5D6D5C}"/>
    <cellStyle name="Normal 10 3 3 9 2 3 2" xfId="22824" xr:uid="{276C28CA-20B6-4D8D-B412-097D85912628}"/>
    <cellStyle name="Normal 10 3 3 9 2 3 2 2" xfId="22825" xr:uid="{407D3DDC-6C8F-4760-9C73-AE613AE65FC3}"/>
    <cellStyle name="Normal 10 3 3 9 2 3 3" xfId="22826" xr:uid="{D1AE1A22-AF9A-4B65-A061-B417D314858A}"/>
    <cellStyle name="Normal 10 3 3 9 2 4" xfId="22827" xr:uid="{EC12A213-2D6A-415C-BBE0-0BED35246BA9}"/>
    <cellStyle name="Normal 10 3 3 9 2 4 2" xfId="22828" xr:uid="{EE79ABDF-237B-4C78-AF47-0A5A8B5AED2B}"/>
    <cellStyle name="Normal 10 3 3 9 2 5" xfId="22829" xr:uid="{64EF5C26-EB6B-42A9-B389-850C5FE33826}"/>
    <cellStyle name="Normal 10 3 3 9 3" xfId="22830" xr:uid="{F1F81A8F-101F-44B5-BEE1-F3F91BAC86AA}"/>
    <cellStyle name="Normal 10 3 3 9 3 2" xfId="22831" xr:uid="{5D1B1010-110A-4495-AC6A-0252B9CCF387}"/>
    <cellStyle name="Normal 10 3 3 9 3 2 2" xfId="22832" xr:uid="{FE6F8D5E-48F5-400D-A059-CBDF8138D6E8}"/>
    <cellStyle name="Normal 10 3 3 9 3 2 2 2" xfId="22833" xr:uid="{3A7AB65D-03B0-423E-B49C-80818BEB7658}"/>
    <cellStyle name="Normal 10 3 3 9 3 2 3" xfId="22834" xr:uid="{1D8BEA5C-614D-47B2-9D8B-39B9827ED46D}"/>
    <cellStyle name="Normal 10 3 3 9 3 3" xfId="22835" xr:uid="{DEF2CDF7-221D-4A24-A25C-56B80F01E801}"/>
    <cellStyle name="Normal 10 3 3 9 3 3 2" xfId="22836" xr:uid="{CB1F748B-9D8D-45E0-A260-62D200D04BCB}"/>
    <cellStyle name="Normal 10 3 3 9 3 4" xfId="22837" xr:uid="{6E681ADC-021A-4850-982E-FEE7F1AD2A60}"/>
    <cellStyle name="Normal 10 3 3 9 4" xfId="22838" xr:uid="{F32E1627-2C18-4E31-A772-44E14288AEE2}"/>
    <cellStyle name="Normal 10 3 3 9 4 2" xfId="22839" xr:uid="{F1C7E553-7F7A-40C2-A8F3-743E7578EB09}"/>
    <cellStyle name="Normal 10 3 3 9 4 2 2" xfId="22840" xr:uid="{BAC48B65-CAA6-4638-9C7F-907F33EAFE0F}"/>
    <cellStyle name="Normal 10 3 3 9 4 3" xfId="22841" xr:uid="{9F8478C3-BCC2-4017-A617-9B526538F6B6}"/>
    <cellStyle name="Normal 10 3 3 9 5" xfId="22842" xr:uid="{2B81C170-4BF9-42B5-961D-21D112BEAD15}"/>
    <cellStyle name="Normal 10 3 3 9 5 2" xfId="22843" xr:uid="{18FF9A9B-5E49-4555-A9D4-7180ACA1D69B}"/>
    <cellStyle name="Normal 10 3 3 9 6" xfId="22844" xr:uid="{77F8A0DC-E89B-4B54-8D94-1EAE3957B23A}"/>
    <cellStyle name="Normal 10 3 4" xfId="137" xr:uid="{752EDA5F-13AC-4146-BE0C-399DF39A1DC4}"/>
    <cellStyle name="Normal 10 3 4 10" xfId="22845" xr:uid="{E1B8CFCD-AD61-4353-85B5-35AC886110FC}"/>
    <cellStyle name="Normal 10 3 4 11" xfId="526" xr:uid="{0C302E8F-39D4-4F6C-BE39-86D5B27C92FA}"/>
    <cellStyle name="Normal 10 3 4 2" xfId="343" xr:uid="{98196B46-0011-4980-9E81-A79BB44234EA}"/>
    <cellStyle name="Normal 10 3 4 2 10" xfId="22846" xr:uid="{56C94C2B-ADEE-40A8-BBEA-38E2773BCB48}"/>
    <cellStyle name="Normal 10 3 4 2 2" xfId="22847" xr:uid="{229E5FC3-06FC-4359-A332-308FBE2BBDDD}"/>
    <cellStyle name="Normal 10 3 4 2 2 2" xfId="22848" xr:uid="{52F5AF1E-8DED-4567-B56D-15E04324D822}"/>
    <cellStyle name="Normal 10 3 4 2 2 2 2" xfId="22849" xr:uid="{FDAB5BF2-C04D-4EB2-8830-7EB706B38802}"/>
    <cellStyle name="Normal 10 3 4 2 2 2 2 2" xfId="22850" xr:uid="{3F27C822-186D-4D9D-A4FF-5758D036DCF4}"/>
    <cellStyle name="Normal 10 3 4 2 2 2 2 2 2" xfId="22851" xr:uid="{E01FC588-827C-46CD-92B0-DE7835CCF888}"/>
    <cellStyle name="Normal 10 3 4 2 2 2 2 2 2 2" xfId="22852" xr:uid="{A3E1416E-5226-4F12-B1DD-88FE697D7345}"/>
    <cellStyle name="Normal 10 3 4 2 2 2 2 2 2 2 2" xfId="22853" xr:uid="{E23CAEDD-F1D6-42D6-9625-6855147F23D4}"/>
    <cellStyle name="Normal 10 3 4 2 2 2 2 2 2 2 2 2" xfId="22854" xr:uid="{FF216379-C6E7-4008-8CC7-88987750EAC5}"/>
    <cellStyle name="Normal 10 3 4 2 2 2 2 2 2 2 3" xfId="22855" xr:uid="{B309B5FE-77F4-4163-AADC-24486E04625D}"/>
    <cellStyle name="Normal 10 3 4 2 2 2 2 2 2 3" xfId="22856" xr:uid="{564ABD6D-A64F-4366-81C7-7C1648DE9F6D}"/>
    <cellStyle name="Normal 10 3 4 2 2 2 2 2 2 3 2" xfId="22857" xr:uid="{7BB5D457-B785-43C9-BEC2-637077E8EB39}"/>
    <cellStyle name="Normal 10 3 4 2 2 2 2 2 2 4" xfId="22858" xr:uid="{427EE7B4-9AFE-405C-B39C-B3E0317AD714}"/>
    <cellStyle name="Normal 10 3 4 2 2 2 2 2 3" xfId="22859" xr:uid="{986A096E-058F-44AC-A641-14996492EA2B}"/>
    <cellStyle name="Normal 10 3 4 2 2 2 2 2 3 2" xfId="22860" xr:uid="{FD610074-29AC-44BF-AA9C-04EBB7BA375A}"/>
    <cellStyle name="Normal 10 3 4 2 2 2 2 2 3 2 2" xfId="22861" xr:uid="{962E830D-7CA2-4155-BB82-CE631593B5CB}"/>
    <cellStyle name="Normal 10 3 4 2 2 2 2 2 3 3" xfId="22862" xr:uid="{B684CAC6-728B-48CE-8942-E21821E8BECC}"/>
    <cellStyle name="Normal 10 3 4 2 2 2 2 2 4" xfId="22863" xr:uid="{AE81DAEE-16D8-4932-BEB1-132BAE41CF2A}"/>
    <cellStyle name="Normal 10 3 4 2 2 2 2 2 4 2" xfId="22864" xr:uid="{56A0011E-48B8-4AEE-88B1-BD2D7FD4DE61}"/>
    <cellStyle name="Normal 10 3 4 2 2 2 2 2 5" xfId="22865" xr:uid="{781C3B1E-FE92-477E-9B4E-C3378036283C}"/>
    <cellStyle name="Normal 10 3 4 2 2 2 2 3" xfId="22866" xr:uid="{9EE1ABC6-39A0-4E79-824A-72ED5452C601}"/>
    <cellStyle name="Normal 10 3 4 2 2 2 2 3 2" xfId="22867" xr:uid="{907EB049-0945-4B31-841F-2AA13EC35F2C}"/>
    <cellStyle name="Normal 10 3 4 2 2 2 2 3 2 2" xfId="22868" xr:uid="{2FD99DB7-BB94-406D-A83E-4FD427ADA100}"/>
    <cellStyle name="Normal 10 3 4 2 2 2 2 3 2 2 2" xfId="22869" xr:uid="{3B76A11B-E206-4F49-B453-F621AE251A11}"/>
    <cellStyle name="Normal 10 3 4 2 2 2 2 3 2 3" xfId="22870" xr:uid="{54EDF073-F759-4275-B094-BB77223BA692}"/>
    <cellStyle name="Normal 10 3 4 2 2 2 2 3 3" xfId="22871" xr:uid="{94A44BF8-B6CC-45F2-A367-36C589DD5650}"/>
    <cellStyle name="Normal 10 3 4 2 2 2 2 3 3 2" xfId="22872" xr:uid="{49FFB8A7-1F85-414A-ADDC-0CE7EC72C225}"/>
    <cellStyle name="Normal 10 3 4 2 2 2 2 3 4" xfId="22873" xr:uid="{6F584EFD-E3AD-4BAB-B78C-9E4676F5638B}"/>
    <cellStyle name="Normal 10 3 4 2 2 2 2 4" xfId="22874" xr:uid="{F989EDD2-6D49-4CCE-AF79-B8190AEA8D7B}"/>
    <cellStyle name="Normal 10 3 4 2 2 2 2 4 2" xfId="22875" xr:uid="{AE55A155-E6FD-4E89-8768-742DEB9A6526}"/>
    <cellStyle name="Normal 10 3 4 2 2 2 2 4 2 2" xfId="22876" xr:uid="{D496B35F-F45F-49EA-97F0-6ACB83BD311E}"/>
    <cellStyle name="Normal 10 3 4 2 2 2 2 4 3" xfId="22877" xr:uid="{F4569279-E01B-4F03-AF3C-99A0F65115FD}"/>
    <cellStyle name="Normal 10 3 4 2 2 2 2 5" xfId="22878" xr:uid="{F912E6E3-ED8F-47DE-AA75-319E18FC7AB6}"/>
    <cellStyle name="Normal 10 3 4 2 2 2 2 5 2" xfId="22879" xr:uid="{776FC18D-0D98-4978-8503-6C778CA98F9F}"/>
    <cellStyle name="Normal 10 3 4 2 2 2 2 6" xfId="22880" xr:uid="{C2455A4D-F48B-4B2C-93E4-AAF75E6E87D8}"/>
    <cellStyle name="Normal 10 3 4 2 2 2 3" xfId="22881" xr:uid="{65B8152B-CFE9-4D05-B7D3-1A155F6EEC66}"/>
    <cellStyle name="Normal 10 3 4 2 2 2 3 2" xfId="22882" xr:uid="{DA47BBF2-F349-4689-BF73-FCD83D606C80}"/>
    <cellStyle name="Normal 10 3 4 2 2 2 3 2 2" xfId="22883" xr:uid="{A232A507-A49E-4692-9523-8D89392AFB41}"/>
    <cellStyle name="Normal 10 3 4 2 2 2 3 2 2 2" xfId="22884" xr:uid="{7719522A-8CEF-41CC-A8A0-E18A857D01A2}"/>
    <cellStyle name="Normal 10 3 4 2 2 2 3 2 2 2 2" xfId="22885" xr:uid="{16B0CD24-8509-4BE1-BEA6-5AD6C31C36ED}"/>
    <cellStyle name="Normal 10 3 4 2 2 2 3 2 2 3" xfId="22886" xr:uid="{013B296E-200F-4170-AC5D-A5EA3C805824}"/>
    <cellStyle name="Normal 10 3 4 2 2 2 3 2 3" xfId="22887" xr:uid="{985C326F-7F25-4024-9FB0-AE7C6CC34F40}"/>
    <cellStyle name="Normal 10 3 4 2 2 2 3 2 3 2" xfId="22888" xr:uid="{D182060F-84C0-4E27-B127-7F9FF5E870F1}"/>
    <cellStyle name="Normal 10 3 4 2 2 2 3 2 4" xfId="22889" xr:uid="{528F821B-2AC4-40CF-97A0-5CDB986FF586}"/>
    <cellStyle name="Normal 10 3 4 2 2 2 3 3" xfId="22890" xr:uid="{BF5F750C-1294-4335-AD4F-16217B285B80}"/>
    <cellStyle name="Normal 10 3 4 2 2 2 3 3 2" xfId="22891" xr:uid="{D90E374C-63DD-49AC-99C5-F7111CF3E974}"/>
    <cellStyle name="Normal 10 3 4 2 2 2 3 3 2 2" xfId="22892" xr:uid="{83CBC9C7-8D52-4B60-8253-74C9954B7CAA}"/>
    <cellStyle name="Normal 10 3 4 2 2 2 3 3 3" xfId="22893" xr:uid="{FB04828E-5409-4F90-B157-1E7DE774FC48}"/>
    <cellStyle name="Normal 10 3 4 2 2 2 3 4" xfId="22894" xr:uid="{491A0B14-042B-4BE2-80BB-DE9EEE5F1EA4}"/>
    <cellStyle name="Normal 10 3 4 2 2 2 3 4 2" xfId="22895" xr:uid="{707621E7-C10E-4C11-B019-E8CDF5353C50}"/>
    <cellStyle name="Normal 10 3 4 2 2 2 3 5" xfId="22896" xr:uid="{0D1E6934-52EA-4331-825F-C90663F8D0A3}"/>
    <cellStyle name="Normal 10 3 4 2 2 2 4" xfId="22897" xr:uid="{E9C841C6-FD21-4F0A-B233-CCF04D79B7E2}"/>
    <cellStyle name="Normal 10 3 4 2 2 2 4 2" xfId="22898" xr:uid="{D82DB92E-BE1C-4600-B3C4-584A11883669}"/>
    <cellStyle name="Normal 10 3 4 2 2 2 4 2 2" xfId="22899" xr:uid="{E9D2F622-785A-4426-B68B-C2220E92D86A}"/>
    <cellStyle name="Normal 10 3 4 2 2 2 4 2 2 2" xfId="22900" xr:uid="{7B5D38EE-29E0-40EE-B904-1C3B391C0EF0}"/>
    <cellStyle name="Normal 10 3 4 2 2 2 4 2 3" xfId="22901" xr:uid="{B9CCD8A4-5B19-4A4F-9883-7A75560B9C6C}"/>
    <cellStyle name="Normal 10 3 4 2 2 2 4 3" xfId="22902" xr:uid="{88BBEF36-25E0-4FB7-AC32-D7F3A877168A}"/>
    <cellStyle name="Normal 10 3 4 2 2 2 4 3 2" xfId="22903" xr:uid="{4AE9262B-4BDD-43F7-AAC7-F5A14AB7D242}"/>
    <cellStyle name="Normal 10 3 4 2 2 2 4 4" xfId="22904" xr:uid="{9463F84F-8938-4F67-87BE-18EEEBB87F0A}"/>
    <cellStyle name="Normal 10 3 4 2 2 2 5" xfId="22905" xr:uid="{E68AFC2A-22CF-4C66-BEE5-716A8A7DBBE0}"/>
    <cellStyle name="Normal 10 3 4 2 2 2 5 2" xfId="22906" xr:uid="{A75279DA-871C-4B3D-B163-2DF36253C4E1}"/>
    <cellStyle name="Normal 10 3 4 2 2 2 5 2 2" xfId="22907" xr:uid="{E1D6575B-41BF-41DC-B295-985DE7044C63}"/>
    <cellStyle name="Normal 10 3 4 2 2 2 5 3" xfId="22908" xr:uid="{77C42A09-2BC1-4F3F-AA0E-6489C09FE18D}"/>
    <cellStyle name="Normal 10 3 4 2 2 2 6" xfId="22909" xr:uid="{8E0BC8C7-EC77-4E27-802B-AB87B4804273}"/>
    <cellStyle name="Normal 10 3 4 2 2 2 6 2" xfId="22910" xr:uid="{1C009CF1-1AD0-4F5C-828C-65FAC09A69AF}"/>
    <cellStyle name="Normal 10 3 4 2 2 2 7" xfId="22911" xr:uid="{C9B68E97-CEA1-4E3A-A62F-6B91867A5090}"/>
    <cellStyle name="Normal 10 3 4 2 2 3" xfId="22912" xr:uid="{FB062725-6B08-4741-8F26-323D0CE5B72E}"/>
    <cellStyle name="Normal 10 3 4 2 2 3 2" xfId="22913" xr:uid="{E97B7B67-38B1-463C-9AFB-D6746CD5334E}"/>
    <cellStyle name="Normal 10 3 4 2 2 3 2 2" xfId="22914" xr:uid="{E4FE2BCE-5166-45CA-A153-0FC3A7343DDB}"/>
    <cellStyle name="Normal 10 3 4 2 2 3 2 2 2" xfId="22915" xr:uid="{91D449F0-BE83-455A-82BC-007D877032D8}"/>
    <cellStyle name="Normal 10 3 4 2 2 3 2 2 2 2" xfId="22916" xr:uid="{C326901D-239B-4A52-B10C-FF7673124630}"/>
    <cellStyle name="Normal 10 3 4 2 2 3 2 2 2 2 2" xfId="22917" xr:uid="{93004DC4-D88C-4B87-8EE0-0A0F40C45087}"/>
    <cellStyle name="Normal 10 3 4 2 2 3 2 2 2 3" xfId="22918" xr:uid="{874CCAAB-7932-4151-9E19-D5807947F5C3}"/>
    <cellStyle name="Normal 10 3 4 2 2 3 2 2 3" xfId="22919" xr:uid="{D666BD15-DF10-41FA-8CC7-2B1F535B9528}"/>
    <cellStyle name="Normal 10 3 4 2 2 3 2 2 3 2" xfId="22920" xr:uid="{592C3EF3-3E6D-43E9-A756-B7A975C9EC85}"/>
    <cellStyle name="Normal 10 3 4 2 2 3 2 2 4" xfId="22921" xr:uid="{3F83788A-3671-4262-9005-2883E4127E38}"/>
    <cellStyle name="Normal 10 3 4 2 2 3 2 3" xfId="22922" xr:uid="{530BFFBC-722A-4CD0-A508-16D9553394A6}"/>
    <cellStyle name="Normal 10 3 4 2 2 3 2 3 2" xfId="22923" xr:uid="{B2B30FFF-C0E3-4E2E-966D-04E3E6119AFD}"/>
    <cellStyle name="Normal 10 3 4 2 2 3 2 3 2 2" xfId="22924" xr:uid="{45E4E1AF-DD7A-4FD5-B2B7-A1C1FD80C720}"/>
    <cellStyle name="Normal 10 3 4 2 2 3 2 3 3" xfId="22925" xr:uid="{C2961AD2-1560-41A9-BD04-436DC7F12EDC}"/>
    <cellStyle name="Normal 10 3 4 2 2 3 2 4" xfId="22926" xr:uid="{EEB28364-2282-42C2-93A8-F44B8DBBD704}"/>
    <cellStyle name="Normal 10 3 4 2 2 3 2 4 2" xfId="22927" xr:uid="{F82AB760-A9C0-4691-84E6-66EB91E8C6CB}"/>
    <cellStyle name="Normal 10 3 4 2 2 3 2 5" xfId="22928" xr:uid="{2C3DB486-0999-449A-8147-03741FAE8C6F}"/>
    <cellStyle name="Normal 10 3 4 2 2 3 3" xfId="22929" xr:uid="{0EE9C9B4-C36B-4AF1-B01F-D537BB738903}"/>
    <cellStyle name="Normal 10 3 4 2 2 3 3 2" xfId="22930" xr:uid="{CCEE3054-5FEE-4EA3-91C3-57576D1F8BCE}"/>
    <cellStyle name="Normal 10 3 4 2 2 3 3 2 2" xfId="22931" xr:uid="{8E6D625E-3954-4DE8-A0D8-67B5600D2D0B}"/>
    <cellStyle name="Normal 10 3 4 2 2 3 3 2 2 2" xfId="22932" xr:uid="{B2C9311E-E1B8-4615-8FED-1B4DC47C85A4}"/>
    <cellStyle name="Normal 10 3 4 2 2 3 3 2 3" xfId="22933" xr:uid="{7CB0A642-7D51-4416-A85D-2597B6854A55}"/>
    <cellStyle name="Normal 10 3 4 2 2 3 3 3" xfId="22934" xr:uid="{FC0D18F9-EEC8-4428-A52B-D466B9483013}"/>
    <cellStyle name="Normal 10 3 4 2 2 3 3 3 2" xfId="22935" xr:uid="{9F181B06-6B01-424B-AFFD-CFFCECA22673}"/>
    <cellStyle name="Normal 10 3 4 2 2 3 3 4" xfId="22936" xr:uid="{BCA0587D-AD57-4B69-B9C0-A5EBB267B0B5}"/>
    <cellStyle name="Normal 10 3 4 2 2 3 4" xfId="22937" xr:uid="{B913C782-4A6E-4E39-B10A-A56ECC97335C}"/>
    <cellStyle name="Normal 10 3 4 2 2 3 4 2" xfId="22938" xr:uid="{46A34F5B-7890-42C4-99E6-17A1F3FB5FB4}"/>
    <cellStyle name="Normal 10 3 4 2 2 3 4 2 2" xfId="22939" xr:uid="{0BB840B5-410B-4DFC-826F-A2FD3DD1658A}"/>
    <cellStyle name="Normal 10 3 4 2 2 3 4 3" xfId="22940" xr:uid="{32F2E3F4-70F5-4E1A-85F4-6F9C29D8636D}"/>
    <cellStyle name="Normal 10 3 4 2 2 3 5" xfId="22941" xr:uid="{BCB22514-309C-413F-8055-A3AE3E355815}"/>
    <cellStyle name="Normal 10 3 4 2 2 3 5 2" xfId="22942" xr:uid="{130EAB88-E2DC-40CE-89A8-C64121F45899}"/>
    <cellStyle name="Normal 10 3 4 2 2 3 6" xfId="22943" xr:uid="{175579E3-3008-4B4F-856F-F64F0AB608E4}"/>
    <cellStyle name="Normal 10 3 4 2 2 4" xfId="22944" xr:uid="{39C102AA-824B-4A97-9B87-A0DBD95EFD30}"/>
    <cellStyle name="Normal 10 3 4 2 2 4 2" xfId="22945" xr:uid="{90D7E7E1-98C8-4451-A669-A8622D79C559}"/>
    <cellStyle name="Normal 10 3 4 2 2 4 2 2" xfId="22946" xr:uid="{8556355A-2057-4769-8FF7-7DC8D087DF67}"/>
    <cellStyle name="Normal 10 3 4 2 2 4 2 2 2" xfId="22947" xr:uid="{6B28B676-190A-4030-A896-268EF1F077B3}"/>
    <cellStyle name="Normal 10 3 4 2 2 4 2 2 2 2" xfId="22948" xr:uid="{F43E6283-14DE-45E9-842F-6DE764EEBA3D}"/>
    <cellStyle name="Normal 10 3 4 2 2 4 2 2 3" xfId="22949" xr:uid="{D09051FD-024E-4CD0-9509-6BED99642A55}"/>
    <cellStyle name="Normal 10 3 4 2 2 4 2 3" xfId="22950" xr:uid="{A39FDB4C-B4AF-456F-9D78-89104D550929}"/>
    <cellStyle name="Normal 10 3 4 2 2 4 2 3 2" xfId="22951" xr:uid="{5B9A399C-EDEB-4997-965F-0D079A8E0B85}"/>
    <cellStyle name="Normal 10 3 4 2 2 4 2 4" xfId="22952" xr:uid="{485953E3-7B7B-430E-8174-FDA460CBAAAC}"/>
    <cellStyle name="Normal 10 3 4 2 2 4 3" xfId="22953" xr:uid="{61C5E1F4-830F-4D23-B166-6C5F08A1558F}"/>
    <cellStyle name="Normal 10 3 4 2 2 4 3 2" xfId="22954" xr:uid="{383159B1-1BD7-4E10-AC97-C6A315945223}"/>
    <cellStyle name="Normal 10 3 4 2 2 4 3 2 2" xfId="22955" xr:uid="{570EFED2-4B47-49AA-8EDA-61A3B351449E}"/>
    <cellStyle name="Normal 10 3 4 2 2 4 3 3" xfId="22956" xr:uid="{0D7CD0C2-39DF-4FDC-AF94-79BAB43514D2}"/>
    <cellStyle name="Normal 10 3 4 2 2 4 4" xfId="22957" xr:uid="{554140A5-51C5-4777-8678-3F9289A59B26}"/>
    <cellStyle name="Normal 10 3 4 2 2 4 4 2" xfId="22958" xr:uid="{66DA630E-9FC1-4397-BCBF-FC34D66E9D7F}"/>
    <cellStyle name="Normal 10 3 4 2 2 4 5" xfId="22959" xr:uid="{36BE9109-A2CF-4EF4-8562-3594E130054F}"/>
    <cellStyle name="Normal 10 3 4 2 2 5" xfId="22960" xr:uid="{32DFAB98-8BF5-4595-AA79-3305E0F78833}"/>
    <cellStyle name="Normal 10 3 4 2 2 5 2" xfId="22961" xr:uid="{B7ACFFF9-EFBF-4FA6-928C-70F982D7C8BD}"/>
    <cellStyle name="Normal 10 3 4 2 2 5 2 2" xfId="22962" xr:uid="{B2D01773-F943-4F38-B218-EADC1EC47A5E}"/>
    <cellStyle name="Normal 10 3 4 2 2 5 2 2 2" xfId="22963" xr:uid="{36B9D2F6-F7FA-469A-9988-349776425A1E}"/>
    <cellStyle name="Normal 10 3 4 2 2 5 2 3" xfId="22964" xr:uid="{8EF0317B-4929-433B-97F4-A34BBA87F4FD}"/>
    <cellStyle name="Normal 10 3 4 2 2 5 3" xfId="22965" xr:uid="{2275264D-2C79-46DA-A1D6-9A9E5A15761E}"/>
    <cellStyle name="Normal 10 3 4 2 2 5 3 2" xfId="22966" xr:uid="{CF1D968E-8000-49AE-A06D-9B7F667DD338}"/>
    <cellStyle name="Normal 10 3 4 2 2 5 4" xfId="22967" xr:uid="{3259F0FB-5460-4B20-890A-C71DC0B0F119}"/>
    <cellStyle name="Normal 10 3 4 2 2 6" xfId="22968" xr:uid="{7D686820-A64B-40BA-99AA-C44DE8AAC460}"/>
    <cellStyle name="Normal 10 3 4 2 2 6 2" xfId="22969" xr:uid="{DD4AC59D-3768-47DC-B890-1BDBB70913CF}"/>
    <cellStyle name="Normal 10 3 4 2 2 6 2 2" xfId="22970" xr:uid="{9176439A-5962-4B77-A045-9DB0448610A3}"/>
    <cellStyle name="Normal 10 3 4 2 2 6 3" xfId="22971" xr:uid="{9A0B4F97-39B1-4427-B802-BFD0A7DF1089}"/>
    <cellStyle name="Normal 10 3 4 2 2 7" xfId="22972" xr:uid="{0BAFF252-9200-4D57-B732-AEE094E09E46}"/>
    <cellStyle name="Normal 10 3 4 2 2 7 2" xfId="22973" xr:uid="{16638C4B-962C-454D-A528-295826B58501}"/>
    <cellStyle name="Normal 10 3 4 2 2 8" xfId="22974" xr:uid="{93236AE8-E067-4240-84DC-EFA056B0F54D}"/>
    <cellStyle name="Normal 10 3 4 2 3" xfId="22975" xr:uid="{D40CB57A-ED0A-4BB0-86B2-6DF09B965AC8}"/>
    <cellStyle name="Normal 10 3 4 2 3 2" xfId="22976" xr:uid="{055CE481-CB3A-4BB2-98EA-B8E53C437F45}"/>
    <cellStyle name="Normal 10 3 4 2 3 2 2" xfId="22977" xr:uid="{07F08814-16C5-46AF-A297-F7FAE201F3CB}"/>
    <cellStyle name="Normal 10 3 4 2 3 2 2 2" xfId="22978" xr:uid="{EEB409BF-D13A-487E-B600-B747098E78FD}"/>
    <cellStyle name="Normal 10 3 4 2 3 2 2 2 2" xfId="22979" xr:uid="{612F4C81-7596-456A-96C5-8735B786D157}"/>
    <cellStyle name="Normal 10 3 4 2 3 2 2 2 2 2" xfId="22980" xr:uid="{9865BD4D-8E00-46D8-B510-EA703B6D9B1E}"/>
    <cellStyle name="Normal 10 3 4 2 3 2 2 2 2 2 2" xfId="22981" xr:uid="{B8DFDBB1-C492-43A5-9D88-DAAF502B76D4}"/>
    <cellStyle name="Normal 10 3 4 2 3 2 2 2 2 3" xfId="22982" xr:uid="{B490CBFD-6899-4EB5-A77B-70817024E068}"/>
    <cellStyle name="Normal 10 3 4 2 3 2 2 2 3" xfId="22983" xr:uid="{1D65C2E9-27B0-46F7-A398-9186AD4D50AA}"/>
    <cellStyle name="Normal 10 3 4 2 3 2 2 2 3 2" xfId="22984" xr:uid="{AEB5A703-73B0-41C4-88CE-D4BBF3232427}"/>
    <cellStyle name="Normal 10 3 4 2 3 2 2 2 4" xfId="22985" xr:uid="{F990540A-D9B3-4D74-9A53-75DA2680B9D2}"/>
    <cellStyle name="Normal 10 3 4 2 3 2 2 3" xfId="22986" xr:uid="{E6707820-74E7-48C9-A52E-042C8EAD1EE6}"/>
    <cellStyle name="Normal 10 3 4 2 3 2 2 3 2" xfId="22987" xr:uid="{28594105-1A0E-4FE0-B45A-FA378C39C618}"/>
    <cellStyle name="Normal 10 3 4 2 3 2 2 3 2 2" xfId="22988" xr:uid="{5FCCE6D0-24B4-4A87-BAA9-1D0FDF05A843}"/>
    <cellStyle name="Normal 10 3 4 2 3 2 2 3 3" xfId="22989" xr:uid="{AB666EA5-C559-4228-B33B-DEB457D2AF77}"/>
    <cellStyle name="Normal 10 3 4 2 3 2 2 4" xfId="22990" xr:uid="{65FDF797-A11F-4A63-A877-3F062BB399FC}"/>
    <cellStyle name="Normal 10 3 4 2 3 2 2 4 2" xfId="22991" xr:uid="{F18086AC-7EE7-48F1-9A3E-F973D7D2CF17}"/>
    <cellStyle name="Normal 10 3 4 2 3 2 2 5" xfId="22992" xr:uid="{944B73A4-C3AF-4329-B2B9-60CB7D1A83C6}"/>
    <cellStyle name="Normal 10 3 4 2 3 2 3" xfId="22993" xr:uid="{98AADDAD-726A-49D1-9603-558A0F270313}"/>
    <cellStyle name="Normal 10 3 4 2 3 2 3 2" xfId="22994" xr:uid="{27F71C72-4CF0-4AD0-B32E-6F244D8AFED9}"/>
    <cellStyle name="Normal 10 3 4 2 3 2 3 2 2" xfId="22995" xr:uid="{35D3F79D-F098-400B-8C31-C4B186CC7C9C}"/>
    <cellStyle name="Normal 10 3 4 2 3 2 3 2 2 2" xfId="22996" xr:uid="{2BBB9762-1436-4165-884B-AE83257EA5D7}"/>
    <cellStyle name="Normal 10 3 4 2 3 2 3 2 3" xfId="22997" xr:uid="{E3931AA7-6752-4B74-A70A-7C9B1A722E4C}"/>
    <cellStyle name="Normal 10 3 4 2 3 2 3 3" xfId="22998" xr:uid="{9A007CB1-2B19-4332-9704-B3B936793BFD}"/>
    <cellStyle name="Normal 10 3 4 2 3 2 3 3 2" xfId="22999" xr:uid="{BA8D9FF1-A5C3-4098-9884-FCCC9B25ACD0}"/>
    <cellStyle name="Normal 10 3 4 2 3 2 3 4" xfId="23000" xr:uid="{CC24C3EC-6B30-4EEE-9912-2C68226C7B1A}"/>
    <cellStyle name="Normal 10 3 4 2 3 2 4" xfId="23001" xr:uid="{0E1119D7-A831-4E60-9505-229E71C37607}"/>
    <cellStyle name="Normal 10 3 4 2 3 2 4 2" xfId="23002" xr:uid="{258E2439-5E3F-4283-90D2-7994BEE8FE7C}"/>
    <cellStyle name="Normal 10 3 4 2 3 2 4 2 2" xfId="23003" xr:uid="{CCF75262-D328-4015-883F-6A4C3E0F5744}"/>
    <cellStyle name="Normal 10 3 4 2 3 2 4 3" xfId="23004" xr:uid="{35A330A4-56C8-400A-9335-513140337875}"/>
    <cellStyle name="Normal 10 3 4 2 3 2 5" xfId="23005" xr:uid="{7AF5FAF5-6CF7-41C4-844F-363811AF3CBD}"/>
    <cellStyle name="Normal 10 3 4 2 3 2 5 2" xfId="23006" xr:uid="{263904FD-76C1-4DDC-829D-607CFEE7C7C3}"/>
    <cellStyle name="Normal 10 3 4 2 3 2 6" xfId="23007" xr:uid="{CB211E39-F4E7-44D0-A585-7F919511F877}"/>
    <cellStyle name="Normal 10 3 4 2 3 3" xfId="23008" xr:uid="{82C4BA8F-18A9-4BF4-9D7E-DBE072AFC6BA}"/>
    <cellStyle name="Normal 10 3 4 2 3 3 2" xfId="23009" xr:uid="{61996F27-24E4-4862-BE15-CEDD652A8970}"/>
    <cellStyle name="Normal 10 3 4 2 3 3 2 2" xfId="23010" xr:uid="{3008B3F8-1997-454C-8E86-8EF4BE79DCF8}"/>
    <cellStyle name="Normal 10 3 4 2 3 3 2 2 2" xfId="23011" xr:uid="{560EBC53-F7A0-4BC4-9087-83F48511B838}"/>
    <cellStyle name="Normal 10 3 4 2 3 3 2 2 2 2" xfId="23012" xr:uid="{F3C43794-A908-4075-BE06-AB916967783F}"/>
    <cellStyle name="Normal 10 3 4 2 3 3 2 2 3" xfId="23013" xr:uid="{A5DFCC2C-C50C-4A2F-A7D4-650B58745BBC}"/>
    <cellStyle name="Normal 10 3 4 2 3 3 2 3" xfId="23014" xr:uid="{9AA0007D-3D6D-450C-A283-9F466792048A}"/>
    <cellStyle name="Normal 10 3 4 2 3 3 2 3 2" xfId="23015" xr:uid="{DAFCBD5F-013F-4F20-AD69-378D12AEC29B}"/>
    <cellStyle name="Normal 10 3 4 2 3 3 2 4" xfId="23016" xr:uid="{E3944362-E3DD-4948-B52C-FE9C60111AE9}"/>
    <cellStyle name="Normal 10 3 4 2 3 3 3" xfId="23017" xr:uid="{A2146564-E9FE-4D96-B9F4-5A20CCA69F90}"/>
    <cellStyle name="Normal 10 3 4 2 3 3 3 2" xfId="23018" xr:uid="{9539C08C-0A8F-40D6-851A-13F8B15AC3DE}"/>
    <cellStyle name="Normal 10 3 4 2 3 3 3 2 2" xfId="23019" xr:uid="{F4CD2076-9D13-46E4-B43B-382B34CF9A11}"/>
    <cellStyle name="Normal 10 3 4 2 3 3 3 3" xfId="23020" xr:uid="{724D13F0-9CFE-4420-A434-67E57FE0E54B}"/>
    <cellStyle name="Normal 10 3 4 2 3 3 4" xfId="23021" xr:uid="{DAE7C3A7-9E3E-448F-9406-53E1E551A578}"/>
    <cellStyle name="Normal 10 3 4 2 3 3 4 2" xfId="23022" xr:uid="{C47D988C-1E4F-4345-9B63-7BA7748CFB33}"/>
    <cellStyle name="Normal 10 3 4 2 3 3 5" xfId="23023" xr:uid="{203287D5-A4BB-4CF2-A7EA-AEA0017AE493}"/>
    <cellStyle name="Normal 10 3 4 2 3 4" xfId="23024" xr:uid="{11E3BAC7-57D2-4076-B682-9126AC578ABB}"/>
    <cellStyle name="Normal 10 3 4 2 3 4 2" xfId="23025" xr:uid="{4A12D609-3851-487E-A20C-285C39697111}"/>
    <cellStyle name="Normal 10 3 4 2 3 4 2 2" xfId="23026" xr:uid="{5C9F684E-FBF4-4416-AB6B-D9E939FB29C1}"/>
    <cellStyle name="Normal 10 3 4 2 3 4 2 2 2" xfId="23027" xr:uid="{3193D1BE-F639-487E-8360-CDD68448B573}"/>
    <cellStyle name="Normal 10 3 4 2 3 4 2 3" xfId="23028" xr:uid="{8ACE1691-618D-4CAB-AFE3-7F6C24262E86}"/>
    <cellStyle name="Normal 10 3 4 2 3 4 3" xfId="23029" xr:uid="{9A107E45-88E0-4B56-BF99-C06D017FFDFF}"/>
    <cellStyle name="Normal 10 3 4 2 3 4 3 2" xfId="23030" xr:uid="{51B38364-9486-4E2B-AAA1-FCDE62BA9267}"/>
    <cellStyle name="Normal 10 3 4 2 3 4 4" xfId="23031" xr:uid="{9A5DC809-EDE6-43F4-8D33-8830A33C180F}"/>
    <cellStyle name="Normal 10 3 4 2 3 5" xfId="23032" xr:uid="{A4337A2D-A224-4A73-BFDE-D40A42EAE07F}"/>
    <cellStyle name="Normal 10 3 4 2 3 5 2" xfId="23033" xr:uid="{3D06EF68-E11D-4914-84EE-0E6D676562EB}"/>
    <cellStyle name="Normal 10 3 4 2 3 5 2 2" xfId="23034" xr:uid="{0E2A71E8-32AD-4CC7-A297-9F835FC72110}"/>
    <cellStyle name="Normal 10 3 4 2 3 5 3" xfId="23035" xr:uid="{E8FEC742-3AA7-4F23-B622-21F47EFE6DD3}"/>
    <cellStyle name="Normal 10 3 4 2 3 6" xfId="23036" xr:uid="{E642FDE0-2A76-4D72-AEDC-366EDE03C8C0}"/>
    <cellStyle name="Normal 10 3 4 2 3 6 2" xfId="23037" xr:uid="{8AAADEFF-1303-4820-8C41-0D570FC4778A}"/>
    <cellStyle name="Normal 10 3 4 2 3 7" xfId="23038" xr:uid="{802F7F2C-5235-4105-935F-D73EC8DCE216}"/>
    <cellStyle name="Normal 10 3 4 2 4" xfId="23039" xr:uid="{CDC90272-1EDD-4724-8379-152C258105AE}"/>
    <cellStyle name="Normal 10 3 4 2 4 2" xfId="23040" xr:uid="{186DEF45-A0E7-43F8-9805-5768C3A3593A}"/>
    <cellStyle name="Normal 10 3 4 2 4 2 2" xfId="23041" xr:uid="{2DE5C829-2862-4717-8D1D-63C86509E799}"/>
    <cellStyle name="Normal 10 3 4 2 4 2 2 2" xfId="23042" xr:uid="{CF8A6DD3-F0D7-4DDF-82CD-8910E154B2E3}"/>
    <cellStyle name="Normal 10 3 4 2 4 2 2 2 2" xfId="23043" xr:uid="{053B1798-46C7-458D-ABD1-F0C3ACF7439A}"/>
    <cellStyle name="Normal 10 3 4 2 4 2 2 2 2 2" xfId="23044" xr:uid="{A3DD0C5F-ED08-4B69-B6D5-1DF280730565}"/>
    <cellStyle name="Normal 10 3 4 2 4 2 2 2 3" xfId="23045" xr:uid="{650A36B6-3068-4B17-A686-5FECAA938722}"/>
    <cellStyle name="Normal 10 3 4 2 4 2 2 3" xfId="23046" xr:uid="{C3EC8F3D-C918-43F7-80A6-B8146B627641}"/>
    <cellStyle name="Normal 10 3 4 2 4 2 2 3 2" xfId="23047" xr:uid="{E68D9E85-1DB6-4295-BA4E-75BB1B619EA8}"/>
    <cellStyle name="Normal 10 3 4 2 4 2 2 4" xfId="23048" xr:uid="{7369EBB4-B119-4AE1-9C6C-FAE33EBCC4BE}"/>
    <cellStyle name="Normal 10 3 4 2 4 2 3" xfId="23049" xr:uid="{5764AAC6-92DE-43F4-B923-59AA62C53D1C}"/>
    <cellStyle name="Normal 10 3 4 2 4 2 3 2" xfId="23050" xr:uid="{D89252FF-DFDE-4AD9-BB1A-18E3014DE8CE}"/>
    <cellStyle name="Normal 10 3 4 2 4 2 3 2 2" xfId="23051" xr:uid="{1C0D66FD-F6FF-478A-8448-D4BA63E60C2F}"/>
    <cellStyle name="Normal 10 3 4 2 4 2 3 3" xfId="23052" xr:uid="{47D60F13-5BA8-49D5-8E86-AED6B099E4C3}"/>
    <cellStyle name="Normal 10 3 4 2 4 2 4" xfId="23053" xr:uid="{5566E41C-D112-483E-8BCC-B9B1B8232847}"/>
    <cellStyle name="Normal 10 3 4 2 4 2 4 2" xfId="23054" xr:uid="{4F6794C9-4EE5-4C7F-BFD9-092357241E7F}"/>
    <cellStyle name="Normal 10 3 4 2 4 2 5" xfId="23055" xr:uid="{5496354D-7E59-4780-8A83-494FC9D75E8D}"/>
    <cellStyle name="Normal 10 3 4 2 4 3" xfId="23056" xr:uid="{F5B0843A-9126-479E-913F-B4FC5D0FB14B}"/>
    <cellStyle name="Normal 10 3 4 2 4 3 2" xfId="23057" xr:uid="{BE1D6318-8BA9-4391-A240-686D2E42D591}"/>
    <cellStyle name="Normal 10 3 4 2 4 3 2 2" xfId="23058" xr:uid="{8587CA73-3FE4-43CD-93C6-9F106E9D5690}"/>
    <cellStyle name="Normal 10 3 4 2 4 3 2 2 2" xfId="23059" xr:uid="{7C61E938-AE62-48B4-A804-D6E06D083121}"/>
    <cellStyle name="Normal 10 3 4 2 4 3 2 3" xfId="23060" xr:uid="{9008F10F-E851-4563-9314-E5F74E5D5729}"/>
    <cellStyle name="Normal 10 3 4 2 4 3 3" xfId="23061" xr:uid="{8304EA48-DA3E-49ED-8F9E-1C4DCEA79F1D}"/>
    <cellStyle name="Normal 10 3 4 2 4 3 3 2" xfId="23062" xr:uid="{2B0A0AFB-454F-4ED0-84E7-99EF391AD6D5}"/>
    <cellStyle name="Normal 10 3 4 2 4 3 4" xfId="23063" xr:uid="{7B37072A-0F5C-4F8B-BDB0-12468AFEC499}"/>
    <cellStyle name="Normal 10 3 4 2 4 4" xfId="23064" xr:uid="{ED0AA3D3-9181-453A-893F-E9B84D3F9B84}"/>
    <cellStyle name="Normal 10 3 4 2 4 4 2" xfId="23065" xr:uid="{790F0858-08D9-4547-80F2-6528639DA492}"/>
    <cellStyle name="Normal 10 3 4 2 4 4 2 2" xfId="23066" xr:uid="{CC9BC975-D0C0-491C-8E52-E18E9880F426}"/>
    <cellStyle name="Normal 10 3 4 2 4 4 3" xfId="23067" xr:uid="{9EB87382-0632-47B4-B44E-438393BF8957}"/>
    <cellStyle name="Normal 10 3 4 2 4 5" xfId="23068" xr:uid="{76D3CB86-CE64-4BD5-A1E2-1B43347B2897}"/>
    <cellStyle name="Normal 10 3 4 2 4 5 2" xfId="23069" xr:uid="{A0E85617-124F-4061-8F35-4C959CB58D7B}"/>
    <cellStyle name="Normal 10 3 4 2 4 6" xfId="23070" xr:uid="{0513B595-EF40-483F-B186-9AC3C230BCFF}"/>
    <cellStyle name="Normal 10 3 4 2 5" xfId="23071" xr:uid="{A4E3DD3D-6140-49D7-84F3-42491AEA0072}"/>
    <cellStyle name="Normal 10 3 4 2 5 2" xfId="23072" xr:uid="{908031B4-1B54-47BF-BE06-CE43C624B4AD}"/>
    <cellStyle name="Normal 10 3 4 2 5 2 2" xfId="23073" xr:uid="{B419F618-C4E0-4013-AC28-E4B342F90871}"/>
    <cellStyle name="Normal 10 3 4 2 5 2 2 2" xfId="23074" xr:uid="{594A1BEC-CF27-4A67-A071-2920C4F6131E}"/>
    <cellStyle name="Normal 10 3 4 2 5 2 2 2 2" xfId="23075" xr:uid="{2B361AA8-3019-4369-ACA6-356C2077E660}"/>
    <cellStyle name="Normal 10 3 4 2 5 2 2 3" xfId="23076" xr:uid="{0EDA78D7-C7D3-4155-9B85-21D61DE2662F}"/>
    <cellStyle name="Normal 10 3 4 2 5 2 3" xfId="23077" xr:uid="{B0FB067D-BA08-49EB-9BDC-47E2D8D470A6}"/>
    <cellStyle name="Normal 10 3 4 2 5 2 3 2" xfId="23078" xr:uid="{0F1B023E-365F-4EC8-BD7B-2C28318B5CCE}"/>
    <cellStyle name="Normal 10 3 4 2 5 2 4" xfId="23079" xr:uid="{CC4B2F0F-965D-4736-8918-B61FE1C0186E}"/>
    <cellStyle name="Normal 10 3 4 2 5 3" xfId="23080" xr:uid="{4E3DFE15-42BB-4103-95C2-92D2D36E0C1B}"/>
    <cellStyle name="Normal 10 3 4 2 5 3 2" xfId="23081" xr:uid="{9E36964E-6C6B-47CC-87E5-423F01620072}"/>
    <cellStyle name="Normal 10 3 4 2 5 3 2 2" xfId="23082" xr:uid="{BA0E1404-B78E-4A24-B674-7BF7507787FA}"/>
    <cellStyle name="Normal 10 3 4 2 5 3 3" xfId="23083" xr:uid="{D0930E47-13DF-4843-B337-4FC2FDA019A5}"/>
    <cellStyle name="Normal 10 3 4 2 5 4" xfId="23084" xr:uid="{917700BA-FC89-40AB-A4B0-E5A9BFCA08AF}"/>
    <cellStyle name="Normal 10 3 4 2 5 4 2" xfId="23085" xr:uid="{16959B1C-DBE9-4601-98AA-EA0217399D1E}"/>
    <cellStyle name="Normal 10 3 4 2 5 5" xfId="23086" xr:uid="{34828524-CF3C-4FFC-9748-3B55E386B333}"/>
    <cellStyle name="Normal 10 3 4 2 6" xfId="23087" xr:uid="{91BF6980-8707-47B4-AEEF-E38550DDAB9D}"/>
    <cellStyle name="Normal 10 3 4 2 6 2" xfId="23088" xr:uid="{E253345B-17E3-4CAA-A5EB-1741CCD30895}"/>
    <cellStyle name="Normal 10 3 4 2 6 2 2" xfId="23089" xr:uid="{A67C67B7-9BF6-4924-8E54-5B39E8AB5A0E}"/>
    <cellStyle name="Normal 10 3 4 2 6 2 2 2" xfId="23090" xr:uid="{11D5638F-458B-4817-8282-DE1F1316F783}"/>
    <cellStyle name="Normal 10 3 4 2 6 2 3" xfId="23091" xr:uid="{5AAEE0D2-E655-45B1-89CD-69178EBC1D94}"/>
    <cellStyle name="Normal 10 3 4 2 6 3" xfId="23092" xr:uid="{C846A688-791E-4C5F-873B-2FCD94DD82D0}"/>
    <cellStyle name="Normal 10 3 4 2 6 3 2" xfId="23093" xr:uid="{12EBCD10-7300-4DE6-ACBD-00901F88AE23}"/>
    <cellStyle name="Normal 10 3 4 2 6 4" xfId="23094" xr:uid="{E937318B-63CC-4ADF-ABD3-799F42ED59CE}"/>
    <cellStyle name="Normal 10 3 4 2 7" xfId="23095" xr:uid="{A3BE17F4-103B-4CC5-9A62-6E0A9A100866}"/>
    <cellStyle name="Normal 10 3 4 2 7 2" xfId="23096" xr:uid="{D6396E5B-3BEF-485D-8905-18396EE3295E}"/>
    <cellStyle name="Normal 10 3 4 2 7 2 2" xfId="23097" xr:uid="{F051A0D0-CC9A-4897-823E-A8864C00D3C4}"/>
    <cellStyle name="Normal 10 3 4 2 7 3" xfId="23098" xr:uid="{69421810-22D7-48D7-8DA2-EC229C63F91A}"/>
    <cellStyle name="Normal 10 3 4 2 8" xfId="23099" xr:uid="{105FB07E-9488-46AE-997B-23D12C2E2B52}"/>
    <cellStyle name="Normal 10 3 4 2 8 2" xfId="23100" xr:uid="{D525BD9C-B398-4E01-9CC9-018CEB39F3CA}"/>
    <cellStyle name="Normal 10 3 4 2 9" xfId="23101" xr:uid="{A0CD528E-D28D-477E-9634-A38E2B87EC51}"/>
    <cellStyle name="Normal 10 3 4 3" xfId="438" xr:uid="{E080376D-2BAA-4E1B-8C31-6EBFA32A804E}"/>
    <cellStyle name="Normal 10 3 4 3 2" xfId="23103" xr:uid="{1BD78704-6978-45EC-BB6C-1D3C9BED755E}"/>
    <cellStyle name="Normal 10 3 4 3 2 2" xfId="23104" xr:uid="{13A5278F-F7D8-4690-9CFE-F3531FE4C7AD}"/>
    <cellStyle name="Normal 10 3 4 3 2 2 2" xfId="23105" xr:uid="{8B6AF456-381D-4D9F-ADCD-8317DED9BF62}"/>
    <cellStyle name="Normal 10 3 4 3 2 2 2 2" xfId="23106" xr:uid="{2B82ECF4-DAA8-48AA-8822-8911954DA3BD}"/>
    <cellStyle name="Normal 10 3 4 3 2 2 2 2 2" xfId="23107" xr:uid="{7F3D6CBB-9214-4D27-8B56-7FBB46204B7A}"/>
    <cellStyle name="Normal 10 3 4 3 2 2 2 2 2 2" xfId="23108" xr:uid="{9BA2E666-C6EE-47B1-90A9-8FF106909FD0}"/>
    <cellStyle name="Normal 10 3 4 3 2 2 2 2 2 2 2" xfId="23109" xr:uid="{4A612572-99CE-4CB3-96F5-9755A3ABC344}"/>
    <cellStyle name="Normal 10 3 4 3 2 2 2 2 2 3" xfId="23110" xr:uid="{E3F89A29-03FD-4140-B807-669E4BA848B8}"/>
    <cellStyle name="Normal 10 3 4 3 2 2 2 2 3" xfId="23111" xr:uid="{CB398957-2B79-477E-8266-521D6F467C5D}"/>
    <cellStyle name="Normal 10 3 4 3 2 2 2 2 3 2" xfId="23112" xr:uid="{6A62FFEE-357B-47EE-87B9-F21F00575131}"/>
    <cellStyle name="Normal 10 3 4 3 2 2 2 2 4" xfId="23113" xr:uid="{92C29492-52CD-472A-AA1E-098DCA54B729}"/>
    <cellStyle name="Normal 10 3 4 3 2 2 2 3" xfId="23114" xr:uid="{72A63FC1-CDBE-452F-A0B6-7EE6FDC287FB}"/>
    <cellStyle name="Normal 10 3 4 3 2 2 2 3 2" xfId="23115" xr:uid="{3BBC8C40-4457-434B-B62E-E016397DD729}"/>
    <cellStyle name="Normal 10 3 4 3 2 2 2 3 2 2" xfId="23116" xr:uid="{CDED3D42-0A4F-463F-953F-53550CE2CFC0}"/>
    <cellStyle name="Normal 10 3 4 3 2 2 2 3 3" xfId="23117" xr:uid="{43FC52A5-6623-45E6-BF2E-4CD0B022D3D3}"/>
    <cellStyle name="Normal 10 3 4 3 2 2 2 4" xfId="23118" xr:uid="{5E73FBBD-F532-4722-BDB4-4D65EB1C8F61}"/>
    <cellStyle name="Normal 10 3 4 3 2 2 2 4 2" xfId="23119" xr:uid="{D1AAC432-F848-45AF-A9C6-2BE385CE1B29}"/>
    <cellStyle name="Normal 10 3 4 3 2 2 2 5" xfId="23120" xr:uid="{2A5B9CF1-59E5-4059-A7E3-076BDB16441D}"/>
    <cellStyle name="Normal 10 3 4 3 2 2 3" xfId="23121" xr:uid="{B3B6A08B-FD50-4411-928D-474B5AE49F2F}"/>
    <cellStyle name="Normal 10 3 4 3 2 2 3 2" xfId="23122" xr:uid="{FAEF306D-07C5-4C8A-9A27-323C8F992099}"/>
    <cellStyle name="Normal 10 3 4 3 2 2 3 2 2" xfId="23123" xr:uid="{A43495F2-CD80-4316-8184-AE98139B6D12}"/>
    <cellStyle name="Normal 10 3 4 3 2 2 3 2 2 2" xfId="23124" xr:uid="{35922F50-A284-404B-83A1-2809D8843D86}"/>
    <cellStyle name="Normal 10 3 4 3 2 2 3 2 3" xfId="23125" xr:uid="{2F628B7E-DA77-4B8B-B49D-1DC30CF18E18}"/>
    <cellStyle name="Normal 10 3 4 3 2 2 3 3" xfId="23126" xr:uid="{C9D5FA8A-9623-4571-A4B0-3E25EEA86548}"/>
    <cellStyle name="Normal 10 3 4 3 2 2 3 3 2" xfId="23127" xr:uid="{1C5E49DC-2EA3-4519-BDC5-8F80313A5264}"/>
    <cellStyle name="Normal 10 3 4 3 2 2 3 4" xfId="23128" xr:uid="{41D1822B-B90C-4576-9081-9AECB267FA42}"/>
    <cellStyle name="Normal 10 3 4 3 2 2 4" xfId="23129" xr:uid="{520DED13-8E4A-45D9-802A-4BF56F3E8706}"/>
    <cellStyle name="Normal 10 3 4 3 2 2 4 2" xfId="23130" xr:uid="{C5535EE4-9039-48DD-ADA8-24ABF182957F}"/>
    <cellStyle name="Normal 10 3 4 3 2 2 4 2 2" xfId="23131" xr:uid="{BE704671-7C63-4394-A2D4-2D351BC28EE1}"/>
    <cellStyle name="Normal 10 3 4 3 2 2 4 3" xfId="23132" xr:uid="{3B18ED12-A593-4292-A66C-C9F9536E0948}"/>
    <cellStyle name="Normal 10 3 4 3 2 2 5" xfId="23133" xr:uid="{6F96979E-4378-47C0-B695-262F790B87B3}"/>
    <cellStyle name="Normal 10 3 4 3 2 2 5 2" xfId="23134" xr:uid="{6EE1406B-7D41-4CE4-91FC-E23B4A845680}"/>
    <cellStyle name="Normal 10 3 4 3 2 2 6" xfId="23135" xr:uid="{F1CE5052-DC30-403B-A508-246EF25AC74A}"/>
    <cellStyle name="Normal 10 3 4 3 2 3" xfId="23136" xr:uid="{D66B0462-3DAD-42E5-BBE5-202932879381}"/>
    <cellStyle name="Normal 10 3 4 3 2 3 2" xfId="23137" xr:uid="{8BAB2690-7E00-4313-ACC8-FE93EC4CA221}"/>
    <cellStyle name="Normal 10 3 4 3 2 3 2 2" xfId="23138" xr:uid="{9E4EC401-7EC8-4A56-AFDA-A9A2BAE164BE}"/>
    <cellStyle name="Normal 10 3 4 3 2 3 2 2 2" xfId="23139" xr:uid="{2DD04E63-B6E7-4304-8749-B61377254777}"/>
    <cellStyle name="Normal 10 3 4 3 2 3 2 2 2 2" xfId="23140" xr:uid="{E42BF5CD-E83D-488B-88FA-ACD80AA8DBFD}"/>
    <cellStyle name="Normal 10 3 4 3 2 3 2 2 3" xfId="23141" xr:uid="{C3029847-10F3-4161-A237-0A3E184AB21F}"/>
    <cellStyle name="Normal 10 3 4 3 2 3 2 3" xfId="23142" xr:uid="{4AC6B6BE-F928-4A62-BD8C-FEA64B22F695}"/>
    <cellStyle name="Normal 10 3 4 3 2 3 2 3 2" xfId="23143" xr:uid="{8080CDD4-7412-48C7-9028-E7054BD70E77}"/>
    <cellStyle name="Normal 10 3 4 3 2 3 2 4" xfId="23144" xr:uid="{F32A042F-592C-41E9-B71F-482E530C104E}"/>
    <cellStyle name="Normal 10 3 4 3 2 3 3" xfId="23145" xr:uid="{06A729F7-9D31-43DE-A177-9E5B6F6C77D5}"/>
    <cellStyle name="Normal 10 3 4 3 2 3 3 2" xfId="23146" xr:uid="{A1359253-6A77-418C-9B24-4B64B787631B}"/>
    <cellStyle name="Normal 10 3 4 3 2 3 3 2 2" xfId="23147" xr:uid="{E80D3D48-2210-4B22-8BAE-C74A306A012D}"/>
    <cellStyle name="Normal 10 3 4 3 2 3 3 3" xfId="23148" xr:uid="{29CF2274-F190-4F11-B875-2BF8A12548C0}"/>
    <cellStyle name="Normal 10 3 4 3 2 3 4" xfId="23149" xr:uid="{2C40A5FF-FA05-47AF-9FEE-00CF0FF782F9}"/>
    <cellStyle name="Normal 10 3 4 3 2 3 4 2" xfId="23150" xr:uid="{DEC86733-6DD6-4DC3-983C-DDD6513FECB7}"/>
    <cellStyle name="Normal 10 3 4 3 2 3 5" xfId="23151" xr:uid="{40DE3293-C711-4C86-BA8C-F394505606C5}"/>
    <cellStyle name="Normal 10 3 4 3 2 4" xfId="23152" xr:uid="{5B64B0E3-EBE3-42DF-A3D8-B5A1B258689F}"/>
    <cellStyle name="Normal 10 3 4 3 2 4 2" xfId="23153" xr:uid="{E6A91E80-089C-40E4-8952-5A8C1D2AAEF9}"/>
    <cellStyle name="Normal 10 3 4 3 2 4 2 2" xfId="23154" xr:uid="{14AAEC8F-7D1A-442E-BECB-A50ACFC9BC50}"/>
    <cellStyle name="Normal 10 3 4 3 2 4 2 2 2" xfId="23155" xr:uid="{459E01B5-BDAE-44CB-835B-CF2C476CC0B0}"/>
    <cellStyle name="Normal 10 3 4 3 2 4 2 3" xfId="23156" xr:uid="{D3DB48C6-FDF4-4596-9B00-F3CB09FBEE0F}"/>
    <cellStyle name="Normal 10 3 4 3 2 4 3" xfId="23157" xr:uid="{4E060387-C0D0-4AEC-B7F4-05D715D0D75B}"/>
    <cellStyle name="Normal 10 3 4 3 2 4 3 2" xfId="23158" xr:uid="{8E724A0F-C2ED-4586-8E79-3F8D7188D9B1}"/>
    <cellStyle name="Normal 10 3 4 3 2 4 4" xfId="23159" xr:uid="{707BEBC5-8C69-4E3D-8EF8-EBD6D6CEF7DE}"/>
    <cellStyle name="Normal 10 3 4 3 2 5" xfId="23160" xr:uid="{1F166859-273D-47A5-B782-3707E233737B}"/>
    <cellStyle name="Normal 10 3 4 3 2 5 2" xfId="23161" xr:uid="{655934BC-AA1E-4E27-B51D-65A0762B8C06}"/>
    <cellStyle name="Normal 10 3 4 3 2 5 2 2" xfId="23162" xr:uid="{D7743128-2B2F-406E-9EF1-E753CC6066F0}"/>
    <cellStyle name="Normal 10 3 4 3 2 5 3" xfId="23163" xr:uid="{C5F2B477-741E-4E87-8B7C-F37800E2E610}"/>
    <cellStyle name="Normal 10 3 4 3 2 6" xfId="23164" xr:uid="{237AB1D1-F7BD-4868-8D0E-F90E9ECDC2D6}"/>
    <cellStyle name="Normal 10 3 4 3 2 6 2" xfId="23165" xr:uid="{612020EB-91E2-4F8B-8C9F-8EEE3C64B536}"/>
    <cellStyle name="Normal 10 3 4 3 2 7" xfId="23166" xr:uid="{6FBD2044-B749-415B-B900-5A8C6E7B1529}"/>
    <cellStyle name="Normal 10 3 4 3 3" xfId="23167" xr:uid="{DA0E61EA-CF9B-4C99-B7B3-A7373EDF4211}"/>
    <cellStyle name="Normal 10 3 4 3 3 2" xfId="23168" xr:uid="{48109018-EE96-445B-9EFC-F80E183E1F81}"/>
    <cellStyle name="Normal 10 3 4 3 3 2 2" xfId="23169" xr:uid="{72B52942-596D-497D-8AFA-35DF6DBE2AB2}"/>
    <cellStyle name="Normal 10 3 4 3 3 2 2 2" xfId="23170" xr:uid="{249AAC1E-8734-42D9-96CC-3D28F679B424}"/>
    <cellStyle name="Normal 10 3 4 3 3 2 2 2 2" xfId="23171" xr:uid="{7D04631F-04E0-468E-AC05-5935024A3518}"/>
    <cellStyle name="Normal 10 3 4 3 3 2 2 2 2 2" xfId="23172" xr:uid="{E1341211-F796-410E-BB4E-48D9E838BAB5}"/>
    <cellStyle name="Normal 10 3 4 3 3 2 2 2 3" xfId="23173" xr:uid="{30481B6D-04F6-4848-A20C-BDE0917C1596}"/>
    <cellStyle name="Normal 10 3 4 3 3 2 2 3" xfId="23174" xr:uid="{1AB8F02D-C24F-4357-9523-614AC33DDADA}"/>
    <cellStyle name="Normal 10 3 4 3 3 2 2 3 2" xfId="23175" xr:uid="{D7E571C6-3742-40E4-AE9C-040D8BC968C9}"/>
    <cellStyle name="Normal 10 3 4 3 3 2 2 4" xfId="23176" xr:uid="{256F76DC-AE25-4B0A-B240-6D5E80D829BA}"/>
    <cellStyle name="Normal 10 3 4 3 3 2 3" xfId="23177" xr:uid="{61F66766-F236-45C0-9093-37E3DDA5C0AC}"/>
    <cellStyle name="Normal 10 3 4 3 3 2 3 2" xfId="23178" xr:uid="{0C3FE9DA-DE64-49FC-9F2A-83342C5FC985}"/>
    <cellStyle name="Normal 10 3 4 3 3 2 3 2 2" xfId="23179" xr:uid="{A27D499D-B6A3-4DD1-B4B8-2F8AAD137FB9}"/>
    <cellStyle name="Normal 10 3 4 3 3 2 3 3" xfId="23180" xr:uid="{71D283AF-60FC-447D-A78F-3EE69933201C}"/>
    <cellStyle name="Normal 10 3 4 3 3 2 4" xfId="23181" xr:uid="{CA60DB36-D003-4503-B237-038279B688D0}"/>
    <cellStyle name="Normal 10 3 4 3 3 2 4 2" xfId="23182" xr:uid="{CF288261-D955-44AD-83D9-ED9CE78D1C19}"/>
    <cellStyle name="Normal 10 3 4 3 3 2 5" xfId="23183" xr:uid="{487EA796-A145-407E-B341-9300F1E29C0B}"/>
    <cellStyle name="Normal 10 3 4 3 3 3" xfId="23184" xr:uid="{0FE1E97C-EA3B-4847-86E9-F78F32E67FBD}"/>
    <cellStyle name="Normal 10 3 4 3 3 3 2" xfId="23185" xr:uid="{AB2FC5B3-C29D-4213-A20D-F168B3C209BE}"/>
    <cellStyle name="Normal 10 3 4 3 3 3 2 2" xfId="23186" xr:uid="{7E2B4D83-B647-46A7-AA87-7E0CE5658C05}"/>
    <cellStyle name="Normal 10 3 4 3 3 3 2 2 2" xfId="23187" xr:uid="{3AFA7ADE-2F9B-401D-90D2-AD1A57EC49EB}"/>
    <cellStyle name="Normal 10 3 4 3 3 3 2 3" xfId="23188" xr:uid="{7650EE5A-13AC-48F7-98AC-3D3533E881E5}"/>
    <cellStyle name="Normal 10 3 4 3 3 3 3" xfId="23189" xr:uid="{C588174F-B003-4546-B683-EBF90E8F4A9B}"/>
    <cellStyle name="Normal 10 3 4 3 3 3 3 2" xfId="23190" xr:uid="{595A6B18-39E5-44D6-A3DB-83340D69E14C}"/>
    <cellStyle name="Normal 10 3 4 3 3 3 4" xfId="23191" xr:uid="{BA673BB0-FC41-469F-89CD-3E7CBD362158}"/>
    <cellStyle name="Normal 10 3 4 3 3 4" xfId="23192" xr:uid="{1D20A59A-0EF4-4746-A048-E6D6E71E817B}"/>
    <cellStyle name="Normal 10 3 4 3 3 4 2" xfId="23193" xr:uid="{8A50DB77-0ECE-42F6-8BA8-C59CB5532CDB}"/>
    <cellStyle name="Normal 10 3 4 3 3 4 2 2" xfId="23194" xr:uid="{2F7A2189-DAE4-48A5-8DD0-A2468B460411}"/>
    <cellStyle name="Normal 10 3 4 3 3 4 3" xfId="23195" xr:uid="{FD70569C-B0D4-400D-8F6F-8AE4BF624533}"/>
    <cellStyle name="Normal 10 3 4 3 3 5" xfId="23196" xr:uid="{A4A3CE78-015A-4422-B2AC-B5FDB0E85FCB}"/>
    <cellStyle name="Normal 10 3 4 3 3 5 2" xfId="23197" xr:uid="{ACB6EAA6-0FE0-4B1A-8F0C-D6E626D1BAEB}"/>
    <cellStyle name="Normal 10 3 4 3 3 6" xfId="23198" xr:uid="{7C1389DE-AFE1-4EC5-B886-4D39BCFC4999}"/>
    <cellStyle name="Normal 10 3 4 3 4" xfId="23199" xr:uid="{B86E0E01-97C2-4145-9888-718E404CEE21}"/>
    <cellStyle name="Normal 10 3 4 3 4 2" xfId="23200" xr:uid="{E6C8DD38-020B-4B4A-A8FF-0E3B6B10340D}"/>
    <cellStyle name="Normal 10 3 4 3 4 2 2" xfId="23201" xr:uid="{71685480-414F-48AB-8E8A-81BD873C51B8}"/>
    <cellStyle name="Normal 10 3 4 3 4 2 2 2" xfId="23202" xr:uid="{2651934E-F5D1-4825-B308-775D29DFE406}"/>
    <cellStyle name="Normal 10 3 4 3 4 2 2 2 2" xfId="23203" xr:uid="{6E655F6A-D03F-4EE7-A765-0731CECD56F8}"/>
    <cellStyle name="Normal 10 3 4 3 4 2 2 3" xfId="23204" xr:uid="{6C84C303-54B4-4ECD-BB4F-7211A00EC9C3}"/>
    <cellStyle name="Normal 10 3 4 3 4 2 3" xfId="23205" xr:uid="{9E9104C8-7CA1-49C5-A69B-B4629FEBA2DB}"/>
    <cellStyle name="Normal 10 3 4 3 4 2 3 2" xfId="23206" xr:uid="{A1BB81AB-1005-492E-BA93-617A358E934A}"/>
    <cellStyle name="Normal 10 3 4 3 4 2 4" xfId="23207" xr:uid="{30A44870-D1A2-44F0-A08E-6493C07EC1A9}"/>
    <cellStyle name="Normal 10 3 4 3 4 3" xfId="23208" xr:uid="{E6868463-145A-44B9-B7D3-C423A36A38C4}"/>
    <cellStyle name="Normal 10 3 4 3 4 3 2" xfId="23209" xr:uid="{C7CA5B36-3AE5-4439-AB4A-A2F54180A652}"/>
    <cellStyle name="Normal 10 3 4 3 4 3 2 2" xfId="23210" xr:uid="{CA4671D5-5E86-44AD-A5C2-7F8590DC4189}"/>
    <cellStyle name="Normal 10 3 4 3 4 3 3" xfId="23211" xr:uid="{528307ED-17C2-469F-ACD8-02BA93289E18}"/>
    <cellStyle name="Normal 10 3 4 3 4 4" xfId="23212" xr:uid="{4A4B7ABE-93C1-416D-8E6C-0E22B80E1348}"/>
    <cellStyle name="Normal 10 3 4 3 4 4 2" xfId="23213" xr:uid="{3336FCE9-6E93-458C-8EAA-7A8BE13FA3A6}"/>
    <cellStyle name="Normal 10 3 4 3 4 5" xfId="23214" xr:uid="{580C209C-F989-460E-9D88-D9BC2A3F5CA3}"/>
    <cellStyle name="Normal 10 3 4 3 5" xfId="23215" xr:uid="{794CB668-2140-436A-8B03-77595854A0C8}"/>
    <cellStyle name="Normal 10 3 4 3 5 2" xfId="23216" xr:uid="{85D60FDA-D99E-41C0-ACDE-4353F10FA0E9}"/>
    <cellStyle name="Normal 10 3 4 3 5 2 2" xfId="23217" xr:uid="{832DD851-B4E5-4DAD-ACA4-C43A33AC01B1}"/>
    <cellStyle name="Normal 10 3 4 3 5 2 2 2" xfId="23218" xr:uid="{D80B1022-0EA0-40C5-9E1B-8C1D06914B21}"/>
    <cellStyle name="Normal 10 3 4 3 5 2 3" xfId="23219" xr:uid="{83C32D1F-C266-4F9F-80C6-8AA169CB9545}"/>
    <cellStyle name="Normal 10 3 4 3 5 3" xfId="23220" xr:uid="{9C533A01-3E72-4B47-BBC5-4932DC77A12F}"/>
    <cellStyle name="Normal 10 3 4 3 5 3 2" xfId="23221" xr:uid="{252C5AB6-1FD0-4556-A231-A556C8809838}"/>
    <cellStyle name="Normal 10 3 4 3 5 4" xfId="23222" xr:uid="{61431468-25D9-4D5E-95F4-B346283AB467}"/>
    <cellStyle name="Normal 10 3 4 3 6" xfId="23223" xr:uid="{5647A66F-62F1-4325-9B10-947DF0BBA5FA}"/>
    <cellStyle name="Normal 10 3 4 3 6 2" xfId="23224" xr:uid="{AF5E514B-F18B-496F-A9B6-B8EEADECFCDB}"/>
    <cellStyle name="Normal 10 3 4 3 6 2 2" xfId="23225" xr:uid="{C1BD960E-249E-4D3B-9534-4C58336B6350}"/>
    <cellStyle name="Normal 10 3 4 3 6 3" xfId="23226" xr:uid="{7057E878-612D-4D82-B10B-8E702479448F}"/>
    <cellStyle name="Normal 10 3 4 3 7" xfId="23227" xr:uid="{CD1BD0F7-E5E7-4910-9033-52747DFF9213}"/>
    <cellStyle name="Normal 10 3 4 3 7 2" xfId="23228" xr:uid="{E41C266F-0E70-48C2-816F-FA0E18E27593}"/>
    <cellStyle name="Normal 10 3 4 3 8" xfId="23229" xr:uid="{BCEB1D50-BE42-49F6-B622-D781AE4681B7}"/>
    <cellStyle name="Normal 10 3 4 3 9" xfId="23102" xr:uid="{52488D4E-8A95-4CC8-ABB4-B760ED92FD34}"/>
    <cellStyle name="Normal 10 3 4 4" xfId="23230" xr:uid="{6492E744-9AB7-4A3A-855B-C4097AAA42C7}"/>
    <cellStyle name="Normal 10 3 4 4 2" xfId="23231" xr:uid="{80998542-9C9E-4D25-8B39-0EB036364723}"/>
    <cellStyle name="Normal 10 3 4 4 2 2" xfId="23232" xr:uid="{375D51D9-3614-4330-869D-BFB7C6A88D19}"/>
    <cellStyle name="Normal 10 3 4 4 2 2 2" xfId="23233" xr:uid="{38EB8A1A-5564-4824-AEDA-02A966EB973D}"/>
    <cellStyle name="Normal 10 3 4 4 2 2 2 2" xfId="23234" xr:uid="{BFAB667D-525B-4CFD-9D50-68C514CD2885}"/>
    <cellStyle name="Normal 10 3 4 4 2 2 2 2 2" xfId="23235" xr:uid="{7756F5CD-195D-42E0-828B-10308D27BF51}"/>
    <cellStyle name="Normal 10 3 4 4 2 2 2 2 2 2" xfId="23236" xr:uid="{0A64611C-8DE7-4C5A-803A-AFF1A85BF8F0}"/>
    <cellStyle name="Normal 10 3 4 4 2 2 2 2 3" xfId="23237" xr:uid="{6A57CC06-3B36-47D3-93F7-20049DD00F83}"/>
    <cellStyle name="Normal 10 3 4 4 2 2 2 3" xfId="23238" xr:uid="{C4C4FD49-F89B-4B35-B3B8-10E5CE8DEF1D}"/>
    <cellStyle name="Normal 10 3 4 4 2 2 2 3 2" xfId="23239" xr:uid="{8C7CBFAD-8418-49E5-B278-9996D6FD615F}"/>
    <cellStyle name="Normal 10 3 4 4 2 2 2 4" xfId="23240" xr:uid="{3B9E1233-E59C-48E4-8A70-962F4905855F}"/>
    <cellStyle name="Normal 10 3 4 4 2 2 3" xfId="23241" xr:uid="{9350DBAD-75F1-48D4-A6F7-3DAAC5E0BA7C}"/>
    <cellStyle name="Normal 10 3 4 4 2 2 3 2" xfId="23242" xr:uid="{39BC877F-0238-4222-A6D1-3C13201EBA83}"/>
    <cellStyle name="Normal 10 3 4 4 2 2 3 2 2" xfId="23243" xr:uid="{46F191BB-C0D2-4F6A-93DE-883DCC7E31A3}"/>
    <cellStyle name="Normal 10 3 4 4 2 2 3 3" xfId="23244" xr:uid="{BB27F0F2-FB58-48B1-B5E2-FD3F589D7D6A}"/>
    <cellStyle name="Normal 10 3 4 4 2 2 4" xfId="23245" xr:uid="{08EC6ED3-E9AF-4BA9-BF7A-C9823C0C93C5}"/>
    <cellStyle name="Normal 10 3 4 4 2 2 4 2" xfId="23246" xr:uid="{59BC38B2-54F4-4E0D-835B-D83C5F07D0BF}"/>
    <cellStyle name="Normal 10 3 4 4 2 2 5" xfId="23247" xr:uid="{1F2F1DA7-A48A-4D50-A8DA-151B2FAF690A}"/>
    <cellStyle name="Normal 10 3 4 4 2 3" xfId="23248" xr:uid="{E4DE5160-5A88-4474-AF05-337D9967D2BE}"/>
    <cellStyle name="Normal 10 3 4 4 2 3 2" xfId="23249" xr:uid="{711827C2-7EFC-49F7-BB4C-6742F0641DB7}"/>
    <cellStyle name="Normal 10 3 4 4 2 3 2 2" xfId="23250" xr:uid="{54E67716-8C3A-4E68-AF91-ED346B52F6FC}"/>
    <cellStyle name="Normal 10 3 4 4 2 3 2 2 2" xfId="23251" xr:uid="{8690F329-1D07-4C6D-85E3-2FE50BD4C119}"/>
    <cellStyle name="Normal 10 3 4 4 2 3 2 3" xfId="23252" xr:uid="{3162524C-DA31-4AC0-AA2F-A48132A49351}"/>
    <cellStyle name="Normal 10 3 4 4 2 3 3" xfId="23253" xr:uid="{89DE97B2-44DA-4206-9EC3-26AC8E2D4A89}"/>
    <cellStyle name="Normal 10 3 4 4 2 3 3 2" xfId="23254" xr:uid="{7173A7D5-B696-4BB4-84F8-E9E33A455F71}"/>
    <cellStyle name="Normal 10 3 4 4 2 3 4" xfId="23255" xr:uid="{2E8036DF-6AD0-410C-A95E-8326136A6081}"/>
    <cellStyle name="Normal 10 3 4 4 2 4" xfId="23256" xr:uid="{9EB5C43C-A74D-48AC-9603-8185DCCBCFCF}"/>
    <cellStyle name="Normal 10 3 4 4 2 4 2" xfId="23257" xr:uid="{2172392F-B4E4-4881-BAFD-A3B34A84BE59}"/>
    <cellStyle name="Normal 10 3 4 4 2 4 2 2" xfId="23258" xr:uid="{A9B585E8-0D0F-48E8-AE2A-058B906FD9CF}"/>
    <cellStyle name="Normal 10 3 4 4 2 4 3" xfId="23259" xr:uid="{1DFA8422-2E0A-4FDD-AD1C-438D53BF56C9}"/>
    <cellStyle name="Normal 10 3 4 4 2 5" xfId="23260" xr:uid="{275296B1-26FB-4714-9205-50AD30642EBF}"/>
    <cellStyle name="Normal 10 3 4 4 2 5 2" xfId="23261" xr:uid="{A587574E-8C1D-4513-AC2E-725CF87A05B4}"/>
    <cellStyle name="Normal 10 3 4 4 2 6" xfId="23262" xr:uid="{7408C1CD-36B6-496F-8B86-7584E6786362}"/>
    <cellStyle name="Normal 10 3 4 4 3" xfId="23263" xr:uid="{B2A61F48-BACE-4B03-87E9-D77BC86B3676}"/>
    <cellStyle name="Normal 10 3 4 4 3 2" xfId="23264" xr:uid="{A0293F1F-37C9-4602-AA8C-A2E49AE50E72}"/>
    <cellStyle name="Normal 10 3 4 4 3 2 2" xfId="23265" xr:uid="{DD369644-7805-472C-8852-903D543176BF}"/>
    <cellStyle name="Normal 10 3 4 4 3 2 2 2" xfId="23266" xr:uid="{81E859FF-D82B-4577-80A6-93571FAA328B}"/>
    <cellStyle name="Normal 10 3 4 4 3 2 2 2 2" xfId="23267" xr:uid="{D50F0D35-9E15-405C-9A9C-80AA114A44B3}"/>
    <cellStyle name="Normal 10 3 4 4 3 2 2 3" xfId="23268" xr:uid="{2CA4BBCB-E6CB-4AD1-B843-1C9AC4286A3C}"/>
    <cellStyle name="Normal 10 3 4 4 3 2 3" xfId="23269" xr:uid="{AC1091BE-DFD2-48DE-9D6E-4FC6A1939E2B}"/>
    <cellStyle name="Normal 10 3 4 4 3 2 3 2" xfId="23270" xr:uid="{66832EE5-A847-4E6A-A060-5C30D00A217B}"/>
    <cellStyle name="Normal 10 3 4 4 3 2 4" xfId="23271" xr:uid="{C3D4FD37-A4B6-44AE-9AD1-507A47E4B167}"/>
    <cellStyle name="Normal 10 3 4 4 3 3" xfId="23272" xr:uid="{4A659799-2850-42F1-ACB7-7CD42028CEA7}"/>
    <cellStyle name="Normal 10 3 4 4 3 3 2" xfId="23273" xr:uid="{18B6BA34-730C-4CEE-8930-641447011085}"/>
    <cellStyle name="Normal 10 3 4 4 3 3 2 2" xfId="23274" xr:uid="{E703AFE7-D2B0-49AE-AD17-BEADFF58BE91}"/>
    <cellStyle name="Normal 10 3 4 4 3 3 3" xfId="23275" xr:uid="{C201DA41-CC96-405E-AB6B-5C0FAF91D689}"/>
    <cellStyle name="Normal 10 3 4 4 3 4" xfId="23276" xr:uid="{45ED663C-2E5F-40D4-82BC-BA2D718AD829}"/>
    <cellStyle name="Normal 10 3 4 4 3 4 2" xfId="23277" xr:uid="{2A623F8C-ED50-41CB-A87E-FD09F0A07B2B}"/>
    <cellStyle name="Normal 10 3 4 4 3 5" xfId="23278" xr:uid="{338DB6A7-1F82-4844-8463-F847BDFD0C95}"/>
    <cellStyle name="Normal 10 3 4 4 4" xfId="23279" xr:uid="{1EF4F91F-3145-4BA9-97EF-B4AFE0FF1EAC}"/>
    <cellStyle name="Normal 10 3 4 4 4 2" xfId="23280" xr:uid="{28D3D981-7400-4384-92FF-6A452D49B925}"/>
    <cellStyle name="Normal 10 3 4 4 4 2 2" xfId="23281" xr:uid="{5D58DCDE-D58C-4BE9-91B7-A4E934B06C45}"/>
    <cellStyle name="Normal 10 3 4 4 4 2 2 2" xfId="23282" xr:uid="{CA27857E-09C3-457F-B57E-4281D5B31072}"/>
    <cellStyle name="Normal 10 3 4 4 4 2 3" xfId="23283" xr:uid="{CAF4E140-D516-4658-B6CD-48DA231D1053}"/>
    <cellStyle name="Normal 10 3 4 4 4 3" xfId="23284" xr:uid="{379290DE-D378-4C46-8AAA-D07F356B54FB}"/>
    <cellStyle name="Normal 10 3 4 4 4 3 2" xfId="23285" xr:uid="{6AFA7393-5E42-49B7-B0B8-9606BD6926AB}"/>
    <cellStyle name="Normal 10 3 4 4 4 4" xfId="23286" xr:uid="{E7AB3646-31CC-4253-8D0C-4DFED452841D}"/>
    <cellStyle name="Normal 10 3 4 4 5" xfId="23287" xr:uid="{6D193EAD-8472-43B2-B7BC-C8FB575A5D3E}"/>
    <cellStyle name="Normal 10 3 4 4 5 2" xfId="23288" xr:uid="{1AF01903-F829-49C4-AC74-7A2E05C39CF4}"/>
    <cellStyle name="Normal 10 3 4 4 5 2 2" xfId="23289" xr:uid="{D873BDD7-6674-4A12-9708-4E8C4FCACD93}"/>
    <cellStyle name="Normal 10 3 4 4 5 3" xfId="23290" xr:uid="{1D120D93-20D7-4627-AC71-C13E2217854C}"/>
    <cellStyle name="Normal 10 3 4 4 6" xfId="23291" xr:uid="{41D3E1E7-F02B-40F8-8156-690E93CAFD6B}"/>
    <cellStyle name="Normal 10 3 4 4 6 2" xfId="23292" xr:uid="{AEBCF81C-828C-4B4C-9651-86256DF5C8C9}"/>
    <cellStyle name="Normal 10 3 4 4 7" xfId="23293" xr:uid="{530A92B1-BE3B-451C-AE6C-A414BEEFAC96}"/>
    <cellStyle name="Normal 10 3 4 5" xfId="23294" xr:uid="{C13F7670-D0D8-4A29-A725-27C7C8FC6940}"/>
    <cellStyle name="Normal 10 3 4 5 2" xfId="23295" xr:uid="{EC6222C3-5473-47C6-A1A1-7B7CFDC73431}"/>
    <cellStyle name="Normal 10 3 4 5 2 2" xfId="23296" xr:uid="{02C4CCC0-EDCA-47F1-8079-D6E68141FFB2}"/>
    <cellStyle name="Normal 10 3 4 5 2 2 2" xfId="23297" xr:uid="{CD6CFD2C-DDCE-4891-B2CF-8ACF0F5A2033}"/>
    <cellStyle name="Normal 10 3 4 5 2 2 2 2" xfId="23298" xr:uid="{25536C7E-2D81-43E8-899A-2B908F43A4F5}"/>
    <cellStyle name="Normal 10 3 4 5 2 2 2 2 2" xfId="23299" xr:uid="{1DD3FF13-175D-4908-A2D0-AD2F7950F33D}"/>
    <cellStyle name="Normal 10 3 4 5 2 2 2 3" xfId="23300" xr:uid="{E64465EC-162C-470D-BCAA-52FDC500C383}"/>
    <cellStyle name="Normal 10 3 4 5 2 2 3" xfId="23301" xr:uid="{7AB9765F-E0E8-4E00-9EB6-9CE154CA73F8}"/>
    <cellStyle name="Normal 10 3 4 5 2 2 3 2" xfId="23302" xr:uid="{8A9ED6EC-55D6-47CF-98E5-C426FB7C7F50}"/>
    <cellStyle name="Normal 10 3 4 5 2 2 4" xfId="23303" xr:uid="{479C2251-D9BF-4461-877C-AA4B11D99F33}"/>
    <cellStyle name="Normal 10 3 4 5 2 3" xfId="23304" xr:uid="{4FD282DA-D793-479D-B414-4B3D2D48C93D}"/>
    <cellStyle name="Normal 10 3 4 5 2 3 2" xfId="23305" xr:uid="{62DA4B77-8B32-46F1-9188-E31AC83D0A20}"/>
    <cellStyle name="Normal 10 3 4 5 2 3 2 2" xfId="23306" xr:uid="{F0D848B9-CA75-41AD-BFED-60B81AC840BF}"/>
    <cellStyle name="Normal 10 3 4 5 2 3 3" xfId="23307" xr:uid="{917755D5-57AD-4F68-8ADC-3912E4BCD080}"/>
    <cellStyle name="Normal 10 3 4 5 2 4" xfId="23308" xr:uid="{EFA7EC03-0F8D-4B01-91E4-9573514AEBE1}"/>
    <cellStyle name="Normal 10 3 4 5 2 4 2" xfId="23309" xr:uid="{8AC4BCF8-CF18-4F64-9C67-B33CF12B0E8F}"/>
    <cellStyle name="Normal 10 3 4 5 2 5" xfId="23310" xr:uid="{91A1B4E1-9D3C-4B2C-A4AE-2A193F0F687F}"/>
    <cellStyle name="Normal 10 3 4 5 3" xfId="23311" xr:uid="{E91490A1-73D9-4CB0-8D6D-1023108608EF}"/>
    <cellStyle name="Normal 10 3 4 5 3 2" xfId="23312" xr:uid="{B64B25E8-A8ED-4F22-BB2C-AE27E11960C5}"/>
    <cellStyle name="Normal 10 3 4 5 3 2 2" xfId="23313" xr:uid="{401EE478-3C13-4280-B3E6-D6631CC9548F}"/>
    <cellStyle name="Normal 10 3 4 5 3 2 2 2" xfId="23314" xr:uid="{977B2F75-0E81-4A2C-BF97-311F2C4DF5C2}"/>
    <cellStyle name="Normal 10 3 4 5 3 2 3" xfId="23315" xr:uid="{6D164CDA-F64E-4765-A00D-C2EC87BC4E35}"/>
    <cellStyle name="Normal 10 3 4 5 3 3" xfId="23316" xr:uid="{A2C13020-1D70-4C89-B196-9609D207A3E6}"/>
    <cellStyle name="Normal 10 3 4 5 3 3 2" xfId="23317" xr:uid="{2CA484F9-F211-4DD0-8BE5-65741C0EB4A7}"/>
    <cellStyle name="Normal 10 3 4 5 3 4" xfId="23318" xr:uid="{7FBC1684-4F55-4DE0-B23E-F6405B25A373}"/>
    <cellStyle name="Normal 10 3 4 5 4" xfId="23319" xr:uid="{A027463A-A0C5-48D3-9E27-C2F56ED5BD94}"/>
    <cellStyle name="Normal 10 3 4 5 4 2" xfId="23320" xr:uid="{E36D9B69-4ED6-4F11-9FF7-B9163D0866B5}"/>
    <cellStyle name="Normal 10 3 4 5 4 2 2" xfId="23321" xr:uid="{9AA027B7-6B3F-4F3A-A252-A0F986E3E884}"/>
    <cellStyle name="Normal 10 3 4 5 4 3" xfId="23322" xr:uid="{09D36DC2-70F1-4BDE-A02D-852130CAC8C1}"/>
    <cellStyle name="Normal 10 3 4 5 5" xfId="23323" xr:uid="{0018D662-57A6-454A-8E6B-A2D0CB641A19}"/>
    <cellStyle name="Normal 10 3 4 5 5 2" xfId="23324" xr:uid="{15903212-A691-4DBA-B2D1-7FA9F2270B98}"/>
    <cellStyle name="Normal 10 3 4 5 6" xfId="23325" xr:uid="{7480F409-79F1-4113-8AF6-283AA67EC9A0}"/>
    <cellStyle name="Normal 10 3 4 6" xfId="23326" xr:uid="{8685F1F9-4422-4E6E-8135-8A24EC698318}"/>
    <cellStyle name="Normal 10 3 4 6 2" xfId="23327" xr:uid="{A2EFE9CA-0CC8-4056-A491-9CA8468BD280}"/>
    <cellStyle name="Normal 10 3 4 6 2 2" xfId="23328" xr:uid="{C0B1ABE0-F6FD-4DC7-93D0-6B0ECA686C57}"/>
    <cellStyle name="Normal 10 3 4 6 2 2 2" xfId="23329" xr:uid="{A7B28786-3CE7-48A4-BA1E-BBE0AAA26D60}"/>
    <cellStyle name="Normal 10 3 4 6 2 2 2 2" xfId="23330" xr:uid="{BADBC18C-F937-4C3F-8B07-1BEA4891F9D6}"/>
    <cellStyle name="Normal 10 3 4 6 2 2 3" xfId="23331" xr:uid="{DF470456-5BC2-47F8-93B0-A5AB90C448DF}"/>
    <cellStyle name="Normal 10 3 4 6 2 3" xfId="23332" xr:uid="{A26A31BD-9319-429D-8BF8-1268E494868D}"/>
    <cellStyle name="Normal 10 3 4 6 2 3 2" xfId="23333" xr:uid="{40BFD631-CFED-4A02-A8C0-C254AA4CEEB1}"/>
    <cellStyle name="Normal 10 3 4 6 2 4" xfId="23334" xr:uid="{5D0555C5-BCDD-4947-89AF-BDFBA55DD24F}"/>
    <cellStyle name="Normal 10 3 4 6 3" xfId="23335" xr:uid="{26FEC368-7C7D-4DCA-BDC4-CD81AE7AD2EA}"/>
    <cellStyle name="Normal 10 3 4 6 3 2" xfId="23336" xr:uid="{1FF0055D-8D82-4BE0-B170-7177100CC59F}"/>
    <cellStyle name="Normal 10 3 4 6 3 2 2" xfId="23337" xr:uid="{04CB55B8-838D-4D4B-B1D5-08BBA8A0B9E1}"/>
    <cellStyle name="Normal 10 3 4 6 3 3" xfId="23338" xr:uid="{E57BDB4A-6D7C-47D2-B201-EF94A93F52B2}"/>
    <cellStyle name="Normal 10 3 4 6 4" xfId="23339" xr:uid="{6F95B23E-ED27-4478-A31D-C4DD1933B91C}"/>
    <cellStyle name="Normal 10 3 4 6 4 2" xfId="23340" xr:uid="{9842FDB1-3A20-4520-AEAF-A3032AD8A790}"/>
    <cellStyle name="Normal 10 3 4 6 5" xfId="23341" xr:uid="{BB477F83-4145-44C9-B6AF-5AAE6CD426B7}"/>
    <cellStyle name="Normal 10 3 4 7" xfId="23342" xr:uid="{BBF161FC-F1BD-42CE-99E8-3C734F10005F}"/>
    <cellStyle name="Normal 10 3 4 7 2" xfId="23343" xr:uid="{D0AE0AAD-A3AF-4093-AF31-E00FAF4EC189}"/>
    <cellStyle name="Normal 10 3 4 7 2 2" xfId="23344" xr:uid="{B2FB9B6C-FF85-4D72-AAFA-64737CAE8160}"/>
    <cellStyle name="Normal 10 3 4 7 2 2 2" xfId="23345" xr:uid="{576461E3-7B38-46BE-A4D5-8657DFDA3429}"/>
    <cellStyle name="Normal 10 3 4 7 2 3" xfId="23346" xr:uid="{F5FBD63D-FAC3-4AA0-B83B-FEAA092B5DE3}"/>
    <cellStyle name="Normal 10 3 4 7 3" xfId="23347" xr:uid="{F13D228D-5E68-429F-9C9D-1328F66B6EAA}"/>
    <cellStyle name="Normal 10 3 4 7 3 2" xfId="23348" xr:uid="{414DC9FD-E7E6-49BA-8774-1DF18241AE28}"/>
    <cellStyle name="Normal 10 3 4 7 4" xfId="23349" xr:uid="{0852DE84-770A-4BED-AF22-983B3CAC281E}"/>
    <cellStyle name="Normal 10 3 4 8" xfId="23350" xr:uid="{00CCCE64-4E41-4620-AD7C-596C31034B9F}"/>
    <cellStyle name="Normal 10 3 4 8 2" xfId="23351" xr:uid="{C9DF5D23-714E-4967-B560-9EE30FAB7B99}"/>
    <cellStyle name="Normal 10 3 4 8 2 2" xfId="23352" xr:uid="{8704ADBE-4FF4-4A02-B383-4FD69FFA5B15}"/>
    <cellStyle name="Normal 10 3 4 8 3" xfId="23353" xr:uid="{CAB95537-4601-46BA-9560-A697C037BEF4}"/>
    <cellStyle name="Normal 10 3 4 9" xfId="23354" xr:uid="{3986BCE7-EC6F-4716-A988-EBDC1B2FA5DA}"/>
    <cellStyle name="Normal 10 3 4 9 2" xfId="23355" xr:uid="{52EF10E4-4720-4AC6-8F77-F0E0990BCD69}"/>
    <cellStyle name="Normal 10 3 5" xfId="219" xr:uid="{F47E6600-20AE-4390-B4C0-3D4165D76A7B}"/>
    <cellStyle name="Normal 10 3 5 10" xfId="23356" xr:uid="{F77C778B-0560-4970-BC42-E4FE4CC54415}"/>
    <cellStyle name="Normal 10 3 5 11" xfId="570" xr:uid="{DC096167-D0AA-461A-B4F5-AC20496019AD}"/>
    <cellStyle name="Normal 10 3 5 2" xfId="344" xr:uid="{6B46E6B2-02F7-4BEF-894A-7733259B2093}"/>
    <cellStyle name="Normal 10 3 5 2 10" xfId="23357" xr:uid="{266425EC-A752-432F-94D8-8F605F2B2AFD}"/>
    <cellStyle name="Normal 10 3 5 2 2" xfId="23358" xr:uid="{A3C5FD2F-A340-4FB6-A6D7-C09427F3CC1E}"/>
    <cellStyle name="Normal 10 3 5 2 2 2" xfId="23359" xr:uid="{E82A1D8E-D9DF-444F-A78C-BE228FC35031}"/>
    <cellStyle name="Normal 10 3 5 2 2 2 2" xfId="23360" xr:uid="{BA8BA993-FD2A-40F2-9CE5-E202D47F0492}"/>
    <cellStyle name="Normal 10 3 5 2 2 2 2 2" xfId="23361" xr:uid="{A5A7E12A-B47A-435E-82C3-4BA1B4A661AD}"/>
    <cellStyle name="Normal 10 3 5 2 2 2 2 2 2" xfId="23362" xr:uid="{BCA0468F-C0DF-4859-AA48-6A7C672DF71E}"/>
    <cellStyle name="Normal 10 3 5 2 2 2 2 2 2 2" xfId="23363" xr:uid="{91EE65C7-51B4-45ED-9097-775D7186A170}"/>
    <cellStyle name="Normal 10 3 5 2 2 2 2 2 2 2 2" xfId="23364" xr:uid="{CCA6CF86-8081-4F81-AB0C-594BDB8A8289}"/>
    <cellStyle name="Normal 10 3 5 2 2 2 2 2 2 2 2 2" xfId="23365" xr:uid="{4CEAA123-317C-45D6-9EEA-5AB724DDA37F}"/>
    <cellStyle name="Normal 10 3 5 2 2 2 2 2 2 2 3" xfId="23366" xr:uid="{16BD5874-FB76-48D5-9724-0C7A6E4432A6}"/>
    <cellStyle name="Normal 10 3 5 2 2 2 2 2 2 3" xfId="23367" xr:uid="{EA5BFA67-049A-4F9A-9890-1E76586AC86D}"/>
    <cellStyle name="Normal 10 3 5 2 2 2 2 2 2 3 2" xfId="23368" xr:uid="{BE3ED3F3-972E-4F6E-91C2-50516F057402}"/>
    <cellStyle name="Normal 10 3 5 2 2 2 2 2 2 4" xfId="23369" xr:uid="{6C8D7AAD-B364-4C9A-867A-A7B7BCC5B2F1}"/>
    <cellStyle name="Normal 10 3 5 2 2 2 2 2 3" xfId="23370" xr:uid="{F9D342D9-65E4-4A39-9B7E-E1B652EF0826}"/>
    <cellStyle name="Normal 10 3 5 2 2 2 2 2 3 2" xfId="23371" xr:uid="{4514B97A-9C9D-43CB-9865-FDA4EE38B942}"/>
    <cellStyle name="Normal 10 3 5 2 2 2 2 2 3 2 2" xfId="23372" xr:uid="{B153F077-2B31-465F-879F-EC570A9FAD6A}"/>
    <cellStyle name="Normal 10 3 5 2 2 2 2 2 3 3" xfId="23373" xr:uid="{FCAB9ABB-DA2E-4111-B20C-795AC6F244E0}"/>
    <cellStyle name="Normal 10 3 5 2 2 2 2 2 4" xfId="23374" xr:uid="{19E7C3FE-1E99-4922-9CD2-EA4466353B73}"/>
    <cellStyle name="Normal 10 3 5 2 2 2 2 2 4 2" xfId="23375" xr:uid="{3B1CA255-A3EB-4E6A-9C45-A306D74C7CA3}"/>
    <cellStyle name="Normal 10 3 5 2 2 2 2 2 5" xfId="23376" xr:uid="{63C548FD-DC67-4B90-B21E-8EDA457EC408}"/>
    <cellStyle name="Normal 10 3 5 2 2 2 2 3" xfId="23377" xr:uid="{2BAAE82B-4F68-4410-9212-5013F2AAA38E}"/>
    <cellStyle name="Normal 10 3 5 2 2 2 2 3 2" xfId="23378" xr:uid="{E5E4D998-3481-4108-9E9F-1A8545B8456A}"/>
    <cellStyle name="Normal 10 3 5 2 2 2 2 3 2 2" xfId="23379" xr:uid="{418783E0-A3BD-44D9-921F-EEEB24756100}"/>
    <cellStyle name="Normal 10 3 5 2 2 2 2 3 2 2 2" xfId="23380" xr:uid="{BDFF55EA-D626-448E-A10A-FA4756EDFB2E}"/>
    <cellStyle name="Normal 10 3 5 2 2 2 2 3 2 3" xfId="23381" xr:uid="{AC72BBEA-323E-4945-B8C7-2F9F7E0AC6FF}"/>
    <cellStyle name="Normal 10 3 5 2 2 2 2 3 3" xfId="23382" xr:uid="{62D52FEE-8462-48E3-805F-5B9261706F41}"/>
    <cellStyle name="Normal 10 3 5 2 2 2 2 3 3 2" xfId="23383" xr:uid="{6DBAA022-3DCA-42D8-9BB0-F363F66BACBA}"/>
    <cellStyle name="Normal 10 3 5 2 2 2 2 3 4" xfId="23384" xr:uid="{7CA0DEBF-68AC-4B4A-8AB7-F329AC498B60}"/>
    <cellStyle name="Normal 10 3 5 2 2 2 2 4" xfId="23385" xr:uid="{889207C0-C177-4FE8-972E-68F0B8D73974}"/>
    <cellStyle name="Normal 10 3 5 2 2 2 2 4 2" xfId="23386" xr:uid="{6CAD07FF-FA3E-4AE4-A590-B379EFB325B1}"/>
    <cellStyle name="Normal 10 3 5 2 2 2 2 4 2 2" xfId="23387" xr:uid="{6B3081F9-D555-443C-A2DA-0316078406C2}"/>
    <cellStyle name="Normal 10 3 5 2 2 2 2 4 3" xfId="23388" xr:uid="{37095563-66B0-4E46-A482-F04DE34DBA0D}"/>
    <cellStyle name="Normal 10 3 5 2 2 2 2 5" xfId="23389" xr:uid="{CD76CAEC-2A25-4035-9E78-3B98CE7414A1}"/>
    <cellStyle name="Normal 10 3 5 2 2 2 2 5 2" xfId="23390" xr:uid="{449E4F3E-1D63-4058-ABB7-5930AF7DBD8A}"/>
    <cellStyle name="Normal 10 3 5 2 2 2 2 6" xfId="23391" xr:uid="{6A08972B-1A38-4234-AC99-F91F9A155AD1}"/>
    <cellStyle name="Normal 10 3 5 2 2 2 3" xfId="23392" xr:uid="{B0455083-E476-4AA0-9410-60AF8ADB514D}"/>
    <cellStyle name="Normal 10 3 5 2 2 2 3 2" xfId="23393" xr:uid="{76EA761E-18F3-410A-B84B-F0F78B9A25E5}"/>
    <cellStyle name="Normal 10 3 5 2 2 2 3 2 2" xfId="23394" xr:uid="{EA69C2C0-1950-4F57-906C-BB73A5C51590}"/>
    <cellStyle name="Normal 10 3 5 2 2 2 3 2 2 2" xfId="23395" xr:uid="{B79FB50D-2814-42AD-A038-B263C826EABD}"/>
    <cellStyle name="Normal 10 3 5 2 2 2 3 2 2 2 2" xfId="23396" xr:uid="{543C7E84-70FD-447E-9803-091F01963FFC}"/>
    <cellStyle name="Normal 10 3 5 2 2 2 3 2 2 3" xfId="23397" xr:uid="{E6BF7A67-8ECF-4651-8C9D-2BFCBCA42B99}"/>
    <cellStyle name="Normal 10 3 5 2 2 2 3 2 3" xfId="23398" xr:uid="{FBC8C878-5397-42A6-801E-6B6861C6AF2B}"/>
    <cellStyle name="Normal 10 3 5 2 2 2 3 2 3 2" xfId="23399" xr:uid="{05ECDDD9-C282-4ED7-9DD2-388DB9926B1C}"/>
    <cellStyle name="Normal 10 3 5 2 2 2 3 2 4" xfId="23400" xr:uid="{D66D6ED2-BC95-410F-A4B0-0357293AA30B}"/>
    <cellStyle name="Normal 10 3 5 2 2 2 3 3" xfId="23401" xr:uid="{FE124594-D353-4817-A5FD-661BB75CB8EE}"/>
    <cellStyle name="Normal 10 3 5 2 2 2 3 3 2" xfId="23402" xr:uid="{64F1EBAC-05CA-40E2-8247-9377B2F7CEB5}"/>
    <cellStyle name="Normal 10 3 5 2 2 2 3 3 2 2" xfId="23403" xr:uid="{6FE01197-36D7-4308-BC4F-68A04AF6BFF7}"/>
    <cellStyle name="Normal 10 3 5 2 2 2 3 3 3" xfId="23404" xr:uid="{7AAE86AE-5054-49F2-9BBC-B9BEE1E17DE4}"/>
    <cellStyle name="Normal 10 3 5 2 2 2 3 4" xfId="23405" xr:uid="{EB6CF2B0-9F47-44FE-8474-A68D3DDD19D2}"/>
    <cellStyle name="Normal 10 3 5 2 2 2 3 4 2" xfId="23406" xr:uid="{465EDC7B-591F-4C3C-ACD0-DAE902F0657E}"/>
    <cellStyle name="Normal 10 3 5 2 2 2 3 5" xfId="23407" xr:uid="{FF42EF32-F166-45B2-BC72-1CCF09EFCECF}"/>
    <cellStyle name="Normal 10 3 5 2 2 2 4" xfId="23408" xr:uid="{6F779B32-243D-4F09-8F64-EFDF47A6AE1F}"/>
    <cellStyle name="Normal 10 3 5 2 2 2 4 2" xfId="23409" xr:uid="{3860D0D2-E060-467A-BD79-4CFC1B5041B2}"/>
    <cellStyle name="Normal 10 3 5 2 2 2 4 2 2" xfId="23410" xr:uid="{2C9A37A0-5F8D-44FA-8B6A-5277CC261B33}"/>
    <cellStyle name="Normal 10 3 5 2 2 2 4 2 2 2" xfId="23411" xr:uid="{239A7918-6244-4DA0-9409-EA85D90DC0DE}"/>
    <cellStyle name="Normal 10 3 5 2 2 2 4 2 3" xfId="23412" xr:uid="{72ABF2ED-B9A5-4547-860F-CE458019481A}"/>
    <cellStyle name="Normal 10 3 5 2 2 2 4 3" xfId="23413" xr:uid="{C278EAE3-92FC-4CFC-A2C1-909A5971F1F4}"/>
    <cellStyle name="Normal 10 3 5 2 2 2 4 3 2" xfId="23414" xr:uid="{7F87C7FE-92B5-4FB5-8EE1-49B4D570569F}"/>
    <cellStyle name="Normal 10 3 5 2 2 2 4 4" xfId="23415" xr:uid="{7DAE5E57-BABC-4758-9BEF-27F449C2DEE7}"/>
    <cellStyle name="Normal 10 3 5 2 2 2 5" xfId="23416" xr:uid="{FD9CDAC8-6D22-4A44-9624-06CA2B1E4269}"/>
    <cellStyle name="Normal 10 3 5 2 2 2 5 2" xfId="23417" xr:uid="{703F9968-166C-45FB-9A2F-38CFCBDBED24}"/>
    <cellStyle name="Normal 10 3 5 2 2 2 5 2 2" xfId="23418" xr:uid="{0AF41BAC-F1EB-414B-BD39-A0B98EE657CA}"/>
    <cellStyle name="Normal 10 3 5 2 2 2 5 3" xfId="23419" xr:uid="{48F467D8-A067-4309-B12B-DB8F3B37AFC5}"/>
    <cellStyle name="Normal 10 3 5 2 2 2 6" xfId="23420" xr:uid="{0D10796F-4A1E-4729-8857-0E67503784EC}"/>
    <cellStyle name="Normal 10 3 5 2 2 2 6 2" xfId="23421" xr:uid="{58A758CA-E663-4FE6-A8E6-680F700F21DC}"/>
    <cellStyle name="Normal 10 3 5 2 2 2 7" xfId="23422" xr:uid="{9F9EEDD1-DA8C-43D4-8D09-145C844F659B}"/>
    <cellStyle name="Normal 10 3 5 2 2 3" xfId="23423" xr:uid="{3231E5B2-9F0B-40E6-9821-C478C7119184}"/>
    <cellStyle name="Normal 10 3 5 2 2 3 2" xfId="23424" xr:uid="{F30E3CF9-EA48-4501-A52B-402501EDA8FC}"/>
    <cellStyle name="Normal 10 3 5 2 2 3 2 2" xfId="23425" xr:uid="{9765EEA1-3529-4383-9A6A-66A05F5C0BF0}"/>
    <cellStyle name="Normal 10 3 5 2 2 3 2 2 2" xfId="23426" xr:uid="{A8736942-0E36-4C12-B0BE-0C46237C688E}"/>
    <cellStyle name="Normal 10 3 5 2 2 3 2 2 2 2" xfId="23427" xr:uid="{67FB3BA9-E728-4C31-AC65-3CE721B08A5F}"/>
    <cellStyle name="Normal 10 3 5 2 2 3 2 2 2 2 2" xfId="23428" xr:uid="{116C2FFF-ED40-4012-9C31-9CFF30723E4C}"/>
    <cellStyle name="Normal 10 3 5 2 2 3 2 2 2 3" xfId="23429" xr:uid="{BF494150-6CE9-4D58-B06B-018D38880E91}"/>
    <cellStyle name="Normal 10 3 5 2 2 3 2 2 3" xfId="23430" xr:uid="{90BA3373-57C8-44D9-9B73-220E639EBA30}"/>
    <cellStyle name="Normal 10 3 5 2 2 3 2 2 3 2" xfId="23431" xr:uid="{9167000F-CF16-4403-A25C-3E880996B2D8}"/>
    <cellStyle name="Normal 10 3 5 2 2 3 2 2 4" xfId="23432" xr:uid="{73A9858A-5946-484B-80ED-DD0EE8E5BFF1}"/>
    <cellStyle name="Normal 10 3 5 2 2 3 2 3" xfId="23433" xr:uid="{AEA923F0-1417-4D6F-8737-0FF773957252}"/>
    <cellStyle name="Normal 10 3 5 2 2 3 2 3 2" xfId="23434" xr:uid="{9CC5EC9F-2A61-467D-8D4E-80F3B758DED2}"/>
    <cellStyle name="Normal 10 3 5 2 2 3 2 3 2 2" xfId="23435" xr:uid="{C058D7BA-A66E-43FB-9D40-B260F7F52C2D}"/>
    <cellStyle name="Normal 10 3 5 2 2 3 2 3 3" xfId="23436" xr:uid="{93DCE45C-70EA-487E-A423-7BC9DE7C19E0}"/>
    <cellStyle name="Normal 10 3 5 2 2 3 2 4" xfId="23437" xr:uid="{AF1DE201-D65C-4C34-99AD-8E800B9730E3}"/>
    <cellStyle name="Normal 10 3 5 2 2 3 2 4 2" xfId="23438" xr:uid="{09EDD982-EC18-4DF8-9587-9E0E06A64821}"/>
    <cellStyle name="Normal 10 3 5 2 2 3 2 5" xfId="23439" xr:uid="{70A6538F-8372-4DCC-9D5F-794B63C307D3}"/>
    <cellStyle name="Normal 10 3 5 2 2 3 3" xfId="23440" xr:uid="{19F6542C-5313-413F-ADEB-5702C1AE127A}"/>
    <cellStyle name="Normal 10 3 5 2 2 3 3 2" xfId="23441" xr:uid="{701A79E3-D4DA-415E-90C1-957F56D6449C}"/>
    <cellStyle name="Normal 10 3 5 2 2 3 3 2 2" xfId="23442" xr:uid="{7C20F9BC-D6F2-4146-A25B-E05291C2D417}"/>
    <cellStyle name="Normal 10 3 5 2 2 3 3 2 2 2" xfId="23443" xr:uid="{8FC32555-4780-48CD-BD40-D46B61E6C7D1}"/>
    <cellStyle name="Normal 10 3 5 2 2 3 3 2 3" xfId="23444" xr:uid="{1D4E14BC-A44B-4ABD-8243-F6BBFCB7A92C}"/>
    <cellStyle name="Normal 10 3 5 2 2 3 3 3" xfId="23445" xr:uid="{035B7800-992E-424E-9091-4FDB379E48FA}"/>
    <cellStyle name="Normal 10 3 5 2 2 3 3 3 2" xfId="23446" xr:uid="{EEF1A2E5-CD22-4BDE-855A-1D90596F46A4}"/>
    <cellStyle name="Normal 10 3 5 2 2 3 3 4" xfId="23447" xr:uid="{9ADA20D5-F41C-4E60-95DE-436C6B7C53ED}"/>
    <cellStyle name="Normal 10 3 5 2 2 3 4" xfId="23448" xr:uid="{28F26170-3231-46BA-B3D5-D9BAEEA63251}"/>
    <cellStyle name="Normal 10 3 5 2 2 3 4 2" xfId="23449" xr:uid="{E2AA6DFD-1CE9-49D0-BBCC-1FE874665A25}"/>
    <cellStyle name="Normal 10 3 5 2 2 3 4 2 2" xfId="23450" xr:uid="{69CA6867-5B12-4707-814B-1F9C6E871C88}"/>
    <cellStyle name="Normal 10 3 5 2 2 3 4 3" xfId="23451" xr:uid="{D8000E2A-6BE1-4AA6-8308-EDD94A7ADC8B}"/>
    <cellStyle name="Normal 10 3 5 2 2 3 5" xfId="23452" xr:uid="{BD6F6C73-0EF4-4323-B6DD-D75014B6CCB6}"/>
    <cellStyle name="Normal 10 3 5 2 2 3 5 2" xfId="23453" xr:uid="{FFA11FA5-5E40-4D11-A41F-135A1460542C}"/>
    <cellStyle name="Normal 10 3 5 2 2 3 6" xfId="23454" xr:uid="{20CA035A-A3E4-4F23-A074-62F5527E0839}"/>
    <cellStyle name="Normal 10 3 5 2 2 4" xfId="23455" xr:uid="{4273AD4C-0110-4937-B5EA-3AAFCF90F087}"/>
    <cellStyle name="Normal 10 3 5 2 2 4 2" xfId="23456" xr:uid="{FE28A8CB-7AA7-4108-B8BD-5EB62A755826}"/>
    <cellStyle name="Normal 10 3 5 2 2 4 2 2" xfId="23457" xr:uid="{C7E9B5FC-8CB5-4B8B-B46B-F7159BDBA700}"/>
    <cellStyle name="Normal 10 3 5 2 2 4 2 2 2" xfId="23458" xr:uid="{CCFD4E88-A04F-490F-AEFE-3973420F425D}"/>
    <cellStyle name="Normal 10 3 5 2 2 4 2 2 2 2" xfId="23459" xr:uid="{5ED35376-ADE7-48E8-BD5E-05FE621AB2ED}"/>
    <cellStyle name="Normal 10 3 5 2 2 4 2 2 3" xfId="23460" xr:uid="{FB1904E4-B6FB-48FA-979E-E5C8C4A0D5DC}"/>
    <cellStyle name="Normal 10 3 5 2 2 4 2 3" xfId="23461" xr:uid="{46591115-D322-4AC9-A655-70E0C2B80CAD}"/>
    <cellStyle name="Normal 10 3 5 2 2 4 2 3 2" xfId="23462" xr:uid="{619393C4-5350-4790-9821-4955BB5AF384}"/>
    <cellStyle name="Normal 10 3 5 2 2 4 2 4" xfId="23463" xr:uid="{A09D9350-A35C-49C1-8EEF-61A889566EE9}"/>
    <cellStyle name="Normal 10 3 5 2 2 4 3" xfId="23464" xr:uid="{C9C8E27C-933F-44BC-A476-368F04B08797}"/>
    <cellStyle name="Normal 10 3 5 2 2 4 3 2" xfId="23465" xr:uid="{6041FA5E-3E50-4617-9CF0-4C05EBB68A07}"/>
    <cellStyle name="Normal 10 3 5 2 2 4 3 2 2" xfId="23466" xr:uid="{47727EC1-1957-43CB-922C-78253024639E}"/>
    <cellStyle name="Normal 10 3 5 2 2 4 3 3" xfId="23467" xr:uid="{4F8A99FF-831F-47DA-9479-621FDB613AC5}"/>
    <cellStyle name="Normal 10 3 5 2 2 4 4" xfId="23468" xr:uid="{8BCC41A5-78F4-430A-B031-813467401D3C}"/>
    <cellStyle name="Normal 10 3 5 2 2 4 4 2" xfId="23469" xr:uid="{53B3A63F-2F46-470E-9BAD-F376075D6C95}"/>
    <cellStyle name="Normal 10 3 5 2 2 4 5" xfId="23470" xr:uid="{B6F27ECC-A611-4BA4-BD6D-998B9429F469}"/>
    <cellStyle name="Normal 10 3 5 2 2 5" xfId="23471" xr:uid="{4301F917-97E7-4BF2-B5CA-6CDCB8FE6808}"/>
    <cellStyle name="Normal 10 3 5 2 2 5 2" xfId="23472" xr:uid="{DE7A1543-BE4D-4C8E-BBDC-7595A2106CED}"/>
    <cellStyle name="Normal 10 3 5 2 2 5 2 2" xfId="23473" xr:uid="{7DE264E9-E323-495B-839A-D75ED5075775}"/>
    <cellStyle name="Normal 10 3 5 2 2 5 2 2 2" xfId="23474" xr:uid="{1E7DDC96-C52C-44FE-8C7B-D3EB675D9240}"/>
    <cellStyle name="Normal 10 3 5 2 2 5 2 3" xfId="23475" xr:uid="{674BF346-BB68-4D77-9485-9003A2C6375B}"/>
    <cellStyle name="Normal 10 3 5 2 2 5 3" xfId="23476" xr:uid="{B4F079D6-6EE6-4C0F-AA83-0A47906D6B66}"/>
    <cellStyle name="Normal 10 3 5 2 2 5 3 2" xfId="23477" xr:uid="{B5225BE1-587F-48CC-A045-724D37709728}"/>
    <cellStyle name="Normal 10 3 5 2 2 5 4" xfId="23478" xr:uid="{E4D627A6-89D9-4C98-81D7-C9930C213D00}"/>
    <cellStyle name="Normal 10 3 5 2 2 6" xfId="23479" xr:uid="{367B0976-D1EC-43D8-87BF-E66EAD838AAF}"/>
    <cellStyle name="Normal 10 3 5 2 2 6 2" xfId="23480" xr:uid="{1B505212-0AFB-4633-89D3-C5B7C9627FB2}"/>
    <cellStyle name="Normal 10 3 5 2 2 6 2 2" xfId="23481" xr:uid="{7BFE59DF-DC75-4CD5-AF90-C1DE676A10DC}"/>
    <cellStyle name="Normal 10 3 5 2 2 6 3" xfId="23482" xr:uid="{17477813-17D1-45C3-BE35-232BF6D7D2E4}"/>
    <cellStyle name="Normal 10 3 5 2 2 7" xfId="23483" xr:uid="{C7725DF3-26D0-46F7-B8F8-B76444CB58EC}"/>
    <cellStyle name="Normal 10 3 5 2 2 7 2" xfId="23484" xr:uid="{FA63C8A7-33DC-470A-B1B2-91ABF33C2955}"/>
    <cellStyle name="Normal 10 3 5 2 2 8" xfId="23485" xr:uid="{BEEA79EE-DE94-43F2-9C34-508D2AA51D85}"/>
    <cellStyle name="Normal 10 3 5 2 3" xfId="23486" xr:uid="{9B9658C9-0F04-4970-8E91-5D62AECD20CE}"/>
    <cellStyle name="Normal 10 3 5 2 3 2" xfId="23487" xr:uid="{E1B747A3-7B1A-472A-88EE-130BA730D29B}"/>
    <cellStyle name="Normal 10 3 5 2 3 2 2" xfId="23488" xr:uid="{79F7072D-4B05-4BFF-96B8-5CF6C0913508}"/>
    <cellStyle name="Normal 10 3 5 2 3 2 2 2" xfId="23489" xr:uid="{30BD31AA-06E2-46F8-AAB1-13CC2E77B3F1}"/>
    <cellStyle name="Normal 10 3 5 2 3 2 2 2 2" xfId="23490" xr:uid="{23EE43F2-7AB2-4498-B853-74B052C30339}"/>
    <cellStyle name="Normal 10 3 5 2 3 2 2 2 2 2" xfId="23491" xr:uid="{CD943276-2ADB-48B3-AEC2-213400CF2459}"/>
    <cellStyle name="Normal 10 3 5 2 3 2 2 2 2 2 2" xfId="23492" xr:uid="{7F9DA40C-523D-4FFD-AD90-D9E85E3C48CD}"/>
    <cellStyle name="Normal 10 3 5 2 3 2 2 2 2 3" xfId="23493" xr:uid="{EA496D0E-75B8-43B3-9769-E4344F9E3477}"/>
    <cellStyle name="Normal 10 3 5 2 3 2 2 2 3" xfId="23494" xr:uid="{9E8C1D50-8A6D-453F-AFC6-032A817B9669}"/>
    <cellStyle name="Normal 10 3 5 2 3 2 2 2 3 2" xfId="23495" xr:uid="{5DDA194F-CE87-40FD-859C-285E9806E514}"/>
    <cellStyle name="Normal 10 3 5 2 3 2 2 2 4" xfId="23496" xr:uid="{52A79A9E-3E12-43FB-A9A8-5AD0E91AEE83}"/>
    <cellStyle name="Normal 10 3 5 2 3 2 2 3" xfId="23497" xr:uid="{55DC9A2D-62C0-43C1-B780-10B7C0B9B002}"/>
    <cellStyle name="Normal 10 3 5 2 3 2 2 3 2" xfId="23498" xr:uid="{63A2513A-1B58-47E0-8F2C-C48D6B9905E3}"/>
    <cellStyle name="Normal 10 3 5 2 3 2 2 3 2 2" xfId="23499" xr:uid="{C8B16B82-7280-4B26-AF5C-E7D088389606}"/>
    <cellStyle name="Normal 10 3 5 2 3 2 2 3 3" xfId="23500" xr:uid="{C9C46C85-A228-4813-88A3-C6C7532211E1}"/>
    <cellStyle name="Normal 10 3 5 2 3 2 2 4" xfId="23501" xr:uid="{F7F34414-861D-4ED5-8DE3-43C094414387}"/>
    <cellStyle name="Normal 10 3 5 2 3 2 2 4 2" xfId="23502" xr:uid="{1FD45C54-E53F-46ED-8502-035DA4B71D67}"/>
    <cellStyle name="Normal 10 3 5 2 3 2 2 5" xfId="23503" xr:uid="{A58EED25-B3C3-4A7D-8060-0B63E73E78CB}"/>
    <cellStyle name="Normal 10 3 5 2 3 2 3" xfId="23504" xr:uid="{C57EB539-E73C-48FC-ADCD-6D6698878F59}"/>
    <cellStyle name="Normal 10 3 5 2 3 2 3 2" xfId="23505" xr:uid="{96B7DD97-6461-401B-B8B1-36BEAF1FEC78}"/>
    <cellStyle name="Normal 10 3 5 2 3 2 3 2 2" xfId="23506" xr:uid="{0C0C2220-D417-46A8-9FC6-3BED3781B766}"/>
    <cellStyle name="Normal 10 3 5 2 3 2 3 2 2 2" xfId="23507" xr:uid="{8662070C-4887-4E53-971D-E677B668FDD5}"/>
    <cellStyle name="Normal 10 3 5 2 3 2 3 2 3" xfId="23508" xr:uid="{CC5F1B7C-2D64-4A88-AC3A-7D6FE3EC4B12}"/>
    <cellStyle name="Normal 10 3 5 2 3 2 3 3" xfId="23509" xr:uid="{72D37078-0135-4C42-9B1E-4D641393ACF8}"/>
    <cellStyle name="Normal 10 3 5 2 3 2 3 3 2" xfId="23510" xr:uid="{F4D6CECF-C2E6-4353-8B6C-D114CD4455FA}"/>
    <cellStyle name="Normal 10 3 5 2 3 2 3 4" xfId="23511" xr:uid="{203E6D57-3B35-4185-AC07-B552EDA3B139}"/>
    <cellStyle name="Normal 10 3 5 2 3 2 4" xfId="23512" xr:uid="{62E8AD03-511A-4E23-B1E4-1DDBBD4A4A4B}"/>
    <cellStyle name="Normal 10 3 5 2 3 2 4 2" xfId="23513" xr:uid="{4562401F-C588-42BA-9E34-24A066475CBD}"/>
    <cellStyle name="Normal 10 3 5 2 3 2 4 2 2" xfId="23514" xr:uid="{5A4D9D05-FF6C-4B78-B48F-986CCED6D5A6}"/>
    <cellStyle name="Normal 10 3 5 2 3 2 4 3" xfId="23515" xr:uid="{DE5AF22C-C329-4C4C-AFA3-8FD3159AA6F9}"/>
    <cellStyle name="Normal 10 3 5 2 3 2 5" xfId="23516" xr:uid="{7A2B5D1F-B070-40DB-9D58-E81C9FA7325C}"/>
    <cellStyle name="Normal 10 3 5 2 3 2 5 2" xfId="23517" xr:uid="{C20010A8-5C74-4B7B-9DFD-D050FFC65BAD}"/>
    <cellStyle name="Normal 10 3 5 2 3 2 6" xfId="23518" xr:uid="{68B65493-590A-4977-B54B-01623DE6B74B}"/>
    <cellStyle name="Normal 10 3 5 2 3 3" xfId="23519" xr:uid="{CB60F699-9BDC-401D-B590-911A101034DA}"/>
    <cellStyle name="Normal 10 3 5 2 3 3 2" xfId="23520" xr:uid="{CFEEB41C-1C01-48EA-8728-3E6D953FA931}"/>
    <cellStyle name="Normal 10 3 5 2 3 3 2 2" xfId="23521" xr:uid="{4510F1ED-027C-4E0D-B71F-8A250A8BB0F0}"/>
    <cellStyle name="Normal 10 3 5 2 3 3 2 2 2" xfId="23522" xr:uid="{B2B3D441-2243-4130-8E84-F1D1B2521ED8}"/>
    <cellStyle name="Normal 10 3 5 2 3 3 2 2 2 2" xfId="23523" xr:uid="{3A89D1AD-6D85-49CB-8915-3EA4454CC13E}"/>
    <cellStyle name="Normal 10 3 5 2 3 3 2 2 3" xfId="23524" xr:uid="{8E9DEB4A-EB79-4F0D-B596-8C61D8519F61}"/>
    <cellStyle name="Normal 10 3 5 2 3 3 2 3" xfId="23525" xr:uid="{1EBF195D-C99D-4371-A707-D6E8471A9AD1}"/>
    <cellStyle name="Normal 10 3 5 2 3 3 2 3 2" xfId="23526" xr:uid="{17F5C67D-3FFC-407B-9002-66790983123E}"/>
    <cellStyle name="Normal 10 3 5 2 3 3 2 4" xfId="23527" xr:uid="{6FA0499E-0BA9-48CA-B0EE-B55F777CADD2}"/>
    <cellStyle name="Normal 10 3 5 2 3 3 3" xfId="23528" xr:uid="{82466727-2A71-4A6F-9CBB-EF4111718463}"/>
    <cellStyle name="Normal 10 3 5 2 3 3 3 2" xfId="23529" xr:uid="{9325E474-3527-4CB3-BE60-2BCF44ED98E5}"/>
    <cellStyle name="Normal 10 3 5 2 3 3 3 2 2" xfId="23530" xr:uid="{0E349F0F-D7D4-41CE-99FE-CE6EF3CFB25E}"/>
    <cellStyle name="Normal 10 3 5 2 3 3 3 3" xfId="23531" xr:uid="{3740E0A5-E07D-4DEC-B6A6-C819A1D04D61}"/>
    <cellStyle name="Normal 10 3 5 2 3 3 4" xfId="23532" xr:uid="{A9DC0957-B0BA-4E5D-8976-EA1C43D74BB7}"/>
    <cellStyle name="Normal 10 3 5 2 3 3 4 2" xfId="23533" xr:uid="{F9A8786D-569A-484D-9DBB-09DE8699A04C}"/>
    <cellStyle name="Normal 10 3 5 2 3 3 5" xfId="23534" xr:uid="{54E8379C-F808-4E5A-96BC-B93DB5C5454E}"/>
    <cellStyle name="Normal 10 3 5 2 3 4" xfId="23535" xr:uid="{1D07D00A-3A29-413C-BC94-433B20F0F6C3}"/>
    <cellStyle name="Normal 10 3 5 2 3 4 2" xfId="23536" xr:uid="{018BEF96-CFAC-40D1-8221-7C416C953600}"/>
    <cellStyle name="Normal 10 3 5 2 3 4 2 2" xfId="23537" xr:uid="{757F301E-7434-4E79-AE53-EA2D3146CB20}"/>
    <cellStyle name="Normal 10 3 5 2 3 4 2 2 2" xfId="23538" xr:uid="{FEDCE2AE-016C-4AD7-B7F8-F39D127579D2}"/>
    <cellStyle name="Normal 10 3 5 2 3 4 2 3" xfId="23539" xr:uid="{F55533D1-2BA0-438D-B316-77142745B759}"/>
    <cellStyle name="Normal 10 3 5 2 3 4 3" xfId="23540" xr:uid="{0751FBB5-16D4-493E-9BB9-1262869EF9E8}"/>
    <cellStyle name="Normal 10 3 5 2 3 4 3 2" xfId="23541" xr:uid="{AC0C4E03-D729-4CD3-BAC9-89D527DCD31A}"/>
    <cellStyle name="Normal 10 3 5 2 3 4 4" xfId="23542" xr:uid="{9A5708C6-4F73-4EB2-AEE8-DA7576EFEEB1}"/>
    <cellStyle name="Normal 10 3 5 2 3 5" xfId="23543" xr:uid="{62203633-CB00-4C1D-B5BA-5F68BE26E864}"/>
    <cellStyle name="Normal 10 3 5 2 3 5 2" xfId="23544" xr:uid="{EA9E7D84-E4C2-434D-ACA4-AB1F1C8C015C}"/>
    <cellStyle name="Normal 10 3 5 2 3 5 2 2" xfId="23545" xr:uid="{5784D0F7-D8AB-49DF-8430-30CA5D4E4A60}"/>
    <cellStyle name="Normal 10 3 5 2 3 5 3" xfId="23546" xr:uid="{7E6D2407-1296-4CAF-8064-5FD88C42A661}"/>
    <cellStyle name="Normal 10 3 5 2 3 6" xfId="23547" xr:uid="{0B63CA6F-E32B-42E0-9865-41ED1024DBA2}"/>
    <cellStyle name="Normal 10 3 5 2 3 6 2" xfId="23548" xr:uid="{DE52E300-4A8E-48FF-91EE-5F1E40E0B3E3}"/>
    <cellStyle name="Normal 10 3 5 2 3 7" xfId="23549" xr:uid="{2BDF4BE5-A5D0-4469-BE0B-2C3C8E75A964}"/>
    <cellStyle name="Normal 10 3 5 2 4" xfId="23550" xr:uid="{EAE18332-EA93-483B-887C-F8468C279E3F}"/>
    <cellStyle name="Normal 10 3 5 2 4 2" xfId="23551" xr:uid="{AE942079-388C-41F7-9491-324163DA12FE}"/>
    <cellStyle name="Normal 10 3 5 2 4 2 2" xfId="23552" xr:uid="{889D46CA-5C27-4B30-82FA-49DFF2AAF8C5}"/>
    <cellStyle name="Normal 10 3 5 2 4 2 2 2" xfId="23553" xr:uid="{23E0640C-6DB7-4684-A6A1-EEF61BC001E1}"/>
    <cellStyle name="Normal 10 3 5 2 4 2 2 2 2" xfId="23554" xr:uid="{2F97F5F8-872D-48D1-8A9D-6DF7992BEB54}"/>
    <cellStyle name="Normal 10 3 5 2 4 2 2 2 2 2" xfId="23555" xr:uid="{341F43E1-B2D3-4FC9-B8BE-B475B231B9A3}"/>
    <cellStyle name="Normal 10 3 5 2 4 2 2 2 3" xfId="23556" xr:uid="{2F09D315-4DB2-4178-9997-E5519D9F595D}"/>
    <cellStyle name="Normal 10 3 5 2 4 2 2 3" xfId="23557" xr:uid="{93300E06-22A6-42D9-86F3-3F1873E4A008}"/>
    <cellStyle name="Normal 10 3 5 2 4 2 2 3 2" xfId="23558" xr:uid="{F0A4A6C8-9CBF-4B34-ABBF-4D8483046EE4}"/>
    <cellStyle name="Normal 10 3 5 2 4 2 2 4" xfId="23559" xr:uid="{B614BB02-5954-4D22-9212-1297B47D64CC}"/>
    <cellStyle name="Normal 10 3 5 2 4 2 3" xfId="23560" xr:uid="{4E0B9015-356A-442B-B99F-83D43321312E}"/>
    <cellStyle name="Normal 10 3 5 2 4 2 3 2" xfId="23561" xr:uid="{485F6697-6A64-4D7F-A4EE-5D5A22B44CC4}"/>
    <cellStyle name="Normal 10 3 5 2 4 2 3 2 2" xfId="23562" xr:uid="{6BC0E553-DA7B-48F8-BBEF-121207442E3C}"/>
    <cellStyle name="Normal 10 3 5 2 4 2 3 3" xfId="23563" xr:uid="{17687619-644C-44F2-A06E-180C2A19930C}"/>
    <cellStyle name="Normal 10 3 5 2 4 2 4" xfId="23564" xr:uid="{BB35B836-3AA9-4322-B5CB-ED702B7787D8}"/>
    <cellStyle name="Normal 10 3 5 2 4 2 4 2" xfId="23565" xr:uid="{2B3E34E7-4F4C-4F57-8FD2-7CCA40C78203}"/>
    <cellStyle name="Normal 10 3 5 2 4 2 5" xfId="23566" xr:uid="{398250D0-D257-4EF1-B06C-362EB8B24ABF}"/>
    <cellStyle name="Normal 10 3 5 2 4 3" xfId="23567" xr:uid="{13A941C5-ED79-4195-808D-B664E0F911B7}"/>
    <cellStyle name="Normal 10 3 5 2 4 3 2" xfId="23568" xr:uid="{7F84CFAA-94FB-4525-9ED4-319F0EBEB3F4}"/>
    <cellStyle name="Normal 10 3 5 2 4 3 2 2" xfId="23569" xr:uid="{F3BFD0BD-B40D-4481-B653-3F716380B96E}"/>
    <cellStyle name="Normal 10 3 5 2 4 3 2 2 2" xfId="23570" xr:uid="{96DE5FCD-103B-44C1-8749-AC1A3E6C4903}"/>
    <cellStyle name="Normal 10 3 5 2 4 3 2 3" xfId="23571" xr:uid="{054781BB-DD90-4CF8-A12E-FC72C1AF658F}"/>
    <cellStyle name="Normal 10 3 5 2 4 3 3" xfId="23572" xr:uid="{8B9F1674-4F67-4811-96F3-33ACB9F19B54}"/>
    <cellStyle name="Normal 10 3 5 2 4 3 3 2" xfId="23573" xr:uid="{CAFAC7AA-7CD4-4018-ACBD-53982DC09E1B}"/>
    <cellStyle name="Normal 10 3 5 2 4 3 4" xfId="23574" xr:uid="{67CF4B02-6CC2-470D-8992-D33C8698F2AD}"/>
    <cellStyle name="Normal 10 3 5 2 4 4" xfId="23575" xr:uid="{A18CF063-8A2D-4243-8840-424DFC503A05}"/>
    <cellStyle name="Normal 10 3 5 2 4 4 2" xfId="23576" xr:uid="{852EFFD2-258F-4D00-84EB-83EE6A73C9C0}"/>
    <cellStyle name="Normal 10 3 5 2 4 4 2 2" xfId="23577" xr:uid="{34F27536-C3E6-4D38-AE0B-B25FFE5C2109}"/>
    <cellStyle name="Normal 10 3 5 2 4 4 3" xfId="23578" xr:uid="{7129AB89-1077-402A-84F0-0DDFD3C30B19}"/>
    <cellStyle name="Normal 10 3 5 2 4 5" xfId="23579" xr:uid="{9DBCE08F-CA3E-4785-8737-6EE8D8EAF2CA}"/>
    <cellStyle name="Normal 10 3 5 2 4 5 2" xfId="23580" xr:uid="{A7F70B23-0915-430F-8249-FB1E738C2F05}"/>
    <cellStyle name="Normal 10 3 5 2 4 6" xfId="23581" xr:uid="{7AB3F7E9-43A8-416C-8C67-E2C6FDB1F345}"/>
    <cellStyle name="Normal 10 3 5 2 5" xfId="23582" xr:uid="{5390904C-1B7A-45AC-8E7C-B7F334F37EC6}"/>
    <cellStyle name="Normal 10 3 5 2 5 2" xfId="23583" xr:uid="{60E0A81F-F940-4B05-B0FF-9CB34B333B94}"/>
    <cellStyle name="Normal 10 3 5 2 5 2 2" xfId="23584" xr:uid="{3AA5215E-2C07-4178-8154-E5AEDCAC1040}"/>
    <cellStyle name="Normal 10 3 5 2 5 2 2 2" xfId="23585" xr:uid="{F616578F-9218-403F-8BC7-90A3F1CCB982}"/>
    <cellStyle name="Normal 10 3 5 2 5 2 2 2 2" xfId="23586" xr:uid="{CEF38D7C-A9ED-426C-B905-C4050F1C27CB}"/>
    <cellStyle name="Normal 10 3 5 2 5 2 2 3" xfId="23587" xr:uid="{EDBBE800-3961-4A42-8440-2A595F677DF1}"/>
    <cellStyle name="Normal 10 3 5 2 5 2 3" xfId="23588" xr:uid="{64B5C5E6-E333-42EE-B836-6E0081183F97}"/>
    <cellStyle name="Normal 10 3 5 2 5 2 3 2" xfId="23589" xr:uid="{33777636-7DD8-45B8-B803-CF926C36FD1A}"/>
    <cellStyle name="Normal 10 3 5 2 5 2 4" xfId="23590" xr:uid="{5BF58388-2788-408C-AF29-6022700CFCF0}"/>
    <cellStyle name="Normal 10 3 5 2 5 3" xfId="23591" xr:uid="{F5071F8C-1F43-4912-81A5-833F27431006}"/>
    <cellStyle name="Normal 10 3 5 2 5 3 2" xfId="23592" xr:uid="{7F13F91F-A890-409E-AF57-276C2A2DD416}"/>
    <cellStyle name="Normal 10 3 5 2 5 3 2 2" xfId="23593" xr:uid="{70D0ACB2-1984-4316-BA79-E2461811C1F8}"/>
    <cellStyle name="Normal 10 3 5 2 5 3 3" xfId="23594" xr:uid="{B7F00065-A412-4D4A-9D89-EFC6A9A21AE4}"/>
    <cellStyle name="Normal 10 3 5 2 5 4" xfId="23595" xr:uid="{5E37ACFB-9EFA-4E44-A623-906B8AD98274}"/>
    <cellStyle name="Normal 10 3 5 2 5 4 2" xfId="23596" xr:uid="{97ED1773-2D38-4EE3-89A6-BC3DF557574E}"/>
    <cellStyle name="Normal 10 3 5 2 5 5" xfId="23597" xr:uid="{F19204AD-7070-449D-8572-DFFF60809361}"/>
    <cellStyle name="Normal 10 3 5 2 6" xfId="23598" xr:uid="{1396B75D-5B8E-436D-A607-0C87CE02FB58}"/>
    <cellStyle name="Normal 10 3 5 2 6 2" xfId="23599" xr:uid="{E6AD9534-BF90-42AB-86ED-FFB05ED7D2C0}"/>
    <cellStyle name="Normal 10 3 5 2 6 2 2" xfId="23600" xr:uid="{A09D8152-69B0-4132-B086-78DB405C03E0}"/>
    <cellStyle name="Normal 10 3 5 2 6 2 2 2" xfId="23601" xr:uid="{C9A3C2DB-77EB-462B-A2F4-E1A999F2CA39}"/>
    <cellStyle name="Normal 10 3 5 2 6 2 3" xfId="23602" xr:uid="{A0207A7B-4C46-49EA-BBD7-4D8C3F6E08FE}"/>
    <cellStyle name="Normal 10 3 5 2 6 3" xfId="23603" xr:uid="{0437DDA9-BC8D-47CC-BE14-65C97AA6996D}"/>
    <cellStyle name="Normal 10 3 5 2 6 3 2" xfId="23604" xr:uid="{1323EFDD-D2BD-41FF-96EE-0E3801A83597}"/>
    <cellStyle name="Normal 10 3 5 2 6 4" xfId="23605" xr:uid="{07DBDD27-D4FF-4C33-8F2B-8314D6DEA9A8}"/>
    <cellStyle name="Normal 10 3 5 2 7" xfId="23606" xr:uid="{53883041-B0C5-49B1-929D-8C314A8BD226}"/>
    <cellStyle name="Normal 10 3 5 2 7 2" xfId="23607" xr:uid="{D24FF23B-038C-428E-B6C0-3B79057BFD2D}"/>
    <cellStyle name="Normal 10 3 5 2 7 2 2" xfId="23608" xr:uid="{0819EEC3-4DA8-4BE2-AD64-5E5E7E482A87}"/>
    <cellStyle name="Normal 10 3 5 2 7 3" xfId="23609" xr:uid="{BE3E55CC-544F-4437-B227-766DB45CBA8F}"/>
    <cellStyle name="Normal 10 3 5 2 8" xfId="23610" xr:uid="{8B898A07-64E8-4147-8162-C03CD4D5C391}"/>
    <cellStyle name="Normal 10 3 5 2 8 2" xfId="23611" xr:uid="{B03AA561-D8E1-4AF0-AEF1-571252826A98}"/>
    <cellStyle name="Normal 10 3 5 2 9" xfId="23612" xr:uid="{923EEFC8-F4F7-4819-8C77-F15A60C02921}"/>
    <cellStyle name="Normal 10 3 5 3" xfId="454" xr:uid="{7774989C-CD3B-490D-B76A-E84AC8F8F482}"/>
    <cellStyle name="Normal 10 3 5 3 2" xfId="23614" xr:uid="{1BA4AAF2-4CFF-4CB1-A556-CAA842B204C3}"/>
    <cellStyle name="Normal 10 3 5 3 2 2" xfId="23615" xr:uid="{040CF404-B7B2-4BFC-8432-A13029F78FCA}"/>
    <cellStyle name="Normal 10 3 5 3 2 2 2" xfId="23616" xr:uid="{62A106DE-1B9E-417A-B9FF-0A95E39B2261}"/>
    <cellStyle name="Normal 10 3 5 3 2 2 2 2" xfId="23617" xr:uid="{643F2AB5-0F8D-4B7C-A178-53929AC4C678}"/>
    <cellStyle name="Normal 10 3 5 3 2 2 2 2 2" xfId="23618" xr:uid="{320E2929-7D7D-40AE-A871-E8933C0BD9EF}"/>
    <cellStyle name="Normal 10 3 5 3 2 2 2 2 2 2" xfId="23619" xr:uid="{BBF2CF1A-0389-4F1F-BCAF-AB5368A1766F}"/>
    <cellStyle name="Normal 10 3 5 3 2 2 2 2 2 2 2" xfId="23620" xr:uid="{E95F3AB2-8CE5-4238-B3A9-7E167C28FA4F}"/>
    <cellStyle name="Normal 10 3 5 3 2 2 2 2 2 3" xfId="23621" xr:uid="{923D9A0C-EBDD-4AA0-9ECC-3188AF0058B0}"/>
    <cellStyle name="Normal 10 3 5 3 2 2 2 2 3" xfId="23622" xr:uid="{4611EED5-67CE-4274-85E5-D288E8E9FA44}"/>
    <cellStyle name="Normal 10 3 5 3 2 2 2 2 3 2" xfId="23623" xr:uid="{53A414CF-F7DE-4930-A663-1BC0FD81A69A}"/>
    <cellStyle name="Normal 10 3 5 3 2 2 2 2 4" xfId="23624" xr:uid="{1BC0226B-540C-4C07-BCF3-76FDCF3DA311}"/>
    <cellStyle name="Normal 10 3 5 3 2 2 2 3" xfId="23625" xr:uid="{F5FA4B81-DC6D-44DE-B92B-CC2683D75979}"/>
    <cellStyle name="Normal 10 3 5 3 2 2 2 3 2" xfId="23626" xr:uid="{2DC00656-E446-489C-885C-F802C66DDDF2}"/>
    <cellStyle name="Normal 10 3 5 3 2 2 2 3 2 2" xfId="23627" xr:uid="{EC35599C-1B47-4516-9365-5415DC73D291}"/>
    <cellStyle name="Normal 10 3 5 3 2 2 2 3 3" xfId="23628" xr:uid="{E12F3396-6A8A-44AF-A6C1-32B4661B24E3}"/>
    <cellStyle name="Normal 10 3 5 3 2 2 2 4" xfId="23629" xr:uid="{7C5D39B6-1273-4125-8700-0E7B27CF8FDA}"/>
    <cellStyle name="Normal 10 3 5 3 2 2 2 4 2" xfId="23630" xr:uid="{3B95DC32-F249-4FFD-84CE-F40A71D313AB}"/>
    <cellStyle name="Normal 10 3 5 3 2 2 2 5" xfId="23631" xr:uid="{596CA7A0-E55B-40D2-A054-00D4641EBE9D}"/>
    <cellStyle name="Normal 10 3 5 3 2 2 3" xfId="23632" xr:uid="{E2BC9483-340F-4AD1-B3FF-0F841D28103E}"/>
    <cellStyle name="Normal 10 3 5 3 2 2 3 2" xfId="23633" xr:uid="{998AA325-5CF6-4325-9721-042E83432A5B}"/>
    <cellStyle name="Normal 10 3 5 3 2 2 3 2 2" xfId="23634" xr:uid="{4E59B64E-66C5-4356-BC02-46D46EB41052}"/>
    <cellStyle name="Normal 10 3 5 3 2 2 3 2 2 2" xfId="23635" xr:uid="{8F8D21E6-38DA-4DDF-9040-763D267F7664}"/>
    <cellStyle name="Normal 10 3 5 3 2 2 3 2 3" xfId="23636" xr:uid="{0A4DD4DD-B7CF-4984-9977-CB9AC336B2DB}"/>
    <cellStyle name="Normal 10 3 5 3 2 2 3 3" xfId="23637" xr:uid="{FA82EF1F-1A45-408E-BCC7-B9F35E449DB2}"/>
    <cellStyle name="Normal 10 3 5 3 2 2 3 3 2" xfId="23638" xr:uid="{8961E050-1BE6-4E0F-A329-969F8C7B4BB7}"/>
    <cellStyle name="Normal 10 3 5 3 2 2 3 4" xfId="23639" xr:uid="{5140F6FB-540F-4897-AE9B-A86C0EE98C03}"/>
    <cellStyle name="Normal 10 3 5 3 2 2 4" xfId="23640" xr:uid="{78F00D6D-0445-42AB-AA86-67882E2EFE05}"/>
    <cellStyle name="Normal 10 3 5 3 2 2 4 2" xfId="23641" xr:uid="{37B11617-424A-4A56-BA3B-4C30D3BD7255}"/>
    <cellStyle name="Normal 10 3 5 3 2 2 4 2 2" xfId="23642" xr:uid="{21F15EF8-2808-4D0D-9C20-B51DC4F89B7F}"/>
    <cellStyle name="Normal 10 3 5 3 2 2 4 3" xfId="23643" xr:uid="{B69703F4-859C-40CF-AB1F-8AAEB37CC76E}"/>
    <cellStyle name="Normal 10 3 5 3 2 2 5" xfId="23644" xr:uid="{59F95CCF-ACC2-4F65-A170-812F079DED17}"/>
    <cellStyle name="Normal 10 3 5 3 2 2 5 2" xfId="23645" xr:uid="{CC105A5E-7CED-4EF4-9900-900B2A09AA8F}"/>
    <cellStyle name="Normal 10 3 5 3 2 2 6" xfId="23646" xr:uid="{3335E9CD-FCED-436A-A4CF-3764CD23C2E8}"/>
    <cellStyle name="Normal 10 3 5 3 2 3" xfId="23647" xr:uid="{660BC1D2-FBED-4E90-8000-7EF2E4C42A30}"/>
    <cellStyle name="Normal 10 3 5 3 2 3 2" xfId="23648" xr:uid="{DA471B4C-8EC7-4E8E-AF30-3427FECFC381}"/>
    <cellStyle name="Normal 10 3 5 3 2 3 2 2" xfId="23649" xr:uid="{49ED41C5-432F-4D6E-B6B8-1635FA0BB2C0}"/>
    <cellStyle name="Normal 10 3 5 3 2 3 2 2 2" xfId="23650" xr:uid="{9EB2D96B-09DE-4FC7-AC8D-03E745908C6F}"/>
    <cellStyle name="Normal 10 3 5 3 2 3 2 2 2 2" xfId="23651" xr:uid="{E6A5A797-0215-4A1E-8439-B4EF3F2C82CC}"/>
    <cellStyle name="Normal 10 3 5 3 2 3 2 2 3" xfId="23652" xr:uid="{164210D8-83AC-49B2-88D3-75CCCBF6ABFF}"/>
    <cellStyle name="Normal 10 3 5 3 2 3 2 3" xfId="23653" xr:uid="{18CAA580-8A48-487F-B2AD-E8F4F4B68EA1}"/>
    <cellStyle name="Normal 10 3 5 3 2 3 2 3 2" xfId="23654" xr:uid="{14936472-1BA1-4FAB-896B-D39C02B0719E}"/>
    <cellStyle name="Normal 10 3 5 3 2 3 2 4" xfId="23655" xr:uid="{4A8FC38C-0A33-4348-AB53-6F362394C962}"/>
    <cellStyle name="Normal 10 3 5 3 2 3 3" xfId="23656" xr:uid="{3F45A60E-15B9-4972-8C6B-1C7C2DC3A7ED}"/>
    <cellStyle name="Normal 10 3 5 3 2 3 3 2" xfId="23657" xr:uid="{944A0164-8992-40BE-8D46-828F839F596C}"/>
    <cellStyle name="Normal 10 3 5 3 2 3 3 2 2" xfId="23658" xr:uid="{67F0D25C-5736-4D86-B0BE-7E6ADCA9DB0A}"/>
    <cellStyle name="Normal 10 3 5 3 2 3 3 3" xfId="23659" xr:uid="{A239118C-C62C-4382-BDD0-F6B83062375E}"/>
    <cellStyle name="Normal 10 3 5 3 2 3 4" xfId="23660" xr:uid="{CF504806-B122-4EE2-A27A-F7E5A8B488D1}"/>
    <cellStyle name="Normal 10 3 5 3 2 3 4 2" xfId="23661" xr:uid="{1928DC14-A99E-42F2-8E1E-A71316E330B4}"/>
    <cellStyle name="Normal 10 3 5 3 2 3 5" xfId="23662" xr:uid="{B1565C74-CC39-4B46-A511-B5B242DAC65A}"/>
    <cellStyle name="Normal 10 3 5 3 2 4" xfId="23663" xr:uid="{2B0DFF9A-9708-4F31-A4A8-388FF41DB29F}"/>
    <cellStyle name="Normal 10 3 5 3 2 4 2" xfId="23664" xr:uid="{DDA6D881-3C79-4993-93CA-7389E62C2C4F}"/>
    <cellStyle name="Normal 10 3 5 3 2 4 2 2" xfId="23665" xr:uid="{65A1E155-0DAE-4721-BD52-ACE52BFC2128}"/>
    <cellStyle name="Normal 10 3 5 3 2 4 2 2 2" xfId="23666" xr:uid="{ED7DB07B-794B-4D2B-83F0-608F70DA926F}"/>
    <cellStyle name="Normal 10 3 5 3 2 4 2 3" xfId="23667" xr:uid="{968FD3DA-2164-482F-BA6D-D55BE45E2313}"/>
    <cellStyle name="Normal 10 3 5 3 2 4 3" xfId="23668" xr:uid="{BAE9BBA3-5158-4E42-BC87-4ABA3E89FDA0}"/>
    <cellStyle name="Normal 10 3 5 3 2 4 3 2" xfId="23669" xr:uid="{AD225E04-BA22-46F9-894E-CD752E7A4C10}"/>
    <cellStyle name="Normal 10 3 5 3 2 4 4" xfId="23670" xr:uid="{977EA84E-1DF7-4BD1-A770-D39F5C313CDB}"/>
    <cellStyle name="Normal 10 3 5 3 2 5" xfId="23671" xr:uid="{B74FBC79-6766-4CC7-AB8B-F3037A316399}"/>
    <cellStyle name="Normal 10 3 5 3 2 5 2" xfId="23672" xr:uid="{F13A013B-5CB8-4803-B0E9-D44721CEB64A}"/>
    <cellStyle name="Normal 10 3 5 3 2 5 2 2" xfId="23673" xr:uid="{CA051BB0-3592-4A8B-8B0D-A12AEAF58FB2}"/>
    <cellStyle name="Normal 10 3 5 3 2 5 3" xfId="23674" xr:uid="{ABD64581-1DAA-4FBC-A461-022AF62561FA}"/>
    <cellStyle name="Normal 10 3 5 3 2 6" xfId="23675" xr:uid="{8808AF15-8BAC-49BF-8C4F-A3B235DAB44B}"/>
    <cellStyle name="Normal 10 3 5 3 2 6 2" xfId="23676" xr:uid="{BF37CE05-0393-4B3A-B563-1C521E92EFAE}"/>
    <cellStyle name="Normal 10 3 5 3 2 7" xfId="23677" xr:uid="{8B0B2C38-DABE-4DD6-94B7-9FFF502187E0}"/>
    <cellStyle name="Normal 10 3 5 3 3" xfId="23678" xr:uid="{0910D8D4-49AF-4810-B64F-913322918224}"/>
    <cellStyle name="Normal 10 3 5 3 3 2" xfId="23679" xr:uid="{D70A359F-C7E5-4CB5-B589-D031CBBFCF77}"/>
    <cellStyle name="Normal 10 3 5 3 3 2 2" xfId="23680" xr:uid="{B828213D-B9FD-4A7A-AFE9-CACEA786F63B}"/>
    <cellStyle name="Normal 10 3 5 3 3 2 2 2" xfId="23681" xr:uid="{A73F7A36-A76B-434E-AB0B-FE5E21F5AAB7}"/>
    <cellStyle name="Normal 10 3 5 3 3 2 2 2 2" xfId="23682" xr:uid="{8DFDA88E-C693-4982-B568-53851984A531}"/>
    <cellStyle name="Normal 10 3 5 3 3 2 2 2 2 2" xfId="23683" xr:uid="{3281E5A8-7269-44D7-A3E9-DDC98C8C378A}"/>
    <cellStyle name="Normal 10 3 5 3 3 2 2 2 3" xfId="23684" xr:uid="{BD210614-A94D-42F0-9DD0-503430B5A892}"/>
    <cellStyle name="Normal 10 3 5 3 3 2 2 3" xfId="23685" xr:uid="{E6EF74E8-2C3C-4284-8C8E-06F4B4E30527}"/>
    <cellStyle name="Normal 10 3 5 3 3 2 2 3 2" xfId="23686" xr:uid="{47F5729E-D4E6-40F6-89D7-BC59D12E94F4}"/>
    <cellStyle name="Normal 10 3 5 3 3 2 2 4" xfId="23687" xr:uid="{39FF92BF-FB81-4D8A-B670-D480E2DF9636}"/>
    <cellStyle name="Normal 10 3 5 3 3 2 3" xfId="23688" xr:uid="{6FFE47B2-5DC3-4C82-A5F0-5CBFA6EE25E5}"/>
    <cellStyle name="Normal 10 3 5 3 3 2 3 2" xfId="23689" xr:uid="{9F1A66DB-C25A-40A0-9909-55532DCB3C08}"/>
    <cellStyle name="Normal 10 3 5 3 3 2 3 2 2" xfId="23690" xr:uid="{E78FB6C3-4469-4F1B-872C-49377316763C}"/>
    <cellStyle name="Normal 10 3 5 3 3 2 3 3" xfId="23691" xr:uid="{6A5E510E-E02A-44D1-AA6D-BAEE786DBAAA}"/>
    <cellStyle name="Normal 10 3 5 3 3 2 4" xfId="23692" xr:uid="{E825C04F-7DCD-40D3-98A0-B166374C3E90}"/>
    <cellStyle name="Normal 10 3 5 3 3 2 4 2" xfId="23693" xr:uid="{918EA0A1-A7C2-4D50-9C1C-F7275092FC8E}"/>
    <cellStyle name="Normal 10 3 5 3 3 2 5" xfId="23694" xr:uid="{18F35651-E321-4459-B4E4-0BBF7F29D103}"/>
    <cellStyle name="Normal 10 3 5 3 3 3" xfId="23695" xr:uid="{7FB08901-5F19-442F-99B0-7659FFFCFCAA}"/>
    <cellStyle name="Normal 10 3 5 3 3 3 2" xfId="23696" xr:uid="{3164BE6E-D101-4AE1-B295-69B25097B84F}"/>
    <cellStyle name="Normal 10 3 5 3 3 3 2 2" xfId="23697" xr:uid="{801DDC9C-9477-4E17-A60D-5BE4F4D126CE}"/>
    <cellStyle name="Normal 10 3 5 3 3 3 2 2 2" xfId="23698" xr:uid="{FF68C34A-74FA-45E4-BD2C-7B084FA36C0C}"/>
    <cellStyle name="Normal 10 3 5 3 3 3 2 3" xfId="23699" xr:uid="{9E2BA63B-F12D-4639-9E3C-380627BAE0E7}"/>
    <cellStyle name="Normal 10 3 5 3 3 3 3" xfId="23700" xr:uid="{8AADF2C1-BC8D-4C2C-82C5-9EA14B586DA8}"/>
    <cellStyle name="Normal 10 3 5 3 3 3 3 2" xfId="23701" xr:uid="{6C26D3BC-9D30-40FC-BCE0-030AC4F7BB96}"/>
    <cellStyle name="Normal 10 3 5 3 3 3 4" xfId="23702" xr:uid="{D66268E0-7D7F-4BF1-BD79-4BC44DEB7C82}"/>
    <cellStyle name="Normal 10 3 5 3 3 4" xfId="23703" xr:uid="{D1D95114-B61E-445A-B330-2A63F04454D0}"/>
    <cellStyle name="Normal 10 3 5 3 3 4 2" xfId="23704" xr:uid="{583D5092-A59B-48CF-8A21-81B546648207}"/>
    <cellStyle name="Normal 10 3 5 3 3 4 2 2" xfId="23705" xr:uid="{983217CF-797A-436E-ACB4-563B145C2A0C}"/>
    <cellStyle name="Normal 10 3 5 3 3 4 3" xfId="23706" xr:uid="{F1E96C57-9595-4EDC-AF94-55AE713A1BFB}"/>
    <cellStyle name="Normal 10 3 5 3 3 5" xfId="23707" xr:uid="{7A9D537F-3059-4A06-AFF4-9A8285C2BFE6}"/>
    <cellStyle name="Normal 10 3 5 3 3 5 2" xfId="23708" xr:uid="{578C6855-3F9C-40D1-8ACC-4C304BD5B640}"/>
    <cellStyle name="Normal 10 3 5 3 3 6" xfId="23709" xr:uid="{DF1AC3C2-3EFF-4E0D-9A58-035CF8BB9D3D}"/>
    <cellStyle name="Normal 10 3 5 3 4" xfId="23710" xr:uid="{413BA3F5-DB73-4FF3-B0A5-589FB36A61C8}"/>
    <cellStyle name="Normal 10 3 5 3 4 2" xfId="23711" xr:uid="{4571539B-CE51-4840-9AA7-88FEC1505E09}"/>
    <cellStyle name="Normal 10 3 5 3 4 2 2" xfId="23712" xr:uid="{8F0A9276-92A7-49AD-856F-C7A2B0F0BDFB}"/>
    <cellStyle name="Normal 10 3 5 3 4 2 2 2" xfId="23713" xr:uid="{1FF7B25B-5615-4681-A77B-C80F0A7FA7BE}"/>
    <cellStyle name="Normal 10 3 5 3 4 2 2 2 2" xfId="23714" xr:uid="{37096821-C8F7-4015-938E-3DC27172EDA0}"/>
    <cellStyle name="Normal 10 3 5 3 4 2 2 3" xfId="23715" xr:uid="{C45D8F7E-15C0-49A8-AEBA-B2E1DFF6EC8B}"/>
    <cellStyle name="Normal 10 3 5 3 4 2 3" xfId="23716" xr:uid="{DAC5022B-C2D3-45C4-B2E7-503B16F2B594}"/>
    <cellStyle name="Normal 10 3 5 3 4 2 3 2" xfId="23717" xr:uid="{478B6269-89E4-4076-9314-FF13143CEACE}"/>
    <cellStyle name="Normal 10 3 5 3 4 2 4" xfId="23718" xr:uid="{17BE4C0D-DD5E-4066-ABD4-60FF4C83BD73}"/>
    <cellStyle name="Normal 10 3 5 3 4 3" xfId="23719" xr:uid="{E7E0FA8E-0891-4D18-9911-5C1AF41E09A0}"/>
    <cellStyle name="Normal 10 3 5 3 4 3 2" xfId="23720" xr:uid="{F9C60914-FF24-4B60-8168-F3B9A79AF020}"/>
    <cellStyle name="Normal 10 3 5 3 4 3 2 2" xfId="23721" xr:uid="{EB2426CF-5165-4781-97A1-DACCEC00A54F}"/>
    <cellStyle name="Normal 10 3 5 3 4 3 3" xfId="23722" xr:uid="{3410944B-E9BB-47F2-87C7-65444934FCDD}"/>
    <cellStyle name="Normal 10 3 5 3 4 4" xfId="23723" xr:uid="{D1D8C46F-A051-4E7A-B939-88AC50A6EABF}"/>
    <cellStyle name="Normal 10 3 5 3 4 4 2" xfId="23724" xr:uid="{C4CE9415-4DDB-4238-B120-FA647D62EB2D}"/>
    <cellStyle name="Normal 10 3 5 3 4 5" xfId="23725" xr:uid="{F59E2D61-3E4E-426B-9C08-A386B0AAECA8}"/>
    <cellStyle name="Normal 10 3 5 3 5" xfId="23726" xr:uid="{5B60CC88-68A4-444E-8F6D-46C819010764}"/>
    <cellStyle name="Normal 10 3 5 3 5 2" xfId="23727" xr:uid="{DC338B8E-ACE3-4601-8E45-8407CC24E11C}"/>
    <cellStyle name="Normal 10 3 5 3 5 2 2" xfId="23728" xr:uid="{9230FBF9-E96C-4374-BA9E-95310C02FB54}"/>
    <cellStyle name="Normal 10 3 5 3 5 2 2 2" xfId="23729" xr:uid="{6AD7D5C1-DBE2-4B9D-A549-B68D6A705D7D}"/>
    <cellStyle name="Normal 10 3 5 3 5 2 3" xfId="23730" xr:uid="{546C96C8-ADDE-4BB4-96DD-4FCB64B199F7}"/>
    <cellStyle name="Normal 10 3 5 3 5 3" xfId="23731" xr:uid="{A5492586-C9F5-45C2-9C3B-B6E1A7743B3E}"/>
    <cellStyle name="Normal 10 3 5 3 5 3 2" xfId="23732" xr:uid="{170B13A2-4C5C-434D-8A25-15A51514A305}"/>
    <cellStyle name="Normal 10 3 5 3 5 4" xfId="23733" xr:uid="{E9247476-DB91-4D9E-BB96-79A32BDAFE09}"/>
    <cellStyle name="Normal 10 3 5 3 6" xfId="23734" xr:uid="{35F23089-6F0D-48FF-A423-B78197D240E7}"/>
    <cellStyle name="Normal 10 3 5 3 6 2" xfId="23735" xr:uid="{768E8C8F-55E4-4B71-A059-ADA1110640A1}"/>
    <cellStyle name="Normal 10 3 5 3 6 2 2" xfId="23736" xr:uid="{5DFAD276-6B21-4EDB-BEFA-CEA3D02DC4D0}"/>
    <cellStyle name="Normal 10 3 5 3 6 3" xfId="23737" xr:uid="{DE16A331-96CA-49D9-BB23-6DF735E46DCD}"/>
    <cellStyle name="Normal 10 3 5 3 7" xfId="23738" xr:uid="{3575204C-738C-449C-829C-E201B9F91638}"/>
    <cellStyle name="Normal 10 3 5 3 7 2" xfId="23739" xr:uid="{63A3FCE2-FB6C-495A-8E74-D4B37EB6ACCC}"/>
    <cellStyle name="Normal 10 3 5 3 8" xfId="23740" xr:uid="{9F718368-2981-460F-A24B-E6D918904424}"/>
    <cellStyle name="Normal 10 3 5 3 9" xfId="23613" xr:uid="{F38D42C2-3B7B-4289-9D9B-1139A85CCDB0}"/>
    <cellStyle name="Normal 10 3 5 4" xfId="23741" xr:uid="{46EE077E-80DA-42F4-A9A7-4401DAB6F0A3}"/>
    <cellStyle name="Normal 10 3 5 4 2" xfId="23742" xr:uid="{C02E08A2-8249-4233-812A-4D3FC2AC614D}"/>
    <cellStyle name="Normal 10 3 5 4 2 2" xfId="23743" xr:uid="{A11576A9-5DFB-41B1-9383-F8D85FCDF734}"/>
    <cellStyle name="Normal 10 3 5 4 2 2 2" xfId="23744" xr:uid="{149CB541-4622-4C4F-A06B-48489647EABE}"/>
    <cellStyle name="Normal 10 3 5 4 2 2 2 2" xfId="23745" xr:uid="{6F548242-19F0-4CE5-9D75-B4081A003355}"/>
    <cellStyle name="Normal 10 3 5 4 2 2 2 2 2" xfId="23746" xr:uid="{66494C37-7C10-42C9-9D58-06E11C6BB335}"/>
    <cellStyle name="Normal 10 3 5 4 2 2 2 2 2 2" xfId="23747" xr:uid="{7A8A8C6F-5472-4606-9F2A-118399BDFB31}"/>
    <cellStyle name="Normal 10 3 5 4 2 2 2 2 3" xfId="23748" xr:uid="{5C36625B-0EEF-42E2-9BF3-B23189D53D6C}"/>
    <cellStyle name="Normal 10 3 5 4 2 2 2 3" xfId="23749" xr:uid="{334FACF0-DEC4-42C9-988D-CA94391A3DE5}"/>
    <cellStyle name="Normal 10 3 5 4 2 2 2 3 2" xfId="23750" xr:uid="{5F8231D7-E8B2-4CA8-B797-28ADF3310535}"/>
    <cellStyle name="Normal 10 3 5 4 2 2 2 4" xfId="23751" xr:uid="{815E9DF4-46A5-4021-8F8D-1FEC99C6C091}"/>
    <cellStyle name="Normal 10 3 5 4 2 2 3" xfId="23752" xr:uid="{9D8D26B4-D655-42E2-BDDC-18D205E2FFBE}"/>
    <cellStyle name="Normal 10 3 5 4 2 2 3 2" xfId="23753" xr:uid="{679B65CF-60E8-4792-9CCF-7776F96730A0}"/>
    <cellStyle name="Normal 10 3 5 4 2 2 3 2 2" xfId="23754" xr:uid="{F89A372B-AD5A-424E-B456-6FB59428F6FF}"/>
    <cellStyle name="Normal 10 3 5 4 2 2 3 3" xfId="23755" xr:uid="{3BD19F79-D2C2-4436-B9FE-5A0573A9B56D}"/>
    <cellStyle name="Normal 10 3 5 4 2 2 4" xfId="23756" xr:uid="{AC7A70E5-17F5-41D2-85CF-FEB811AF569B}"/>
    <cellStyle name="Normal 10 3 5 4 2 2 4 2" xfId="23757" xr:uid="{9A003DC8-6FB4-4FC2-B6BE-8C2F3008D48B}"/>
    <cellStyle name="Normal 10 3 5 4 2 2 5" xfId="23758" xr:uid="{2BEF12E0-5351-47EA-99E5-C1E28042FC7D}"/>
    <cellStyle name="Normal 10 3 5 4 2 3" xfId="23759" xr:uid="{3000F8AE-47CD-4409-A6ED-A7053B804CFE}"/>
    <cellStyle name="Normal 10 3 5 4 2 3 2" xfId="23760" xr:uid="{0B724E4E-02EB-4BE8-86D2-41672C8EA629}"/>
    <cellStyle name="Normal 10 3 5 4 2 3 2 2" xfId="23761" xr:uid="{15B9A05F-9EAF-4959-9896-1AB65C7E5216}"/>
    <cellStyle name="Normal 10 3 5 4 2 3 2 2 2" xfId="23762" xr:uid="{7D43038F-420F-4106-AD6E-32883BA5BC13}"/>
    <cellStyle name="Normal 10 3 5 4 2 3 2 3" xfId="23763" xr:uid="{0CA97371-2327-4038-85E6-C882DCAD4FA1}"/>
    <cellStyle name="Normal 10 3 5 4 2 3 3" xfId="23764" xr:uid="{BD99D2CF-CFCF-4318-9579-49CBB40DF9EF}"/>
    <cellStyle name="Normal 10 3 5 4 2 3 3 2" xfId="23765" xr:uid="{4D00A363-FAB8-4B39-A87D-741BC3F13414}"/>
    <cellStyle name="Normal 10 3 5 4 2 3 4" xfId="23766" xr:uid="{29704845-D08B-4B61-825B-227B7CCF60BB}"/>
    <cellStyle name="Normal 10 3 5 4 2 4" xfId="23767" xr:uid="{E5DDCDB9-BE02-4C68-98AA-9203F65931A7}"/>
    <cellStyle name="Normal 10 3 5 4 2 4 2" xfId="23768" xr:uid="{A74598CF-C735-4A26-ACB8-02BAD856AD97}"/>
    <cellStyle name="Normal 10 3 5 4 2 4 2 2" xfId="23769" xr:uid="{911AAFDC-E8B8-45EC-A09A-BE56A29309B8}"/>
    <cellStyle name="Normal 10 3 5 4 2 4 3" xfId="23770" xr:uid="{ABD9C692-8301-4FEF-B72F-D10D2AD4D8AA}"/>
    <cellStyle name="Normal 10 3 5 4 2 5" xfId="23771" xr:uid="{DF0209E0-7380-4B77-812B-D44FA92FA6AD}"/>
    <cellStyle name="Normal 10 3 5 4 2 5 2" xfId="23772" xr:uid="{DA928B0B-974F-4316-A17E-B8F2E2D200D0}"/>
    <cellStyle name="Normal 10 3 5 4 2 6" xfId="23773" xr:uid="{D92EB420-BD9A-48A5-9DBC-A3E7B65A3B51}"/>
    <cellStyle name="Normal 10 3 5 4 3" xfId="23774" xr:uid="{D91497EA-5B7D-43DD-9030-52321FB70223}"/>
    <cellStyle name="Normal 10 3 5 4 3 2" xfId="23775" xr:uid="{CA44A9C1-69E9-4367-8E12-E97834E11CFF}"/>
    <cellStyle name="Normal 10 3 5 4 3 2 2" xfId="23776" xr:uid="{5E030753-BF15-4A21-BA90-8B2B577C5006}"/>
    <cellStyle name="Normal 10 3 5 4 3 2 2 2" xfId="23777" xr:uid="{BD5E7AFA-26C1-4FFA-8D7F-8913EF3B80CA}"/>
    <cellStyle name="Normal 10 3 5 4 3 2 2 2 2" xfId="23778" xr:uid="{B3B3FEAA-CEA0-4E40-BB5B-E586C995D9CB}"/>
    <cellStyle name="Normal 10 3 5 4 3 2 2 3" xfId="23779" xr:uid="{E45526EB-620F-42E5-BF17-3B0AD301AAEE}"/>
    <cellStyle name="Normal 10 3 5 4 3 2 3" xfId="23780" xr:uid="{3355A8C7-07E2-4CC6-81E6-721841913537}"/>
    <cellStyle name="Normal 10 3 5 4 3 2 3 2" xfId="23781" xr:uid="{6F7C2803-6137-4560-90B3-553F662C8862}"/>
    <cellStyle name="Normal 10 3 5 4 3 2 4" xfId="23782" xr:uid="{75437327-16C0-4708-8E63-52FCD9F66514}"/>
    <cellStyle name="Normal 10 3 5 4 3 3" xfId="23783" xr:uid="{96B3A0BB-CB28-45A7-8A7B-0F444324BB1A}"/>
    <cellStyle name="Normal 10 3 5 4 3 3 2" xfId="23784" xr:uid="{D69F2D8D-533B-4CE4-B373-9D8D9501612F}"/>
    <cellStyle name="Normal 10 3 5 4 3 3 2 2" xfId="23785" xr:uid="{6EBE0CD9-5BAB-412A-808D-4D860BFF04A5}"/>
    <cellStyle name="Normal 10 3 5 4 3 3 3" xfId="23786" xr:uid="{D3E68834-80D9-4D76-88A6-2DDCE09841FC}"/>
    <cellStyle name="Normal 10 3 5 4 3 4" xfId="23787" xr:uid="{5DF220ED-212C-45D2-935C-27E8CE5C16DD}"/>
    <cellStyle name="Normal 10 3 5 4 3 4 2" xfId="23788" xr:uid="{5D65411D-D9B5-4511-969C-DA06097579F8}"/>
    <cellStyle name="Normal 10 3 5 4 3 5" xfId="23789" xr:uid="{5C22FEE0-515F-4937-90CF-828C72A8EEF7}"/>
    <cellStyle name="Normal 10 3 5 4 4" xfId="23790" xr:uid="{B1808814-94A3-4747-B089-D64C08FCA81A}"/>
    <cellStyle name="Normal 10 3 5 4 4 2" xfId="23791" xr:uid="{F5FC1C52-61B6-421F-9B1B-44FB8F9A6EC6}"/>
    <cellStyle name="Normal 10 3 5 4 4 2 2" xfId="23792" xr:uid="{682EAA80-D688-4503-8528-91C93553B6D0}"/>
    <cellStyle name="Normal 10 3 5 4 4 2 2 2" xfId="23793" xr:uid="{0C3DD431-37DE-4CFF-BFED-4674367AF9A2}"/>
    <cellStyle name="Normal 10 3 5 4 4 2 3" xfId="23794" xr:uid="{5D4FE9F5-0EEA-43B4-8AA1-050695DDCCF2}"/>
    <cellStyle name="Normal 10 3 5 4 4 3" xfId="23795" xr:uid="{11C94731-C23E-4A6A-B219-946ACFDFA14C}"/>
    <cellStyle name="Normal 10 3 5 4 4 3 2" xfId="23796" xr:uid="{8D2C187C-18D8-4AC8-A81D-281DE61714F3}"/>
    <cellStyle name="Normal 10 3 5 4 4 4" xfId="23797" xr:uid="{982A9C29-5271-41A1-A8AB-C784F0E2D899}"/>
    <cellStyle name="Normal 10 3 5 4 5" xfId="23798" xr:uid="{D8D21CCE-8040-4FBC-9147-5939BB4EEE20}"/>
    <cellStyle name="Normal 10 3 5 4 5 2" xfId="23799" xr:uid="{A014B23B-BF86-480B-AF50-126CC3323308}"/>
    <cellStyle name="Normal 10 3 5 4 5 2 2" xfId="23800" xr:uid="{9FABBC1F-C4B4-4449-B237-187046AA54F9}"/>
    <cellStyle name="Normal 10 3 5 4 5 3" xfId="23801" xr:uid="{EE6FA8E8-953D-4045-9C84-B42422627450}"/>
    <cellStyle name="Normal 10 3 5 4 6" xfId="23802" xr:uid="{41ED260E-40E9-46C6-BB03-9AFB12E27F2F}"/>
    <cellStyle name="Normal 10 3 5 4 6 2" xfId="23803" xr:uid="{D7BD5CF5-91D2-41F7-814C-AA445D33FDD8}"/>
    <cellStyle name="Normal 10 3 5 4 7" xfId="23804" xr:uid="{1AF7B0FD-3E89-49B5-B46C-52E173D1041B}"/>
    <cellStyle name="Normal 10 3 5 5" xfId="23805" xr:uid="{C0E1F8FD-A918-426E-8388-E44BD50F072D}"/>
    <cellStyle name="Normal 10 3 5 5 2" xfId="23806" xr:uid="{8503D8F8-4FC2-4CBD-87CF-EC5414373FE4}"/>
    <cellStyle name="Normal 10 3 5 5 2 2" xfId="23807" xr:uid="{00280831-00D7-4917-AAEF-78B340FF4637}"/>
    <cellStyle name="Normal 10 3 5 5 2 2 2" xfId="23808" xr:uid="{16D83718-2058-48A8-B125-57FF53B5CFB2}"/>
    <cellStyle name="Normal 10 3 5 5 2 2 2 2" xfId="23809" xr:uid="{DA86DDA1-34B7-4761-A68D-C890AD74E87F}"/>
    <cellStyle name="Normal 10 3 5 5 2 2 2 2 2" xfId="23810" xr:uid="{ABEAA5BB-D77A-4C5F-A1D8-52CFEA469239}"/>
    <cellStyle name="Normal 10 3 5 5 2 2 2 3" xfId="23811" xr:uid="{26DEF205-A492-4279-9D80-B0367CF4C1C0}"/>
    <cellStyle name="Normal 10 3 5 5 2 2 3" xfId="23812" xr:uid="{01227B53-659D-4817-9CED-8ADB4909919E}"/>
    <cellStyle name="Normal 10 3 5 5 2 2 3 2" xfId="23813" xr:uid="{C305ACC1-0AA8-4846-914E-064138B930D9}"/>
    <cellStyle name="Normal 10 3 5 5 2 2 4" xfId="23814" xr:uid="{83E13A63-CD03-4BA4-A1C6-2600B5A24A8B}"/>
    <cellStyle name="Normal 10 3 5 5 2 3" xfId="23815" xr:uid="{41BD1AAB-0C0D-40BA-B72D-63B316435DE8}"/>
    <cellStyle name="Normal 10 3 5 5 2 3 2" xfId="23816" xr:uid="{45692287-12C2-4DF4-9725-74DC4A769F43}"/>
    <cellStyle name="Normal 10 3 5 5 2 3 2 2" xfId="23817" xr:uid="{D9D2AE73-40A8-4560-92A0-8F98FA990B6A}"/>
    <cellStyle name="Normal 10 3 5 5 2 3 3" xfId="23818" xr:uid="{CE7DFF27-DFBE-46B8-A77A-AC54685A7E50}"/>
    <cellStyle name="Normal 10 3 5 5 2 4" xfId="23819" xr:uid="{731FD0F6-B239-4D0C-8D03-62169DE93FAA}"/>
    <cellStyle name="Normal 10 3 5 5 2 4 2" xfId="23820" xr:uid="{937F8B1E-5827-4CB2-81C7-F4E0EDF350A2}"/>
    <cellStyle name="Normal 10 3 5 5 2 5" xfId="23821" xr:uid="{E84562DF-8238-44B7-AB6E-4DB890400C1F}"/>
    <cellStyle name="Normal 10 3 5 5 3" xfId="23822" xr:uid="{228D7C24-803C-4B0A-8F01-690A6025866E}"/>
    <cellStyle name="Normal 10 3 5 5 3 2" xfId="23823" xr:uid="{3841FEA5-4500-4495-82E1-48FD7A034F28}"/>
    <cellStyle name="Normal 10 3 5 5 3 2 2" xfId="23824" xr:uid="{0B4C3B4B-8145-4F6E-A3BD-D23410CE1EBC}"/>
    <cellStyle name="Normal 10 3 5 5 3 2 2 2" xfId="23825" xr:uid="{DE9E9858-CC70-46F5-B8EF-54044B15D782}"/>
    <cellStyle name="Normal 10 3 5 5 3 2 3" xfId="23826" xr:uid="{5A3840FD-C130-4CFD-BFBB-8A9C5E62406F}"/>
    <cellStyle name="Normal 10 3 5 5 3 3" xfId="23827" xr:uid="{8DD04790-5364-4AB4-866E-C2DEDABA6833}"/>
    <cellStyle name="Normal 10 3 5 5 3 3 2" xfId="23828" xr:uid="{D0CC0092-1338-4775-A428-6C83ACE4F9E0}"/>
    <cellStyle name="Normal 10 3 5 5 3 4" xfId="23829" xr:uid="{2F69C156-CDEE-4F2C-AEC2-3F015EEF6449}"/>
    <cellStyle name="Normal 10 3 5 5 4" xfId="23830" xr:uid="{1BB3A6AF-265B-472A-A0D6-15135DCB30E3}"/>
    <cellStyle name="Normal 10 3 5 5 4 2" xfId="23831" xr:uid="{6DBC86B9-D8F3-4E7F-99E8-431382736E0E}"/>
    <cellStyle name="Normal 10 3 5 5 4 2 2" xfId="23832" xr:uid="{686CF477-A631-4FFA-B0CE-3E6003E4916F}"/>
    <cellStyle name="Normal 10 3 5 5 4 3" xfId="23833" xr:uid="{22C8ABFF-6886-4326-9E92-AAF9087BF9E5}"/>
    <cellStyle name="Normal 10 3 5 5 5" xfId="23834" xr:uid="{ADFBCA96-9D47-4EB7-96B0-0FE0FE3FBF05}"/>
    <cellStyle name="Normal 10 3 5 5 5 2" xfId="23835" xr:uid="{AFCEDFA0-DC79-4EE1-ABAA-CCD25528A975}"/>
    <cellStyle name="Normal 10 3 5 5 6" xfId="23836" xr:uid="{D5931061-5E29-4414-90C0-EADF8CEF3D94}"/>
    <cellStyle name="Normal 10 3 5 6" xfId="23837" xr:uid="{E08778BE-CE02-4239-B6CC-D3DD4E431C1F}"/>
    <cellStyle name="Normal 10 3 5 6 2" xfId="23838" xr:uid="{69C0F232-734B-4C22-947E-971936D0AC38}"/>
    <cellStyle name="Normal 10 3 5 6 2 2" xfId="23839" xr:uid="{05B0A73A-35DC-40D1-A416-FD5962E3B2E2}"/>
    <cellStyle name="Normal 10 3 5 6 2 2 2" xfId="23840" xr:uid="{77DF144D-2452-4C94-868F-6DFD4F7D2B76}"/>
    <cellStyle name="Normal 10 3 5 6 2 2 2 2" xfId="23841" xr:uid="{EC12BFB0-3958-4FD0-90D3-39F9B037055E}"/>
    <cellStyle name="Normal 10 3 5 6 2 2 3" xfId="23842" xr:uid="{4198F4A6-6DF8-4028-93C9-2A56C8D449EC}"/>
    <cellStyle name="Normal 10 3 5 6 2 3" xfId="23843" xr:uid="{CCA9006C-F13E-4B71-B09B-AE1D23A92475}"/>
    <cellStyle name="Normal 10 3 5 6 2 3 2" xfId="23844" xr:uid="{50A8162C-1B38-4FB8-8803-D4F11A003A1E}"/>
    <cellStyle name="Normal 10 3 5 6 2 4" xfId="23845" xr:uid="{76852278-01A3-4D06-AECC-AE40A6FEA1EB}"/>
    <cellStyle name="Normal 10 3 5 6 3" xfId="23846" xr:uid="{48DC8C6B-FD23-47B7-86A7-62698ED3B7A7}"/>
    <cellStyle name="Normal 10 3 5 6 3 2" xfId="23847" xr:uid="{2B692D60-E763-4732-A1D1-F994BD999D5C}"/>
    <cellStyle name="Normal 10 3 5 6 3 2 2" xfId="23848" xr:uid="{5486D26E-EFE3-4B31-B4AA-BCB2DB30D44A}"/>
    <cellStyle name="Normal 10 3 5 6 3 3" xfId="23849" xr:uid="{B961AF85-AE55-44E2-824F-E289825CF681}"/>
    <cellStyle name="Normal 10 3 5 6 4" xfId="23850" xr:uid="{05C043F7-8C7C-4EC2-BC50-4484F4F0413F}"/>
    <cellStyle name="Normal 10 3 5 6 4 2" xfId="23851" xr:uid="{8F31DEDB-6C5A-4A4B-97AB-6CBECDA3EFB2}"/>
    <cellStyle name="Normal 10 3 5 6 5" xfId="23852" xr:uid="{74B539F0-8130-47F4-9460-03DAD64BEF0B}"/>
    <cellStyle name="Normal 10 3 5 7" xfId="23853" xr:uid="{170975E8-F036-435C-8A31-AEAD7F50F375}"/>
    <cellStyle name="Normal 10 3 5 7 2" xfId="23854" xr:uid="{2747152C-8CFE-4190-BABC-C4EED65841D2}"/>
    <cellStyle name="Normal 10 3 5 7 2 2" xfId="23855" xr:uid="{A0DE0678-1253-4079-9840-01438012BC01}"/>
    <cellStyle name="Normal 10 3 5 7 2 2 2" xfId="23856" xr:uid="{D415D0C9-B948-49A4-89FE-A22F790BE3AB}"/>
    <cellStyle name="Normal 10 3 5 7 2 3" xfId="23857" xr:uid="{CA7ED6D3-0E9C-43C5-AC53-9DDA943DFF43}"/>
    <cellStyle name="Normal 10 3 5 7 3" xfId="23858" xr:uid="{0CB6128F-CEA2-44FC-B34A-7A2575F3EFF3}"/>
    <cellStyle name="Normal 10 3 5 7 3 2" xfId="23859" xr:uid="{5DD774C8-B9DF-4336-AEC9-E216EFBBA20D}"/>
    <cellStyle name="Normal 10 3 5 7 4" xfId="23860" xr:uid="{6998BC87-C405-4BCD-9642-70D1D2579E7F}"/>
    <cellStyle name="Normal 10 3 5 8" xfId="23861" xr:uid="{1AA24D69-77A3-4CEA-AE4A-4FD47985BC80}"/>
    <cellStyle name="Normal 10 3 5 8 2" xfId="23862" xr:uid="{A985BC5E-97EF-4427-B201-08441945D12B}"/>
    <cellStyle name="Normal 10 3 5 8 2 2" xfId="23863" xr:uid="{ACDCEFB9-B48E-4CDA-B281-247442CB526B}"/>
    <cellStyle name="Normal 10 3 5 8 3" xfId="23864" xr:uid="{52E74A20-56EF-40B6-B6FA-FAE8F1090228}"/>
    <cellStyle name="Normal 10 3 5 9" xfId="23865" xr:uid="{00820F25-5C8D-4711-8E41-97138931F187}"/>
    <cellStyle name="Normal 10 3 5 9 2" xfId="23866" xr:uid="{23BA6988-C549-4F04-9C69-B09A515A0732}"/>
    <cellStyle name="Normal 10 3 6" xfId="235" xr:uid="{D205A5B0-5D19-4DCF-AFB5-CD6A76171B99}"/>
    <cellStyle name="Normal 10 3 6 10" xfId="23867" xr:uid="{8D44288C-1FFA-4906-9CA4-689CCD0525F9}"/>
    <cellStyle name="Normal 10 3 6 11" xfId="571" xr:uid="{0E03D334-E8BA-43FE-AE23-6FBEEBF674FC}"/>
    <cellStyle name="Normal 10 3 6 2" xfId="345" xr:uid="{9D01D34F-B8C3-408E-BA83-72A694BE9981}"/>
    <cellStyle name="Normal 10 3 6 2 10" xfId="23868" xr:uid="{B08F99BE-A589-4420-AF09-30A6F156CA87}"/>
    <cellStyle name="Normal 10 3 6 2 2" xfId="23869" xr:uid="{B90A06AE-0260-49D7-8F56-AE4B186EB1AD}"/>
    <cellStyle name="Normal 10 3 6 2 2 2" xfId="23870" xr:uid="{DD02E46B-F195-4AA4-8049-D7409C09CB99}"/>
    <cellStyle name="Normal 10 3 6 2 2 2 2" xfId="23871" xr:uid="{9644CCDC-6588-48B1-A97F-27B63C649E1F}"/>
    <cellStyle name="Normal 10 3 6 2 2 2 2 2" xfId="23872" xr:uid="{1DAA2DEA-F7D4-44D7-A7BA-2219393420E3}"/>
    <cellStyle name="Normal 10 3 6 2 2 2 2 2 2" xfId="23873" xr:uid="{614FD277-C070-4342-9FB1-B00E9EAECED5}"/>
    <cellStyle name="Normal 10 3 6 2 2 2 2 2 2 2" xfId="23874" xr:uid="{6F1540D5-4C9E-4106-8DF8-B37171359C33}"/>
    <cellStyle name="Normal 10 3 6 2 2 2 2 2 2 2 2" xfId="23875" xr:uid="{9C538108-3CDA-440B-A187-D5D7CADE7F8F}"/>
    <cellStyle name="Normal 10 3 6 2 2 2 2 2 2 2 2 2" xfId="23876" xr:uid="{0BC07F7B-DCC3-4F29-BC49-B6A2B5C9BD61}"/>
    <cellStyle name="Normal 10 3 6 2 2 2 2 2 2 2 3" xfId="23877" xr:uid="{786D7C8F-830E-4352-9BE1-98846141B095}"/>
    <cellStyle name="Normal 10 3 6 2 2 2 2 2 2 3" xfId="23878" xr:uid="{112AD76A-98D7-4541-9D4A-5222B0CC0CB6}"/>
    <cellStyle name="Normal 10 3 6 2 2 2 2 2 2 3 2" xfId="23879" xr:uid="{4FB4C9E0-EAF5-49AB-BA9D-0ECF92A20725}"/>
    <cellStyle name="Normal 10 3 6 2 2 2 2 2 2 4" xfId="23880" xr:uid="{3E69B8C1-621E-4D89-8DBF-FD13163C024A}"/>
    <cellStyle name="Normal 10 3 6 2 2 2 2 2 3" xfId="23881" xr:uid="{09241755-9553-47AD-94E1-5E9B2E6802D7}"/>
    <cellStyle name="Normal 10 3 6 2 2 2 2 2 3 2" xfId="23882" xr:uid="{AAE48AB2-6BA8-4D4E-9405-3948690757F2}"/>
    <cellStyle name="Normal 10 3 6 2 2 2 2 2 3 2 2" xfId="23883" xr:uid="{172CDA84-510A-4039-9A3B-E1286DA7B5A0}"/>
    <cellStyle name="Normal 10 3 6 2 2 2 2 2 3 3" xfId="23884" xr:uid="{4BFEA04B-EA3C-43B7-A4BB-FA6B4A7764EB}"/>
    <cellStyle name="Normal 10 3 6 2 2 2 2 2 4" xfId="23885" xr:uid="{C3D2E16B-7AF9-4404-9B14-1A31489F64DE}"/>
    <cellStyle name="Normal 10 3 6 2 2 2 2 2 4 2" xfId="23886" xr:uid="{1D2D3BF4-6241-48E0-8CA6-50EE7D36A7B1}"/>
    <cellStyle name="Normal 10 3 6 2 2 2 2 2 5" xfId="23887" xr:uid="{333C0CB3-30D1-4AC7-84D4-A04D680C9354}"/>
    <cellStyle name="Normal 10 3 6 2 2 2 2 3" xfId="23888" xr:uid="{9F3CEFC9-58FA-4189-B296-B36D7E553EA8}"/>
    <cellStyle name="Normal 10 3 6 2 2 2 2 3 2" xfId="23889" xr:uid="{617B6AB1-8F5C-49B2-B9FF-638D817A7D78}"/>
    <cellStyle name="Normal 10 3 6 2 2 2 2 3 2 2" xfId="23890" xr:uid="{4B91A890-03AC-42B4-A1E3-CB77FFAEA9DF}"/>
    <cellStyle name="Normal 10 3 6 2 2 2 2 3 2 2 2" xfId="23891" xr:uid="{9950E687-2D3C-4AC2-8D23-E78B0C6CF13E}"/>
    <cellStyle name="Normal 10 3 6 2 2 2 2 3 2 3" xfId="23892" xr:uid="{162EB093-85B6-416A-98F7-ED39D3BADD72}"/>
    <cellStyle name="Normal 10 3 6 2 2 2 2 3 3" xfId="23893" xr:uid="{5815AAE5-2A76-42F5-A876-733490E4414F}"/>
    <cellStyle name="Normal 10 3 6 2 2 2 2 3 3 2" xfId="23894" xr:uid="{D31EAFFD-E3D9-450D-9562-E887BD9BFA05}"/>
    <cellStyle name="Normal 10 3 6 2 2 2 2 3 4" xfId="23895" xr:uid="{DBD7FEDD-7360-454C-94D3-0222DECEB8FC}"/>
    <cellStyle name="Normal 10 3 6 2 2 2 2 4" xfId="23896" xr:uid="{9B3F65C0-22FA-4A10-907F-BA466335652B}"/>
    <cellStyle name="Normal 10 3 6 2 2 2 2 4 2" xfId="23897" xr:uid="{4F858136-30F6-418C-89D8-CE88F22EE6C4}"/>
    <cellStyle name="Normal 10 3 6 2 2 2 2 4 2 2" xfId="23898" xr:uid="{4B85CD3D-9A56-4481-ADE8-596FA5B865A2}"/>
    <cellStyle name="Normal 10 3 6 2 2 2 2 4 3" xfId="23899" xr:uid="{05A06EDC-D93A-4677-9867-20D425F349CD}"/>
    <cellStyle name="Normal 10 3 6 2 2 2 2 5" xfId="23900" xr:uid="{138B61FF-F8BC-4A63-B1ED-BC8DA66D0A7D}"/>
    <cellStyle name="Normal 10 3 6 2 2 2 2 5 2" xfId="23901" xr:uid="{7BBA64C6-E6F3-432B-B01C-B16A8EC2338C}"/>
    <cellStyle name="Normal 10 3 6 2 2 2 2 6" xfId="23902" xr:uid="{00F2FFDC-1300-4A6A-9603-D6D575BEDF41}"/>
    <cellStyle name="Normal 10 3 6 2 2 2 3" xfId="23903" xr:uid="{DE001474-721B-4F8F-9D25-9C16512B7980}"/>
    <cellStyle name="Normal 10 3 6 2 2 2 3 2" xfId="23904" xr:uid="{2BE5C45E-A14F-44B0-B041-8031DD5377FB}"/>
    <cellStyle name="Normal 10 3 6 2 2 2 3 2 2" xfId="23905" xr:uid="{2821BF63-9E2A-4765-9B82-046AD92F1114}"/>
    <cellStyle name="Normal 10 3 6 2 2 2 3 2 2 2" xfId="23906" xr:uid="{548B3996-495A-491C-9A39-D1AD39487081}"/>
    <cellStyle name="Normal 10 3 6 2 2 2 3 2 2 2 2" xfId="23907" xr:uid="{21C1E022-48D4-4468-803D-3216FED6D4A1}"/>
    <cellStyle name="Normal 10 3 6 2 2 2 3 2 2 3" xfId="23908" xr:uid="{4ECE7CC1-D128-47D6-BF47-40A89C156ED5}"/>
    <cellStyle name="Normal 10 3 6 2 2 2 3 2 3" xfId="23909" xr:uid="{97638797-E6A3-4077-9AD9-A4B4857F1F53}"/>
    <cellStyle name="Normal 10 3 6 2 2 2 3 2 3 2" xfId="23910" xr:uid="{546AE0E8-2326-4279-BE10-621F04982807}"/>
    <cellStyle name="Normal 10 3 6 2 2 2 3 2 4" xfId="23911" xr:uid="{115CD8C3-0957-45AD-8E62-741562BEB543}"/>
    <cellStyle name="Normal 10 3 6 2 2 2 3 3" xfId="23912" xr:uid="{BE8CCD54-39E5-455E-9F59-681F190DBE70}"/>
    <cellStyle name="Normal 10 3 6 2 2 2 3 3 2" xfId="23913" xr:uid="{E044439E-27A9-483B-BC3C-FB70CCDEDB85}"/>
    <cellStyle name="Normal 10 3 6 2 2 2 3 3 2 2" xfId="23914" xr:uid="{3704C060-7D1E-4218-9061-5A70C6E18DA7}"/>
    <cellStyle name="Normal 10 3 6 2 2 2 3 3 3" xfId="23915" xr:uid="{95D56AAE-8A1B-4641-9BE4-7F83D5EA8DFC}"/>
    <cellStyle name="Normal 10 3 6 2 2 2 3 4" xfId="23916" xr:uid="{F1821976-8A9C-4A03-82C0-4A6A87C32A9C}"/>
    <cellStyle name="Normal 10 3 6 2 2 2 3 4 2" xfId="23917" xr:uid="{0B7B6281-3331-4B44-A5DF-B752104EEA29}"/>
    <cellStyle name="Normal 10 3 6 2 2 2 3 5" xfId="23918" xr:uid="{688569B6-6071-45F1-86EA-A53B8703471D}"/>
    <cellStyle name="Normal 10 3 6 2 2 2 4" xfId="23919" xr:uid="{38521C8C-58EA-4DEB-9FED-7C671765E57C}"/>
    <cellStyle name="Normal 10 3 6 2 2 2 4 2" xfId="23920" xr:uid="{0C131BD2-2DCE-497A-B240-6CA1B4EADA52}"/>
    <cellStyle name="Normal 10 3 6 2 2 2 4 2 2" xfId="23921" xr:uid="{7238CEF2-01AC-46C0-8065-A1EDBDC161F9}"/>
    <cellStyle name="Normal 10 3 6 2 2 2 4 2 2 2" xfId="23922" xr:uid="{1C64098A-AF9C-4F00-A058-7F4360D511B8}"/>
    <cellStyle name="Normal 10 3 6 2 2 2 4 2 3" xfId="23923" xr:uid="{15A2C1FE-2DD5-428F-8FBD-2B7B2EEC7184}"/>
    <cellStyle name="Normal 10 3 6 2 2 2 4 3" xfId="23924" xr:uid="{8597E3C5-1D85-485F-B2C6-CDF068BBFDFB}"/>
    <cellStyle name="Normal 10 3 6 2 2 2 4 3 2" xfId="23925" xr:uid="{CC20AF31-DE9D-4FDC-BCDF-36A862C8D05A}"/>
    <cellStyle name="Normal 10 3 6 2 2 2 4 4" xfId="23926" xr:uid="{2CAC359E-B1C4-446E-A943-F1AFA63AE6B5}"/>
    <cellStyle name="Normal 10 3 6 2 2 2 5" xfId="23927" xr:uid="{1B2B6B43-CE1D-4DDB-A51D-6EA9BEDB7F3E}"/>
    <cellStyle name="Normal 10 3 6 2 2 2 5 2" xfId="23928" xr:uid="{BFDBCCF7-37D5-4A1F-B527-FCA161463C28}"/>
    <cellStyle name="Normal 10 3 6 2 2 2 5 2 2" xfId="23929" xr:uid="{B75E53A5-56CA-4F02-9019-6483FFEA8BBA}"/>
    <cellStyle name="Normal 10 3 6 2 2 2 5 3" xfId="23930" xr:uid="{78207EC5-2B62-4E0B-9466-A7BA96597354}"/>
    <cellStyle name="Normal 10 3 6 2 2 2 6" xfId="23931" xr:uid="{645E22A1-0B45-45CF-AB37-C8011D01BAF6}"/>
    <cellStyle name="Normal 10 3 6 2 2 2 6 2" xfId="23932" xr:uid="{72C3B4A4-507E-47DB-80C5-99779421831D}"/>
    <cellStyle name="Normal 10 3 6 2 2 2 7" xfId="23933" xr:uid="{79F106A9-2B3A-4F0E-82C3-26D8C64E9288}"/>
    <cellStyle name="Normal 10 3 6 2 2 3" xfId="23934" xr:uid="{823ACD3D-A4D3-40F3-B664-E2289758AA83}"/>
    <cellStyle name="Normal 10 3 6 2 2 3 2" xfId="23935" xr:uid="{DAE8057D-0FD4-4880-8B56-87BDF5F8FE33}"/>
    <cellStyle name="Normal 10 3 6 2 2 3 2 2" xfId="23936" xr:uid="{88445257-FBE6-4028-804C-73AB420D32D2}"/>
    <cellStyle name="Normal 10 3 6 2 2 3 2 2 2" xfId="23937" xr:uid="{F95ECDA2-690B-4ED5-A369-4EBEFEC84915}"/>
    <cellStyle name="Normal 10 3 6 2 2 3 2 2 2 2" xfId="23938" xr:uid="{B13A94D4-65F6-4271-BB0B-8A14902592C8}"/>
    <cellStyle name="Normal 10 3 6 2 2 3 2 2 2 2 2" xfId="23939" xr:uid="{14924EC1-1F71-4793-BA35-8805A40431D4}"/>
    <cellStyle name="Normal 10 3 6 2 2 3 2 2 2 3" xfId="23940" xr:uid="{AAE0CBBF-5F7B-40ED-A99E-0430CE2C1A01}"/>
    <cellStyle name="Normal 10 3 6 2 2 3 2 2 3" xfId="23941" xr:uid="{002D5FFF-7D6D-4D9A-AFB6-7F554E4DD02A}"/>
    <cellStyle name="Normal 10 3 6 2 2 3 2 2 3 2" xfId="23942" xr:uid="{F5682C76-21FC-489D-BC2F-D36F57AC5A64}"/>
    <cellStyle name="Normal 10 3 6 2 2 3 2 2 4" xfId="23943" xr:uid="{354ACE40-DC5C-49E7-A53C-0EF5DD999BAD}"/>
    <cellStyle name="Normal 10 3 6 2 2 3 2 3" xfId="23944" xr:uid="{BB248FCB-2E5F-45FC-8CBE-84518FFCB7F6}"/>
    <cellStyle name="Normal 10 3 6 2 2 3 2 3 2" xfId="23945" xr:uid="{F602DB63-F8D3-418E-8B22-A2F72609B018}"/>
    <cellStyle name="Normal 10 3 6 2 2 3 2 3 2 2" xfId="23946" xr:uid="{19A57DFC-0CC1-455B-92A9-B037F0BC4D88}"/>
    <cellStyle name="Normal 10 3 6 2 2 3 2 3 3" xfId="23947" xr:uid="{FE88F3C5-2B6F-4956-8758-759C3C6EBF3B}"/>
    <cellStyle name="Normal 10 3 6 2 2 3 2 4" xfId="23948" xr:uid="{B7AE3708-BC06-4298-88A6-A3AD7F30C870}"/>
    <cellStyle name="Normal 10 3 6 2 2 3 2 4 2" xfId="23949" xr:uid="{247E2186-9870-441D-B1F8-8AC7B42DB43A}"/>
    <cellStyle name="Normal 10 3 6 2 2 3 2 5" xfId="23950" xr:uid="{B82B9BAA-0017-48BF-A211-5760A06BB4A3}"/>
    <cellStyle name="Normal 10 3 6 2 2 3 3" xfId="23951" xr:uid="{737178B9-59C4-4DF0-86FD-896A4666044C}"/>
    <cellStyle name="Normal 10 3 6 2 2 3 3 2" xfId="23952" xr:uid="{4DC0DBA9-8A9F-46F3-A004-64F824CA7B73}"/>
    <cellStyle name="Normal 10 3 6 2 2 3 3 2 2" xfId="23953" xr:uid="{5EBCDDFE-0DAA-4324-A9F2-3AB8D428013C}"/>
    <cellStyle name="Normal 10 3 6 2 2 3 3 2 2 2" xfId="23954" xr:uid="{09012A8A-7493-420E-B1D0-00679CA37640}"/>
    <cellStyle name="Normal 10 3 6 2 2 3 3 2 3" xfId="23955" xr:uid="{898412BA-0811-4107-A05E-6818D1737E79}"/>
    <cellStyle name="Normal 10 3 6 2 2 3 3 3" xfId="23956" xr:uid="{4C2F6646-D838-443E-A394-11F482211574}"/>
    <cellStyle name="Normal 10 3 6 2 2 3 3 3 2" xfId="23957" xr:uid="{85F4E88E-98C6-498E-8DB3-0A3B01C5A809}"/>
    <cellStyle name="Normal 10 3 6 2 2 3 3 4" xfId="23958" xr:uid="{8568C7C8-B1B1-41E1-B52A-6F43ECC3AE21}"/>
    <cellStyle name="Normal 10 3 6 2 2 3 4" xfId="23959" xr:uid="{BCA2F185-3EA2-4861-A953-EBA4EC4C6E95}"/>
    <cellStyle name="Normal 10 3 6 2 2 3 4 2" xfId="23960" xr:uid="{92607991-0C05-4E96-8868-3FD9FFADBA86}"/>
    <cellStyle name="Normal 10 3 6 2 2 3 4 2 2" xfId="23961" xr:uid="{B0F99314-F952-4746-9BEE-D21991DD7CE1}"/>
    <cellStyle name="Normal 10 3 6 2 2 3 4 3" xfId="23962" xr:uid="{C57B7B2A-EF47-4382-BF47-285272888445}"/>
    <cellStyle name="Normal 10 3 6 2 2 3 5" xfId="23963" xr:uid="{2D4931EC-F69E-46EB-B06B-FC5CBFC6DBFA}"/>
    <cellStyle name="Normal 10 3 6 2 2 3 5 2" xfId="23964" xr:uid="{B89BB40E-448C-4B5B-821D-1E5B88850031}"/>
    <cellStyle name="Normal 10 3 6 2 2 3 6" xfId="23965" xr:uid="{C2D505AC-DE83-477A-AF73-DB3F9EFCE3C3}"/>
    <cellStyle name="Normal 10 3 6 2 2 4" xfId="23966" xr:uid="{25B56FAE-59F1-4DF0-B480-ECA10C8BEB73}"/>
    <cellStyle name="Normal 10 3 6 2 2 4 2" xfId="23967" xr:uid="{27C4E301-1F64-4A56-B2DF-CAE6BFE182B0}"/>
    <cellStyle name="Normal 10 3 6 2 2 4 2 2" xfId="23968" xr:uid="{C0C55872-1C6B-4979-87F6-01D576C24B91}"/>
    <cellStyle name="Normal 10 3 6 2 2 4 2 2 2" xfId="23969" xr:uid="{6F970F47-1008-42D7-AC35-3A101E31763E}"/>
    <cellStyle name="Normal 10 3 6 2 2 4 2 2 2 2" xfId="23970" xr:uid="{A2F2B672-1412-46C3-A09F-107EA7E78437}"/>
    <cellStyle name="Normal 10 3 6 2 2 4 2 2 3" xfId="23971" xr:uid="{6C84A8DD-4263-4C2A-9110-80468A09A26A}"/>
    <cellStyle name="Normal 10 3 6 2 2 4 2 3" xfId="23972" xr:uid="{CAF46DF8-7AD0-4712-B32D-4B6D9DBA73A6}"/>
    <cellStyle name="Normal 10 3 6 2 2 4 2 3 2" xfId="23973" xr:uid="{B5A42459-0975-45EC-BA57-0EDBFFBA4EB2}"/>
    <cellStyle name="Normal 10 3 6 2 2 4 2 4" xfId="23974" xr:uid="{449043CA-A009-4744-B021-F8EAACD0700B}"/>
    <cellStyle name="Normal 10 3 6 2 2 4 3" xfId="23975" xr:uid="{9D281FA5-0EE7-4525-992A-EB1A5CB1A523}"/>
    <cellStyle name="Normal 10 3 6 2 2 4 3 2" xfId="23976" xr:uid="{41468231-7D63-4815-A12E-6891FFFA11D1}"/>
    <cellStyle name="Normal 10 3 6 2 2 4 3 2 2" xfId="23977" xr:uid="{1F9FF544-9357-40CB-8489-CE1CC2FF1688}"/>
    <cellStyle name="Normal 10 3 6 2 2 4 3 3" xfId="23978" xr:uid="{CFEA4F85-C0BD-4548-A436-933EDBA59BDB}"/>
    <cellStyle name="Normal 10 3 6 2 2 4 4" xfId="23979" xr:uid="{0623B768-1976-4F04-8617-344A1FFECF30}"/>
    <cellStyle name="Normal 10 3 6 2 2 4 4 2" xfId="23980" xr:uid="{64BA01A4-8F77-4A88-88AF-61BD676D0AE1}"/>
    <cellStyle name="Normal 10 3 6 2 2 4 5" xfId="23981" xr:uid="{7A3340AC-B110-445C-8928-EFBF8E1441A8}"/>
    <cellStyle name="Normal 10 3 6 2 2 5" xfId="23982" xr:uid="{A29B44A0-81E3-45BC-8AA5-FB26952B7254}"/>
    <cellStyle name="Normal 10 3 6 2 2 5 2" xfId="23983" xr:uid="{E61AF1D9-6698-4199-8470-6D8FA11E79F7}"/>
    <cellStyle name="Normal 10 3 6 2 2 5 2 2" xfId="23984" xr:uid="{B5309B7B-CF09-47A0-A1DD-9EAFD6E7454A}"/>
    <cellStyle name="Normal 10 3 6 2 2 5 2 2 2" xfId="23985" xr:uid="{CCB5E4CC-494C-4D0F-8199-E40E55ECF6C7}"/>
    <cellStyle name="Normal 10 3 6 2 2 5 2 3" xfId="23986" xr:uid="{9C94CF3B-8DA0-4F6E-AD4A-D73479F5C7E1}"/>
    <cellStyle name="Normal 10 3 6 2 2 5 3" xfId="23987" xr:uid="{58A049E5-DBC2-433F-AD34-F1BE9E4C31F2}"/>
    <cellStyle name="Normal 10 3 6 2 2 5 3 2" xfId="23988" xr:uid="{745C4609-ABF7-45CA-8784-81EC1154093D}"/>
    <cellStyle name="Normal 10 3 6 2 2 5 4" xfId="23989" xr:uid="{1E14CACE-98F5-4BDA-B331-FC6B0AA4E1DF}"/>
    <cellStyle name="Normal 10 3 6 2 2 6" xfId="23990" xr:uid="{978941EF-CB03-4D5E-87A8-B013136C37C0}"/>
    <cellStyle name="Normal 10 3 6 2 2 6 2" xfId="23991" xr:uid="{5FAB2D87-1B8F-4843-9369-7089C8145372}"/>
    <cellStyle name="Normal 10 3 6 2 2 6 2 2" xfId="23992" xr:uid="{053EB7A0-27E3-4454-858A-E106E7241A05}"/>
    <cellStyle name="Normal 10 3 6 2 2 6 3" xfId="23993" xr:uid="{988CEDD2-5CC9-4B5B-BB3E-E7D04BBBE053}"/>
    <cellStyle name="Normal 10 3 6 2 2 7" xfId="23994" xr:uid="{31F7C7B9-4FAB-46DE-99C7-33D34722F384}"/>
    <cellStyle name="Normal 10 3 6 2 2 7 2" xfId="23995" xr:uid="{2E486854-517D-4AD5-93D3-94E173407B7C}"/>
    <cellStyle name="Normal 10 3 6 2 2 8" xfId="23996" xr:uid="{4CC6B2C5-476C-47E3-AD4C-4BDD05F5E704}"/>
    <cellStyle name="Normal 10 3 6 2 3" xfId="23997" xr:uid="{9A798B51-FF36-4E8A-8D80-941DB86C5C7D}"/>
    <cellStyle name="Normal 10 3 6 2 3 2" xfId="23998" xr:uid="{8FD5B393-D130-47BE-98B9-4C1084768F3E}"/>
    <cellStyle name="Normal 10 3 6 2 3 2 2" xfId="23999" xr:uid="{C1089584-AAB2-4E52-AC8B-0887DA535C8B}"/>
    <cellStyle name="Normal 10 3 6 2 3 2 2 2" xfId="24000" xr:uid="{A2E2D053-9DE2-467E-86F4-DF61594BD7EE}"/>
    <cellStyle name="Normal 10 3 6 2 3 2 2 2 2" xfId="24001" xr:uid="{F8B25150-6DB6-40A7-87B2-BACA80A8BD14}"/>
    <cellStyle name="Normal 10 3 6 2 3 2 2 2 2 2" xfId="24002" xr:uid="{42F4484C-ACFA-4386-8C21-23222AF87398}"/>
    <cellStyle name="Normal 10 3 6 2 3 2 2 2 2 2 2" xfId="24003" xr:uid="{8193C613-0B55-46C0-843C-A5AE30048D11}"/>
    <cellStyle name="Normal 10 3 6 2 3 2 2 2 2 3" xfId="24004" xr:uid="{BD8BD778-7745-4740-919D-34B165363284}"/>
    <cellStyle name="Normal 10 3 6 2 3 2 2 2 3" xfId="24005" xr:uid="{D3177498-9F5E-4F12-8457-41AD1030F707}"/>
    <cellStyle name="Normal 10 3 6 2 3 2 2 2 3 2" xfId="24006" xr:uid="{641BBF68-D826-4ECD-BC95-3B13FB680486}"/>
    <cellStyle name="Normal 10 3 6 2 3 2 2 2 4" xfId="24007" xr:uid="{7074F4A2-94D0-4F03-A503-871704E4EE5D}"/>
    <cellStyle name="Normal 10 3 6 2 3 2 2 3" xfId="24008" xr:uid="{13B9EC6B-3AA8-4B00-AAC5-1491EEBCA3CC}"/>
    <cellStyle name="Normal 10 3 6 2 3 2 2 3 2" xfId="24009" xr:uid="{CAF921DA-D160-43EA-8AAB-2358C7280E4D}"/>
    <cellStyle name="Normal 10 3 6 2 3 2 2 3 2 2" xfId="24010" xr:uid="{95EC9AC4-FBCC-4DE2-8F94-A412E49D0402}"/>
    <cellStyle name="Normal 10 3 6 2 3 2 2 3 3" xfId="24011" xr:uid="{28AFF770-B6EA-43CF-8571-042B6B68A161}"/>
    <cellStyle name="Normal 10 3 6 2 3 2 2 4" xfId="24012" xr:uid="{FE665A1A-B93F-4A04-AF45-58B0B70B8D50}"/>
    <cellStyle name="Normal 10 3 6 2 3 2 2 4 2" xfId="24013" xr:uid="{59C4D764-AD55-437E-982A-D2031EC32D22}"/>
    <cellStyle name="Normal 10 3 6 2 3 2 2 5" xfId="24014" xr:uid="{B31054AE-16E7-48FD-892F-83C02261953B}"/>
    <cellStyle name="Normal 10 3 6 2 3 2 3" xfId="24015" xr:uid="{7E1C90B8-8F3C-43E6-A8A8-EFBE480DC647}"/>
    <cellStyle name="Normal 10 3 6 2 3 2 3 2" xfId="24016" xr:uid="{3A1A79A6-0299-4F92-90F6-746E8CB0FD92}"/>
    <cellStyle name="Normal 10 3 6 2 3 2 3 2 2" xfId="24017" xr:uid="{4C59C876-C504-4701-BB89-442DC13236C0}"/>
    <cellStyle name="Normal 10 3 6 2 3 2 3 2 2 2" xfId="24018" xr:uid="{3FC1B68F-7467-42F9-BCA4-F42069A2A7D1}"/>
    <cellStyle name="Normal 10 3 6 2 3 2 3 2 3" xfId="24019" xr:uid="{FF1E5A03-0F41-4AC1-A249-B3F8B53B0709}"/>
    <cellStyle name="Normal 10 3 6 2 3 2 3 3" xfId="24020" xr:uid="{3EF7C914-5278-4CA9-9C9A-26249E75CA05}"/>
    <cellStyle name="Normal 10 3 6 2 3 2 3 3 2" xfId="24021" xr:uid="{AFB274F9-ED67-438E-9328-0A911085BD9B}"/>
    <cellStyle name="Normal 10 3 6 2 3 2 3 4" xfId="24022" xr:uid="{B3D9BC76-E3A6-47B5-A73F-EC507287C665}"/>
    <cellStyle name="Normal 10 3 6 2 3 2 4" xfId="24023" xr:uid="{27327A31-C58F-45F0-BB42-07295FDF1A44}"/>
    <cellStyle name="Normal 10 3 6 2 3 2 4 2" xfId="24024" xr:uid="{82A14D16-A5A2-4FDB-8FF4-777A20A04CE8}"/>
    <cellStyle name="Normal 10 3 6 2 3 2 4 2 2" xfId="24025" xr:uid="{0BEFC4F8-98CE-46FF-8BEF-971933D057D6}"/>
    <cellStyle name="Normal 10 3 6 2 3 2 4 3" xfId="24026" xr:uid="{899E3AC2-9A53-4C0F-8D8D-EFE395B4137F}"/>
    <cellStyle name="Normal 10 3 6 2 3 2 5" xfId="24027" xr:uid="{A55C9574-B67F-4B85-BC60-11726A056F73}"/>
    <cellStyle name="Normal 10 3 6 2 3 2 5 2" xfId="24028" xr:uid="{632852C1-93F5-48EE-BE0E-EA5222FF98F9}"/>
    <cellStyle name="Normal 10 3 6 2 3 2 6" xfId="24029" xr:uid="{90B5D735-5F07-45B6-AC41-690FEAC1541E}"/>
    <cellStyle name="Normal 10 3 6 2 3 3" xfId="24030" xr:uid="{07CD944D-3E53-4983-9C2C-65F8C714F522}"/>
    <cellStyle name="Normal 10 3 6 2 3 3 2" xfId="24031" xr:uid="{26A93281-CE81-4A95-9C3C-F1AEDFCBDC2A}"/>
    <cellStyle name="Normal 10 3 6 2 3 3 2 2" xfId="24032" xr:uid="{CCD2EEB6-3D12-41BA-B321-36C660A14E19}"/>
    <cellStyle name="Normal 10 3 6 2 3 3 2 2 2" xfId="24033" xr:uid="{F286DA1A-131B-4453-8B96-BBB6CB968831}"/>
    <cellStyle name="Normal 10 3 6 2 3 3 2 2 2 2" xfId="24034" xr:uid="{600A9CF4-A0E9-4796-AEDE-6449CA882506}"/>
    <cellStyle name="Normal 10 3 6 2 3 3 2 2 3" xfId="24035" xr:uid="{6B3FAF5C-1218-40B3-B1AE-48D20775DCB0}"/>
    <cellStyle name="Normal 10 3 6 2 3 3 2 3" xfId="24036" xr:uid="{47268455-C712-4C09-B842-C30A2A53463E}"/>
    <cellStyle name="Normal 10 3 6 2 3 3 2 3 2" xfId="24037" xr:uid="{F523BEFD-FF9F-4EBD-8B11-470AB232B366}"/>
    <cellStyle name="Normal 10 3 6 2 3 3 2 4" xfId="24038" xr:uid="{A56F03FE-FA91-477E-9887-C16021A97006}"/>
    <cellStyle name="Normal 10 3 6 2 3 3 3" xfId="24039" xr:uid="{295AD9EC-6BEB-4339-AE44-8E08A31D7129}"/>
    <cellStyle name="Normal 10 3 6 2 3 3 3 2" xfId="24040" xr:uid="{252B8714-2D6E-436E-9E7E-6EA3D6444C24}"/>
    <cellStyle name="Normal 10 3 6 2 3 3 3 2 2" xfId="24041" xr:uid="{BA046A0D-34C0-4BE5-B802-DD199CEBF3F4}"/>
    <cellStyle name="Normal 10 3 6 2 3 3 3 3" xfId="24042" xr:uid="{A62F9415-3C2B-4FB0-8CE8-C5EF3D639F6E}"/>
    <cellStyle name="Normal 10 3 6 2 3 3 4" xfId="24043" xr:uid="{AB817CFE-0ECA-4B04-8D84-9222D30F81EF}"/>
    <cellStyle name="Normal 10 3 6 2 3 3 4 2" xfId="24044" xr:uid="{338C2DE2-156A-4212-B227-51DE77770C40}"/>
    <cellStyle name="Normal 10 3 6 2 3 3 5" xfId="24045" xr:uid="{C5AA2600-64F7-4085-88C8-40327D16DB2B}"/>
    <cellStyle name="Normal 10 3 6 2 3 4" xfId="24046" xr:uid="{C0CA0E6C-DBC7-4890-B3E9-58087212965D}"/>
    <cellStyle name="Normal 10 3 6 2 3 4 2" xfId="24047" xr:uid="{2F1913B5-FD3D-4F14-A472-CE96ABBEBC6D}"/>
    <cellStyle name="Normal 10 3 6 2 3 4 2 2" xfId="24048" xr:uid="{56C8BF1F-3BB8-477A-9B4D-27529D373BE6}"/>
    <cellStyle name="Normal 10 3 6 2 3 4 2 2 2" xfId="24049" xr:uid="{984E504A-F599-40BC-8326-69E08CA769BE}"/>
    <cellStyle name="Normal 10 3 6 2 3 4 2 3" xfId="24050" xr:uid="{5DAF8564-291E-428B-927F-7B4042D1BB12}"/>
    <cellStyle name="Normal 10 3 6 2 3 4 3" xfId="24051" xr:uid="{AD390E28-8C6E-4627-B44A-A6F928129E39}"/>
    <cellStyle name="Normal 10 3 6 2 3 4 3 2" xfId="24052" xr:uid="{11CB7253-9829-4303-8C60-326A8C84032A}"/>
    <cellStyle name="Normal 10 3 6 2 3 4 4" xfId="24053" xr:uid="{89A3774B-6D3D-4F89-B11B-48E7ECCCEE9B}"/>
    <cellStyle name="Normal 10 3 6 2 3 5" xfId="24054" xr:uid="{466264D2-857D-47E1-A51C-88DE807FDB7A}"/>
    <cellStyle name="Normal 10 3 6 2 3 5 2" xfId="24055" xr:uid="{7317A3CA-8E49-4674-861D-FDDE0EF5CA6F}"/>
    <cellStyle name="Normal 10 3 6 2 3 5 2 2" xfId="24056" xr:uid="{00FABC5A-FB4C-418F-AD82-2A0F568D0105}"/>
    <cellStyle name="Normal 10 3 6 2 3 5 3" xfId="24057" xr:uid="{4D08A9DA-8EBF-4FE6-BF9F-E6CBDB00016E}"/>
    <cellStyle name="Normal 10 3 6 2 3 6" xfId="24058" xr:uid="{B3E2EF25-BF44-48CA-9346-B91DC53A1DBF}"/>
    <cellStyle name="Normal 10 3 6 2 3 6 2" xfId="24059" xr:uid="{1A71D3A8-A207-4591-AAB0-3476812181AC}"/>
    <cellStyle name="Normal 10 3 6 2 3 7" xfId="24060" xr:uid="{4F24FF28-8DD1-4994-A966-1DB6AEE5BC72}"/>
    <cellStyle name="Normal 10 3 6 2 4" xfId="24061" xr:uid="{F5E7E37F-20E6-4CA2-BB41-B96EAD9B30DD}"/>
    <cellStyle name="Normal 10 3 6 2 4 2" xfId="24062" xr:uid="{68DAE79A-5DB1-4848-BD21-A03EB0D80750}"/>
    <cellStyle name="Normal 10 3 6 2 4 2 2" xfId="24063" xr:uid="{E5F0B5AE-7E23-4C09-95C2-E0692B21D2A2}"/>
    <cellStyle name="Normal 10 3 6 2 4 2 2 2" xfId="24064" xr:uid="{81712F95-AB73-491E-9798-288EC9BF0875}"/>
    <cellStyle name="Normal 10 3 6 2 4 2 2 2 2" xfId="24065" xr:uid="{609D96CF-0FC9-49EA-960F-46ED4B0E24C0}"/>
    <cellStyle name="Normal 10 3 6 2 4 2 2 2 2 2" xfId="24066" xr:uid="{8FCE9705-30C6-4504-85F8-5652F5C991A1}"/>
    <cellStyle name="Normal 10 3 6 2 4 2 2 2 3" xfId="24067" xr:uid="{63D44020-5DBE-4FA0-BF33-A4285F0599CA}"/>
    <cellStyle name="Normal 10 3 6 2 4 2 2 3" xfId="24068" xr:uid="{D9109A9F-3552-43CF-B2EC-0CD42D664228}"/>
    <cellStyle name="Normal 10 3 6 2 4 2 2 3 2" xfId="24069" xr:uid="{31F7C7E0-C8D5-405A-80E8-70C1CB9C8B1F}"/>
    <cellStyle name="Normal 10 3 6 2 4 2 2 4" xfId="24070" xr:uid="{30BAF456-2064-4635-8ECB-3F0F573F603F}"/>
    <cellStyle name="Normal 10 3 6 2 4 2 3" xfId="24071" xr:uid="{4D431318-ACD8-432C-AAB3-58C21C500BCE}"/>
    <cellStyle name="Normal 10 3 6 2 4 2 3 2" xfId="24072" xr:uid="{B4B9923C-5CF7-49EF-9297-065B3BB625FB}"/>
    <cellStyle name="Normal 10 3 6 2 4 2 3 2 2" xfId="24073" xr:uid="{6F30FD03-60BF-4C5D-9C6B-7D2E4730AC57}"/>
    <cellStyle name="Normal 10 3 6 2 4 2 3 3" xfId="24074" xr:uid="{5AA4C692-62B2-46C0-9078-7A77D4214773}"/>
    <cellStyle name="Normal 10 3 6 2 4 2 4" xfId="24075" xr:uid="{C1E98EE5-4E27-4D36-A52F-696F9B059143}"/>
    <cellStyle name="Normal 10 3 6 2 4 2 4 2" xfId="24076" xr:uid="{14B1A340-42C1-4EB9-BC60-3CE43BD5422C}"/>
    <cellStyle name="Normal 10 3 6 2 4 2 5" xfId="24077" xr:uid="{27E61233-C5DD-414E-9098-6BB90FE603A2}"/>
    <cellStyle name="Normal 10 3 6 2 4 3" xfId="24078" xr:uid="{60FEC82F-31D6-4BE8-8461-2814FFCB6194}"/>
    <cellStyle name="Normal 10 3 6 2 4 3 2" xfId="24079" xr:uid="{B5485DC9-94CF-4546-A2D8-183145F752C0}"/>
    <cellStyle name="Normal 10 3 6 2 4 3 2 2" xfId="24080" xr:uid="{8CB16DC0-D9D8-4722-A84F-164F7819AAA0}"/>
    <cellStyle name="Normal 10 3 6 2 4 3 2 2 2" xfId="24081" xr:uid="{E4ABADAB-BB25-4C2E-94C2-B5DC21D47077}"/>
    <cellStyle name="Normal 10 3 6 2 4 3 2 3" xfId="24082" xr:uid="{F7E1776A-2C85-450A-81E3-7BD6DF54B9F0}"/>
    <cellStyle name="Normal 10 3 6 2 4 3 3" xfId="24083" xr:uid="{C629CEC3-BBFB-45B4-84E3-4294779B5D1C}"/>
    <cellStyle name="Normal 10 3 6 2 4 3 3 2" xfId="24084" xr:uid="{8C222F8B-5117-4B55-BDDC-25F9621DD046}"/>
    <cellStyle name="Normal 10 3 6 2 4 3 4" xfId="24085" xr:uid="{B3C287AA-A493-4C50-A7B0-8A80F1447564}"/>
    <cellStyle name="Normal 10 3 6 2 4 4" xfId="24086" xr:uid="{D35446A7-901D-4BD3-9063-D27DA8E2E836}"/>
    <cellStyle name="Normal 10 3 6 2 4 4 2" xfId="24087" xr:uid="{D38F1923-C621-4AD0-B175-D994B3DB26CF}"/>
    <cellStyle name="Normal 10 3 6 2 4 4 2 2" xfId="24088" xr:uid="{B001D05E-279A-489C-AE55-9CEC571B0F8C}"/>
    <cellStyle name="Normal 10 3 6 2 4 4 3" xfId="24089" xr:uid="{C126B751-F7C5-4F5E-9704-95B972ABDA5B}"/>
    <cellStyle name="Normal 10 3 6 2 4 5" xfId="24090" xr:uid="{A85FB05C-9E86-48A1-AD4A-F3ABF9646872}"/>
    <cellStyle name="Normal 10 3 6 2 4 5 2" xfId="24091" xr:uid="{F08BC7F3-9ADA-4FB1-AD32-36040B2EC0F7}"/>
    <cellStyle name="Normal 10 3 6 2 4 6" xfId="24092" xr:uid="{BE24716F-44E6-4D76-B048-CAE08D44CD5C}"/>
    <cellStyle name="Normal 10 3 6 2 5" xfId="24093" xr:uid="{FEF4D1AF-75F7-4B30-B9C3-4B26B26AFB83}"/>
    <cellStyle name="Normal 10 3 6 2 5 2" xfId="24094" xr:uid="{084B2E5A-9884-4DAC-9612-08BFE21A6752}"/>
    <cellStyle name="Normal 10 3 6 2 5 2 2" xfId="24095" xr:uid="{558A7750-985D-467F-B598-E4E207886B63}"/>
    <cellStyle name="Normal 10 3 6 2 5 2 2 2" xfId="24096" xr:uid="{B34055B6-198F-46BE-9155-6716B4664396}"/>
    <cellStyle name="Normal 10 3 6 2 5 2 2 2 2" xfId="24097" xr:uid="{65D585FC-8E9A-4BE2-850B-933D685311E0}"/>
    <cellStyle name="Normal 10 3 6 2 5 2 2 3" xfId="24098" xr:uid="{872105BC-FB7E-4C5B-B7B9-1651D9FFFBE6}"/>
    <cellStyle name="Normal 10 3 6 2 5 2 3" xfId="24099" xr:uid="{112F51EE-E542-484A-BCFF-E66A8D21196D}"/>
    <cellStyle name="Normal 10 3 6 2 5 2 3 2" xfId="24100" xr:uid="{AC324A86-1847-43DB-9793-91B747D0030A}"/>
    <cellStyle name="Normal 10 3 6 2 5 2 4" xfId="24101" xr:uid="{2BBCDEDF-3D1D-4C2C-BF6C-BC8458867971}"/>
    <cellStyle name="Normal 10 3 6 2 5 3" xfId="24102" xr:uid="{149EF6F6-3939-479A-B06A-497E9BC2F074}"/>
    <cellStyle name="Normal 10 3 6 2 5 3 2" xfId="24103" xr:uid="{EF830509-ECA4-4035-B72C-BF460BA9CDC3}"/>
    <cellStyle name="Normal 10 3 6 2 5 3 2 2" xfId="24104" xr:uid="{F8E5D12E-158D-48AD-951F-A45A25EB4C3E}"/>
    <cellStyle name="Normal 10 3 6 2 5 3 3" xfId="24105" xr:uid="{2A92656B-02E8-4443-A541-8FFBC9B0F3B7}"/>
    <cellStyle name="Normal 10 3 6 2 5 4" xfId="24106" xr:uid="{C8CEA007-A5FF-4772-96BE-EBFD6C4AD253}"/>
    <cellStyle name="Normal 10 3 6 2 5 4 2" xfId="24107" xr:uid="{D01399D5-D909-48A2-8B7E-0C1B72B3DF86}"/>
    <cellStyle name="Normal 10 3 6 2 5 5" xfId="24108" xr:uid="{7731842B-39E7-45AF-8C40-8AC6CC714153}"/>
    <cellStyle name="Normal 10 3 6 2 6" xfId="24109" xr:uid="{47D8E79C-449E-468F-8405-DC84D1B34A38}"/>
    <cellStyle name="Normal 10 3 6 2 6 2" xfId="24110" xr:uid="{358AA2E9-B12B-4DD1-8FC6-152E8BBA8D16}"/>
    <cellStyle name="Normal 10 3 6 2 6 2 2" xfId="24111" xr:uid="{929465CE-72AE-491E-B6D0-73737128B006}"/>
    <cellStyle name="Normal 10 3 6 2 6 2 2 2" xfId="24112" xr:uid="{0319CDF1-3729-4413-BA23-17E46E141589}"/>
    <cellStyle name="Normal 10 3 6 2 6 2 3" xfId="24113" xr:uid="{45787C84-E102-4BEB-A791-7C148B0480A4}"/>
    <cellStyle name="Normal 10 3 6 2 6 3" xfId="24114" xr:uid="{7C9A250B-9934-4707-B684-E60423839FAF}"/>
    <cellStyle name="Normal 10 3 6 2 6 3 2" xfId="24115" xr:uid="{8D1D9B52-1190-4D19-8B34-16648559778A}"/>
    <cellStyle name="Normal 10 3 6 2 6 4" xfId="24116" xr:uid="{FBB26FFD-02CC-41C4-9D9B-E22BE9A6607E}"/>
    <cellStyle name="Normal 10 3 6 2 7" xfId="24117" xr:uid="{52C26E2E-1262-4333-8562-70EBE388AE18}"/>
    <cellStyle name="Normal 10 3 6 2 7 2" xfId="24118" xr:uid="{FEFAA89D-807D-41D6-A25F-AA5021BB624B}"/>
    <cellStyle name="Normal 10 3 6 2 7 2 2" xfId="24119" xr:uid="{155DC056-1CDB-4A2F-A22B-BA34C9DC1146}"/>
    <cellStyle name="Normal 10 3 6 2 7 3" xfId="24120" xr:uid="{EAFF1022-D764-4805-A5A0-200B5F4C1240}"/>
    <cellStyle name="Normal 10 3 6 2 8" xfId="24121" xr:uid="{851AD63E-D6EE-4C22-BD5D-D1A2E64DEA42}"/>
    <cellStyle name="Normal 10 3 6 2 8 2" xfId="24122" xr:uid="{E397D320-DB1B-4B70-856D-8ABD3A82ADB7}"/>
    <cellStyle name="Normal 10 3 6 2 9" xfId="24123" xr:uid="{323C8797-1E8D-4C29-8ACD-F3659077F61F}"/>
    <cellStyle name="Normal 10 3 6 3" xfId="470" xr:uid="{0AF98597-F77D-4EBA-85D9-9F5B69D9239B}"/>
    <cellStyle name="Normal 10 3 6 3 2" xfId="24125" xr:uid="{057A743B-469F-458D-8174-BC6476678B4B}"/>
    <cellStyle name="Normal 10 3 6 3 2 2" xfId="24126" xr:uid="{647AB426-5E9D-4674-80F2-EC51DD4E72EE}"/>
    <cellStyle name="Normal 10 3 6 3 2 2 2" xfId="24127" xr:uid="{605A3001-257C-4DCC-958F-E5CAAA82ECD1}"/>
    <cellStyle name="Normal 10 3 6 3 2 2 2 2" xfId="24128" xr:uid="{3DB82176-DB5D-48C6-B0C1-A49FB1F44FA1}"/>
    <cellStyle name="Normal 10 3 6 3 2 2 2 2 2" xfId="24129" xr:uid="{194F88EC-B25A-40C8-BCFC-7D19989F42BD}"/>
    <cellStyle name="Normal 10 3 6 3 2 2 2 2 2 2" xfId="24130" xr:uid="{4852594A-73E7-4C4A-864E-2A41AB639EC6}"/>
    <cellStyle name="Normal 10 3 6 3 2 2 2 2 2 2 2" xfId="24131" xr:uid="{54775410-A593-43D0-806D-FC130E22FD22}"/>
    <cellStyle name="Normal 10 3 6 3 2 2 2 2 2 3" xfId="24132" xr:uid="{3D7E42CE-2181-43DF-ACE7-74E148456594}"/>
    <cellStyle name="Normal 10 3 6 3 2 2 2 2 3" xfId="24133" xr:uid="{E2EC7D1F-A082-44AA-AE99-4A78AFC09EB5}"/>
    <cellStyle name="Normal 10 3 6 3 2 2 2 2 3 2" xfId="24134" xr:uid="{A3EBA3CE-3767-4FC5-A751-D10113C23F32}"/>
    <cellStyle name="Normal 10 3 6 3 2 2 2 2 4" xfId="24135" xr:uid="{8DA4F0C6-C6DE-4698-9286-3C46CF664BF9}"/>
    <cellStyle name="Normal 10 3 6 3 2 2 2 3" xfId="24136" xr:uid="{10CB02C1-8BEE-4301-BFC6-C6ED58E2444E}"/>
    <cellStyle name="Normal 10 3 6 3 2 2 2 3 2" xfId="24137" xr:uid="{3300AAE9-2ED3-44C7-8467-8CEC04F9C046}"/>
    <cellStyle name="Normal 10 3 6 3 2 2 2 3 2 2" xfId="24138" xr:uid="{B7EF9E6E-794F-4BE6-B02B-BFC3B213EFD9}"/>
    <cellStyle name="Normal 10 3 6 3 2 2 2 3 3" xfId="24139" xr:uid="{512E51FA-B802-4D83-BFA0-BF049AD2E2AA}"/>
    <cellStyle name="Normal 10 3 6 3 2 2 2 4" xfId="24140" xr:uid="{3EE7D491-88C2-4568-A28F-B73EC00B8079}"/>
    <cellStyle name="Normal 10 3 6 3 2 2 2 4 2" xfId="24141" xr:uid="{A18BECD9-A579-4E04-8E38-7BC67C4E3EE4}"/>
    <cellStyle name="Normal 10 3 6 3 2 2 2 5" xfId="24142" xr:uid="{B2CF5A02-F035-417D-9858-CD65CBD9D067}"/>
    <cellStyle name="Normal 10 3 6 3 2 2 3" xfId="24143" xr:uid="{C30F3709-F11F-4277-B99A-849378D42FE9}"/>
    <cellStyle name="Normal 10 3 6 3 2 2 3 2" xfId="24144" xr:uid="{D2E630CB-A535-4BED-A87A-6DCF35ADFB03}"/>
    <cellStyle name="Normal 10 3 6 3 2 2 3 2 2" xfId="24145" xr:uid="{5998B4AE-E253-4806-9D01-C486346EB70F}"/>
    <cellStyle name="Normal 10 3 6 3 2 2 3 2 2 2" xfId="24146" xr:uid="{800A26BD-2E6A-475A-9EF5-84840FC9C5B2}"/>
    <cellStyle name="Normal 10 3 6 3 2 2 3 2 3" xfId="24147" xr:uid="{C613DCEF-1BDE-49B1-9E5E-AD91512D37D1}"/>
    <cellStyle name="Normal 10 3 6 3 2 2 3 3" xfId="24148" xr:uid="{0160E663-4D34-488F-A962-12123EB991D4}"/>
    <cellStyle name="Normal 10 3 6 3 2 2 3 3 2" xfId="24149" xr:uid="{F7E22298-80EA-4DE9-A6AA-AF93077DDBA6}"/>
    <cellStyle name="Normal 10 3 6 3 2 2 3 4" xfId="24150" xr:uid="{3C17AF7C-F250-4FBB-BA16-378382C09390}"/>
    <cellStyle name="Normal 10 3 6 3 2 2 4" xfId="24151" xr:uid="{D65CD143-23D2-4897-BCC9-5A001349F00A}"/>
    <cellStyle name="Normal 10 3 6 3 2 2 4 2" xfId="24152" xr:uid="{E2AC018C-03AB-45BC-91CD-E24878BE1E4A}"/>
    <cellStyle name="Normal 10 3 6 3 2 2 4 2 2" xfId="24153" xr:uid="{E79E5046-7672-4638-9D2C-F68786AD8DF9}"/>
    <cellStyle name="Normal 10 3 6 3 2 2 4 3" xfId="24154" xr:uid="{44D756EA-A022-46B9-979A-1DCF49450545}"/>
    <cellStyle name="Normal 10 3 6 3 2 2 5" xfId="24155" xr:uid="{3A612A74-7CF5-4C67-B0FC-4FDF3DDC5695}"/>
    <cellStyle name="Normal 10 3 6 3 2 2 5 2" xfId="24156" xr:uid="{5F51214A-B7C1-41E6-B847-FDDE00AA12A3}"/>
    <cellStyle name="Normal 10 3 6 3 2 2 6" xfId="24157" xr:uid="{9DFF2EA8-D605-4B1B-873D-E6DB04E0A632}"/>
    <cellStyle name="Normal 10 3 6 3 2 3" xfId="24158" xr:uid="{BEE91DD7-6619-4919-B191-CB201A460E9C}"/>
    <cellStyle name="Normal 10 3 6 3 2 3 2" xfId="24159" xr:uid="{FB751B9B-3AB8-4CFC-B3E1-52F346D43136}"/>
    <cellStyle name="Normal 10 3 6 3 2 3 2 2" xfId="24160" xr:uid="{A2430CA1-D76E-4241-B721-A8EF78FA1FC5}"/>
    <cellStyle name="Normal 10 3 6 3 2 3 2 2 2" xfId="24161" xr:uid="{37DDFB79-AE76-4621-97AE-09DF63614398}"/>
    <cellStyle name="Normal 10 3 6 3 2 3 2 2 2 2" xfId="24162" xr:uid="{3EEBE3F1-B99D-4CB1-95E0-565C49160896}"/>
    <cellStyle name="Normal 10 3 6 3 2 3 2 2 3" xfId="24163" xr:uid="{E602A105-E6FD-4881-A17F-C01BC5003EFA}"/>
    <cellStyle name="Normal 10 3 6 3 2 3 2 3" xfId="24164" xr:uid="{9936AC9A-7982-48F9-87BC-7A10EDB271FB}"/>
    <cellStyle name="Normal 10 3 6 3 2 3 2 3 2" xfId="24165" xr:uid="{774ECA3E-1E17-4C2A-9BFF-F92744A025E4}"/>
    <cellStyle name="Normal 10 3 6 3 2 3 2 4" xfId="24166" xr:uid="{27609044-02F2-4085-89F2-9290B766652F}"/>
    <cellStyle name="Normal 10 3 6 3 2 3 3" xfId="24167" xr:uid="{298D5135-49D0-4DD5-9ED2-FC44BB34018A}"/>
    <cellStyle name="Normal 10 3 6 3 2 3 3 2" xfId="24168" xr:uid="{A0031F2A-05CF-4FD2-8E79-5B9CC2AF4FE5}"/>
    <cellStyle name="Normal 10 3 6 3 2 3 3 2 2" xfId="24169" xr:uid="{C90215DE-B5BC-43A9-9C78-4813D36CBCA5}"/>
    <cellStyle name="Normal 10 3 6 3 2 3 3 3" xfId="24170" xr:uid="{B0C54EF0-C446-4462-A70D-E08FAA2BF49C}"/>
    <cellStyle name="Normal 10 3 6 3 2 3 4" xfId="24171" xr:uid="{667392C1-0B57-41DB-9F22-58BF99C2816F}"/>
    <cellStyle name="Normal 10 3 6 3 2 3 4 2" xfId="24172" xr:uid="{417801CB-991D-4A96-8330-936B54702654}"/>
    <cellStyle name="Normal 10 3 6 3 2 3 5" xfId="24173" xr:uid="{F016BCF7-308A-4BD5-8B67-32CDB8BF0355}"/>
    <cellStyle name="Normal 10 3 6 3 2 4" xfId="24174" xr:uid="{D52F1F6E-C9EE-487F-B159-D5E53E5C224A}"/>
    <cellStyle name="Normal 10 3 6 3 2 4 2" xfId="24175" xr:uid="{031E4598-B8AA-4763-93B8-9AB574CFDEEB}"/>
    <cellStyle name="Normal 10 3 6 3 2 4 2 2" xfId="24176" xr:uid="{BBDD3A91-621D-4A62-97FC-FD97995ED986}"/>
    <cellStyle name="Normal 10 3 6 3 2 4 2 2 2" xfId="24177" xr:uid="{A1581961-B992-4F20-96DC-879877D391A4}"/>
    <cellStyle name="Normal 10 3 6 3 2 4 2 3" xfId="24178" xr:uid="{3E425FA1-B4BD-49D3-8285-084168E8C5E9}"/>
    <cellStyle name="Normal 10 3 6 3 2 4 3" xfId="24179" xr:uid="{3B7A742D-CE1F-454C-B861-9390AAE1B0E7}"/>
    <cellStyle name="Normal 10 3 6 3 2 4 3 2" xfId="24180" xr:uid="{3F57C776-0AA2-40F8-AF65-25AE96E56E6E}"/>
    <cellStyle name="Normal 10 3 6 3 2 4 4" xfId="24181" xr:uid="{61855C31-7032-4567-8D06-BA4D720C63B1}"/>
    <cellStyle name="Normal 10 3 6 3 2 5" xfId="24182" xr:uid="{F7671D63-0871-41AC-9071-049B1D712424}"/>
    <cellStyle name="Normal 10 3 6 3 2 5 2" xfId="24183" xr:uid="{8825F087-59DD-4F33-BEDF-0B9E3AD8ED4E}"/>
    <cellStyle name="Normal 10 3 6 3 2 5 2 2" xfId="24184" xr:uid="{3994CA3C-7C1C-4218-B550-A539818117CB}"/>
    <cellStyle name="Normal 10 3 6 3 2 5 3" xfId="24185" xr:uid="{C71AD314-A0CB-4D34-9403-50158960D0BC}"/>
    <cellStyle name="Normal 10 3 6 3 2 6" xfId="24186" xr:uid="{940D6A42-4BAC-4047-8861-F1C58DB01E4E}"/>
    <cellStyle name="Normal 10 3 6 3 2 6 2" xfId="24187" xr:uid="{95FDC401-98D9-4EB6-96FE-27DA81A61844}"/>
    <cellStyle name="Normal 10 3 6 3 2 7" xfId="24188" xr:uid="{BC54F308-65E5-448F-8110-D131C5052241}"/>
    <cellStyle name="Normal 10 3 6 3 3" xfId="24189" xr:uid="{9F9EFBAF-9296-4E50-BBF1-C3CC1DF096FE}"/>
    <cellStyle name="Normal 10 3 6 3 3 2" xfId="24190" xr:uid="{008DAFAC-AC0D-47FB-933A-9A77F82B4735}"/>
    <cellStyle name="Normal 10 3 6 3 3 2 2" xfId="24191" xr:uid="{DA7915E1-A32B-4328-9AC7-7415594DBA86}"/>
    <cellStyle name="Normal 10 3 6 3 3 2 2 2" xfId="24192" xr:uid="{9A4F33E1-8F91-454D-91F4-D3CAC54BEC07}"/>
    <cellStyle name="Normal 10 3 6 3 3 2 2 2 2" xfId="24193" xr:uid="{34A9EBF0-F2D2-4564-9D4F-803CC4A7E066}"/>
    <cellStyle name="Normal 10 3 6 3 3 2 2 2 2 2" xfId="24194" xr:uid="{C745BC8D-C2C8-4C22-8E37-BB2D4FE7A49A}"/>
    <cellStyle name="Normal 10 3 6 3 3 2 2 2 3" xfId="24195" xr:uid="{E98434CE-CF40-4E0D-8272-E443AFD6C845}"/>
    <cellStyle name="Normal 10 3 6 3 3 2 2 3" xfId="24196" xr:uid="{B4EAB336-A576-46BB-8845-4E2F7281F343}"/>
    <cellStyle name="Normal 10 3 6 3 3 2 2 3 2" xfId="24197" xr:uid="{506CA1D6-CEB4-4DD2-85E7-0B3DBF7D7415}"/>
    <cellStyle name="Normal 10 3 6 3 3 2 2 4" xfId="24198" xr:uid="{B3A47A31-21FA-4851-B798-6E87F51DBB4F}"/>
    <cellStyle name="Normal 10 3 6 3 3 2 3" xfId="24199" xr:uid="{1385B91D-9559-432B-9570-DDFD12E50721}"/>
    <cellStyle name="Normal 10 3 6 3 3 2 3 2" xfId="24200" xr:uid="{013344B2-60BD-4CDF-8834-103EB73A62F1}"/>
    <cellStyle name="Normal 10 3 6 3 3 2 3 2 2" xfId="24201" xr:uid="{3FA0A30B-4CCB-4A8F-8E1D-2C7EF73307BD}"/>
    <cellStyle name="Normal 10 3 6 3 3 2 3 3" xfId="24202" xr:uid="{65F3374D-C0A7-4E81-84E4-4A3E78408F1D}"/>
    <cellStyle name="Normal 10 3 6 3 3 2 4" xfId="24203" xr:uid="{BEFB2EED-AA97-4D18-96D2-C296BD5BF493}"/>
    <cellStyle name="Normal 10 3 6 3 3 2 4 2" xfId="24204" xr:uid="{70362F1C-9C2C-4397-A9BC-BE4B7440377B}"/>
    <cellStyle name="Normal 10 3 6 3 3 2 5" xfId="24205" xr:uid="{E1BB02E4-9AE8-4C85-8554-600D363BFA96}"/>
    <cellStyle name="Normal 10 3 6 3 3 3" xfId="24206" xr:uid="{B77D107F-1124-4F01-A95A-AEB880A56114}"/>
    <cellStyle name="Normal 10 3 6 3 3 3 2" xfId="24207" xr:uid="{436DDA66-6A9C-4780-BC54-D5CA76486291}"/>
    <cellStyle name="Normal 10 3 6 3 3 3 2 2" xfId="24208" xr:uid="{0648FE29-B06C-439C-8769-1AE681782388}"/>
    <cellStyle name="Normal 10 3 6 3 3 3 2 2 2" xfId="24209" xr:uid="{A034A6D3-8AA2-4F8B-9796-16FFBC671F23}"/>
    <cellStyle name="Normal 10 3 6 3 3 3 2 3" xfId="24210" xr:uid="{1D83088E-90D1-45CF-AD16-14209DD34422}"/>
    <cellStyle name="Normal 10 3 6 3 3 3 3" xfId="24211" xr:uid="{7BDD5B90-536A-43D4-8FB0-66EAA9FF3F16}"/>
    <cellStyle name="Normal 10 3 6 3 3 3 3 2" xfId="24212" xr:uid="{D91D811E-A4DC-427A-B694-2C6A3FA2DB72}"/>
    <cellStyle name="Normal 10 3 6 3 3 3 4" xfId="24213" xr:uid="{5AB1ACD2-1F99-4612-BEA6-D9D24F01FA9F}"/>
    <cellStyle name="Normal 10 3 6 3 3 4" xfId="24214" xr:uid="{7A1944C0-B5FB-4AE1-B5FD-62B3FF9C248A}"/>
    <cellStyle name="Normal 10 3 6 3 3 4 2" xfId="24215" xr:uid="{DC185E8A-8FC1-40C3-BC02-645A2EFBC399}"/>
    <cellStyle name="Normal 10 3 6 3 3 4 2 2" xfId="24216" xr:uid="{770156FB-3BF1-4A1B-8623-3DB68014CC8D}"/>
    <cellStyle name="Normal 10 3 6 3 3 4 3" xfId="24217" xr:uid="{653059CB-3E99-47C3-8D46-83B20BFE7B5C}"/>
    <cellStyle name="Normal 10 3 6 3 3 5" xfId="24218" xr:uid="{9EDEEE90-A082-4302-A582-CF082FE54682}"/>
    <cellStyle name="Normal 10 3 6 3 3 5 2" xfId="24219" xr:uid="{C2AC2E83-E046-43B6-AB5C-78EC539DDE2E}"/>
    <cellStyle name="Normal 10 3 6 3 3 6" xfId="24220" xr:uid="{032E73C1-5544-4BC4-9896-64723A84AD08}"/>
    <cellStyle name="Normal 10 3 6 3 4" xfId="24221" xr:uid="{8C236E02-B4F6-4BCE-9809-06C593549AD4}"/>
    <cellStyle name="Normal 10 3 6 3 4 2" xfId="24222" xr:uid="{56ADA9F2-E0D7-4CD6-8540-F74C126904C8}"/>
    <cellStyle name="Normal 10 3 6 3 4 2 2" xfId="24223" xr:uid="{50775A48-78B4-4CF0-B8F6-0A877D3BBB6A}"/>
    <cellStyle name="Normal 10 3 6 3 4 2 2 2" xfId="24224" xr:uid="{FBA51ED4-1B77-43A0-9691-377788217E49}"/>
    <cellStyle name="Normal 10 3 6 3 4 2 2 2 2" xfId="24225" xr:uid="{CE7703CB-95A4-4C23-AFD0-C1059747884A}"/>
    <cellStyle name="Normal 10 3 6 3 4 2 2 3" xfId="24226" xr:uid="{898DDE8B-8BEB-4D29-B53E-36F176CBBB06}"/>
    <cellStyle name="Normal 10 3 6 3 4 2 3" xfId="24227" xr:uid="{0833F87C-E526-4986-9D9E-84CD98E3DA52}"/>
    <cellStyle name="Normal 10 3 6 3 4 2 3 2" xfId="24228" xr:uid="{35D9AAE6-9930-4C48-B7BB-0FCCCF193241}"/>
    <cellStyle name="Normal 10 3 6 3 4 2 4" xfId="24229" xr:uid="{6F59EC58-3BAB-4C72-AB67-2B503E862CE6}"/>
    <cellStyle name="Normal 10 3 6 3 4 3" xfId="24230" xr:uid="{2FF49E44-0DC3-4DD0-AB2F-47EB97E58C0C}"/>
    <cellStyle name="Normal 10 3 6 3 4 3 2" xfId="24231" xr:uid="{1F2C18CF-E7B4-4CCC-A4C2-700D02882E16}"/>
    <cellStyle name="Normal 10 3 6 3 4 3 2 2" xfId="24232" xr:uid="{795AE481-B399-4094-8654-38773AA78843}"/>
    <cellStyle name="Normal 10 3 6 3 4 3 3" xfId="24233" xr:uid="{3C4B7EB0-ABAA-421E-9416-5C0657DDE6A3}"/>
    <cellStyle name="Normal 10 3 6 3 4 4" xfId="24234" xr:uid="{7B9D550B-2718-4ECD-8921-D775F012E223}"/>
    <cellStyle name="Normal 10 3 6 3 4 4 2" xfId="24235" xr:uid="{5AE13FAB-E5A4-4EA2-BAB2-11ECF56F5139}"/>
    <cellStyle name="Normal 10 3 6 3 4 5" xfId="24236" xr:uid="{2DCAE2A1-3D2F-44D4-AE15-149F4BB79547}"/>
    <cellStyle name="Normal 10 3 6 3 5" xfId="24237" xr:uid="{CB45CBB2-3D8C-418E-81F6-3FDFEECAF29D}"/>
    <cellStyle name="Normal 10 3 6 3 5 2" xfId="24238" xr:uid="{D2252E9E-A6D6-4F15-B20F-72CC491A731B}"/>
    <cellStyle name="Normal 10 3 6 3 5 2 2" xfId="24239" xr:uid="{0E8AC28E-04D9-494F-B87A-0516B39DBD73}"/>
    <cellStyle name="Normal 10 3 6 3 5 2 2 2" xfId="24240" xr:uid="{408FF22D-E9AA-43E2-86A0-2EAC9D8D657A}"/>
    <cellStyle name="Normal 10 3 6 3 5 2 3" xfId="24241" xr:uid="{C4F918EA-7D58-4ADD-9847-5AEECBD018F7}"/>
    <cellStyle name="Normal 10 3 6 3 5 3" xfId="24242" xr:uid="{5B2C2ACF-F63F-4C53-8A1A-BB9AB71EEA91}"/>
    <cellStyle name="Normal 10 3 6 3 5 3 2" xfId="24243" xr:uid="{C919FEA9-5417-4A27-8F48-7B7219C39C0A}"/>
    <cellStyle name="Normal 10 3 6 3 5 4" xfId="24244" xr:uid="{0C8F0299-E2EF-4ED8-A5C0-AC701D6112C2}"/>
    <cellStyle name="Normal 10 3 6 3 6" xfId="24245" xr:uid="{81305E52-CAB0-401A-8675-8D720E35DA5B}"/>
    <cellStyle name="Normal 10 3 6 3 6 2" xfId="24246" xr:uid="{4C3D223B-8372-4257-91BF-2119B2732034}"/>
    <cellStyle name="Normal 10 3 6 3 6 2 2" xfId="24247" xr:uid="{ED3ADC42-6CA3-46A2-9D3B-ACD5E19B9CB9}"/>
    <cellStyle name="Normal 10 3 6 3 6 3" xfId="24248" xr:uid="{BFDBF507-E661-48C8-B3A7-BAC127CCB7D5}"/>
    <cellStyle name="Normal 10 3 6 3 7" xfId="24249" xr:uid="{51B7FC84-FC42-46D3-9D1E-EABDAC8A07B3}"/>
    <cellStyle name="Normal 10 3 6 3 7 2" xfId="24250" xr:uid="{12CF879B-698A-4A5B-A31C-564F2EBC7156}"/>
    <cellStyle name="Normal 10 3 6 3 8" xfId="24251" xr:uid="{917102F9-D52F-4EFA-A897-DC4ADC6E3A52}"/>
    <cellStyle name="Normal 10 3 6 3 9" xfId="24124" xr:uid="{51A40C9B-6E78-4CB8-8A41-EC6525D41FF8}"/>
    <cellStyle name="Normal 10 3 6 4" xfId="24252" xr:uid="{92BB03CD-BF31-4540-8C4C-0E4001CA0307}"/>
    <cellStyle name="Normal 10 3 6 4 2" xfId="24253" xr:uid="{B5C25F8A-618C-4204-8685-F0C50F147E47}"/>
    <cellStyle name="Normal 10 3 6 4 2 2" xfId="24254" xr:uid="{2BE0F208-1FAB-446E-8C19-202083E93D32}"/>
    <cellStyle name="Normal 10 3 6 4 2 2 2" xfId="24255" xr:uid="{953B42E4-D628-4EE9-9150-53F69FC14840}"/>
    <cellStyle name="Normal 10 3 6 4 2 2 2 2" xfId="24256" xr:uid="{380DD3D1-E6B9-4CD4-80DC-5456EADC1FDB}"/>
    <cellStyle name="Normal 10 3 6 4 2 2 2 2 2" xfId="24257" xr:uid="{42130F1E-F7F6-4E3B-A8EF-7D27DF496787}"/>
    <cellStyle name="Normal 10 3 6 4 2 2 2 2 2 2" xfId="24258" xr:uid="{37F67A40-2153-4670-8EA9-201B4A254F43}"/>
    <cellStyle name="Normal 10 3 6 4 2 2 2 2 3" xfId="24259" xr:uid="{810C7092-03E7-4EF3-91FC-FFF7792BF82A}"/>
    <cellStyle name="Normal 10 3 6 4 2 2 2 3" xfId="24260" xr:uid="{A2584C7F-57E8-478D-8D5C-15FB974DAA87}"/>
    <cellStyle name="Normal 10 3 6 4 2 2 2 3 2" xfId="24261" xr:uid="{FDC98349-4767-4709-9388-5BA98E828DE5}"/>
    <cellStyle name="Normal 10 3 6 4 2 2 2 4" xfId="24262" xr:uid="{3E578089-72F9-4E7F-838E-2880EB36C95C}"/>
    <cellStyle name="Normal 10 3 6 4 2 2 3" xfId="24263" xr:uid="{B04A0E24-771F-4B2C-B714-72890FB6A191}"/>
    <cellStyle name="Normal 10 3 6 4 2 2 3 2" xfId="24264" xr:uid="{567096F3-97E7-4D82-950C-2766D633EC38}"/>
    <cellStyle name="Normal 10 3 6 4 2 2 3 2 2" xfId="24265" xr:uid="{0AE13B7E-F003-4C1D-8028-5481F72997D9}"/>
    <cellStyle name="Normal 10 3 6 4 2 2 3 3" xfId="24266" xr:uid="{88776A81-29BC-4968-A7E7-838C02E7BD69}"/>
    <cellStyle name="Normal 10 3 6 4 2 2 4" xfId="24267" xr:uid="{2CF8BC7D-3A81-4B71-8D70-C18C68B3F098}"/>
    <cellStyle name="Normal 10 3 6 4 2 2 4 2" xfId="24268" xr:uid="{E50525B2-2E9D-4E66-937F-D205CDAB0859}"/>
    <cellStyle name="Normal 10 3 6 4 2 2 5" xfId="24269" xr:uid="{4104E95C-8DA8-40E3-ABED-2C6C14A40B38}"/>
    <cellStyle name="Normal 10 3 6 4 2 3" xfId="24270" xr:uid="{84F6AE96-81A7-4350-931A-7AC9F07AA124}"/>
    <cellStyle name="Normal 10 3 6 4 2 3 2" xfId="24271" xr:uid="{EC0E7E44-39F9-42A4-80FD-5E7CB77A07A7}"/>
    <cellStyle name="Normal 10 3 6 4 2 3 2 2" xfId="24272" xr:uid="{A9E49830-70F1-46E3-9C11-540EA41F1AB0}"/>
    <cellStyle name="Normal 10 3 6 4 2 3 2 2 2" xfId="24273" xr:uid="{6F5D78F6-B104-4864-8A10-69E440A047A4}"/>
    <cellStyle name="Normal 10 3 6 4 2 3 2 3" xfId="24274" xr:uid="{6D9FEBBD-0001-45FD-A9AC-D743101872C0}"/>
    <cellStyle name="Normal 10 3 6 4 2 3 3" xfId="24275" xr:uid="{6DDFCCB0-C5B9-4724-B2A2-5016A11E8021}"/>
    <cellStyle name="Normal 10 3 6 4 2 3 3 2" xfId="24276" xr:uid="{A9B910B0-237D-4106-BA04-F06DE3BD6971}"/>
    <cellStyle name="Normal 10 3 6 4 2 3 4" xfId="24277" xr:uid="{49241BF7-F96E-484E-B092-F438A639E623}"/>
    <cellStyle name="Normal 10 3 6 4 2 4" xfId="24278" xr:uid="{891FE7C2-7D83-4AAD-909E-34E6B4FA70F4}"/>
    <cellStyle name="Normal 10 3 6 4 2 4 2" xfId="24279" xr:uid="{7F1A3D4A-77C6-4390-8B2C-0A06D35731C7}"/>
    <cellStyle name="Normal 10 3 6 4 2 4 2 2" xfId="24280" xr:uid="{24F38964-EDC7-4B5B-9BA3-F8D8324FD89D}"/>
    <cellStyle name="Normal 10 3 6 4 2 4 3" xfId="24281" xr:uid="{CD86217E-3D6A-427A-BFB6-037DF345B7E2}"/>
    <cellStyle name="Normal 10 3 6 4 2 5" xfId="24282" xr:uid="{1498424E-8CA1-4D36-9DE7-25515BE7B02F}"/>
    <cellStyle name="Normal 10 3 6 4 2 5 2" xfId="24283" xr:uid="{82E182E8-9CFB-428C-B562-27D580BF0251}"/>
    <cellStyle name="Normal 10 3 6 4 2 6" xfId="24284" xr:uid="{7419B973-0BCC-471C-AEEC-A882A1A024EF}"/>
    <cellStyle name="Normal 10 3 6 4 3" xfId="24285" xr:uid="{6ABF5E35-6CFC-4ABD-A761-068B84E3F646}"/>
    <cellStyle name="Normal 10 3 6 4 3 2" xfId="24286" xr:uid="{953BB558-2387-494A-8F2D-8107DD861E00}"/>
    <cellStyle name="Normal 10 3 6 4 3 2 2" xfId="24287" xr:uid="{BE407AED-A25C-4C4C-B25F-526E9D757C16}"/>
    <cellStyle name="Normal 10 3 6 4 3 2 2 2" xfId="24288" xr:uid="{4CB4F007-0D36-4911-9A31-4FD7FAAB9DB5}"/>
    <cellStyle name="Normal 10 3 6 4 3 2 2 2 2" xfId="24289" xr:uid="{AAB1C840-2742-4B63-89F4-517ED644F98A}"/>
    <cellStyle name="Normal 10 3 6 4 3 2 2 3" xfId="24290" xr:uid="{3EF9DF8D-C748-48B7-92B5-F9C4AB4E9073}"/>
    <cellStyle name="Normal 10 3 6 4 3 2 3" xfId="24291" xr:uid="{F96BB6EA-2DFA-4D0B-A16C-0EEAFA0A32E1}"/>
    <cellStyle name="Normal 10 3 6 4 3 2 3 2" xfId="24292" xr:uid="{3C2A7A4C-79B9-45CB-BA74-F9E9C6BBF53A}"/>
    <cellStyle name="Normal 10 3 6 4 3 2 4" xfId="24293" xr:uid="{AB46F42B-433A-4B48-A4B7-FDAB18007237}"/>
    <cellStyle name="Normal 10 3 6 4 3 3" xfId="24294" xr:uid="{230FD0A1-187A-4B3C-9939-01D56CD3DCBD}"/>
    <cellStyle name="Normal 10 3 6 4 3 3 2" xfId="24295" xr:uid="{93D4AFB9-1C6D-40AA-9F63-E8FEC7535E9C}"/>
    <cellStyle name="Normal 10 3 6 4 3 3 2 2" xfId="24296" xr:uid="{55E27F1F-670D-4E84-BEC3-9FD2F7C9FDE0}"/>
    <cellStyle name="Normal 10 3 6 4 3 3 3" xfId="24297" xr:uid="{658505BC-0A9A-49E7-9FDA-7301EF7B97D9}"/>
    <cellStyle name="Normal 10 3 6 4 3 4" xfId="24298" xr:uid="{7E023BFB-7F75-4BE6-B6B3-8895B541A34D}"/>
    <cellStyle name="Normal 10 3 6 4 3 4 2" xfId="24299" xr:uid="{5A8606D6-1854-4B8D-A5AA-0F692FE58F84}"/>
    <cellStyle name="Normal 10 3 6 4 3 5" xfId="24300" xr:uid="{9D452F93-6DAC-456B-B574-4CB4015DA15E}"/>
    <cellStyle name="Normal 10 3 6 4 4" xfId="24301" xr:uid="{7FB609D0-8E8E-404F-AA5C-85F0E1DB9285}"/>
    <cellStyle name="Normal 10 3 6 4 4 2" xfId="24302" xr:uid="{7CFF16D0-C5DF-45B9-968B-481415384E48}"/>
    <cellStyle name="Normal 10 3 6 4 4 2 2" xfId="24303" xr:uid="{A06CFD29-51BC-405D-83F6-46B8EAFD122D}"/>
    <cellStyle name="Normal 10 3 6 4 4 2 2 2" xfId="24304" xr:uid="{F226CE5C-DD17-4895-A2B7-5101DEA8DFD1}"/>
    <cellStyle name="Normal 10 3 6 4 4 2 3" xfId="24305" xr:uid="{FFFA48A4-98DC-44C7-A8C5-35445868BB6E}"/>
    <cellStyle name="Normal 10 3 6 4 4 3" xfId="24306" xr:uid="{4E544D6E-454B-4FEA-97C1-E87DC1C06196}"/>
    <cellStyle name="Normal 10 3 6 4 4 3 2" xfId="24307" xr:uid="{DB067463-7DD4-446C-8EF8-25BDFB7AADD7}"/>
    <cellStyle name="Normal 10 3 6 4 4 4" xfId="24308" xr:uid="{56927758-7F38-45B6-8AED-87E95E52EA3E}"/>
    <cellStyle name="Normal 10 3 6 4 5" xfId="24309" xr:uid="{E9F5E3B0-C516-4B07-9480-ACCCDC1DB60C}"/>
    <cellStyle name="Normal 10 3 6 4 5 2" xfId="24310" xr:uid="{99DACD8B-441E-432D-BC2E-E1817063F6A9}"/>
    <cellStyle name="Normal 10 3 6 4 5 2 2" xfId="24311" xr:uid="{814D7F62-C02B-4299-8F8D-6DC1ACECB7AD}"/>
    <cellStyle name="Normal 10 3 6 4 5 3" xfId="24312" xr:uid="{D2A2505C-5D9B-4640-8696-A83E53A92FFA}"/>
    <cellStyle name="Normal 10 3 6 4 6" xfId="24313" xr:uid="{F4B552BF-F142-4AEA-891A-82E49B79A9E3}"/>
    <cellStyle name="Normal 10 3 6 4 6 2" xfId="24314" xr:uid="{8AC116C4-BADD-4619-A876-14FFC5D29911}"/>
    <cellStyle name="Normal 10 3 6 4 7" xfId="24315" xr:uid="{9C5AB5F4-96AC-479E-80AF-A496D99A80BC}"/>
    <cellStyle name="Normal 10 3 6 5" xfId="24316" xr:uid="{D74B9ED6-A6BB-474C-A097-5689ACEA90A3}"/>
    <cellStyle name="Normal 10 3 6 5 2" xfId="24317" xr:uid="{226A144E-4502-497E-A766-B1B1CB4AF6AF}"/>
    <cellStyle name="Normal 10 3 6 5 2 2" xfId="24318" xr:uid="{9043DEF4-25D0-4667-B625-0AE1A34D94B5}"/>
    <cellStyle name="Normal 10 3 6 5 2 2 2" xfId="24319" xr:uid="{BD5A33CE-167F-4EC7-9219-C158551348E9}"/>
    <cellStyle name="Normal 10 3 6 5 2 2 2 2" xfId="24320" xr:uid="{33A31F5A-151D-42D2-8C1A-B7F4AD7F2769}"/>
    <cellStyle name="Normal 10 3 6 5 2 2 2 2 2" xfId="24321" xr:uid="{58941EF5-EE28-4A59-B26D-ABAB6083A2D3}"/>
    <cellStyle name="Normal 10 3 6 5 2 2 2 3" xfId="24322" xr:uid="{F8341A5A-F3A9-41B5-9547-FEEAEEE9C39D}"/>
    <cellStyle name="Normal 10 3 6 5 2 2 3" xfId="24323" xr:uid="{BB7C983E-4565-40E9-A275-88B2D6742194}"/>
    <cellStyle name="Normal 10 3 6 5 2 2 3 2" xfId="24324" xr:uid="{1A47D24A-601B-441F-A4BF-55194114CDD4}"/>
    <cellStyle name="Normal 10 3 6 5 2 2 4" xfId="24325" xr:uid="{8B4B2759-2DAD-4BC1-B26C-5D9794EE3091}"/>
    <cellStyle name="Normal 10 3 6 5 2 3" xfId="24326" xr:uid="{A5154BD1-CD21-40BB-84B1-F72552A71865}"/>
    <cellStyle name="Normal 10 3 6 5 2 3 2" xfId="24327" xr:uid="{E1ED3B90-AB42-4853-9FCA-4D9C5796065B}"/>
    <cellStyle name="Normal 10 3 6 5 2 3 2 2" xfId="24328" xr:uid="{663948D8-EE42-4270-8170-430C525010EB}"/>
    <cellStyle name="Normal 10 3 6 5 2 3 3" xfId="24329" xr:uid="{394B50EC-617E-476A-A1B1-90333328B458}"/>
    <cellStyle name="Normal 10 3 6 5 2 4" xfId="24330" xr:uid="{549E72E8-FC7A-474E-944D-7191E595CF08}"/>
    <cellStyle name="Normal 10 3 6 5 2 4 2" xfId="24331" xr:uid="{2CCEB52A-D765-4A33-8FDF-9935A60E772A}"/>
    <cellStyle name="Normal 10 3 6 5 2 5" xfId="24332" xr:uid="{94CA5F9A-9A48-4253-80A3-5DBC93A991A4}"/>
    <cellStyle name="Normal 10 3 6 5 3" xfId="24333" xr:uid="{4662D0E0-976A-4C40-A872-B93B221F689E}"/>
    <cellStyle name="Normal 10 3 6 5 3 2" xfId="24334" xr:uid="{DD5D5E42-E0E7-474F-BDBE-B47643CD4CA0}"/>
    <cellStyle name="Normal 10 3 6 5 3 2 2" xfId="24335" xr:uid="{F0AF7D22-718C-4B6A-9C95-04B99C0BBCD0}"/>
    <cellStyle name="Normal 10 3 6 5 3 2 2 2" xfId="24336" xr:uid="{3028B397-A8C5-4C20-B95F-31EC4132FDAC}"/>
    <cellStyle name="Normal 10 3 6 5 3 2 3" xfId="24337" xr:uid="{C2B4AA39-0D3F-46D0-969F-A309D2D9729C}"/>
    <cellStyle name="Normal 10 3 6 5 3 3" xfId="24338" xr:uid="{8D9E5245-EA8B-410E-A609-9D3830208930}"/>
    <cellStyle name="Normal 10 3 6 5 3 3 2" xfId="24339" xr:uid="{B6967B6A-B4AF-413C-B013-80F1DD213450}"/>
    <cellStyle name="Normal 10 3 6 5 3 4" xfId="24340" xr:uid="{74F03059-03F0-4CA3-A2CF-304EBCDF0951}"/>
    <cellStyle name="Normal 10 3 6 5 4" xfId="24341" xr:uid="{10C13F55-E92A-4DFE-B16C-C5BF1D72EECD}"/>
    <cellStyle name="Normal 10 3 6 5 4 2" xfId="24342" xr:uid="{756F226F-A506-45E3-AEA0-0CF0509DAE3D}"/>
    <cellStyle name="Normal 10 3 6 5 4 2 2" xfId="24343" xr:uid="{EC4E0F57-E2D3-4F85-A13F-D73B8F0933C0}"/>
    <cellStyle name="Normal 10 3 6 5 4 3" xfId="24344" xr:uid="{78DD1F3F-8865-4824-AC73-E9ED481F8328}"/>
    <cellStyle name="Normal 10 3 6 5 5" xfId="24345" xr:uid="{C023E075-1644-42F0-AE2C-A457AEDB306B}"/>
    <cellStyle name="Normal 10 3 6 5 5 2" xfId="24346" xr:uid="{B6F88476-71E0-4DBC-8D11-5C29911CB3C7}"/>
    <cellStyle name="Normal 10 3 6 5 6" xfId="24347" xr:uid="{9D534A89-7C80-448D-8320-8CAC7E0B0303}"/>
    <cellStyle name="Normal 10 3 6 6" xfId="24348" xr:uid="{3D42A146-1052-461E-BA2C-355746AC41D5}"/>
    <cellStyle name="Normal 10 3 6 6 2" xfId="24349" xr:uid="{BE41F00D-921B-40B4-BD8B-C4E04287A741}"/>
    <cellStyle name="Normal 10 3 6 6 2 2" xfId="24350" xr:uid="{071BB41A-5C05-48AA-AF5C-812D88630226}"/>
    <cellStyle name="Normal 10 3 6 6 2 2 2" xfId="24351" xr:uid="{9F4098FA-A65C-46D9-9C4C-3C9BAB4CB866}"/>
    <cellStyle name="Normal 10 3 6 6 2 2 2 2" xfId="24352" xr:uid="{A70C1259-AB11-4F64-8247-821D747D9300}"/>
    <cellStyle name="Normal 10 3 6 6 2 2 3" xfId="24353" xr:uid="{29D3C3C1-BC3F-4B3C-8603-57AEA93E81B5}"/>
    <cellStyle name="Normal 10 3 6 6 2 3" xfId="24354" xr:uid="{CB74F3F1-042E-41E5-A46A-DFB19320F3D9}"/>
    <cellStyle name="Normal 10 3 6 6 2 3 2" xfId="24355" xr:uid="{86F9555B-E6A1-43BF-B131-3A5A9CEFE981}"/>
    <cellStyle name="Normal 10 3 6 6 2 4" xfId="24356" xr:uid="{F43453E4-B2DE-4FD7-A58B-00E761285D21}"/>
    <cellStyle name="Normal 10 3 6 6 3" xfId="24357" xr:uid="{8B980060-638D-4165-A8D0-6ABA47F1422C}"/>
    <cellStyle name="Normal 10 3 6 6 3 2" xfId="24358" xr:uid="{90678729-2D6C-4A29-AB7E-F1AA0D772930}"/>
    <cellStyle name="Normal 10 3 6 6 3 2 2" xfId="24359" xr:uid="{B383D4F5-9CAD-477E-89C5-DDFFFDE3E050}"/>
    <cellStyle name="Normal 10 3 6 6 3 3" xfId="24360" xr:uid="{4C3927D5-7138-4F4E-8A1F-55AC9D4E6618}"/>
    <cellStyle name="Normal 10 3 6 6 4" xfId="24361" xr:uid="{CC55FAEF-1337-410A-907A-C414708B3813}"/>
    <cellStyle name="Normal 10 3 6 6 4 2" xfId="24362" xr:uid="{FF019D6C-BCA7-405B-8BB2-1C9F1FFC5B5F}"/>
    <cellStyle name="Normal 10 3 6 6 5" xfId="24363" xr:uid="{9F26912F-D7C8-4C28-BAC1-22B9F955AD8E}"/>
    <cellStyle name="Normal 10 3 6 7" xfId="24364" xr:uid="{F2CFA0C3-5C0B-497C-BA13-B1D4C7D6B6C4}"/>
    <cellStyle name="Normal 10 3 6 7 2" xfId="24365" xr:uid="{F6C37F8A-C60F-43AC-AE7C-C1DA8A4817CD}"/>
    <cellStyle name="Normal 10 3 6 7 2 2" xfId="24366" xr:uid="{55B7AF2F-94CD-41B9-8687-39F434BFB56F}"/>
    <cellStyle name="Normal 10 3 6 7 2 2 2" xfId="24367" xr:uid="{4214A854-8979-454E-A15F-DAAE7BF3A6B7}"/>
    <cellStyle name="Normal 10 3 6 7 2 3" xfId="24368" xr:uid="{ABCCA996-B60C-4FD6-8798-8ED17AB626CE}"/>
    <cellStyle name="Normal 10 3 6 7 3" xfId="24369" xr:uid="{1F7941C3-1707-491B-B3C0-70E3C0FD8AFB}"/>
    <cellStyle name="Normal 10 3 6 7 3 2" xfId="24370" xr:uid="{DB411D94-1010-43AA-98BC-08291B3BE198}"/>
    <cellStyle name="Normal 10 3 6 7 4" xfId="24371" xr:uid="{9A6F805B-2B5B-489D-A846-E9F49534F9CA}"/>
    <cellStyle name="Normal 10 3 6 8" xfId="24372" xr:uid="{289B252C-6D70-4EB7-96A7-5A7263759BA0}"/>
    <cellStyle name="Normal 10 3 6 8 2" xfId="24373" xr:uid="{1F2BB77F-99DB-42BD-8210-6845D928BAA2}"/>
    <cellStyle name="Normal 10 3 6 8 2 2" xfId="24374" xr:uid="{86D14B7D-F958-4DB9-A2F4-E3D8A574A911}"/>
    <cellStyle name="Normal 10 3 6 8 3" xfId="24375" xr:uid="{6DB294A1-4AD7-4DEE-8B10-F4727214DBDC}"/>
    <cellStyle name="Normal 10 3 6 9" xfId="24376" xr:uid="{93251C28-4F20-4C2A-A265-6F1C0DFB6C94}"/>
    <cellStyle name="Normal 10 3 6 9 2" xfId="24377" xr:uid="{63FD78F9-7D97-4135-A7A5-EC9DED4B76DF}"/>
    <cellStyle name="Normal 10 3 7" xfId="251" xr:uid="{334D8945-F19A-4D86-84A5-FE0585C14B0F}"/>
    <cellStyle name="Normal 10 3 7 10" xfId="24378" xr:uid="{DB41C217-8150-4DA4-A7FD-F18B2EC640E7}"/>
    <cellStyle name="Normal 10 3 7 11" xfId="572" xr:uid="{1CC61918-D677-494F-8C91-F5F984CC9544}"/>
    <cellStyle name="Normal 10 3 7 2" xfId="346" xr:uid="{F64CED22-02AB-4944-8FE8-52602261EF0F}"/>
    <cellStyle name="Normal 10 3 7 2 10" xfId="24379" xr:uid="{FBBE368D-1483-437E-B713-BBD811639214}"/>
    <cellStyle name="Normal 10 3 7 2 2" xfId="24380" xr:uid="{B412120C-8E32-49CF-AA0D-AE12617DAD28}"/>
    <cellStyle name="Normal 10 3 7 2 2 2" xfId="24381" xr:uid="{8DDCB43A-920F-446E-A94D-C9512B5FC8C1}"/>
    <cellStyle name="Normal 10 3 7 2 2 2 2" xfId="24382" xr:uid="{FD4F6437-BCA5-4E7B-A881-1DDC527810CD}"/>
    <cellStyle name="Normal 10 3 7 2 2 2 2 2" xfId="24383" xr:uid="{7017A3D7-4CFC-4608-A011-98474D1D8489}"/>
    <cellStyle name="Normal 10 3 7 2 2 2 2 2 2" xfId="24384" xr:uid="{6D5D0E0D-332F-45E4-8F70-0BBE629E0BDB}"/>
    <cellStyle name="Normal 10 3 7 2 2 2 2 2 2 2" xfId="24385" xr:uid="{3FA26A3C-C90B-4753-891C-365A6756C9A2}"/>
    <cellStyle name="Normal 10 3 7 2 2 2 2 2 2 2 2" xfId="24386" xr:uid="{4252457E-52F9-4B05-8276-81A9222CAE80}"/>
    <cellStyle name="Normal 10 3 7 2 2 2 2 2 2 2 2 2" xfId="24387" xr:uid="{D3AEE433-54FC-4ACE-B90B-1D61CB0147E1}"/>
    <cellStyle name="Normal 10 3 7 2 2 2 2 2 2 2 3" xfId="24388" xr:uid="{33FCE50E-B8A6-423F-9061-62C119D59812}"/>
    <cellStyle name="Normal 10 3 7 2 2 2 2 2 2 3" xfId="24389" xr:uid="{555DE481-0810-4AF6-9EFE-B7B730B77478}"/>
    <cellStyle name="Normal 10 3 7 2 2 2 2 2 2 3 2" xfId="24390" xr:uid="{A33BCBB8-CA2D-496C-BE0A-6653DA3E73A5}"/>
    <cellStyle name="Normal 10 3 7 2 2 2 2 2 2 4" xfId="24391" xr:uid="{914E147E-8A3E-465E-9C0E-C792A79424BA}"/>
    <cellStyle name="Normal 10 3 7 2 2 2 2 2 3" xfId="24392" xr:uid="{53C8495A-3026-42AD-B8E4-5EB703A357EB}"/>
    <cellStyle name="Normal 10 3 7 2 2 2 2 2 3 2" xfId="24393" xr:uid="{28A1B44C-436E-4130-974C-8CA36FCD3C20}"/>
    <cellStyle name="Normal 10 3 7 2 2 2 2 2 3 2 2" xfId="24394" xr:uid="{E20B8416-817B-4F12-AD89-216DAED6BC01}"/>
    <cellStyle name="Normal 10 3 7 2 2 2 2 2 3 3" xfId="24395" xr:uid="{4BE36EE0-79D5-4906-A2EF-FEA96B98B5EC}"/>
    <cellStyle name="Normal 10 3 7 2 2 2 2 2 4" xfId="24396" xr:uid="{36C3891C-FC4B-40D2-9EA2-4874B4A5E78F}"/>
    <cellStyle name="Normal 10 3 7 2 2 2 2 2 4 2" xfId="24397" xr:uid="{6EB066B7-7D9D-4D50-8075-F3C3D20FD0DE}"/>
    <cellStyle name="Normal 10 3 7 2 2 2 2 2 5" xfId="24398" xr:uid="{FF225F80-07B5-41B6-A978-7A58D3C3DC72}"/>
    <cellStyle name="Normal 10 3 7 2 2 2 2 3" xfId="24399" xr:uid="{8882158E-F5F1-4C9C-9E69-A286A0ED027D}"/>
    <cellStyle name="Normal 10 3 7 2 2 2 2 3 2" xfId="24400" xr:uid="{A7362BF1-3125-4742-9905-5742B8098318}"/>
    <cellStyle name="Normal 10 3 7 2 2 2 2 3 2 2" xfId="24401" xr:uid="{64DB43C8-CFE8-4A94-8FB6-534E22B6C3D8}"/>
    <cellStyle name="Normal 10 3 7 2 2 2 2 3 2 2 2" xfId="24402" xr:uid="{E943724C-4BCD-41F7-912A-ABD048FE5C8F}"/>
    <cellStyle name="Normal 10 3 7 2 2 2 2 3 2 3" xfId="24403" xr:uid="{9A278EDE-DDAC-48D8-BDA8-1F5B8796DC04}"/>
    <cellStyle name="Normal 10 3 7 2 2 2 2 3 3" xfId="24404" xr:uid="{D6AD00DC-0B9C-4CF7-8466-9DA9C16615DF}"/>
    <cellStyle name="Normal 10 3 7 2 2 2 2 3 3 2" xfId="24405" xr:uid="{31B7716C-872B-4157-AC98-50EC73D97006}"/>
    <cellStyle name="Normal 10 3 7 2 2 2 2 3 4" xfId="24406" xr:uid="{49A86A74-60FA-4456-8BC9-8D760DC09DE7}"/>
    <cellStyle name="Normal 10 3 7 2 2 2 2 4" xfId="24407" xr:uid="{937F2D58-81D3-4157-9D5D-BD66CCFCB278}"/>
    <cellStyle name="Normal 10 3 7 2 2 2 2 4 2" xfId="24408" xr:uid="{A31CD291-97F1-4934-9BFC-070A42F070C8}"/>
    <cellStyle name="Normal 10 3 7 2 2 2 2 4 2 2" xfId="24409" xr:uid="{3D199C6C-41AB-4F20-9E00-DFDEA91774D3}"/>
    <cellStyle name="Normal 10 3 7 2 2 2 2 4 3" xfId="24410" xr:uid="{AF70330A-A203-4A09-818E-6130C4BE6453}"/>
    <cellStyle name="Normal 10 3 7 2 2 2 2 5" xfId="24411" xr:uid="{EFFAFE43-199D-4A7D-BF84-64A9DD54156F}"/>
    <cellStyle name="Normal 10 3 7 2 2 2 2 5 2" xfId="24412" xr:uid="{72F544E9-D521-4890-A7DA-BDB102FE23BF}"/>
    <cellStyle name="Normal 10 3 7 2 2 2 2 6" xfId="24413" xr:uid="{462C1B21-7505-45E6-8261-AD96E12930D6}"/>
    <cellStyle name="Normal 10 3 7 2 2 2 3" xfId="24414" xr:uid="{758FCB8B-D1AB-469F-89F5-971787B0F8B3}"/>
    <cellStyle name="Normal 10 3 7 2 2 2 3 2" xfId="24415" xr:uid="{6942E373-7548-44DD-A13B-B0F3AA7C943C}"/>
    <cellStyle name="Normal 10 3 7 2 2 2 3 2 2" xfId="24416" xr:uid="{9343D8C2-EC46-4F98-956B-79CC5293E8E2}"/>
    <cellStyle name="Normal 10 3 7 2 2 2 3 2 2 2" xfId="24417" xr:uid="{200EDAE7-AD0F-47CE-B67E-AECC84FDF1D9}"/>
    <cellStyle name="Normal 10 3 7 2 2 2 3 2 2 2 2" xfId="24418" xr:uid="{5F6B5840-B49A-4C08-9AE6-17795A19A3BC}"/>
    <cellStyle name="Normal 10 3 7 2 2 2 3 2 2 3" xfId="24419" xr:uid="{03529387-80E1-47E8-ACEE-CE9E132E0722}"/>
    <cellStyle name="Normal 10 3 7 2 2 2 3 2 3" xfId="24420" xr:uid="{D7665132-4528-4C1F-A671-89E4C4D9B58F}"/>
    <cellStyle name="Normal 10 3 7 2 2 2 3 2 3 2" xfId="24421" xr:uid="{8B9811E1-EB6A-4CFB-92D7-2FC5A1FADC8E}"/>
    <cellStyle name="Normal 10 3 7 2 2 2 3 2 4" xfId="24422" xr:uid="{4AA2FEA0-E0C1-46E7-AAA0-3A3C5612F69B}"/>
    <cellStyle name="Normal 10 3 7 2 2 2 3 3" xfId="24423" xr:uid="{3ED21801-7916-4B9A-A077-E6E60F345B68}"/>
    <cellStyle name="Normal 10 3 7 2 2 2 3 3 2" xfId="24424" xr:uid="{DDAE2A11-33B4-4695-9C17-4171A32E49AB}"/>
    <cellStyle name="Normal 10 3 7 2 2 2 3 3 2 2" xfId="24425" xr:uid="{C9A9F957-439C-4FF3-B27F-03A86C842E23}"/>
    <cellStyle name="Normal 10 3 7 2 2 2 3 3 3" xfId="24426" xr:uid="{143BE187-E5D3-4D32-9064-022E809E4421}"/>
    <cellStyle name="Normal 10 3 7 2 2 2 3 4" xfId="24427" xr:uid="{84FF2220-0430-444B-81CE-E348165BAA6D}"/>
    <cellStyle name="Normal 10 3 7 2 2 2 3 4 2" xfId="24428" xr:uid="{68B124F6-BDDD-43AA-ABD0-31637695C85B}"/>
    <cellStyle name="Normal 10 3 7 2 2 2 3 5" xfId="24429" xr:uid="{44D2B883-19C8-4BD2-9F82-B99249DF3245}"/>
    <cellStyle name="Normal 10 3 7 2 2 2 4" xfId="24430" xr:uid="{C1319A5E-0B8E-41F3-9621-237F8E62F7A6}"/>
    <cellStyle name="Normal 10 3 7 2 2 2 4 2" xfId="24431" xr:uid="{5FD8D8B3-EC6D-4FDC-9DE5-31E735AE6824}"/>
    <cellStyle name="Normal 10 3 7 2 2 2 4 2 2" xfId="24432" xr:uid="{0CF0EE36-3D67-4787-B65D-3C27EE627D3B}"/>
    <cellStyle name="Normal 10 3 7 2 2 2 4 2 2 2" xfId="24433" xr:uid="{FCEA75D4-46E8-4860-8D31-739F339BF1E3}"/>
    <cellStyle name="Normal 10 3 7 2 2 2 4 2 3" xfId="24434" xr:uid="{D7E9293C-2A0D-47E3-9F72-B1286A0875DB}"/>
    <cellStyle name="Normal 10 3 7 2 2 2 4 3" xfId="24435" xr:uid="{90B79728-ABC1-48E5-A04E-E224FB1EF076}"/>
    <cellStyle name="Normal 10 3 7 2 2 2 4 3 2" xfId="24436" xr:uid="{135B35E4-ED04-4452-92C1-36A73D183BE3}"/>
    <cellStyle name="Normal 10 3 7 2 2 2 4 4" xfId="24437" xr:uid="{1A90C12B-35A5-45B3-8375-5E271301BFFA}"/>
    <cellStyle name="Normal 10 3 7 2 2 2 5" xfId="24438" xr:uid="{042F8BC8-AAAE-41B8-93F1-9804AEE1A9BB}"/>
    <cellStyle name="Normal 10 3 7 2 2 2 5 2" xfId="24439" xr:uid="{0A92D7E2-394D-4290-8A7A-CA0E731BF64C}"/>
    <cellStyle name="Normal 10 3 7 2 2 2 5 2 2" xfId="24440" xr:uid="{C60D4C9A-D2FC-428F-8CB9-CA6D540371D2}"/>
    <cellStyle name="Normal 10 3 7 2 2 2 5 3" xfId="24441" xr:uid="{AFE27CD5-89C8-4B17-9CD6-FA886561BC03}"/>
    <cellStyle name="Normal 10 3 7 2 2 2 6" xfId="24442" xr:uid="{EEEC5FC4-B405-4E56-A13B-C0D9258455F0}"/>
    <cellStyle name="Normal 10 3 7 2 2 2 6 2" xfId="24443" xr:uid="{0293D99E-D42C-44AD-9B0E-89D523ACB651}"/>
    <cellStyle name="Normal 10 3 7 2 2 2 7" xfId="24444" xr:uid="{6B7E4806-9BA0-4518-B993-3B90C7B0F621}"/>
    <cellStyle name="Normal 10 3 7 2 2 3" xfId="24445" xr:uid="{2CEA8812-BAD2-45C6-90F8-13A952634E48}"/>
    <cellStyle name="Normal 10 3 7 2 2 3 2" xfId="24446" xr:uid="{F6460B64-490D-48F2-858E-25D1DCA9F16F}"/>
    <cellStyle name="Normal 10 3 7 2 2 3 2 2" xfId="24447" xr:uid="{EE1DF671-4F33-4838-9EEF-07BF9BED8542}"/>
    <cellStyle name="Normal 10 3 7 2 2 3 2 2 2" xfId="24448" xr:uid="{BF920A84-CC91-4529-9030-EFC7A217DFC5}"/>
    <cellStyle name="Normal 10 3 7 2 2 3 2 2 2 2" xfId="24449" xr:uid="{BC3A09A0-3256-42F6-B63D-50BBA73E5825}"/>
    <cellStyle name="Normal 10 3 7 2 2 3 2 2 2 2 2" xfId="24450" xr:uid="{3135F420-E224-4261-A5E0-C2387F0C5094}"/>
    <cellStyle name="Normal 10 3 7 2 2 3 2 2 2 3" xfId="24451" xr:uid="{E1DA7B04-FC88-4A4B-BBC3-710959C40A15}"/>
    <cellStyle name="Normal 10 3 7 2 2 3 2 2 3" xfId="24452" xr:uid="{3C1AAB05-D02C-4234-A6AF-31B6F54829C3}"/>
    <cellStyle name="Normal 10 3 7 2 2 3 2 2 3 2" xfId="24453" xr:uid="{2F0B5494-9C5A-4C08-BD9B-B10FB5B42B1F}"/>
    <cellStyle name="Normal 10 3 7 2 2 3 2 2 4" xfId="24454" xr:uid="{A6B0DA46-AB35-4236-965B-3C10132CA068}"/>
    <cellStyle name="Normal 10 3 7 2 2 3 2 3" xfId="24455" xr:uid="{58EF40D0-CC60-4CBD-86D3-1C7A50803A5D}"/>
    <cellStyle name="Normal 10 3 7 2 2 3 2 3 2" xfId="24456" xr:uid="{33A03FDA-CFF9-492E-8C61-45531BC0BA06}"/>
    <cellStyle name="Normal 10 3 7 2 2 3 2 3 2 2" xfId="24457" xr:uid="{9605135F-1E06-419F-BCED-EB728B9BFEF1}"/>
    <cellStyle name="Normal 10 3 7 2 2 3 2 3 3" xfId="24458" xr:uid="{294C53A6-1A8F-4A36-979B-60281E93B60E}"/>
    <cellStyle name="Normal 10 3 7 2 2 3 2 4" xfId="24459" xr:uid="{9FCCD33C-6D98-4155-BF0F-D8B0FD07FD8A}"/>
    <cellStyle name="Normal 10 3 7 2 2 3 2 4 2" xfId="24460" xr:uid="{99E0CF84-2A0F-4FC8-ABED-8DE909E2C3CF}"/>
    <cellStyle name="Normal 10 3 7 2 2 3 2 5" xfId="24461" xr:uid="{535E7949-F94C-4821-A0BB-317A9CC0E3B8}"/>
    <cellStyle name="Normal 10 3 7 2 2 3 3" xfId="24462" xr:uid="{80692A7A-2DED-4196-B3E6-0E1118BBAAC3}"/>
    <cellStyle name="Normal 10 3 7 2 2 3 3 2" xfId="24463" xr:uid="{241B4D36-F1DD-4EC4-85F7-09D2784D362E}"/>
    <cellStyle name="Normal 10 3 7 2 2 3 3 2 2" xfId="24464" xr:uid="{976CF350-6AAB-4041-B098-76485320F0A6}"/>
    <cellStyle name="Normal 10 3 7 2 2 3 3 2 2 2" xfId="24465" xr:uid="{6B96CC17-9E03-4D88-A761-A2F4BE2507CB}"/>
    <cellStyle name="Normal 10 3 7 2 2 3 3 2 3" xfId="24466" xr:uid="{F29F9392-050B-41A5-BBD2-0C0ECD912F23}"/>
    <cellStyle name="Normal 10 3 7 2 2 3 3 3" xfId="24467" xr:uid="{7A8E3E0D-62E5-41FC-91DD-27105C44B9A7}"/>
    <cellStyle name="Normal 10 3 7 2 2 3 3 3 2" xfId="24468" xr:uid="{C95D7B33-288A-4797-AA84-AAB688607CB0}"/>
    <cellStyle name="Normal 10 3 7 2 2 3 3 4" xfId="24469" xr:uid="{C8F9E170-09F3-49A8-8B66-F7085C3AB5CF}"/>
    <cellStyle name="Normal 10 3 7 2 2 3 4" xfId="24470" xr:uid="{EFF11461-BBDC-428F-AAFC-8C64E9647B6A}"/>
    <cellStyle name="Normal 10 3 7 2 2 3 4 2" xfId="24471" xr:uid="{D939428D-CDBC-43D9-9DD3-7DCBE40D114B}"/>
    <cellStyle name="Normal 10 3 7 2 2 3 4 2 2" xfId="24472" xr:uid="{ED54E37A-5255-4CDE-BFF1-E9A3A916AD14}"/>
    <cellStyle name="Normal 10 3 7 2 2 3 4 3" xfId="24473" xr:uid="{67D1CA23-3E45-4EC6-9433-C11CE0120121}"/>
    <cellStyle name="Normal 10 3 7 2 2 3 5" xfId="24474" xr:uid="{61032091-19BE-4D4C-8D15-B532CDE681F3}"/>
    <cellStyle name="Normal 10 3 7 2 2 3 5 2" xfId="24475" xr:uid="{AAF2CDD6-9048-43DC-81A2-BDFF47402026}"/>
    <cellStyle name="Normal 10 3 7 2 2 3 6" xfId="24476" xr:uid="{AA111A93-4B8D-4231-8617-D9803C1A6BFC}"/>
    <cellStyle name="Normal 10 3 7 2 2 4" xfId="24477" xr:uid="{70DB292A-1426-4A5B-BE09-4A7319073666}"/>
    <cellStyle name="Normal 10 3 7 2 2 4 2" xfId="24478" xr:uid="{9806E4F5-40BA-4575-9496-46D1D1AE5A09}"/>
    <cellStyle name="Normal 10 3 7 2 2 4 2 2" xfId="24479" xr:uid="{28B74DCB-38C7-410F-B519-C10F67D70AE4}"/>
    <cellStyle name="Normal 10 3 7 2 2 4 2 2 2" xfId="24480" xr:uid="{93FB90DB-3983-49C5-B1B3-80BDDB7C3A2D}"/>
    <cellStyle name="Normal 10 3 7 2 2 4 2 2 2 2" xfId="24481" xr:uid="{BDC50866-2CCE-410B-94EA-7DFF587A5290}"/>
    <cellStyle name="Normal 10 3 7 2 2 4 2 2 3" xfId="24482" xr:uid="{98B6372C-EBD4-4729-B6A4-E881FE02D743}"/>
    <cellStyle name="Normal 10 3 7 2 2 4 2 3" xfId="24483" xr:uid="{B496127F-33C7-46DE-9851-F963753EC055}"/>
    <cellStyle name="Normal 10 3 7 2 2 4 2 3 2" xfId="24484" xr:uid="{9DC108B9-9DDD-45AC-A3C6-B83575CCD5F0}"/>
    <cellStyle name="Normal 10 3 7 2 2 4 2 4" xfId="24485" xr:uid="{9E913854-65FE-44E5-BB0F-1ECFD6607B89}"/>
    <cellStyle name="Normal 10 3 7 2 2 4 3" xfId="24486" xr:uid="{5AADA5BE-53B2-44D6-AAE6-0C852664117E}"/>
    <cellStyle name="Normal 10 3 7 2 2 4 3 2" xfId="24487" xr:uid="{8A134FE5-07AD-4C7E-A2DA-7D7BF61B8DC4}"/>
    <cellStyle name="Normal 10 3 7 2 2 4 3 2 2" xfId="24488" xr:uid="{B5970244-3C1B-4AFE-81F1-ECD303AAC49A}"/>
    <cellStyle name="Normal 10 3 7 2 2 4 3 3" xfId="24489" xr:uid="{F208CA5B-2162-451E-98B8-3624069192E4}"/>
    <cellStyle name="Normal 10 3 7 2 2 4 4" xfId="24490" xr:uid="{4F68B933-BBFF-4E10-9DCF-3D7A5949C6D6}"/>
    <cellStyle name="Normal 10 3 7 2 2 4 4 2" xfId="24491" xr:uid="{AA162E31-B138-4E2D-97F7-FA850E12F7F6}"/>
    <cellStyle name="Normal 10 3 7 2 2 4 5" xfId="24492" xr:uid="{3BB61D43-AC4B-4CF5-BEF3-98A1C3A0737E}"/>
    <cellStyle name="Normal 10 3 7 2 2 5" xfId="24493" xr:uid="{CEFE8C89-599A-4173-A60D-F78C3A0A904B}"/>
    <cellStyle name="Normal 10 3 7 2 2 5 2" xfId="24494" xr:uid="{B834756E-CE6E-4B3A-82D3-33B4A9F7076A}"/>
    <cellStyle name="Normal 10 3 7 2 2 5 2 2" xfId="24495" xr:uid="{E6E2538A-8A0B-4AC2-A4C5-2AC8D3963BC3}"/>
    <cellStyle name="Normal 10 3 7 2 2 5 2 2 2" xfId="24496" xr:uid="{E5225A69-5911-4D33-9758-3F8095CF174E}"/>
    <cellStyle name="Normal 10 3 7 2 2 5 2 3" xfId="24497" xr:uid="{063E09A1-9565-46A4-BEF1-7C490C629E1E}"/>
    <cellStyle name="Normal 10 3 7 2 2 5 3" xfId="24498" xr:uid="{C8E8417E-1199-414D-B420-3D6DAF0A9293}"/>
    <cellStyle name="Normal 10 3 7 2 2 5 3 2" xfId="24499" xr:uid="{3040D434-785C-4909-8998-942869A1210E}"/>
    <cellStyle name="Normal 10 3 7 2 2 5 4" xfId="24500" xr:uid="{D2B4CCB7-8DB9-4421-B42F-01353138FE7F}"/>
    <cellStyle name="Normal 10 3 7 2 2 6" xfId="24501" xr:uid="{6E9B541E-B224-4A21-B3E2-AE47E8E31155}"/>
    <cellStyle name="Normal 10 3 7 2 2 6 2" xfId="24502" xr:uid="{C1CC67D4-0F95-4C7E-BD73-38A00C381436}"/>
    <cellStyle name="Normal 10 3 7 2 2 6 2 2" xfId="24503" xr:uid="{2634026D-1C5E-48B1-867F-5E4E6AABD8E1}"/>
    <cellStyle name="Normal 10 3 7 2 2 6 3" xfId="24504" xr:uid="{295FD5C4-AA6E-4473-9769-0C3F48C98118}"/>
    <cellStyle name="Normal 10 3 7 2 2 7" xfId="24505" xr:uid="{1A8634A9-EB12-4100-9D56-4CC7839244F6}"/>
    <cellStyle name="Normal 10 3 7 2 2 7 2" xfId="24506" xr:uid="{AFB67F22-BB3C-4B7D-9A8A-F9F8CC7F9064}"/>
    <cellStyle name="Normal 10 3 7 2 2 8" xfId="24507" xr:uid="{450C6E7E-27DF-4997-8F31-146B4F42BD25}"/>
    <cellStyle name="Normal 10 3 7 2 3" xfId="24508" xr:uid="{46EA66DB-A5D5-4FA5-9981-6DA30CA08DE2}"/>
    <cellStyle name="Normal 10 3 7 2 3 2" xfId="24509" xr:uid="{E8B93903-984A-4711-A3CC-B41EC2901CF2}"/>
    <cellStyle name="Normal 10 3 7 2 3 2 2" xfId="24510" xr:uid="{A98C8128-FB81-4CF4-BA7B-5615F9A7DDB1}"/>
    <cellStyle name="Normal 10 3 7 2 3 2 2 2" xfId="24511" xr:uid="{F7DF04E9-004C-40A9-825B-6DD1D4C0CB44}"/>
    <cellStyle name="Normal 10 3 7 2 3 2 2 2 2" xfId="24512" xr:uid="{D0FF794E-C84C-475F-90C8-B06A440DA873}"/>
    <cellStyle name="Normal 10 3 7 2 3 2 2 2 2 2" xfId="24513" xr:uid="{A6ACECF4-0CA0-49BE-8C9C-691ACDD14260}"/>
    <cellStyle name="Normal 10 3 7 2 3 2 2 2 2 2 2" xfId="24514" xr:uid="{D34CE337-D15B-45F1-B30C-43032FF511BE}"/>
    <cellStyle name="Normal 10 3 7 2 3 2 2 2 2 3" xfId="24515" xr:uid="{87730C5C-7334-4844-A48A-1B4528A673B9}"/>
    <cellStyle name="Normal 10 3 7 2 3 2 2 2 3" xfId="24516" xr:uid="{59D5A515-246A-4CAD-9EBD-1022B848613C}"/>
    <cellStyle name="Normal 10 3 7 2 3 2 2 2 3 2" xfId="24517" xr:uid="{1E50738D-C2FE-48D6-802F-37802AAB451C}"/>
    <cellStyle name="Normal 10 3 7 2 3 2 2 2 4" xfId="24518" xr:uid="{CD692648-152E-45A0-A12D-AE9098315527}"/>
    <cellStyle name="Normal 10 3 7 2 3 2 2 3" xfId="24519" xr:uid="{5DB815B7-3E94-4087-B0CE-CCC849B9AC9E}"/>
    <cellStyle name="Normal 10 3 7 2 3 2 2 3 2" xfId="24520" xr:uid="{E8987615-1B36-44FC-9DEE-2CBD3814DF9B}"/>
    <cellStyle name="Normal 10 3 7 2 3 2 2 3 2 2" xfId="24521" xr:uid="{D22012FA-4CA6-4AEE-ABF1-DFA6E6F08A2D}"/>
    <cellStyle name="Normal 10 3 7 2 3 2 2 3 3" xfId="24522" xr:uid="{69C25A87-0FA5-4FE7-8B94-FD00CB394E1E}"/>
    <cellStyle name="Normal 10 3 7 2 3 2 2 4" xfId="24523" xr:uid="{5CC848CA-C5C6-44F6-94CE-1C41B3FA2158}"/>
    <cellStyle name="Normal 10 3 7 2 3 2 2 4 2" xfId="24524" xr:uid="{3697C9D7-C262-4A45-AD4B-7A11A482D845}"/>
    <cellStyle name="Normal 10 3 7 2 3 2 2 5" xfId="24525" xr:uid="{9C626C5D-8E6B-49A5-BA89-65DD5B9B97B0}"/>
    <cellStyle name="Normal 10 3 7 2 3 2 3" xfId="24526" xr:uid="{9B85122E-1E58-4A05-BF6A-99E97D694CE7}"/>
    <cellStyle name="Normal 10 3 7 2 3 2 3 2" xfId="24527" xr:uid="{86DCE049-BE52-4774-AC14-DD647C6FD560}"/>
    <cellStyle name="Normal 10 3 7 2 3 2 3 2 2" xfId="24528" xr:uid="{322050F8-16B0-4225-9C12-7EE59A1ACD47}"/>
    <cellStyle name="Normal 10 3 7 2 3 2 3 2 2 2" xfId="24529" xr:uid="{F51B23D1-0288-4D79-9124-2E6D84B73837}"/>
    <cellStyle name="Normal 10 3 7 2 3 2 3 2 3" xfId="24530" xr:uid="{A18610B8-D04C-4259-AA3B-B061E871F21B}"/>
    <cellStyle name="Normal 10 3 7 2 3 2 3 3" xfId="24531" xr:uid="{A78555A2-693F-4BBC-9136-E1E521C6432B}"/>
    <cellStyle name="Normal 10 3 7 2 3 2 3 3 2" xfId="24532" xr:uid="{08523BCA-598D-4E0D-B397-1EE651447C9B}"/>
    <cellStyle name="Normal 10 3 7 2 3 2 3 4" xfId="24533" xr:uid="{838AE5BC-5ED8-4244-BD61-5CEC338F919E}"/>
    <cellStyle name="Normal 10 3 7 2 3 2 4" xfId="24534" xr:uid="{B3DB2C93-B4E0-45A4-B523-3FEF959B66F2}"/>
    <cellStyle name="Normal 10 3 7 2 3 2 4 2" xfId="24535" xr:uid="{A26F7EE6-464D-418F-81EE-6B84842DFE22}"/>
    <cellStyle name="Normal 10 3 7 2 3 2 4 2 2" xfId="24536" xr:uid="{4BF96300-B828-4C9D-A813-5D7B4EA89516}"/>
    <cellStyle name="Normal 10 3 7 2 3 2 4 3" xfId="24537" xr:uid="{EF294B7D-9432-48DF-9B07-14EC52B9EA4A}"/>
    <cellStyle name="Normal 10 3 7 2 3 2 5" xfId="24538" xr:uid="{5BE19B81-12C7-45CB-8900-5244C8B5F936}"/>
    <cellStyle name="Normal 10 3 7 2 3 2 5 2" xfId="24539" xr:uid="{A4DF6201-6E1B-4523-99D6-842CD79F3BF3}"/>
    <cellStyle name="Normal 10 3 7 2 3 2 6" xfId="24540" xr:uid="{F9E5D4F2-4347-4A0D-993A-EA9A3C913890}"/>
    <cellStyle name="Normal 10 3 7 2 3 3" xfId="24541" xr:uid="{F514ACC6-7A41-4AA5-BC18-AF4455BF4035}"/>
    <cellStyle name="Normal 10 3 7 2 3 3 2" xfId="24542" xr:uid="{ADF04521-9233-47BC-B53E-A878922368BB}"/>
    <cellStyle name="Normal 10 3 7 2 3 3 2 2" xfId="24543" xr:uid="{906A8366-44D5-4469-86D6-BD5D1AAD9530}"/>
    <cellStyle name="Normal 10 3 7 2 3 3 2 2 2" xfId="24544" xr:uid="{4C241CC9-0CD4-49DD-B1E9-7881BDCD0DD0}"/>
    <cellStyle name="Normal 10 3 7 2 3 3 2 2 2 2" xfId="24545" xr:uid="{F2C6DADB-30F6-46A3-9919-5E1C793785E5}"/>
    <cellStyle name="Normal 10 3 7 2 3 3 2 2 3" xfId="24546" xr:uid="{0F966C2B-46C7-4456-8DEE-DEF9A34246E7}"/>
    <cellStyle name="Normal 10 3 7 2 3 3 2 3" xfId="24547" xr:uid="{580D066B-60B8-42C6-B527-A197CB08BEF9}"/>
    <cellStyle name="Normal 10 3 7 2 3 3 2 3 2" xfId="24548" xr:uid="{1B04D739-6AAE-41E1-A994-6980633DBF82}"/>
    <cellStyle name="Normal 10 3 7 2 3 3 2 4" xfId="24549" xr:uid="{C2F03A43-03E3-4B2A-BD12-0BEDEE2B0C0A}"/>
    <cellStyle name="Normal 10 3 7 2 3 3 3" xfId="24550" xr:uid="{5DAB0CF5-715A-47BF-8D5E-4D7A02E7F619}"/>
    <cellStyle name="Normal 10 3 7 2 3 3 3 2" xfId="24551" xr:uid="{C6D324F8-7AEF-40E9-A972-6E7EC5003FE5}"/>
    <cellStyle name="Normal 10 3 7 2 3 3 3 2 2" xfId="24552" xr:uid="{B89C6BC3-D95B-4D3D-A9DE-92FAE49514DC}"/>
    <cellStyle name="Normal 10 3 7 2 3 3 3 3" xfId="24553" xr:uid="{BFDF5E72-561F-4937-AB7F-96C721661357}"/>
    <cellStyle name="Normal 10 3 7 2 3 3 4" xfId="24554" xr:uid="{045C5B23-B5D9-4A88-A5B4-5A893A30C45C}"/>
    <cellStyle name="Normal 10 3 7 2 3 3 4 2" xfId="24555" xr:uid="{856CE996-EEDF-44EE-9574-4778EDA3C20C}"/>
    <cellStyle name="Normal 10 3 7 2 3 3 5" xfId="24556" xr:uid="{6AA5EF15-F8C2-464D-9B15-1E4743AD69AE}"/>
    <cellStyle name="Normal 10 3 7 2 3 4" xfId="24557" xr:uid="{6B5BB04D-4794-48D4-B74D-32D529A71FF4}"/>
    <cellStyle name="Normal 10 3 7 2 3 4 2" xfId="24558" xr:uid="{D4E2DF05-EE69-4E0D-B921-9B34FD7E1672}"/>
    <cellStyle name="Normal 10 3 7 2 3 4 2 2" xfId="24559" xr:uid="{62BBC4A8-FCF6-4D94-A044-128DA928D11B}"/>
    <cellStyle name="Normal 10 3 7 2 3 4 2 2 2" xfId="24560" xr:uid="{9FBB9178-7852-4752-89F6-28BDFC8BAD09}"/>
    <cellStyle name="Normal 10 3 7 2 3 4 2 3" xfId="24561" xr:uid="{9DF71CA5-8F9C-4F35-A5B1-2913801DDC90}"/>
    <cellStyle name="Normal 10 3 7 2 3 4 3" xfId="24562" xr:uid="{FA003948-4321-49BE-956E-CB899908A2E2}"/>
    <cellStyle name="Normal 10 3 7 2 3 4 3 2" xfId="24563" xr:uid="{3E175F41-F900-4F96-80CD-49FBBE327B2F}"/>
    <cellStyle name="Normal 10 3 7 2 3 4 4" xfId="24564" xr:uid="{022219BE-EBB5-4A5D-9817-C39A0F256A92}"/>
    <cellStyle name="Normal 10 3 7 2 3 5" xfId="24565" xr:uid="{FC58BEED-0B1C-4F0E-AC2A-128BB05F0A1E}"/>
    <cellStyle name="Normal 10 3 7 2 3 5 2" xfId="24566" xr:uid="{AD01D37F-DAAD-48A6-AA57-E5100F2C8A04}"/>
    <cellStyle name="Normal 10 3 7 2 3 5 2 2" xfId="24567" xr:uid="{BDA23440-4317-475B-95B2-54A55CFD8866}"/>
    <cellStyle name="Normal 10 3 7 2 3 5 3" xfId="24568" xr:uid="{0A156878-C913-491D-B9DC-40B62C6D6BAA}"/>
    <cellStyle name="Normal 10 3 7 2 3 6" xfId="24569" xr:uid="{550F49EA-6253-473D-B14E-06D95C5D2671}"/>
    <cellStyle name="Normal 10 3 7 2 3 6 2" xfId="24570" xr:uid="{2FA54D48-C95E-4A11-85CB-E1AABE467092}"/>
    <cellStyle name="Normal 10 3 7 2 3 7" xfId="24571" xr:uid="{45581FA2-8213-4BB6-88F3-D0091B4C8534}"/>
    <cellStyle name="Normal 10 3 7 2 4" xfId="24572" xr:uid="{672F34B8-2992-4F87-8D2A-BFAD94ECB9D3}"/>
    <cellStyle name="Normal 10 3 7 2 4 2" xfId="24573" xr:uid="{8258877B-00DB-49FB-8D7F-CDE24745E54F}"/>
    <cellStyle name="Normal 10 3 7 2 4 2 2" xfId="24574" xr:uid="{2D55D04C-69AD-4461-9DA7-F97F691D3DD7}"/>
    <cellStyle name="Normal 10 3 7 2 4 2 2 2" xfId="24575" xr:uid="{B4A196E9-FBB1-4822-8854-5D858FE5174F}"/>
    <cellStyle name="Normal 10 3 7 2 4 2 2 2 2" xfId="24576" xr:uid="{7A47E5E8-546B-44D5-A6AD-13C6D1F8EED6}"/>
    <cellStyle name="Normal 10 3 7 2 4 2 2 2 2 2" xfId="24577" xr:uid="{72120F41-ADC8-4EE1-9AC8-F63EFCF49D57}"/>
    <cellStyle name="Normal 10 3 7 2 4 2 2 2 3" xfId="24578" xr:uid="{6D52F2F6-F222-48D5-9DC7-466BC990D43D}"/>
    <cellStyle name="Normal 10 3 7 2 4 2 2 3" xfId="24579" xr:uid="{037E0C0B-56AB-42C2-82F7-E35FE67965A1}"/>
    <cellStyle name="Normal 10 3 7 2 4 2 2 3 2" xfId="24580" xr:uid="{F12951CE-2788-42F0-A9F3-1139C460C225}"/>
    <cellStyle name="Normal 10 3 7 2 4 2 2 4" xfId="24581" xr:uid="{5229B1C4-CF04-49EF-AB64-6D97B95E89D3}"/>
    <cellStyle name="Normal 10 3 7 2 4 2 3" xfId="24582" xr:uid="{C30D9E42-4EC6-419E-8C52-183DFE75CA10}"/>
    <cellStyle name="Normal 10 3 7 2 4 2 3 2" xfId="24583" xr:uid="{699776F9-1649-4D55-81A1-257301E34E19}"/>
    <cellStyle name="Normal 10 3 7 2 4 2 3 2 2" xfId="24584" xr:uid="{CFD1E11B-9F89-4F09-9734-A31C40236C0B}"/>
    <cellStyle name="Normal 10 3 7 2 4 2 3 3" xfId="24585" xr:uid="{7E13D1A6-7C3E-4CC2-9C39-9537E4A36631}"/>
    <cellStyle name="Normal 10 3 7 2 4 2 4" xfId="24586" xr:uid="{0916217D-E823-422D-818A-D280D6E59E26}"/>
    <cellStyle name="Normal 10 3 7 2 4 2 4 2" xfId="24587" xr:uid="{DF2614B2-4584-412C-B34F-2EC29800A4F8}"/>
    <cellStyle name="Normal 10 3 7 2 4 2 5" xfId="24588" xr:uid="{E62CB9D3-EC1D-4A54-A1A7-66973C0D2DD5}"/>
    <cellStyle name="Normal 10 3 7 2 4 3" xfId="24589" xr:uid="{8C85A11D-FD07-4A58-859F-90B2473B3C1D}"/>
    <cellStyle name="Normal 10 3 7 2 4 3 2" xfId="24590" xr:uid="{BC3E2D0A-4718-48A1-951F-160EB5FA2DB1}"/>
    <cellStyle name="Normal 10 3 7 2 4 3 2 2" xfId="24591" xr:uid="{D6AD9500-7222-4127-904D-6F6776821473}"/>
    <cellStyle name="Normal 10 3 7 2 4 3 2 2 2" xfId="24592" xr:uid="{C99FAD83-7A4F-4F2F-92CE-2692D21416E6}"/>
    <cellStyle name="Normal 10 3 7 2 4 3 2 3" xfId="24593" xr:uid="{E8AB58E5-54CF-4CBF-8C85-8EF2EA2F2AA4}"/>
    <cellStyle name="Normal 10 3 7 2 4 3 3" xfId="24594" xr:uid="{9BCBDCEE-A80F-46DC-8A28-F37F82FF3656}"/>
    <cellStyle name="Normal 10 3 7 2 4 3 3 2" xfId="24595" xr:uid="{20231E84-B1DB-4C3E-A84C-13D190C6D7E7}"/>
    <cellStyle name="Normal 10 3 7 2 4 3 4" xfId="24596" xr:uid="{C10DBCE2-962F-452A-B459-62DAB4E0F4B0}"/>
    <cellStyle name="Normal 10 3 7 2 4 4" xfId="24597" xr:uid="{BDAA1AF6-A1FB-4DF4-8F96-8766A3093833}"/>
    <cellStyle name="Normal 10 3 7 2 4 4 2" xfId="24598" xr:uid="{2EA61465-10A4-41BB-8231-A6D8932ED421}"/>
    <cellStyle name="Normal 10 3 7 2 4 4 2 2" xfId="24599" xr:uid="{D68BFF58-964E-4A49-A027-5245AC6B25C1}"/>
    <cellStyle name="Normal 10 3 7 2 4 4 3" xfId="24600" xr:uid="{79610AFD-7B9B-427C-BBC1-E6AC22B87777}"/>
    <cellStyle name="Normal 10 3 7 2 4 5" xfId="24601" xr:uid="{4367AEF6-3C92-4625-BF15-50F5EAA3E76F}"/>
    <cellStyle name="Normal 10 3 7 2 4 5 2" xfId="24602" xr:uid="{7699C684-B36F-47D8-A205-5B836A044CC9}"/>
    <cellStyle name="Normal 10 3 7 2 4 6" xfId="24603" xr:uid="{E2F31EAF-B966-4018-82B0-77363A484F8D}"/>
    <cellStyle name="Normal 10 3 7 2 5" xfId="24604" xr:uid="{AFC3C7F9-B990-445C-B462-718EE38AE283}"/>
    <cellStyle name="Normal 10 3 7 2 5 2" xfId="24605" xr:uid="{7E942088-20F8-4FB2-AECE-121989C209B7}"/>
    <cellStyle name="Normal 10 3 7 2 5 2 2" xfId="24606" xr:uid="{C6720828-1BF8-4872-AC17-E23B97E3B4AD}"/>
    <cellStyle name="Normal 10 3 7 2 5 2 2 2" xfId="24607" xr:uid="{03FBF1BE-929B-4801-AB05-FFED4B506D59}"/>
    <cellStyle name="Normal 10 3 7 2 5 2 2 2 2" xfId="24608" xr:uid="{71DCB698-499B-41AD-A719-1BED29BC6C7A}"/>
    <cellStyle name="Normal 10 3 7 2 5 2 2 3" xfId="24609" xr:uid="{516E2779-E437-4AE3-80C6-439467A8FD1E}"/>
    <cellStyle name="Normal 10 3 7 2 5 2 3" xfId="24610" xr:uid="{ED18B01C-469A-44F3-809F-66710969702B}"/>
    <cellStyle name="Normal 10 3 7 2 5 2 3 2" xfId="24611" xr:uid="{D549A506-FCDB-435B-86A6-96CA4B5917AE}"/>
    <cellStyle name="Normal 10 3 7 2 5 2 4" xfId="24612" xr:uid="{5E946C83-01FB-4D5F-9D5F-8DFFEC1C6FCE}"/>
    <cellStyle name="Normal 10 3 7 2 5 3" xfId="24613" xr:uid="{73199C2D-10B1-4154-9B5F-7B219C38930F}"/>
    <cellStyle name="Normal 10 3 7 2 5 3 2" xfId="24614" xr:uid="{3E06BC9A-F684-45FA-98AE-99200C2F9293}"/>
    <cellStyle name="Normal 10 3 7 2 5 3 2 2" xfId="24615" xr:uid="{4696BDFF-A011-4510-BFB5-87758AB96B0E}"/>
    <cellStyle name="Normal 10 3 7 2 5 3 3" xfId="24616" xr:uid="{1BD85FE8-9E50-40BD-801E-9A79F030B527}"/>
    <cellStyle name="Normal 10 3 7 2 5 4" xfId="24617" xr:uid="{62A54A3D-AA6B-4B38-8C74-B3664AA35F0B}"/>
    <cellStyle name="Normal 10 3 7 2 5 4 2" xfId="24618" xr:uid="{444B1236-7EEA-4ACF-AD16-9C7C73CC604A}"/>
    <cellStyle name="Normal 10 3 7 2 5 5" xfId="24619" xr:uid="{AEEA4CC7-7B53-4300-B109-2CABC51E5419}"/>
    <cellStyle name="Normal 10 3 7 2 6" xfId="24620" xr:uid="{A9DE5A42-E3BB-440E-8487-92A43624B691}"/>
    <cellStyle name="Normal 10 3 7 2 6 2" xfId="24621" xr:uid="{348645C0-48E3-4994-9156-3416010376FE}"/>
    <cellStyle name="Normal 10 3 7 2 6 2 2" xfId="24622" xr:uid="{7EFED482-C103-4E5D-B903-73DBF94CB264}"/>
    <cellStyle name="Normal 10 3 7 2 6 2 2 2" xfId="24623" xr:uid="{AF4F2C72-58A9-4F80-B98E-3BF7D0E7F603}"/>
    <cellStyle name="Normal 10 3 7 2 6 2 3" xfId="24624" xr:uid="{1E8FB2CB-CAEA-4DF7-987F-A22C583116BF}"/>
    <cellStyle name="Normal 10 3 7 2 6 3" xfId="24625" xr:uid="{87176C97-8780-4848-9970-3A0314866985}"/>
    <cellStyle name="Normal 10 3 7 2 6 3 2" xfId="24626" xr:uid="{15CAFDA0-8B3F-4FE8-BBFB-E8D262DF5F92}"/>
    <cellStyle name="Normal 10 3 7 2 6 4" xfId="24627" xr:uid="{D091AB9D-CB44-42F9-947B-D233E3622A04}"/>
    <cellStyle name="Normal 10 3 7 2 7" xfId="24628" xr:uid="{D4CEF242-C8CF-49D2-B5E5-00076855E198}"/>
    <cellStyle name="Normal 10 3 7 2 7 2" xfId="24629" xr:uid="{974DCC5F-F721-4056-9458-3B471914379D}"/>
    <cellStyle name="Normal 10 3 7 2 7 2 2" xfId="24630" xr:uid="{7D1BE38A-7A63-45E6-B510-77C0DFD112EA}"/>
    <cellStyle name="Normal 10 3 7 2 7 3" xfId="24631" xr:uid="{7765F8F2-7669-4486-A152-A660A7187A5E}"/>
    <cellStyle name="Normal 10 3 7 2 8" xfId="24632" xr:uid="{9F6E1DE3-FA7C-42EF-8D3E-04755BD531B0}"/>
    <cellStyle name="Normal 10 3 7 2 8 2" xfId="24633" xr:uid="{B9A3FE63-1254-4C6C-9681-032B6855FE52}"/>
    <cellStyle name="Normal 10 3 7 2 9" xfId="24634" xr:uid="{AFDCDF79-4B56-49BA-8649-96906A1C68B4}"/>
    <cellStyle name="Normal 10 3 7 3" xfId="486" xr:uid="{E174439C-2093-4A64-A384-B31D0C008752}"/>
    <cellStyle name="Normal 10 3 7 3 2" xfId="24636" xr:uid="{9B0FB3CB-87E1-458C-9D51-0C15BE0D6DC5}"/>
    <cellStyle name="Normal 10 3 7 3 2 2" xfId="24637" xr:uid="{70C5C004-6BF7-466E-BE40-CE28186BBE1F}"/>
    <cellStyle name="Normal 10 3 7 3 2 2 2" xfId="24638" xr:uid="{11AD6A1C-A253-41EA-B38C-196470FDF1C4}"/>
    <cellStyle name="Normal 10 3 7 3 2 2 2 2" xfId="24639" xr:uid="{571453DC-70B7-41ED-A97F-13A86EAA4D76}"/>
    <cellStyle name="Normal 10 3 7 3 2 2 2 2 2" xfId="24640" xr:uid="{ECAE3D75-4236-4D0B-9759-A83A0B24A0EB}"/>
    <cellStyle name="Normal 10 3 7 3 2 2 2 2 2 2" xfId="24641" xr:uid="{DC1FBD64-50E0-4637-9FF4-80BB653AAFBD}"/>
    <cellStyle name="Normal 10 3 7 3 2 2 2 2 2 2 2" xfId="24642" xr:uid="{4BC1CE16-FD06-4BFE-A52E-35CF6790F6ED}"/>
    <cellStyle name="Normal 10 3 7 3 2 2 2 2 2 3" xfId="24643" xr:uid="{C490639A-0E9A-40EF-898F-BA2A76AAFF0E}"/>
    <cellStyle name="Normal 10 3 7 3 2 2 2 2 3" xfId="24644" xr:uid="{2F6E453E-BE4E-4161-9397-8DB61682DCCC}"/>
    <cellStyle name="Normal 10 3 7 3 2 2 2 2 3 2" xfId="24645" xr:uid="{A7EF55B5-7FFC-4071-A843-4261D2BE0EB4}"/>
    <cellStyle name="Normal 10 3 7 3 2 2 2 2 4" xfId="24646" xr:uid="{257FFA4A-01A5-461C-A754-F964810D0720}"/>
    <cellStyle name="Normal 10 3 7 3 2 2 2 3" xfId="24647" xr:uid="{A2529E72-4B8F-44D3-95E2-181F0238D709}"/>
    <cellStyle name="Normal 10 3 7 3 2 2 2 3 2" xfId="24648" xr:uid="{E7E8D5A8-5644-4D77-8356-4D5EC2668ED3}"/>
    <cellStyle name="Normal 10 3 7 3 2 2 2 3 2 2" xfId="24649" xr:uid="{9C882FD9-CFD7-4E9C-9F3B-1EE05485248C}"/>
    <cellStyle name="Normal 10 3 7 3 2 2 2 3 3" xfId="24650" xr:uid="{83971390-42D3-4ADE-BA6D-D2BD864D82C7}"/>
    <cellStyle name="Normal 10 3 7 3 2 2 2 4" xfId="24651" xr:uid="{C22C3732-D9FD-4B79-BF44-7B1A43B2621B}"/>
    <cellStyle name="Normal 10 3 7 3 2 2 2 4 2" xfId="24652" xr:uid="{B515BE88-5A6B-4967-99D1-0F790E560407}"/>
    <cellStyle name="Normal 10 3 7 3 2 2 2 5" xfId="24653" xr:uid="{2EE9A1E8-E609-440F-B6FD-606EC4ABE733}"/>
    <cellStyle name="Normal 10 3 7 3 2 2 3" xfId="24654" xr:uid="{B5A26BD1-9D22-4D22-96BB-C078D8422975}"/>
    <cellStyle name="Normal 10 3 7 3 2 2 3 2" xfId="24655" xr:uid="{67E36D97-9F79-4939-9072-EBEF6FFD37E5}"/>
    <cellStyle name="Normal 10 3 7 3 2 2 3 2 2" xfId="24656" xr:uid="{2DDD7727-7AC8-43FD-B4BE-821A434350F3}"/>
    <cellStyle name="Normal 10 3 7 3 2 2 3 2 2 2" xfId="24657" xr:uid="{BAEC6659-28F2-4645-96CC-02BFBAA7C420}"/>
    <cellStyle name="Normal 10 3 7 3 2 2 3 2 3" xfId="24658" xr:uid="{A14388E1-98E2-49C8-B1B5-B09D447AE3C3}"/>
    <cellStyle name="Normal 10 3 7 3 2 2 3 3" xfId="24659" xr:uid="{08D2835D-5B5C-4F9D-8DBF-DBB1815D72DA}"/>
    <cellStyle name="Normal 10 3 7 3 2 2 3 3 2" xfId="24660" xr:uid="{B216A5BF-E69C-40EB-A3CF-313384DFBFE1}"/>
    <cellStyle name="Normal 10 3 7 3 2 2 3 4" xfId="24661" xr:uid="{9AF654C9-443D-4558-975D-3DFB36F7DD54}"/>
    <cellStyle name="Normal 10 3 7 3 2 2 4" xfId="24662" xr:uid="{F8652908-81F7-4479-8AFE-74D017CD1B21}"/>
    <cellStyle name="Normal 10 3 7 3 2 2 4 2" xfId="24663" xr:uid="{9278FB5A-223B-4F66-987A-179E8776D440}"/>
    <cellStyle name="Normal 10 3 7 3 2 2 4 2 2" xfId="24664" xr:uid="{F79F2B9B-7E5B-42AC-8E5A-D3C90E0B8AFE}"/>
    <cellStyle name="Normal 10 3 7 3 2 2 4 3" xfId="24665" xr:uid="{34824500-E96B-43E9-BD7A-AE5EE0318E7C}"/>
    <cellStyle name="Normal 10 3 7 3 2 2 5" xfId="24666" xr:uid="{AC8AF5B6-3767-4BA8-93C8-F3CC9CAE7432}"/>
    <cellStyle name="Normal 10 3 7 3 2 2 5 2" xfId="24667" xr:uid="{1993BA41-5BA0-4FA2-BF28-F5780109EF0B}"/>
    <cellStyle name="Normal 10 3 7 3 2 2 6" xfId="24668" xr:uid="{8EE058D4-2898-4E00-8A27-299132272C2F}"/>
    <cellStyle name="Normal 10 3 7 3 2 3" xfId="24669" xr:uid="{458AF35F-1443-4274-8B69-5C3DA64A965F}"/>
    <cellStyle name="Normal 10 3 7 3 2 3 2" xfId="24670" xr:uid="{ECE10218-423B-4612-9536-C46A7CA83F10}"/>
    <cellStyle name="Normal 10 3 7 3 2 3 2 2" xfId="24671" xr:uid="{10EB4762-6D67-401A-8737-34EBB9924727}"/>
    <cellStyle name="Normal 10 3 7 3 2 3 2 2 2" xfId="24672" xr:uid="{6D2A9644-9961-4784-AA17-BE8112DF0692}"/>
    <cellStyle name="Normal 10 3 7 3 2 3 2 2 2 2" xfId="24673" xr:uid="{1F50764C-CB7A-4A92-90FA-F9A0558549A5}"/>
    <cellStyle name="Normal 10 3 7 3 2 3 2 2 3" xfId="24674" xr:uid="{1DC02737-37B1-414C-B5B2-9E601213CDA3}"/>
    <cellStyle name="Normal 10 3 7 3 2 3 2 3" xfId="24675" xr:uid="{E17D56B6-70FE-4303-87CB-4F41AD025619}"/>
    <cellStyle name="Normal 10 3 7 3 2 3 2 3 2" xfId="24676" xr:uid="{9E382F82-BC23-4A6E-9667-8D6DC55D6CA2}"/>
    <cellStyle name="Normal 10 3 7 3 2 3 2 4" xfId="24677" xr:uid="{89B7CFDE-AEF3-4659-BD5C-A8CD94F9D4F7}"/>
    <cellStyle name="Normal 10 3 7 3 2 3 3" xfId="24678" xr:uid="{D87A053B-A28A-481E-AA7C-E4284E3B0C72}"/>
    <cellStyle name="Normal 10 3 7 3 2 3 3 2" xfId="24679" xr:uid="{834885CA-3DCD-4B1D-BC7F-680EBDC27DA2}"/>
    <cellStyle name="Normal 10 3 7 3 2 3 3 2 2" xfId="24680" xr:uid="{CF9A31C3-6A63-4330-824B-37D8198B181E}"/>
    <cellStyle name="Normal 10 3 7 3 2 3 3 3" xfId="24681" xr:uid="{B24719E4-6F4C-4463-AA75-405608C16223}"/>
    <cellStyle name="Normal 10 3 7 3 2 3 4" xfId="24682" xr:uid="{FD456BAF-B8D0-4995-A918-E9EA27991516}"/>
    <cellStyle name="Normal 10 3 7 3 2 3 4 2" xfId="24683" xr:uid="{C28FE488-A9FD-47CD-8277-3FDC48D5D42A}"/>
    <cellStyle name="Normal 10 3 7 3 2 3 5" xfId="24684" xr:uid="{3F623FD5-4DB6-46BD-BBE5-AECF56097E2B}"/>
    <cellStyle name="Normal 10 3 7 3 2 4" xfId="24685" xr:uid="{8CF6612F-CFAE-4CCD-B396-173F262B1851}"/>
    <cellStyle name="Normal 10 3 7 3 2 4 2" xfId="24686" xr:uid="{83750E96-62AA-4F5A-9C31-7DDB72CB1A1F}"/>
    <cellStyle name="Normal 10 3 7 3 2 4 2 2" xfId="24687" xr:uid="{357A7D72-E948-4C42-B203-24D8DE2F8A87}"/>
    <cellStyle name="Normal 10 3 7 3 2 4 2 2 2" xfId="24688" xr:uid="{E022367F-8A3B-4FA5-B63A-F54EFA59EB97}"/>
    <cellStyle name="Normal 10 3 7 3 2 4 2 3" xfId="24689" xr:uid="{A9E00FF6-D56E-465B-95DD-F60EE72ADA74}"/>
    <cellStyle name="Normal 10 3 7 3 2 4 3" xfId="24690" xr:uid="{F0BDD708-9AC7-4855-A5ED-36DAF58A3A37}"/>
    <cellStyle name="Normal 10 3 7 3 2 4 3 2" xfId="24691" xr:uid="{5124AF9F-F26B-4A77-9AC2-3F03C860EB9E}"/>
    <cellStyle name="Normal 10 3 7 3 2 4 4" xfId="24692" xr:uid="{97E3E52A-CF1B-4FCC-8DE9-B09E22D977D5}"/>
    <cellStyle name="Normal 10 3 7 3 2 5" xfId="24693" xr:uid="{A56051EB-50C6-4E9A-9B2D-8333717B5A02}"/>
    <cellStyle name="Normal 10 3 7 3 2 5 2" xfId="24694" xr:uid="{B1435905-65E8-422E-89A1-CAC0308B4C23}"/>
    <cellStyle name="Normal 10 3 7 3 2 5 2 2" xfId="24695" xr:uid="{2CB8EEAD-F706-4800-903A-547440D96D3F}"/>
    <cellStyle name="Normal 10 3 7 3 2 5 3" xfId="24696" xr:uid="{D398FA44-C3BB-4BFF-8982-3F30CF30FFD5}"/>
    <cellStyle name="Normal 10 3 7 3 2 6" xfId="24697" xr:uid="{0EBF379B-8F35-499F-A5DC-EB50878C8B01}"/>
    <cellStyle name="Normal 10 3 7 3 2 6 2" xfId="24698" xr:uid="{38866754-38CA-4683-8D9D-D0A3CC608D4E}"/>
    <cellStyle name="Normal 10 3 7 3 2 7" xfId="24699" xr:uid="{08AF6ADE-850C-46B1-A237-3B97AB81D872}"/>
    <cellStyle name="Normal 10 3 7 3 3" xfId="24700" xr:uid="{AC308236-AFE9-487B-A2BD-8EE793E6ECB8}"/>
    <cellStyle name="Normal 10 3 7 3 3 2" xfId="24701" xr:uid="{2E95AC43-52F1-4EA3-9058-13074D403A61}"/>
    <cellStyle name="Normal 10 3 7 3 3 2 2" xfId="24702" xr:uid="{C4040D3E-4485-4EDF-A11B-6731992D113C}"/>
    <cellStyle name="Normal 10 3 7 3 3 2 2 2" xfId="24703" xr:uid="{3B0DDA22-4EA0-44AB-82AF-56FF6631B8DA}"/>
    <cellStyle name="Normal 10 3 7 3 3 2 2 2 2" xfId="24704" xr:uid="{B4DECDAA-A21A-4603-83DE-C656CEE5F982}"/>
    <cellStyle name="Normal 10 3 7 3 3 2 2 2 2 2" xfId="24705" xr:uid="{56180E11-1D6B-4A10-BF19-06F6B3403ABC}"/>
    <cellStyle name="Normal 10 3 7 3 3 2 2 2 3" xfId="24706" xr:uid="{97BA8592-3C2C-44FB-B22F-F4937558B200}"/>
    <cellStyle name="Normal 10 3 7 3 3 2 2 3" xfId="24707" xr:uid="{6B1567FB-FEAC-4076-BEFC-50BA9CEB2641}"/>
    <cellStyle name="Normal 10 3 7 3 3 2 2 3 2" xfId="24708" xr:uid="{BDB55C10-BBA8-4BF8-9B6E-F805AC856C56}"/>
    <cellStyle name="Normal 10 3 7 3 3 2 2 4" xfId="24709" xr:uid="{D9C821C7-FF85-4FE7-A85E-B1B737C1FCD4}"/>
    <cellStyle name="Normal 10 3 7 3 3 2 3" xfId="24710" xr:uid="{E2E37F74-D057-41CD-AE52-FFD515184854}"/>
    <cellStyle name="Normal 10 3 7 3 3 2 3 2" xfId="24711" xr:uid="{BF590B9B-751C-4AFA-884F-4D5C4103E58D}"/>
    <cellStyle name="Normal 10 3 7 3 3 2 3 2 2" xfId="24712" xr:uid="{77EADFCD-F12A-4F9A-9A30-5ECCE242785A}"/>
    <cellStyle name="Normal 10 3 7 3 3 2 3 3" xfId="24713" xr:uid="{6297BA5E-6ADC-42A8-A50D-577835708700}"/>
    <cellStyle name="Normal 10 3 7 3 3 2 4" xfId="24714" xr:uid="{937CA93B-E51F-4D01-B3F8-236B9C80D867}"/>
    <cellStyle name="Normal 10 3 7 3 3 2 4 2" xfId="24715" xr:uid="{F3CD2C1C-3774-46F7-9072-7261B52CCC26}"/>
    <cellStyle name="Normal 10 3 7 3 3 2 5" xfId="24716" xr:uid="{C57D694A-A0A1-4C58-857D-5EEA3CB0E26F}"/>
    <cellStyle name="Normal 10 3 7 3 3 3" xfId="24717" xr:uid="{C9C9C5EC-537C-4DC2-A295-3048721B9380}"/>
    <cellStyle name="Normal 10 3 7 3 3 3 2" xfId="24718" xr:uid="{C7DA98C7-D34E-4FAE-B6E1-4FBB412670AB}"/>
    <cellStyle name="Normal 10 3 7 3 3 3 2 2" xfId="24719" xr:uid="{2F23732C-5A9E-4ED4-BF1A-E6A67FEA4A5C}"/>
    <cellStyle name="Normal 10 3 7 3 3 3 2 2 2" xfId="24720" xr:uid="{E61008AA-2645-46E7-97FA-31D79D94D9B1}"/>
    <cellStyle name="Normal 10 3 7 3 3 3 2 3" xfId="24721" xr:uid="{ABF4315C-8322-44FC-9554-9DBCFFDA33FE}"/>
    <cellStyle name="Normal 10 3 7 3 3 3 3" xfId="24722" xr:uid="{FB2FE9E6-07E5-42F3-B39A-F4D27911442A}"/>
    <cellStyle name="Normal 10 3 7 3 3 3 3 2" xfId="24723" xr:uid="{1C196FF3-2AA4-4B31-8C5E-EB38DFD83AD9}"/>
    <cellStyle name="Normal 10 3 7 3 3 3 4" xfId="24724" xr:uid="{E2AE381D-AF19-46AB-BEDE-4E71835DC7D6}"/>
    <cellStyle name="Normal 10 3 7 3 3 4" xfId="24725" xr:uid="{5456B847-19E8-49E0-BB8F-E49A2E29FFCB}"/>
    <cellStyle name="Normal 10 3 7 3 3 4 2" xfId="24726" xr:uid="{9F498BB7-1CC9-4AB5-9012-26D7CCFC50B2}"/>
    <cellStyle name="Normal 10 3 7 3 3 4 2 2" xfId="24727" xr:uid="{45546ADE-1444-4FD5-A880-F98774865EB3}"/>
    <cellStyle name="Normal 10 3 7 3 3 4 3" xfId="24728" xr:uid="{6ACA3C4A-C026-48B8-887A-51AF02FB98C5}"/>
    <cellStyle name="Normal 10 3 7 3 3 5" xfId="24729" xr:uid="{EFA31FE7-050D-4CA9-98B5-B2D45B7A645C}"/>
    <cellStyle name="Normal 10 3 7 3 3 5 2" xfId="24730" xr:uid="{B7C806B4-FD03-4A58-A3C4-04AD9F95B0A8}"/>
    <cellStyle name="Normal 10 3 7 3 3 6" xfId="24731" xr:uid="{09549DAF-8C89-43E5-A065-A543AB30E2A6}"/>
    <cellStyle name="Normal 10 3 7 3 4" xfId="24732" xr:uid="{E6ED00ED-D172-48D2-A8A0-CA7F3EDF7CA5}"/>
    <cellStyle name="Normal 10 3 7 3 4 2" xfId="24733" xr:uid="{29C1800F-A854-4ACB-A977-7A38193A1970}"/>
    <cellStyle name="Normal 10 3 7 3 4 2 2" xfId="24734" xr:uid="{0FFC8844-C86C-4E38-9DDA-5F4472B0B9A2}"/>
    <cellStyle name="Normal 10 3 7 3 4 2 2 2" xfId="24735" xr:uid="{529046E6-EDFA-473C-806F-12FD5CEB773C}"/>
    <cellStyle name="Normal 10 3 7 3 4 2 2 2 2" xfId="24736" xr:uid="{2947A48F-DB04-48CD-8928-1E32B61CD6A0}"/>
    <cellStyle name="Normal 10 3 7 3 4 2 2 3" xfId="24737" xr:uid="{A590F9FA-999A-4A57-B226-84BBAA39B3B3}"/>
    <cellStyle name="Normal 10 3 7 3 4 2 3" xfId="24738" xr:uid="{7B76A0F8-D7D2-45B1-8746-489DDBC32143}"/>
    <cellStyle name="Normal 10 3 7 3 4 2 3 2" xfId="24739" xr:uid="{0065FC37-FB7D-4A28-B53D-A6492E44A8EA}"/>
    <cellStyle name="Normal 10 3 7 3 4 2 4" xfId="24740" xr:uid="{2F779C3E-EF2F-46B5-936C-5D09B6D5A254}"/>
    <cellStyle name="Normal 10 3 7 3 4 3" xfId="24741" xr:uid="{E686F954-D949-4B89-B386-58D0128D598E}"/>
    <cellStyle name="Normal 10 3 7 3 4 3 2" xfId="24742" xr:uid="{7D2B88EC-D5A2-4B9D-90BC-50BC773F954F}"/>
    <cellStyle name="Normal 10 3 7 3 4 3 2 2" xfId="24743" xr:uid="{37D68880-2748-41CB-AAF3-5A2DD33CBDD4}"/>
    <cellStyle name="Normal 10 3 7 3 4 3 3" xfId="24744" xr:uid="{E979D0B2-FFAD-4C7B-9A5C-72658D71CE79}"/>
    <cellStyle name="Normal 10 3 7 3 4 4" xfId="24745" xr:uid="{9FCA8AE6-7EFF-4B32-A760-8059EBF8F16C}"/>
    <cellStyle name="Normal 10 3 7 3 4 4 2" xfId="24746" xr:uid="{D8F2AC01-95AA-4BEF-B9FD-D00078C11374}"/>
    <cellStyle name="Normal 10 3 7 3 4 5" xfId="24747" xr:uid="{FF051E79-6FB1-4F79-BD91-6F01EF6F5B0E}"/>
    <cellStyle name="Normal 10 3 7 3 5" xfId="24748" xr:uid="{B39E46B1-ABD7-49B2-8E17-C20C7B39CB96}"/>
    <cellStyle name="Normal 10 3 7 3 5 2" xfId="24749" xr:uid="{119AA95E-C566-4ABA-A556-8DD6ABEFEF3C}"/>
    <cellStyle name="Normal 10 3 7 3 5 2 2" xfId="24750" xr:uid="{383BD2EF-833D-430E-8B3B-88FE23C9BC5E}"/>
    <cellStyle name="Normal 10 3 7 3 5 2 2 2" xfId="24751" xr:uid="{05934B96-C1EB-4FC3-889D-1372456A634C}"/>
    <cellStyle name="Normal 10 3 7 3 5 2 3" xfId="24752" xr:uid="{CA5A509E-B9E1-4BDA-A997-FF1DA7815112}"/>
    <cellStyle name="Normal 10 3 7 3 5 3" xfId="24753" xr:uid="{D32493EB-3017-4E79-BE7C-6F47BCC2FA0B}"/>
    <cellStyle name="Normal 10 3 7 3 5 3 2" xfId="24754" xr:uid="{DBDC0F33-1EAD-44F9-B87F-56A3E82B025F}"/>
    <cellStyle name="Normal 10 3 7 3 5 4" xfId="24755" xr:uid="{0821830B-DEF3-42F2-881F-81DC452455BC}"/>
    <cellStyle name="Normal 10 3 7 3 6" xfId="24756" xr:uid="{4E12778F-534D-4C4E-AC80-8C5D9B1AFC4A}"/>
    <cellStyle name="Normal 10 3 7 3 6 2" xfId="24757" xr:uid="{3741B2A8-5338-4505-B16B-512194E9BA26}"/>
    <cellStyle name="Normal 10 3 7 3 6 2 2" xfId="24758" xr:uid="{AFCACCCE-E05B-4BFB-ADD5-51EE209AE145}"/>
    <cellStyle name="Normal 10 3 7 3 6 3" xfId="24759" xr:uid="{BE2B61DC-9C81-4FB3-98C6-FF04E8AC4FC9}"/>
    <cellStyle name="Normal 10 3 7 3 7" xfId="24760" xr:uid="{5EED9AB0-5D91-4542-AF94-5743BCE9CE13}"/>
    <cellStyle name="Normal 10 3 7 3 7 2" xfId="24761" xr:uid="{CC4ECCC9-642E-403F-8CC0-9DB83D6A1ADD}"/>
    <cellStyle name="Normal 10 3 7 3 8" xfId="24762" xr:uid="{4EF35C14-10C7-4E81-AD34-9682AF24C702}"/>
    <cellStyle name="Normal 10 3 7 3 9" xfId="24635" xr:uid="{82E19009-B8BF-4CC7-84D4-6166A77B6218}"/>
    <cellStyle name="Normal 10 3 7 4" xfId="24763" xr:uid="{BA284A5E-7674-47C9-BA7D-91593BDBB984}"/>
    <cellStyle name="Normal 10 3 7 4 2" xfId="24764" xr:uid="{6184C13A-510A-4203-BD0D-F2123F546531}"/>
    <cellStyle name="Normal 10 3 7 4 2 2" xfId="24765" xr:uid="{07BBCDF4-1505-4E77-8D10-AA2EEE515204}"/>
    <cellStyle name="Normal 10 3 7 4 2 2 2" xfId="24766" xr:uid="{8B01C67B-B793-40FF-A5F2-1490855C0E95}"/>
    <cellStyle name="Normal 10 3 7 4 2 2 2 2" xfId="24767" xr:uid="{77C571FE-26AF-4674-AEE4-43BEF597483F}"/>
    <cellStyle name="Normal 10 3 7 4 2 2 2 2 2" xfId="24768" xr:uid="{566EF596-582B-4B59-997C-8E914AC70740}"/>
    <cellStyle name="Normal 10 3 7 4 2 2 2 2 2 2" xfId="24769" xr:uid="{3DC5D811-A7BD-435E-9AD0-79235F110A10}"/>
    <cellStyle name="Normal 10 3 7 4 2 2 2 2 3" xfId="24770" xr:uid="{67781773-DC69-42C0-B755-BC0F9483969E}"/>
    <cellStyle name="Normal 10 3 7 4 2 2 2 3" xfId="24771" xr:uid="{5392D8C6-6597-45E8-8D2E-BA7D7066272B}"/>
    <cellStyle name="Normal 10 3 7 4 2 2 2 3 2" xfId="24772" xr:uid="{4992D0A0-AA4E-438D-A868-5E9C64E0E68E}"/>
    <cellStyle name="Normal 10 3 7 4 2 2 2 4" xfId="24773" xr:uid="{5B8C1377-95FA-493C-A62C-1C1C2037A053}"/>
    <cellStyle name="Normal 10 3 7 4 2 2 3" xfId="24774" xr:uid="{D56D9E4B-F5E1-4C22-8CBF-BF3A1953DDA0}"/>
    <cellStyle name="Normal 10 3 7 4 2 2 3 2" xfId="24775" xr:uid="{D5A66811-9759-45D8-9756-FEB1CC3345DD}"/>
    <cellStyle name="Normal 10 3 7 4 2 2 3 2 2" xfId="24776" xr:uid="{0FF08E4F-5820-41A8-AC40-BF7C4D0705C5}"/>
    <cellStyle name="Normal 10 3 7 4 2 2 3 3" xfId="24777" xr:uid="{51326D42-6B9F-429E-B6BE-3B4CC5A51A36}"/>
    <cellStyle name="Normal 10 3 7 4 2 2 4" xfId="24778" xr:uid="{97D9A559-B6F0-4EC5-8EBB-2A3F2E6FA881}"/>
    <cellStyle name="Normal 10 3 7 4 2 2 4 2" xfId="24779" xr:uid="{EBF24613-5D56-4CAA-8F4E-06B560FF1DE4}"/>
    <cellStyle name="Normal 10 3 7 4 2 2 5" xfId="24780" xr:uid="{7DFA1F12-DB07-4C12-8C13-C91893A1587A}"/>
    <cellStyle name="Normal 10 3 7 4 2 3" xfId="24781" xr:uid="{FB95C527-1F8B-4C77-8339-7D7F4FE705F7}"/>
    <cellStyle name="Normal 10 3 7 4 2 3 2" xfId="24782" xr:uid="{523B6B1D-3EAB-42EB-969C-D772F13107D9}"/>
    <cellStyle name="Normal 10 3 7 4 2 3 2 2" xfId="24783" xr:uid="{BD98F0EB-497D-4F7E-A2EC-E027C3A1ECD3}"/>
    <cellStyle name="Normal 10 3 7 4 2 3 2 2 2" xfId="24784" xr:uid="{ABFD15C6-DE83-40AC-9269-FE403E115857}"/>
    <cellStyle name="Normal 10 3 7 4 2 3 2 3" xfId="24785" xr:uid="{BD474F60-F971-4AD2-BF39-FCAA16B86367}"/>
    <cellStyle name="Normal 10 3 7 4 2 3 3" xfId="24786" xr:uid="{136F4B72-0D81-405F-8F8D-FF0E53DDF39B}"/>
    <cellStyle name="Normal 10 3 7 4 2 3 3 2" xfId="24787" xr:uid="{138347C3-4CB3-4E08-ADDA-FD3136FCC509}"/>
    <cellStyle name="Normal 10 3 7 4 2 3 4" xfId="24788" xr:uid="{B4A40A92-7E0F-40BC-BA66-51EFAE3E1B45}"/>
    <cellStyle name="Normal 10 3 7 4 2 4" xfId="24789" xr:uid="{A25F15EB-D5FB-466F-AA57-0A93626713CD}"/>
    <cellStyle name="Normal 10 3 7 4 2 4 2" xfId="24790" xr:uid="{C649D228-7551-467C-8854-2A7784534C97}"/>
    <cellStyle name="Normal 10 3 7 4 2 4 2 2" xfId="24791" xr:uid="{3EB55A31-B054-4CC8-95DE-CB076442E9C2}"/>
    <cellStyle name="Normal 10 3 7 4 2 4 3" xfId="24792" xr:uid="{FC0CE642-D52C-4681-B5C2-00E1C92CCAB2}"/>
    <cellStyle name="Normal 10 3 7 4 2 5" xfId="24793" xr:uid="{B53A7D72-A3C0-4920-B03C-34856596BCFC}"/>
    <cellStyle name="Normal 10 3 7 4 2 5 2" xfId="24794" xr:uid="{7754A937-1CD0-423F-B080-538298982535}"/>
    <cellStyle name="Normal 10 3 7 4 2 6" xfId="24795" xr:uid="{B8D5555F-186A-416A-A18F-242EC3D0F88D}"/>
    <cellStyle name="Normal 10 3 7 4 3" xfId="24796" xr:uid="{53132E5B-65AE-4405-B4C8-37646CA9CC24}"/>
    <cellStyle name="Normal 10 3 7 4 3 2" xfId="24797" xr:uid="{1CCB4675-2660-4AE5-9DC2-02AE2BDC8A10}"/>
    <cellStyle name="Normal 10 3 7 4 3 2 2" xfId="24798" xr:uid="{94F9B4F3-89B9-4DB1-9C0E-7E8BB2C913CE}"/>
    <cellStyle name="Normal 10 3 7 4 3 2 2 2" xfId="24799" xr:uid="{49E00C04-BAFF-4901-B97F-D0E2BCE71D45}"/>
    <cellStyle name="Normal 10 3 7 4 3 2 2 2 2" xfId="24800" xr:uid="{4D295FC0-75B4-4514-B1A2-309F63CC500A}"/>
    <cellStyle name="Normal 10 3 7 4 3 2 2 3" xfId="24801" xr:uid="{3DB110E4-6DE1-4254-84EE-7F4BB24BF380}"/>
    <cellStyle name="Normal 10 3 7 4 3 2 3" xfId="24802" xr:uid="{192C561D-A5A0-412F-8372-83050F71315C}"/>
    <cellStyle name="Normal 10 3 7 4 3 2 3 2" xfId="24803" xr:uid="{D71A9214-68E6-47DC-A0C7-DA4E5C5C8585}"/>
    <cellStyle name="Normal 10 3 7 4 3 2 4" xfId="24804" xr:uid="{FD02EE4A-0811-4664-8B9B-9696D3FC70FE}"/>
    <cellStyle name="Normal 10 3 7 4 3 3" xfId="24805" xr:uid="{ABF099F9-67F5-49E5-863F-F859590CB87B}"/>
    <cellStyle name="Normal 10 3 7 4 3 3 2" xfId="24806" xr:uid="{4BA1BC42-BB50-48D8-8FEA-DEA8C004D855}"/>
    <cellStyle name="Normal 10 3 7 4 3 3 2 2" xfId="24807" xr:uid="{61CEF745-0E99-47B5-8ACE-B314C40A6A3E}"/>
    <cellStyle name="Normal 10 3 7 4 3 3 3" xfId="24808" xr:uid="{1D6E1EC0-3DF1-49B1-B1AD-BD39B4B0C3F7}"/>
    <cellStyle name="Normal 10 3 7 4 3 4" xfId="24809" xr:uid="{D9C7F502-7D15-4A41-A9B7-DF9B6F16B9C6}"/>
    <cellStyle name="Normal 10 3 7 4 3 4 2" xfId="24810" xr:uid="{A153D897-8F14-4515-9ECE-16ACB45987BD}"/>
    <cellStyle name="Normal 10 3 7 4 3 5" xfId="24811" xr:uid="{8367A5D3-BD76-4B01-8FAB-69834CA1049E}"/>
    <cellStyle name="Normal 10 3 7 4 4" xfId="24812" xr:uid="{D29EAC79-19C8-4ED8-9707-ACF895180B66}"/>
    <cellStyle name="Normal 10 3 7 4 4 2" xfId="24813" xr:uid="{F08FD5C4-1AEF-4FF5-B7A4-CA7074D4413F}"/>
    <cellStyle name="Normal 10 3 7 4 4 2 2" xfId="24814" xr:uid="{E13D9D15-CA1C-4538-8D73-0BF298F244A7}"/>
    <cellStyle name="Normal 10 3 7 4 4 2 2 2" xfId="24815" xr:uid="{BFB5B2DB-7F99-40B3-9F0C-F0E66B430186}"/>
    <cellStyle name="Normal 10 3 7 4 4 2 3" xfId="24816" xr:uid="{FFE34400-A4AF-4C19-BEC7-A998E547898D}"/>
    <cellStyle name="Normal 10 3 7 4 4 3" xfId="24817" xr:uid="{DECD4240-D325-4CAE-BB5D-D8C950B8BB83}"/>
    <cellStyle name="Normal 10 3 7 4 4 3 2" xfId="24818" xr:uid="{0A2289FA-B06A-4B87-B1CB-0D2BE641D689}"/>
    <cellStyle name="Normal 10 3 7 4 4 4" xfId="24819" xr:uid="{E699FE20-A4D5-43B0-9D7E-A91DA58AFD27}"/>
    <cellStyle name="Normal 10 3 7 4 5" xfId="24820" xr:uid="{C070DB5E-92A8-489D-A70E-C2C9879E9C07}"/>
    <cellStyle name="Normal 10 3 7 4 5 2" xfId="24821" xr:uid="{A0B04E35-EB94-43B9-8C59-0D4EA8282BFA}"/>
    <cellStyle name="Normal 10 3 7 4 5 2 2" xfId="24822" xr:uid="{CF01A9AC-36D1-4C7A-AB83-BF7DEC518803}"/>
    <cellStyle name="Normal 10 3 7 4 5 3" xfId="24823" xr:uid="{76B18DE3-2134-42B2-A213-95FDD9A97A03}"/>
    <cellStyle name="Normal 10 3 7 4 6" xfId="24824" xr:uid="{6B8CA64D-1EFE-4A7E-BB15-B29261E860F1}"/>
    <cellStyle name="Normal 10 3 7 4 6 2" xfId="24825" xr:uid="{74B46B77-1162-4FE3-A6A4-794C7B1AAEE0}"/>
    <cellStyle name="Normal 10 3 7 4 7" xfId="24826" xr:uid="{FD678CBE-4C0C-4386-B0CF-693B10ABED26}"/>
    <cellStyle name="Normal 10 3 7 5" xfId="24827" xr:uid="{3E98A816-A6F9-4CF0-9AE0-DBDF6553CF1B}"/>
    <cellStyle name="Normal 10 3 7 5 2" xfId="24828" xr:uid="{56132B61-6016-4CD6-B888-EA3CEEB3D82E}"/>
    <cellStyle name="Normal 10 3 7 5 2 2" xfId="24829" xr:uid="{2D2E4B08-E0F9-4BFF-95D7-8B1D25425250}"/>
    <cellStyle name="Normal 10 3 7 5 2 2 2" xfId="24830" xr:uid="{6081335B-E041-466D-9663-3E54119822C2}"/>
    <cellStyle name="Normal 10 3 7 5 2 2 2 2" xfId="24831" xr:uid="{947BB9C5-AFDC-4EB5-AA6A-5801742CF9A0}"/>
    <cellStyle name="Normal 10 3 7 5 2 2 2 2 2" xfId="24832" xr:uid="{5FC26452-D4FB-48A9-8D6E-CA40D1AB5A49}"/>
    <cellStyle name="Normal 10 3 7 5 2 2 2 3" xfId="24833" xr:uid="{D4CDA586-5B39-45AC-8BA6-FFABF3675FE3}"/>
    <cellStyle name="Normal 10 3 7 5 2 2 3" xfId="24834" xr:uid="{32FB63C4-626B-4EA0-9E34-D2139B098692}"/>
    <cellStyle name="Normal 10 3 7 5 2 2 3 2" xfId="24835" xr:uid="{5C48512C-EFCB-4883-9681-E7EF651FDADA}"/>
    <cellStyle name="Normal 10 3 7 5 2 2 4" xfId="24836" xr:uid="{CAB651CD-4846-44E6-A742-4285FDC55E3F}"/>
    <cellStyle name="Normal 10 3 7 5 2 3" xfId="24837" xr:uid="{B28A26B3-54EA-491A-B68C-63664293A693}"/>
    <cellStyle name="Normal 10 3 7 5 2 3 2" xfId="24838" xr:uid="{C763A0FE-6905-4B42-84C2-94A89671C53A}"/>
    <cellStyle name="Normal 10 3 7 5 2 3 2 2" xfId="24839" xr:uid="{4BD9F22D-6261-4D35-B895-3B705C8EC374}"/>
    <cellStyle name="Normal 10 3 7 5 2 3 3" xfId="24840" xr:uid="{8C23C521-A482-4E03-95A4-54A1CE7D7B8F}"/>
    <cellStyle name="Normal 10 3 7 5 2 4" xfId="24841" xr:uid="{794F867B-BE7B-4ABF-B74D-0955AFF3FD23}"/>
    <cellStyle name="Normal 10 3 7 5 2 4 2" xfId="24842" xr:uid="{F02F07AD-90E8-4834-A4E2-F98C5860901A}"/>
    <cellStyle name="Normal 10 3 7 5 2 5" xfId="24843" xr:uid="{B1424A1A-0AFA-4D67-B2F7-B70F7027C872}"/>
    <cellStyle name="Normal 10 3 7 5 3" xfId="24844" xr:uid="{2C75757F-F8E5-436D-8965-1155B396135A}"/>
    <cellStyle name="Normal 10 3 7 5 3 2" xfId="24845" xr:uid="{A4538408-8220-45A2-AB7B-FAB4E80BDECC}"/>
    <cellStyle name="Normal 10 3 7 5 3 2 2" xfId="24846" xr:uid="{0401CB7E-8D44-420B-8F2D-841AD4C0B2F2}"/>
    <cellStyle name="Normal 10 3 7 5 3 2 2 2" xfId="24847" xr:uid="{0E339DBE-9B31-4AD1-8FDC-569C25BA6B30}"/>
    <cellStyle name="Normal 10 3 7 5 3 2 3" xfId="24848" xr:uid="{E63B53DB-4E28-426E-AB7E-684F36B4413D}"/>
    <cellStyle name="Normal 10 3 7 5 3 3" xfId="24849" xr:uid="{A5AFEB96-E18D-4B2C-8B76-04DE0E641FD6}"/>
    <cellStyle name="Normal 10 3 7 5 3 3 2" xfId="24850" xr:uid="{421FCD00-A13A-42B9-981D-5AD385D5EE37}"/>
    <cellStyle name="Normal 10 3 7 5 3 4" xfId="24851" xr:uid="{8864C7DA-FAE2-4ACF-BADF-81B343D98117}"/>
    <cellStyle name="Normal 10 3 7 5 4" xfId="24852" xr:uid="{6C1BEB41-F483-4F3C-8C6F-21A8CB2E0BF8}"/>
    <cellStyle name="Normal 10 3 7 5 4 2" xfId="24853" xr:uid="{608A14BF-A3EA-4FBA-A2E5-F3CD3F759B70}"/>
    <cellStyle name="Normal 10 3 7 5 4 2 2" xfId="24854" xr:uid="{D4892DED-9EF3-4598-9541-43FF5A5ACBA6}"/>
    <cellStyle name="Normal 10 3 7 5 4 3" xfId="24855" xr:uid="{B14A5403-5573-42D1-8B62-AA281ACA4501}"/>
    <cellStyle name="Normal 10 3 7 5 5" xfId="24856" xr:uid="{A5670C66-C15E-46C1-A876-F4736619AC9B}"/>
    <cellStyle name="Normal 10 3 7 5 5 2" xfId="24857" xr:uid="{5EFB7F11-25A4-4BD0-B524-43BB84FD0E62}"/>
    <cellStyle name="Normal 10 3 7 5 6" xfId="24858" xr:uid="{D92582E5-A61A-4349-90F5-135642144706}"/>
    <cellStyle name="Normal 10 3 7 6" xfId="24859" xr:uid="{07EA56EE-45BD-49EC-B13F-813F165E5466}"/>
    <cellStyle name="Normal 10 3 7 6 2" xfId="24860" xr:uid="{EEBB3856-789A-4BE3-ABCD-260086311DC2}"/>
    <cellStyle name="Normal 10 3 7 6 2 2" xfId="24861" xr:uid="{15CCC7B3-4AB5-412C-882B-9294A1C502BA}"/>
    <cellStyle name="Normal 10 3 7 6 2 2 2" xfId="24862" xr:uid="{6FA2F8F4-DEA1-45CA-BC0B-3B02C6BD62D8}"/>
    <cellStyle name="Normal 10 3 7 6 2 2 2 2" xfId="24863" xr:uid="{F9404A8B-70FC-446B-A9E3-FD8169AB40AF}"/>
    <cellStyle name="Normal 10 3 7 6 2 2 3" xfId="24864" xr:uid="{ECC14843-AAEB-43B2-81D1-60F4D7B25A14}"/>
    <cellStyle name="Normal 10 3 7 6 2 3" xfId="24865" xr:uid="{34DFC3B9-CE30-4C2C-92FF-298A4BC29CD5}"/>
    <cellStyle name="Normal 10 3 7 6 2 3 2" xfId="24866" xr:uid="{19CA3DDC-90EA-4FF7-86E9-F6EFF1317A89}"/>
    <cellStyle name="Normal 10 3 7 6 2 4" xfId="24867" xr:uid="{FE20B9A3-374E-4554-A53D-7E6E5871015E}"/>
    <cellStyle name="Normal 10 3 7 6 3" xfId="24868" xr:uid="{05892E1A-8512-4C42-9BB6-A0C77E17BE80}"/>
    <cellStyle name="Normal 10 3 7 6 3 2" xfId="24869" xr:uid="{7090B764-C51A-46D9-B233-B523F27503CB}"/>
    <cellStyle name="Normal 10 3 7 6 3 2 2" xfId="24870" xr:uid="{2A8D48D3-F585-4B19-9AFE-68FF4D0FE1A4}"/>
    <cellStyle name="Normal 10 3 7 6 3 3" xfId="24871" xr:uid="{F0FBA7C6-D786-4C9B-877B-295A6C964B05}"/>
    <cellStyle name="Normal 10 3 7 6 4" xfId="24872" xr:uid="{25CE6B89-A929-41DE-AB95-F7E32CDF1134}"/>
    <cellStyle name="Normal 10 3 7 6 4 2" xfId="24873" xr:uid="{1115AF8A-52BD-4830-A2D2-CD7D88A939CE}"/>
    <cellStyle name="Normal 10 3 7 6 5" xfId="24874" xr:uid="{2942FBE7-034F-4E3C-951B-000F9419BAEB}"/>
    <cellStyle name="Normal 10 3 7 7" xfId="24875" xr:uid="{B24EBEA4-B5F2-4025-AC34-0F93739C09FF}"/>
    <cellStyle name="Normal 10 3 7 7 2" xfId="24876" xr:uid="{90649B96-A50E-4CFF-9E7A-CB3C00771C3C}"/>
    <cellStyle name="Normal 10 3 7 7 2 2" xfId="24877" xr:uid="{7D5E0596-7EFF-40AC-85EF-D83D37015E6E}"/>
    <cellStyle name="Normal 10 3 7 7 2 2 2" xfId="24878" xr:uid="{6B9BA335-1CE4-4FEB-BC68-70DC1A61F187}"/>
    <cellStyle name="Normal 10 3 7 7 2 3" xfId="24879" xr:uid="{614FDB9B-7249-4863-9FBA-AA52B11968DA}"/>
    <cellStyle name="Normal 10 3 7 7 3" xfId="24880" xr:uid="{04F6886B-834B-4325-98B7-906F5B1F9CE1}"/>
    <cellStyle name="Normal 10 3 7 7 3 2" xfId="24881" xr:uid="{B3EC627E-6137-4ABA-8C7F-3D0267BAEE73}"/>
    <cellStyle name="Normal 10 3 7 7 4" xfId="24882" xr:uid="{B0C4DCAC-536B-4AF5-9333-57EF64FF7BF3}"/>
    <cellStyle name="Normal 10 3 7 8" xfId="24883" xr:uid="{6D2ECFAE-3AC5-42DB-8DDF-C02D163C0741}"/>
    <cellStyle name="Normal 10 3 7 8 2" xfId="24884" xr:uid="{9E7BD326-7644-4AE9-99ED-C08B66D9F7D9}"/>
    <cellStyle name="Normal 10 3 7 8 2 2" xfId="24885" xr:uid="{12543710-17FA-4E39-A6CB-7D959C03D966}"/>
    <cellStyle name="Normal 10 3 7 8 3" xfId="24886" xr:uid="{14614D28-B51A-471E-B79B-E1CAA2633D02}"/>
    <cellStyle name="Normal 10 3 7 9" xfId="24887" xr:uid="{529381BC-4DCB-4357-B065-27CE4B17E2A8}"/>
    <cellStyle name="Normal 10 3 7 9 2" xfId="24888" xr:uid="{34CB1F76-2815-418B-BFAA-E0A38191E922}"/>
    <cellStyle name="Normal 10 3 8" xfId="267" xr:uid="{015E6558-9073-4541-8481-F602D54C5603}"/>
    <cellStyle name="Normal 10 3 8 10" xfId="24889" xr:uid="{7E5ABB89-51C4-4885-BD63-47E1B2EF9CBE}"/>
    <cellStyle name="Normal 10 3 8 11" xfId="573" xr:uid="{FDB0FE8E-142B-4970-BB7E-6577DEFCD8DF}"/>
    <cellStyle name="Normal 10 3 8 2" xfId="347" xr:uid="{808109B3-6BCA-4C62-85D9-8004CFF5ED4C}"/>
    <cellStyle name="Normal 10 3 8 2 10" xfId="24890" xr:uid="{18AD986E-2DA7-4ADD-AF2F-8D4B654A5F06}"/>
    <cellStyle name="Normal 10 3 8 2 2" xfId="24891" xr:uid="{9C184540-3A02-477A-9538-E2D2C14451C9}"/>
    <cellStyle name="Normal 10 3 8 2 2 2" xfId="24892" xr:uid="{0A343576-5D00-4B6D-9542-3C9DA59D446E}"/>
    <cellStyle name="Normal 10 3 8 2 2 2 2" xfId="24893" xr:uid="{85434DA2-1AFC-44C6-B023-07658E5D6CA3}"/>
    <cellStyle name="Normal 10 3 8 2 2 2 2 2" xfId="24894" xr:uid="{FCE9057D-BBA1-4A2C-BB32-2E3EB3802EC8}"/>
    <cellStyle name="Normal 10 3 8 2 2 2 2 2 2" xfId="24895" xr:uid="{431505C9-B058-4F10-8EAB-00F7E6525ABB}"/>
    <cellStyle name="Normal 10 3 8 2 2 2 2 2 2 2" xfId="24896" xr:uid="{01F1846A-4204-46A6-866A-1A53E32D76EF}"/>
    <cellStyle name="Normal 10 3 8 2 2 2 2 2 2 2 2" xfId="24897" xr:uid="{EF45658F-44A4-47B6-A3EC-95743B99D1C5}"/>
    <cellStyle name="Normal 10 3 8 2 2 2 2 2 2 2 2 2" xfId="24898" xr:uid="{AFA78D6E-E3D0-426B-8F8C-AA43277B20C6}"/>
    <cellStyle name="Normal 10 3 8 2 2 2 2 2 2 2 3" xfId="24899" xr:uid="{C8955410-79A6-43EA-B23C-9C782BE0F31C}"/>
    <cellStyle name="Normal 10 3 8 2 2 2 2 2 2 3" xfId="24900" xr:uid="{82702B92-7BE7-4473-83AB-24FE3D76FD50}"/>
    <cellStyle name="Normal 10 3 8 2 2 2 2 2 2 3 2" xfId="24901" xr:uid="{831E1F6A-19FA-46CA-9864-07910038FECB}"/>
    <cellStyle name="Normal 10 3 8 2 2 2 2 2 2 4" xfId="24902" xr:uid="{3FBC2103-5EA7-47FA-8E5A-6C781C36B2A0}"/>
    <cellStyle name="Normal 10 3 8 2 2 2 2 2 3" xfId="24903" xr:uid="{7FD9A38E-2463-4070-A035-BAEECD253A69}"/>
    <cellStyle name="Normal 10 3 8 2 2 2 2 2 3 2" xfId="24904" xr:uid="{ADE45D44-DE19-4C1C-989B-E83567C6A719}"/>
    <cellStyle name="Normal 10 3 8 2 2 2 2 2 3 2 2" xfId="24905" xr:uid="{46D4A120-58F3-4FB5-8AE4-C87721185301}"/>
    <cellStyle name="Normal 10 3 8 2 2 2 2 2 3 3" xfId="24906" xr:uid="{472B556B-7380-476D-A4A9-A60942E9AD43}"/>
    <cellStyle name="Normal 10 3 8 2 2 2 2 2 4" xfId="24907" xr:uid="{A74E0DAB-629C-4853-9E5D-5BE748FB6EC6}"/>
    <cellStyle name="Normal 10 3 8 2 2 2 2 2 4 2" xfId="24908" xr:uid="{67045FEE-E235-4A54-B0B0-145D6D3F0DCE}"/>
    <cellStyle name="Normal 10 3 8 2 2 2 2 2 5" xfId="24909" xr:uid="{9FF09C48-095C-4772-820C-B6C921F11CA3}"/>
    <cellStyle name="Normal 10 3 8 2 2 2 2 3" xfId="24910" xr:uid="{A371AD79-35CD-407B-82C2-8C2B9796C80F}"/>
    <cellStyle name="Normal 10 3 8 2 2 2 2 3 2" xfId="24911" xr:uid="{78F9A291-3213-4EB0-82F6-221E1AE9C39F}"/>
    <cellStyle name="Normal 10 3 8 2 2 2 2 3 2 2" xfId="24912" xr:uid="{F81AF1D8-F34A-4F69-99E0-435DCA796545}"/>
    <cellStyle name="Normal 10 3 8 2 2 2 2 3 2 2 2" xfId="24913" xr:uid="{623EBDB5-0A21-4B9C-A89A-DBE61C5D8191}"/>
    <cellStyle name="Normal 10 3 8 2 2 2 2 3 2 3" xfId="24914" xr:uid="{C48E9BD5-79C1-42F3-9B46-79FBEA084D48}"/>
    <cellStyle name="Normal 10 3 8 2 2 2 2 3 3" xfId="24915" xr:uid="{1AD10401-8701-46C5-8C7D-3DA000648B3E}"/>
    <cellStyle name="Normal 10 3 8 2 2 2 2 3 3 2" xfId="24916" xr:uid="{B63A547C-4E2D-4CD8-9492-13695B77E87E}"/>
    <cellStyle name="Normal 10 3 8 2 2 2 2 3 4" xfId="24917" xr:uid="{02F1D492-250C-48BE-93A9-11573C8DAB17}"/>
    <cellStyle name="Normal 10 3 8 2 2 2 2 4" xfId="24918" xr:uid="{EF09EFCA-F409-406C-BDBC-F290DE1371F3}"/>
    <cellStyle name="Normal 10 3 8 2 2 2 2 4 2" xfId="24919" xr:uid="{4330EB94-6C58-4D4A-9E49-D362C1010296}"/>
    <cellStyle name="Normal 10 3 8 2 2 2 2 4 2 2" xfId="24920" xr:uid="{499BAE87-B134-4DF3-918C-7BF40F1E5849}"/>
    <cellStyle name="Normal 10 3 8 2 2 2 2 4 3" xfId="24921" xr:uid="{9B5F5C04-B27D-4364-B92A-6A1E25902978}"/>
    <cellStyle name="Normal 10 3 8 2 2 2 2 5" xfId="24922" xr:uid="{7507433D-9115-46C5-A5F8-1CB692200DF2}"/>
    <cellStyle name="Normal 10 3 8 2 2 2 2 5 2" xfId="24923" xr:uid="{0F4947E6-1404-486F-8E10-60A5FCA65C79}"/>
    <cellStyle name="Normal 10 3 8 2 2 2 2 6" xfId="24924" xr:uid="{2CE29E98-6D62-4D31-BFD9-1C290BF0F3A2}"/>
    <cellStyle name="Normal 10 3 8 2 2 2 3" xfId="24925" xr:uid="{121C614D-E145-44D5-B1C4-9509C5B69CBC}"/>
    <cellStyle name="Normal 10 3 8 2 2 2 3 2" xfId="24926" xr:uid="{8BB0C5DD-1C51-487C-99ED-449D61AD5F8F}"/>
    <cellStyle name="Normal 10 3 8 2 2 2 3 2 2" xfId="24927" xr:uid="{E372F6A7-F023-4DE2-A187-F76F7D4AE8F7}"/>
    <cellStyle name="Normal 10 3 8 2 2 2 3 2 2 2" xfId="24928" xr:uid="{F20E8D2F-7E82-459B-B81B-1FFF679EB607}"/>
    <cellStyle name="Normal 10 3 8 2 2 2 3 2 2 2 2" xfId="24929" xr:uid="{DE3134B1-ABAA-475E-89AB-E21E51CB03B9}"/>
    <cellStyle name="Normal 10 3 8 2 2 2 3 2 2 3" xfId="24930" xr:uid="{D2B1BAAE-F373-47D4-B915-53A35DAD38F1}"/>
    <cellStyle name="Normal 10 3 8 2 2 2 3 2 3" xfId="24931" xr:uid="{CCA4446C-19CE-49E9-83D9-3E1080DE104B}"/>
    <cellStyle name="Normal 10 3 8 2 2 2 3 2 3 2" xfId="24932" xr:uid="{58902071-8E4F-457C-82D0-CAB3286480CB}"/>
    <cellStyle name="Normal 10 3 8 2 2 2 3 2 4" xfId="24933" xr:uid="{1100FA84-6F0F-4D14-8663-987FB3A89218}"/>
    <cellStyle name="Normal 10 3 8 2 2 2 3 3" xfId="24934" xr:uid="{2304AB43-F1C6-45E9-8472-000243655650}"/>
    <cellStyle name="Normal 10 3 8 2 2 2 3 3 2" xfId="24935" xr:uid="{8B2B548D-DC2A-4203-931F-401C95DAC4A7}"/>
    <cellStyle name="Normal 10 3 8 2 2 2 3 3 2 2" xfId="24936" xr:uid="{907E3563-0246-41A0-A574-5A7AAFFA538F}"/>
    <cellStyle name="Normal 10 3 8 2 2 2 3 3 3" xfId="24937" xr:uid="{B0EADB45-2FBC-4DFB-8C49-8165595EBD01}"/>
    <cellStyle name="Normal 10 3 8 2 2 2 3 4" xfId="24938" xr:uid="{8AE5B9F9-3C5F-4BDB-8C1D-8B24AA95148C}"/>
    <cellStyle name="Normal 10 3 8 2 2 2 3 4 2" xfId="24939" xr:uid="{A7A105F0-FCBE-4DE3-8658-9C9143521435}"/>
    <cellStyle name="Normal 10 3 8 2 2 2 3 5" xfId="24940" xr:uid="{06169839-CFA3-4BBA-8D9E-ED7324C85FF6}"/>
    <cellStyle name="Normal 10 3 8 2 2 2 4" xfId="24941" xr:uid="{216945F6-11FE-4D5E-81B4-3668D34731E9}"/>
    <cellStyle name="Normal 10 3 8 2 2 2 4 2" xfId="24942" xr:uid="{E379CD72-9396-4E9B-B376-788536F09C58}"/>
    <cellStyle name="Normal 10 3 8 2 2 2 4 2 2" xfId="24943" xr:uid="{D382E79E-A3B1-463A-84BE-F5F81E28967F}"/>
    <cellStyle name="Normal 10 3 8 2 2 2 4 2 2 2" xfId="24944" xr:uid="{E30DC4A4-D416-4AF6-BE71-E07CE95CC2F6}"/>
    <cellStyle name="Normal 10 3 8 2 2 2 4 2 3" xfId="24945" xr:uid="{01786275-751E-4511-89A1-93EE0F5CBE11}"/>
    <cellStyle name="Normal 10 3 8 2 2 2 4 3" xfId="24946" xr:uid="{BA8C4ABE-9152-41E8-B1D9-09BC733844DD}"/>
    <cellStyle name="Normal 10 3 8 2 2 2 4 3 2" xfId="24947" xr:uid="{481BFA5B-854E-4F77-B338-E132E153E07D}"/>
    <cellStyle name="Normal 10 3 8 2 2 2 4 4" xfId="24948" xr:uid="{CBBC65B8-DB8A-4046-B119-CF39346D88D0}"/>
    <cellStyle name="Normal 10 3 8 2 2 2 5" xfId="24949" xr:uid="{4F46B275-369B-4B9F-89AE-597161506BF0}"/>
    <cellStyle name="Normal 10 3 8 2 2 2 5 2" xfId="24950" xr:uid="{FC7589BA-BF5C-4225-84B4-AAD2B7409529}"/>
    <cellStyle name="Normal 10 3 8 2 2 2 5 2 2" xfId="24951" xr:uid="{5AEEEFD0-CBBE-4EB6-ACFC-98B8CAF3A03B}"/>
    <cellStyle name="Normal 10 3 8 2 2 2 5 3" xfId="24952" xr:uid="{C0DD6414-D682-40CB-A241-84260A61E0C3}"/>
    <cellStyle name="Normal 10 3 8 2 2 2 6" xfId="24953" xr:uid="{A87F65B7-5740-4D6D-ADD7-7F7E1671C186}"/>
    <cellStyle name="Normal 10 3 8 2 2 2 6 2" xfId="24954" xr:uid="{A39C1590-D96B-450F-B4B1-708B3727033E}"/>
    <cellStyle name="Normal 10 3 8 2 2 2 7" xfId="24955" xr:uid="{CBAFE7AC-2491-4BE7-94A9-D9819E833E64}"/>
    <cellStyle name="Normal 10 3 8 2 2 3" xfId="24956" xr:uid="{01872E29-99E5-4A6B-AD27-91919E511019}"/>
    <cellStyle name="Normal 10 3 8 2 2 3 2" xfId="24957" xr:uid="{8175247D-83AD-45DF-AAFC-EE8566BDC937}"/>
    <cellStyle name="Normal 10 3 8 2 2 3 2 2" xfId="24958" xr:uid="{644B9AB3-8E4F-4560-AAFC-75E6E762B322}"/>
    <cellStyle name="Normal 10 3 8 2 2 3 2 2 2" xfId="24959" xr:uid="{E9F2AC0B-922A-43D6-8112-693A6690437F}"/>
    <cellStyle name="Normal 10 3 8 2 2 3 2 2 2 2" xfId="24960" xr:uid="{B7D86042-9AC9-4028-8F68-9491EA2E3EA1}"/>
    <cellStyle name="Normal 10 3 8 2 2 3 2 2 2 2 2" xfId="24961" xr:uid="{A2CC197F-FE73-42C5-913F-68031A166766}"/>
    <cellStyle name="Normal 10 3 8 2 2 3 2 2 2 3" xfId="24962" xr:uid="{7CB04ED7-0E2C-475C-A68F-1476F19F7FE0}"/>
    <cellStyle name="Normal 10 3 8 2 2 3 2 2 3" xfId="24963" xr:uid="{54291A74-F5A4-4BD7-AE40-EE692FE91FC6}"/>
    <cellStyle name="Normal 10 3 8 2 2 3 2 2 3 2" xfId="24964" xr:uid="{6F469A15-43E1-490D-B3C7-60577AB182C1}"/>
    <cellStyle name="Normal 10 3 8 2 2 3 2 2 4" xfId="24965" xr:uid="{ED0AA835-B6B1-4496-AD7C-B246526A87F2}"/>
    <cellStyle name="Normal 10 3 8 2 2 3 2 3" xfId="24966" xr:uid="{F56A2208-EA9E-4143-A551-15A0EF74570F}"/>
    <cellStyle name="Normal 10 3 8 2 2 3 2 3 2" xfId="24967" xr:uid="{AF0BC233-34BD-4D82-B307-E26B5EF4B219}"/>
    <cellStyle name="Normal 10 3 8 2 2 3 2 3 2 2" xfId="24968" xr:uid="{A51B0CEA-2F15-4C09-A1F2-26DDF17058C7}"/>
    <cellStyle name="Normal 10 3 8 2 2 3 2 3 3" xfId="24969" xr:uid="{4860301D-4F96-4FA4-BE1C-E2CAE2798C90}"/>
    <cellStyle name="Normal 10 3 8 2 2 3 2 4" xfId="24970" xr:uid="{46122514-D1E4-4BB6-853E-E52C5983E6AF}"/>
    <cellStyle name="Normal 10 3 8 2 2 3 2 4 2" xfId="24971" xr:uid="{5F0EF72E-0D19-4E6D-A12F-311BC6458949}"/>
    <cellStyle name="Normal 10 3 8 2 2 3 2 5" xfId="24972" xr:uid="{BAD0F033-C70F-48FF-B836-70F08BE37163}"/>
    <cellStyle name="Normal 10 3 8 2 2 3 3" xfId="24973" xr:uid="{EA473A2E-F869-47C8-97E7-DBE57E237A45}"/>
    <cellStyle name="Normal 10 3 8 2 2 3 3 2" xfId="24974" xr:uid="{19C4F82B-3420-4216-B9D0-728D12C48427}"/>
    <cellStyle name="Normal 10 3 8 2 2 3 3 2 2" xfId="24975" xr:uid="{5F7896D7-9B9F-48E9-9DE4-B794AFB57B14}"/>
    <cellStyle name="Normal 10 3 8 2 2 3 3 2 2 2" xfId="24976" xr:uid="{D569A8DE-06E1-4A24-860B-B9C2AD26F850}"/>
    <cellStyle name="Normal 10 3 8 2 2 3 3 2 3" xfId="24977" xr:uid="{96F6DCF2-6C21-4CF1-A3EA-D4FEFCBE5EED}"/>
    <cellStyle name="Normal 10 3 8 2 2 3 3 3" xfId="24978" xr:uid="{9265AE1C-52DE-4DB7-9D55-8BB7C825BA53}"/>
    <cellStyle name="Normal 10 3 8 2 2 3 3 3 2" xfId="24979" xr:uid="{E326A7B1-8B3C-41B8-8735-421F4E3EFEC4}"/>
    <cellStyle name="Normal 10 3 8 2 2 3 3 4" xfId="24980" xr:uid="{CCFC3EFA-B349-46E3-A584-1EFF3F82AD94}"/>
    <cellStyle name="Normal 10 3 8 2 2 3 4" xfId="24981" xr:uid="{AC76DF08-ABBC-4F8E-B082-7858D1780FAC}"/>
    <cellStyle name="Normal 10 3 8 2 2 3 4 2" xfId="24982" xr:uid="{9BD86A8D-BD36-4D7A-A173-EB6B1D52019C}"/>
    <cellStyle name="Normal 10 3 8 2 2 3 4 2 2" xfId="24983" xr:uid="{538A12BB-BC16-45D3-A54B-BD780019183E}"/>
    <cellStyle name="Normal 10 3 8 2 2 3 4 3" xfId="24984" xr:uid="{5D957E6F-874E-4361-890A-FA0EF8FC1D23}"/>
    <cellStyle name="Normal 10 3 8 2 2 3 5" xfId="24985" xr:uid="{74CB4A0B-63C5-4735-9337-3B592230ED59}"/>
    <cellStyle name="Normal 10 3 8 2 2 3 5 2" xfId="24986" xr:uid="{64724F7A-2F5E-424B-9870-5F89B0B6898B}"/>
    <cellStyle name="Normal 10 3 8 2 2 3 6" xfId="24987" xr:uid="{950C54D7-F06D-4B8B-81ED-DCC6F5D98BC0}"/>
    <cellStyle name="Normal 10 3 8 2 2 4" xfId="24988" xr:uid="{E9B97F60-63F5-4FE8-8EC0-D171F4BAC9B2}"/>
    <cellStyle name="Normal 10 3 8 2 2 4 2" xfId="24989" xr:uid="{D398F373-15DA-4F1C-98B7-D5534FFFCC50}"/>
    <cellStyle name="Normal 10 3 8 2 2 4 2 2" xfId="24990" xr:uid="{F9B409A0-AB3B-4AC3-8E47-6A940449FF5E}"/>
    <cellStyle name="Normal 10 3 8 2 2 4 2 2 2" xfId="24991" xr:uid="{DAF6E52B-E2F5-4A40-BD99-9183C5E80B5B}"/>
    <cellStyle name="Normal 10 3 8 2 2 4 2 2 2 2" xfId="24992" xr:uid="{2466504F-77BE-4D51-972A-E85115E435EC}"/>
    <cellStyle name="Normal 10 3 8 2 2 4 2 2 3" xfId="24993" xr:uid="{5D9A0B94-EA39-4868-B76E-B40ED5C9236A}"/>
    <cellStyle name="Normal 10 3 8 2 2 4 2 3" xfId="24994" xr:uid="{584E3972-C44A-43AC-A8A2-D13382D54D1B}"/>
    <cellStyle name="Normal 10 3 8 2 2 4 2 3 2" xfId="24995" xr:uid="{06CF50C9-D825-47FD-B7DD-A9BC37923BA6}"/>
    <cellStyle name="Normal 10 3 8 2 2 4 2 4" xfId="24996" xr:uid="{A01F1F5D-3533-4EC2-A75B-DCBE7F3807D4}"/>
    <cellStyle name="Normal 10 3 8 2 2 4 3" xfId="24997" xr:uid="{A030E2C2-85CD-475E-A960-F3131F25A694}"/>
    <cellStyle name="Normal 10 3 8 2 2 4 3 2" xfId="24998" xr:uid="{0FDBDC8C-BDBA-4C6F-B6D6-C8309DBAFFF5}"/>
    <cellStyle name="Normal 10 3 8 2 2 4 3 2 2" xfId="24999" xr:uid="{1BF9F5E6-0C5B-4456-9A88-1376C03FA058}"/>
    <cellStyle name="Normal 10 3 8 2 2 4 3 3" xfId="25000" xr:uid="{B74EE063-D475-4035-92CF-557DBCFA99D5}"/>
    <cellStyle name="Normal 10 3 8 2 2 4 4" xfId="25001" xr:uid="{AD8584EE-D6F3-4784-9945-B009CD7EEDC6}"/>
    <cellStyle name="Normal 10 3 8 2 2 4 4 2" xfId="25002" xr:uid="{C7F856AA-FD72-41A2-8AD1-A6CA3767F5D9}"/>
    <cellStyle name="Normal 10 3 8 2 2 4 5" xfId="25003" xr:uid="{C32FF063-DB33-4605-A613-8A888662918A}"/>
    <cellStyle name="Normal 10 3 8 2 2 5" xfId="25004" xr:uid="{855EB2C1-7855-43F6-9B38-4AEB23B705DF}"/>
    <cellStyle name="Normal 10 3 8 2 2 5 2" xfId="25005" xr:uid="{98CD681A-C2D5-412A-A2C8-CAD2ADAF972C}"/>
    <cellStyle name="Normal 10 3 8 2 2 5 2 2" xfId="25006" xr:uid="{2066B14D-6D95-407E-8A55-0A10041F8803}"/>
    <cellStyle name="Normal 10 3 8 2 2 5 2 2 2" xfId="25007" xr:uid="{4867759B-E7BA-40D5-A8C8-6AB4C0AEE239}"/>
    <cellStyle name="Normal 10 3 8 2 2 5 2 3" xfId="25008" xr:uid="{D6C4B00F-0A56-4D07-A528-947B6B1E545C}"/>
    <cellStyle name="Normal 10 3 8 2 2 5 3" xfId="25009" xr:uid="{DC10BE2A-1CE9-49B6-8E4B-A435E8E2EEA6}"/>
    <cellStyle name="Normal 10 3 8 2 2 5 3 2" xfId="25010" xr:uid="{944EC086-4DA0-4E27-BEF7-2582D397837B}"/>
    <cellStyle name="Normal 10 3 8 2 2 5 4" xfId="25011" xr:uid="{80F02B80-2FD3-404D-AAFE-A2E163FEB3CA}"/>
    <cellStyle name="Normal 10 3 8 2 2 6" xfId="25012" xr:uid="{3B09DC14-D444-4AC6-B172-747E8C076610}"/>
    <cellStyle name="Normal 10 3 8 2 2 6 2" xfId="25013" xr:uid="{E36E752D-B84D-4D82-B867-EDB294DA8761}"/>
    <cellStyle name="Normal 10 3 8 2 2 6 2 2" xfId="25014" xr:uid="{F8D02906-7765-4F77-8E91-E004B64B58A6}"/>
    <cellStyle name="Normal 10 3 8 2 2 6 3" xfId="25015" xr:uid="{B53B771B-0D01-48E7-AD7B-E4FC4374B8D5}"/>
    <cellStyle name="Normal 10 3 8 2 2 7" xfId="25016" xr:uid="{099D333A-6942-470A-9C27-079878063D41}"/>
    <cellStyle name="Normal 10 3 8 2 2 7 2" xfId="25017" xr:uid="{0B73890B-00D6-4D4A-A49E-67F089137BD0}"/>
    <cellStyle name="Normal 10 3 8 2 2 8" xfId="25018" xr:uid="{452DB4BB-3916-4C80-BCCC-7DB30C196EC0}"/>
    <cellStyle name="Normal 10 3 8 2 3" xfId="25019" xr:uid="{C9C7817F-7A28-41BD-A3C7-0B5CB99190EB}"/>
    <cellStyle name="Normal 10 3 8 2 3 2" xfId="25020" xr:uid="{E390E51E-7CFF-463B-AB75-006B1E292D0B}"/>
    <cellStyle name="Normal 10 3 8 2 3 2 2" xfId="25021" xr:uid="{C314EE49-1BA9-40A1-BCB4-EFFF062D731F}"/>
    <cellStyle name="Normal 10 3 8 2 3 2 2 2" xfId="25022" xr:uid="{E5FF1947-C823-477A-A6B3-1275A75E6278}"/>
    <cellStyle name="Normal 10 3 8 2 3 2 2 2 2" xfId="25023" xr:uid="{6FA6E6C5-6144-421F-88F3-D25116FF8AE0}"/>
    <cellStyle name="Normal 10 3 8 2 3 2 2 2 2 2" xfId="25024" xr:uid="{3ABCDD23-3BA1-4F99-A71E-82D353D76043}"/>
    <cellStyle name="Normal 10 3 8 2 3 2 2 2 2 2 2" xfId="25025" xr:uid="{9F21B14A-E018-4CD4-86F9-35A33A0EA7AF}"/>
    <cellStyle name="Normal 10 3 8 2 3 2 2 2 2 3" xfId="25026" xr:uid="{BA706495-8758-4F7E-BD46-175635179E57}"/>
    <cellStyle name="Normal 10 3 8 2 3 2 2 2 3" xfId="25027" xr:uid="{D741CD71-2F11-41BB-83F7-BB938E9AEA46}"/>
    <cellStyle name="Normal 10 3 8 2 3 2 2 2 3 2" xfId="25028" xr:uid="{02B1C35F-2796-4522-B314-3F42B61FAABE}"/>
    <cellStyle name="Normal 10 3 8 2 3 2 2 2 4" xfId="25029" xr:uid="{0F07BD0F-6012-4E06-A535-B4DB2D7394EB}"/>
    <cellStyle name="Normal 10 3 8 2 3 2 2 3" xfId="25030" xr:uid="{EC7B1296-3F96-49BE-860F-FFF23B5CEDFB}"/>
    <cellStyle name="Normal 10 3 8 2 3 2 2 3 2" xfId="25031" xr:uid="{64DB4EC9-5F83-4393-B2B2-50F9CDDA6E91}"/>
    <cellStyle name="Normal 10 3 8 2 3 2 2 3 2 2" xfId="25032" xr:uid="{16AA010B-2F3F-4399-95ED-6CD71A08AB63}"/>
    <cellStyle name="Normal 10 3 8 2 3 2 2 3 3" xfId="25033" xr:uid="{8CC641D2-97F0-4C46-8A0D-7442D7C71432}"/>
    <cellStyle name="Normal 10 3 8 2 3 2 2 4" xfId="25034" xr:uid="{C5E77439-1BB9-47C8-A4BB-DDF497EA44F4}"/>
    <cellStyle name="Normal 10 3 8 2 3 2 2 4 2" xfId="25035" xr:uid="{502939B4-ED34-400C-8B1E-B0C40089035A}"/>
    <cellStyle name="Normal 10 3 8 2 3 2 2 5" xfId="25036" xr:uid="{16A1F019-1E4A-42C7-982E-A6C44F7EE0A5}"/>
    <cellStyle name="Normal 10 3 8 2 3 2 3" xfId="25037" xr:uid="{92B717B7-715D-4B73-BDF3-123BEE736A06}"/>
    <cellStyle name="Normal 10 3 8 2 3 2 3 2" xfId="25038" xr:uid="{C6D87575-7B75-4EA5-8487-5CD180858FA8}"/>
    <cellStyle name="Normal 10 3 8 2 3 2 3 2 2" xfId="25039" xr:uid="{CF569319-4486-41FA-B952-E53A614CCE49}"/>
    <cellStyle name="Normal 10 3 8 2 3 2 3 2 2 2" xfId="25040" xr:uid="{1BCF3405-D33E-447F-95FB-BF5C59B5A5A8}"/>
    <cellStyle name="Normal 10 3 8 2 3 2 3 2 3" xfId="25041" xr:uid="{262AD3AE-31EE-45A9-9CE1-DFDE64F569C2}"/>
    <cellStyle name="Normal 10 3 8 2 3 2 3 3" xfId="25042" xr:uid="{9BC93D8C-2F68-45C6-8DBB-00215B468DFE}"/>
    <cellStyle name="Normal 10 3 8 2 3 2 3 3 2" xfId="25043" xr:uid="{AEFABD70-3275-4737-8A5E-9FF76BA665E6}"/>
    <cellStyle name="Normal 10 3 8 2 3 2 3 4" xfId="25044" xr:uid="{C7C7BBB7-03B6-4ABC-87D8-8CF4132C0786}"/>
    <cellStyle name="Normal 10 3 8 2 3 2 4" xfId="25045" xr:uid="{35B2E7FF-62A4-4416-9F22-5153BAC6C438}"/>
    <cellStyle name="Normal 10 3 8 2 3 2 4 2" xfId="25046" xr:uid="{286E3AD9-D170-4A0E-8D5F-54EE5D55B946}"/>
    <cellStyle name="Normal 10 3 8 2 3 2 4 2 2" xfId="25047" xr:uid="{661C7265-812A-49DC-A963-68687A8FCC2E}"/>
    <cellStyle name="Normal 10 3 8 2 3 2 4 3" xfId="25048" xr:uid="{3E7BBB0B-960A-4DB8-9038-A08630784FC6}"/>
    <cellStyle name="Normal 10 3 8 2 3 2 5" xfId="25049" xr:uid="{6FF62590-B81F-48F6-9BFF-0F41379B51CF}"/>
    <cellStyle name="Normal 10 3 8 2 3 2 5 2" xfId="25050" xr:uid="{5C2BF43B-BC91-45D6-B609-7F8485D91FEC}"/>
    <cellStyle name="Normal 10 3 8 2 3 2 6" xfId="25051" xr:uid="{19EB3E5F-8C04-46AA-9581-BAA89CEF924E}"/>
    <cellStyle name="Normal 10 3 8 2 3 3" xfId="25052" xr:uid="{BCF5C72E-D534-4688-9872-C37D8C71EE5F}"/>
    <cellStyle name="Normal 10 3 8 2 3 3 2" xfId="25053" xr:uid="{55A84CD0-11F5-48BC-9FC8-700F8D1BA844}"/>
    <cellStyle name="Normal 10 3 8 2 3 3 2 2" xfId="25054" xr:uid="{53231A9C-38BC-4BB8-BFCA-88F60DB5EAF1}"/>
    <cellStyle name="Normal 10 3 8 2 3 3 2 2 2" xfId="25055" xr:uid="{D0C86A74-E20B-45DD-A78B-B0CA0CA30E73}"/>
    <cellStyle name="Normal 10 3 8 2 3 3 2 2 2 2" xfId="25056" xr:uid="{F89460DB-BDF1-4038-8648-13B18F635E35}"/>
    <cellStyle name="Normal 10 3 8 2 3 3 2 2 3" xfId="25057" xr:uid="{E1F7BB03-EC55-48F7-8A90-D8660FE1C51C}"/>
    <cellStyle name="Normal 10 3 8 2 3 3 2 3" xfId="25058" xr:uid="{1B5FD57F-B57E-460F-AA66-5992CCEE731B}"/>
    <cellStyle name="Normal 10 3 8 2 3 3 2 3 2" xfId="25059" xr:uid="{F055B977-801F-4B91-8DA4-9BA37693F991}"/>
    <cellStyle name="Normal 10 3 8 2 3 3 2 4" xfId="25060" xr:uid="{6D774EEF-30E9-41EF-A149-F201D0DB55CD}"/>
    <cellStyle name="Normal 10 3 8 2 3 3 3" xfId="25061" xr:uid="{532FAEE2-AFE1-4B68-B839-4BE8D3628F61}"/>
    <cellStyle name="Normal 10 3 8 2 3 3 3 2" xfId="25062" xr:uid="{D5CFE5DA-5BBF-45DD-9189-7F5F25384D9A}"/>
    <cellStyle name="Normal 10 3 8 2 3 3 3 2 2" xfId="25063" xr:uid="{77830811-AABC-4F35-8EA3-40FAC7BA036F}"/>
    <cellStyle name="Normal 10 3 8 2 3 3 3 3" xfId="25064" xr:uid="{ADE61B2A-CF10-49FB-86C4-4DCFE80FF916}"/>
    <cellStyle name="Normal 10 3 8 2 3 3 4" xfId="25065" xr:uid="{C81FE53F-257D-4C5F-907E-A32FEB836C2B}"/>
    <cellStyle name="Normal 10 3 8 2 3 3 4 2" xfId="25066" xr:uid="{A7CFB8BE-A978-4D2A-BE71-8E73927F3721}"/>
    <cellStyle name="Normal 10 3 8 2 3 3 5" xfId="25067" xr:uid="{5EC8FEC1-581F-497A-9B54-81F346549F53}"/>
    <cellStyle name="Normal 10 3 8 2 3 4" xfId="25068" xr:uid="{83F9537C-BEB4-4F7A-9067-A33F11E5AC47}"/>
    <cellStyle name="Normal 10 3 8 2 3 4 2" xfId="25069" xr:uid="{A8179592-9731-4E58-9063-2B43788C42D1}"/>
    <cellStyle name="Normal 10 3 8 2 3 4 2 2" xfId="25070" xr:uid="{D0D350E4-074C-4E3B-AEDC-05E360077C7E}"/>
    <cellStyle name="Normal 10 3 8 2 3 4 2 2 2" xfId="25071" xr:uid="{BCBCA332-0435-422D-9760-E0870356F3EB}"/>
    <cellStyle name="Normal 10 3 8 2 3 4 2 3" xfId="25072" xr:uid="{DBEE3FC1-8F46-474D-9317-D785E75F72E6}"/>
    <cellStyle name="Normal 10 3 8 2 3 4 3" xfId="25073" xr:uid="{7F9D9AB3-7100-46B1-90E3-D255995B72EA}"/>
    <cellStyle name="Normal 10 3 8 2 3 4 3 2" xfId="25074" xr:uid="{23563BBC-3B3C-4B58-A4A2-D65C4B557F98}"/>
    <cellStyle name="Normal 10 3 8 2 3 4 4" xfId="25075" xr:uid="{327101FE-E73F-4DD4-98D4-56FEF5F501EE}"/>
    <cellStyle name="Normal 10 3 8 2 3 5" xfId="25076" xr:uid="{6928E16D-73F7-4997-BC9E-CC2AD0B221E6}"/>
    <cellStyle name="Normal 10 3 8 2 3 5 2" xfId="25077" xr:uid="{554DDBA2-1A4D-493F-A2C1-908848CD85C9}"/>
    <cellStyle name="Normal 10 3 8 2 3 5 2 2" xfId="25078" xr:uid="{5F3AA55A-EC62-4B00-8C1C-248D368AD3CA}"/>
    <cellStyle name="Normal 10 3 8 2 3 5 3" xfId="25079" xr:uid="{E17A2B12-0837-463D-8AC9-720B485F465A}"/>
    <cellStyle name="Normal 10 3 8 2 3 6" xfId="25080" xr:uid="{C460B67A-E96A-4ABA-88CC-06BEE959BE5F}"/>
    <cellStyle name="Normal 10 3 8 2 3 6 2" xfId="25081" xr:uid="{A1852882-1213-4BB5-9756-10EC9E1D97AB}"/>
    <cellStyle name="Normal 10 3 8 2 3 7" xfId="25082" xr:uid="{63B574FF-B421-40D1-B285-17AF6AA52642}"/>
    <cellStyle name="Normal 10 3 8 2 4" xfId="25083" xr:uid="{2FBC1E96-99B5-48CC-BAB1-9EFB5F51C061}"/>
    <cellStyle name="Normal 10 3 8 2 4 2" xfId="25084" xr:uid="{F95B9D19-57AE-43B6-A8B7-3FB0BDDFB479}"/>
    <cellStyle name="Normal 10 3 8 2 4 2 2" xfId="25085" xr:uid="{3ECF65D3-C8DA-4998-B3C4-4731A45D31F5}"/>
    <cellStyle name="Normal 10 3 8 2 4 2 2 2" xfId="25086" xr:uid="{18C3B417-8645-4186-8B66-254E2110C6B8}"/>
    <cellStyle name="Normal 10 3 8 2 4 2 2 2 2" xfId="25087" xr:uid="{B17E0AFE-4367-4302-B11E-D6C52EA5B5F3}"/>
    <cellStyle name="Normal 10 3 8 2 4 2 2 2 2 2" xfId="25088" xr:uid="{A14D4773-D397-4915-91D4-1B1B0D281D61}"/>
    <cellStyle name="Normal 10 3 8 2 4 2 2 2 3" xfId="25089" xr:uid="{A9037DD5-917A-48AC-9D96-526997B999CA}"/>
    <cellStyle name="Normal 10 3 8 2 4 2 2 3" xfId="25090" xr:uid="{D81B7D81-83D3-4570-9ED2-3F5DA09F137F}"/>
    <cellStyle name="Normal 10 3 8 2 4 2 2 3 2" xfId="25091" xr:uid="{50EB45DC-773A-4A9A-8E9D-F4F74F2EED23}"/>
    <cellStyle name="Normal 10 3 8 2 4 2 2 4" xfId="25092" xr:uid="{55EEADAE-8F31-405D-BF9F-40E1B07644A6}"/>
    <cellStyle name="Normal 10 3 8 2 4 2 3" xfId="25093" xr:uid="{3E1D4CCC-66E2-418F-B3C2-DD43DC88967B}"/>
    <cellStyle name="Normal 10 3 8 2 4 2 3 2" xfId="25094" xr:uid="{D448B0FE-FC84-47FA-9978-4694FD215685}"/>
    <cellStyle name="Normal 10 3 8 2 4 2 3 2 2" xfId="25095" xr:uid="{2188C1E9-79EE-4F30-8949-83C626BCBAC3}"/>
    <cellStyle name="Normal 10 3 8 2 4 2 3 3" xfId="25096" xr:uid="{D25D09C5-17B7-4650-B45C-0EE4ACB948A9}"/>
    <cellStyle name="Normal 10 3 8 2 4 2 4" xfId="25097" xr:uid="{91C2A094-1261-4067-A520-836D87B9D9F8}"/>
    <cellStyle name="Normal 10 3 8 2 4 2 4 2" xfId="25098" xr:uid="{AFEE5386-953E-4C63-91DD-B437F59A8EDD}"/>
    <cellStyle name="Normal 10 3 8 2 4 2 5" xfId="25099" xr:uid="{BB5964C4-A3FF-41EF-9DE0-3588B5BC6A92}"/>
    <cellStyle name="Normal 10 3 8 2 4 3" xfId="25100" xr:uid="{DC2C4B4C-69DA-4CEF-B4BF-F476F86E7389}"/>
    <cellStyle name="Normal 10 3 8 2 4 3 2" xfId="25101" xr:uid="{4DBBA978-7875-47AC-B968-DE271910309A}"/>
    <cellStyle name="Normal 10 3 8 2 4 3 2 2" xfId="25102" xr:uid="{7922AA78-840B-41D8-8B6D-8E41E7A24A36}"/>
    <cellStyle name="Normal 10 3 8 2 4 3 2 2 2" xfId="25103" xr:uid="{6E5CBCC0-E58C-46CC-BB05-48D338DB8EEF}"/>
    <cellStyle name="Normal 10 3 8 2 4 3 2 3" xfId="25104" xr:uid="{5743ABCA-46DB-4D24-A189-EFC132ACCF39}"/>
    <cellStyle name="Normal 10 3 8 2 4 3 3" xfId="25105" xr:uid="{37A763B1-6250-4969-92E5-82D4A82DEC9C}"/>
    <cellStyle name="Normal 10 3 8 2 4 3 3 2" xfId="25106" xr:uid="{A0FA26AE-E002-4C6C-A7F1-12A453056A9A}"/>
    <cellStyle name="Normal 10 3 8 2 4 3 4" xfId="25107" xr:uid="{BA3B16AB-FFC9-40DC-ADA0-999A735BE0D3}"/>
    <cellStyle name="Normal 10 3 8 2 4 4" xfId="25108" xr:uid="{6B353CAE-BCD7-464D-B6C9-9690D1224551}"/>
    <cellStyle name="Normal 10 3 8 2 4 4 2" xfId="25109" xr:uid="{9792FD81-627F-4602-B3E3-7DD5D846716E}"/>
    <cellStyle name="Normal 10 3 8 2 4 4 2 2" xfId="25110" xr:uid="{A78E785F-3E2C-4ED5-9440-6A3997560C5A}"/>
    <cellStyle name="Normal 10 3 8 2 4 4 3" xfId="25111" xr:uid="{2FDA8944-ED25-4418-B72E-A83127129DA2}"/>
    <cellStyle name="Normal 10 3 8 2 4 5" xfId="25112" xr:uid="{BAD6D805-C43F-4266-8A7B-54D6E0CD22B0}"/>
    <cellStyle name="Normal 10 3 8 2 4 5 2" xfId="25113" xr:uid="{AA0C5295-45EC-4175-A88E-209321711952}"/>
    <cellStyle name="Normal 10 3 8 2 4 6" xfId="25114" xr:uid="{65699C0A-88CF-4EFA-9626-EAC506B994D9}"/>
    <cellStyle name="Normal 10 3 8 2 5" xfId="25115" xr:uid="{8F75D99F-08B4-4232-BF23-9BC2D4A859BA}"/>
    <cellStyle name="Normal 10 3 8 2 5 2" xfId="25116" xr:uid="{921D69A0-B612-424D-BF7C-856E8B4D3B65}"/>
    <cellStyle name="Normal 10 3 8 2 5 2 2" xfId="25117" xr:uid="{8414D1EA-E52B-40B2-9944-F24102D1DB30}"/>
    <cellStyle name="Normal 10 3 8 2 5 2 2 2" xfId="25118" xr:uid="{C3D8BAC2-A05D-42D3-9DBA-D388B3D71FD5}"/>
    <cellStyle name="Normal 10 3 8 2 5 2 2 2 2" xfId="25119" xr:uid="{7C993A0B-5703-46E3-ABF7-EE94C430BF1C}"/>
    <cellStyle name="Normal 10 3 8 2 5 2 2 3" xfId="25120" xr:uid="{A1786C1F-C39A-4FF4-8621-313D7B810452}"/>
    <cellStyle name="Normal 10 3 8 2 5 2 3" xfId="25121" xr:uid="{1BB84CCE-1320-4856-9EC4-4A0945524A8E}"/>
    <cellStyle name="Normal 10 3 8 2 5 2 3 2" xfId="25122" xr:uid="{DFA0DDB0-8418-4BE6-918C-E439108493FE}"/>
    <cellStyle name="Normal 10 3 8 2 5 2 4" xfId="25123" xr:uid="{97BCF995-1B7E-4414-A99D-E5897A6AE672}"/>
    <cellStyle name="Normal 10 3 8 2 5 3" xfId="25124" xr:uid="{18CBEEDA-91E2-4389-A104-DEF9F3B38981}"/>
    <cellStyle name="Normal 10 3 8 2 5 3 2" xfId="25125" xr:uid="{0FF4A2E6-B906-47EC-9465-D65A7B54B4E3}"/>
    <cellStyle name="Normal 10 3 8 2 5 3 2 2" xfId="25126" xr:uid="{D7AFDDEA-68DA-4DFE-AD2E-9461024F32DB}"/>
    <cellStyle name="Normal 10 3 8 2 5 3 3" xfId="25127" xr:uid="{CBA41C4D-269B-4219-A545-77AE073840C4}"/>
    <cellStyle name="Normal 10 3 8 2 5 4" xfId="25128" xr:uid="{647F0D96-6289-4A92-9754-FFD5941C1EC9}"/>
    <cellStyle name="Normal 10 3 8 2 5 4 2" xfId="25129" xr:uid="{D91027F3-AA8D-41E4-B547-607868491421}"/>
    <cellStyle name="Normal 10 3 8 2 5 5" xfId="25130" xr:uid="{FD3C1214-F069-4FDC-B258-D6001B2EBED4}"/>
    <cellStyle name="Normal 10 3 8 2 6" xfId="25131" xr:uid="{1192EBCF-1CBA-4CFE-81D1-3E8E0D7C9EF3}"/>
    <cellStyle name="Normal 10 3 8 2 6 2" xfId="25132" xr:uid="{1A077C56-F113-4219-9ED5-7F21A0AB44C3}"/>
    <cellStyle name="Normal 10 3 8 2 6 2 2" xfId="25133" xr:uid="{AFF22439-6A3C-47FB-BFAA-E20505B329C9}"/>
    <cellStyle name="Normal 10 3 8 2 6 2 2 2" xfId="25134" xr:uid="{5E7118F6-B627-4660-9BCE-7E054137E24D}"/>
    <cellStyle name="Normal 10 3 8 2 6 2 3" xfId="25135" xr:uid="{CCC9EB6B-BA87-4970-BEDD-412EDD5B5B07}"/>
    <cellStyle name="Normal 10 3 8 2 6 3" xfId="25136" xr:uid="{42EB2B5F-BFC7-43E5-9F54-F3B0CCDA9789}"/>
    <cellStyle name="Normal 10 3 8 2 6 3 2" xfId="25137" xr:uid="{3BB8EC39-565C-4F40-AD37-92FDCB92B28F}"/>
    <cellStyle name="Normal 10 3 8 2 6 4" xfId="25138" xr:uid="{7164BF3B-1748-4C48-BCAA-1B0BD57E4C52}"/>
    <cellStyle name="Normal 10 3 8 2 7" xfId="25139" xr:uid="{313C4FE5-126E-4EF4-9D47-A440FA6B56AF}"/>
    <cellStyle name="Normal 10 3 8 2 7 2" xfId="25140" xr:uid="{ACC0E006-3892-4748-A6E6-5D0917532B67}"/>
    <cellStyle name="Normal 10 3 8 2 7 2 2" xfId="25141" xr:uid="{63AF9894-129D-4CDA-96D8-5EA1EAC382AE}"/>
    <cellStyle name="Normal 10 3 8 2 7 3" xfId="25142" xr:uid="{E7FDB48F-1D41-4554-A77E-0E6C45B09369}"/>
    <cellStyle name="Normal 10 3 8 2 8" xfId="25143" xr:uid="{09052F7F-CB1E-4FC2-B8D1-EE3CD7B1ACCE}"/>
    <cellStyle name="Normal 10 3 8 2 8 2" xfId="25144" xr:uid="{46CB06DE-3F88-4F5A-8403-04684E3926A7}"/>
    <cellStyle name="Normal 10 3 8 2 9" xfId="25145" xr:uid="{1CA592DC-66DC-4D32-866C-0C600D1CA384}"/>
    <cellStyle name="Normal 10 3 8 3" xfId="502" xr:uid="{B91ECB96-94B3-4BC3-ABC6-FBA97F82582A}"/>
    <cellStyle name="Normal 10 3 8 3 2" xfId="25147" xr:uid="{C51C7A28-59B3-4638-B6AF-B386276F6154}"/>
    <cellStyle name="Normal 10 3 8 3 2 2" xfId="25148" xr:uid="{669A4BA6-C4EB-4F58-B873-E221BB3D9BD3}"/>
    <cellStyle name="Normal 10 3 8 3 2 2 2" xfId="25149" xr:uid="{03601CB0-9E84-433A-9B14-19CED0A56C1A}"/>
    <cellStyle name="Normal 10 3 8 3 2 2 2 2" xfId="25150" xr:uid="{6E0C3B00-BA4E-4585-92ED-2E5E6A08EBB6}"/>
    <cellStyle name="Normal 10 3 8 3 2 2 2 2 2" xfId="25151" xr:uid="{E173C897-1B8F-4BB2-A04D-56F8C53077C1}"/>
    <cellStyle name="Normal 10 3 8 3 2 2 2 2 2 2" xfId="25152" xr:uid="{04DF0ECD-225B-45B6-9316-3C36713FED05}"/>
    <cellStyle name="Normal 10 3 8 3 2 2 2 2 2 2 2" xfId="25153" xr:uid="{B90C5CAC-37F8-4F1E-B8F5-B18C6237DCAD}"/>
    <cellStyle name="Normal 10 3 8 3 2 2 2 2 2 3" xfId="25154" xr:uid="{E21BCD8C-B4B9-490C-8E27-8DE693A93081}"/>
    <cellStyle name="Normal 10 3 8 3 2 2 2 2 3" xfId="25155" xr:uid="{62F8A565-A012-482C-BD2E-8B3092908383}"/>
    <cellStyle name="Normal 10 3 8 3 2 2 2 2 3 2" xfId="25156" xr:uid="{E55CA047-56F7-4523-B992-A723E69AEFBA}"/>
    <cellStyle name="Normal 10 3 8 3 2 2 2 2 4" xfId="25157" xr:uid="{7D55163A-5CF4-4969-BC57-8C7BFF232A6D}"/>
    <cellStyle name="Normal 10 3 8 3 2 2 2 3" xfId="25158" xr:uid="{1E0613C1-15B2-4723-BA36-319B58002F44}"/>
    <cellStyle name="Normal 10 3 8 3 2 2 2 3 2" xfId="25159" xr:uid="{48088AC1-9836-4D0B-BF69-59657812CAF4}"/>
    <cellStyle name="Normal 10 3 8 3 2 2 2 3 2 2" xfId="25160" xr:uid="{0A66FFD6-8D47-43D1-AD72-B20B566C3953}"/>
    <cellStyle name="Normal 10 3 8 3 2 2 2 3 3" xfId="25161" xr:uid="{A147E1BC-FBEB-4117-947A-384F900D1AAF}"/>
    <cellStyle name="Normal 10 3 8 3 2 2 2 4" xfId="25162" xr:uid="{F416DB43-36C6-4D79-B4A1-5C80812BFCB4}"/>
    <cellStyle name="Normal 10 3 8 3 2 2 2 4 2" xfId="25163" xr:uid="{6EE4EFFF-A9D0-4A51-B8C3-FC8385852712}"/>
    <cellStyle name="Normal 10 3 8 3 2 2 2 5" xfId="25164" xr:uid="{782FFBA6-C114-4897-B0A1-165A0B2A77AE}"/>
    <cellStyle name="Normal 10 3 8 3 2 2 3" xfId="25165" xr:uid="{C8F29FFA-7E26-4E8D-A5CF-2DEE2F5AE772}"/>
    <cellStyle name="Normal 10 3 8 3 2 2 3 2" xfId="25166" xr:uid="{533DFFBE-D609-4DB8-818A-DFC9B2649758}"/>
    <cellStyle name="Normal 10 3 8 3 2 2 3 2 2" xfId="25167" xr:uid="{68A5557F-C83F-4E51-B921-0D136BDC4E67}"/>
    <cellStyle name="Normal 10 3 8 3 2 2 3 2 2 2" xfId="25168" xr:uid="{EC9BFAC2-8754-4CC4-9EBF-AB3A177A6F01}"/>
    <cellStyle name="Normal 10 3 8 3 2 2 3 2 3" xfId="25169" xr:uid="{0825F9BC-1820-46B4-ACDB-6609CDEC3645}"/>
    <cellStyle name="Normal 10 3 8 3 2 2 3 3" xfId="25170" xr:uid="{FFEEA22D-3683-4D60-926B-A013533BD09D}"/>
    <cellStyle name="Normal 10 3 8 3 2 2 3 3 2" xfId="25171" xr:uid="{B71906A0-43F6-4C3C-9861-D6529207515D}"/>
    <cellStyle name="Normal 10 3 8 3 2 2 3 4" xfId="25172" xr:uid="{D71C0C9B-A2CC-4458-9313-9A179CCD9343}"/>
    <cellStyle name="Normal 10 3 8 3 2 2 4" xfId="25173" xr:uid="{111E1FDB-7150-4A60-8F6D-D453A091ADA1}"/>
    <cellStyle name="Normal 10 3 8 3 2 2 4 2" xfId="25174" xr:uid="{CFDC2850-3E37-4CD5-9F14-DA4F2975B44E}"/>
    <cellStyle name="Normal 10 3 8 3 2 2 4 2 2" xfId="25175" xr:uid="{C33A9BDE-A269-412C-AF1E-A631DCD35910}"/>
    <cellStyle name="Normal 10 3 8 3 2 2 4 3" xfId="25176" xr:uid="{EA155F50-A8F0-4EFB-A316-7D3A7D206D1A}"/>
    <cellStyle name="Normal 10 3 8 3 2 2 5" xfId="25177" xr:uid="{AC0101AD-D95A-4F7B-9EFA-A5F24E742E62}"/>
    <cellStyle name="Normal 10 3 8 3 2 2 5 2" xfId="25178" xr:uid="{1675306C-D0F2-4C21-AAC9-B51D1E77CFDD}"/>
    <cellStyle name="Normal 10 3 8 3 2 2 6" xfId="25179" xr:uid="{D52C9025-DE6B-4E59-9B48-B0C5FF898777}"/>
    <cellStyle name="Normal 10 3 8 3 2 3" xfId="25180" xr:uid="{25EF8EA3-81BE-4F6B-A1B3-FC93BA60F13B}"/>
    <cellStyle name="Normal 10 3 8 3 2 3 2" xfId="25181" xr:uid="{D68CFC9B-85AA-4D66-A19E-5CE234FE71ED}"/>
    <cellStyle name="Normal 10 3 8 3 2 3 2 2" xfId="25182" xr:uid="{4AE7B27E-EA8D-4D25-ACD8-1D5CD8EC28D9}"/>
    <cellStyle name="Normal 10 3 8 3 2 3 2 2 2" xfId="25183" xr:uid="{49588ECB-64E3-4CC0-B5C4-F4610C20B92C}"/>
    <cellStyle name="Normal 10 3 8 3 2 3 2 2 2 2" xfId="25184" xr:uid="{7EE860EA-0D9F-4DDC-9AB0-A659874D0C4F}"/>
    <cellStyle name="Normal 10 3 8 3 2 3 2 2 3" xfId="25185" xr:uid="{E107C114-42E8-45EB-9CE6-F64E872EFC3B}"/>
    <cellStyle name="Normal 10 3 8 3 2 3 2 3" xfId="25186" xr:uid="{DA2CE28B-9372-4456-B7B5-A00960CC5EEC}"/>
    <cellStyle name="Normal 10 3 8 3 2 3 2 3 2" xfId="25187" xr:uid="{C67771B2-A374-4BD0-BC34-14D4C82C6964}"/>
    <cellStyle name="Normal 10 3 8 3 2 3 2 4" xfId="25188" xr:uid="{AAA43354-870E-468B-9325-C7B7AF637E2B}"/>
    <cellStyle name="Normal 10 3 8 3 2 3 3" xfId="25189" xr:uid="{2F8477E6-DD42-45C9-BC4E-6073CA776841}"/>
    <cellStyle name="Normal 10 3 8 3 2 3 3 2" xfId="25190" xr:uid="{83A0927C-7167-456C-A8CE-EBA7397C8E26}"/>
    <cellStyle name="Normal 10 3 8 3 2 3 3 2 2" xfId="25191" xr:uid="{5BE1BBF9-629E-4131-A9E5-65D6323863DF}"/>
    <cellStyle name="Normal 10 3 8 3 2 3 3 3" xfId="25192" xr:uid="{B4BAE33C-D821-4AF3-A56A-73FBA41BCE36}"/>
    <cellStyle name="Normal 10 3 8 3 2 3 4" xfId="25193" xr:uid="{39873D4F-AC79-4FA6-B9EE-7AABBC2797DC}"/>
    <cellStyle name="Normal 10 3 8 3 2 3 4 2" xfId="25194" xr:uid="{F4693291-E3AA-4AB7-A815-EC37A86E257C}"/>
    <cellStyle name="Normal 10 3 8 3 2 3 5" xfId="25195" xr:uid="{642D99E5-373A-4270-89B2-23B6E58C15D8}"/>
    <cellStyle name="Normal 10 3 8 3 2 4" xfId="25196" xr:uid="{364D949D-02B5-4C5B-95B2-C09E3D4A9E08}"/>
    <cellStyle name="Normal 10 3 8 3 2 4 2" xfId="25197" xr:uid="{F0CCBB65-3EBB-4FC9-B59D-D47A60600B6F}"/>
    <cellStyle name="Normal 10 3 8 3 2 4 2 2" xfId="25198" xr:uid="{98A34DC1-D636-4014-A2FB-7EB86D2CEBC6}"/>
    <cellStyle name="Normal 10 3 8 3 2 4 2 2 2" xfId="25199" xr:uid="{3304B005-8F8D-4735-880C-5D5766DAD38E}"/>
    <cellStyle name="Normal 10 3 8 3 2 4 2 3" xfId="25200" xr:uid="{2FA80D7B-939A-4091-8E99-7D17F968012B}"/>
    <cellStyle name="Normal 10 3 8 3 2 4 3" xfId="25201" xr:uid="{20DD412F-07C3-4EBD-BA2F-8B5536E00B2D}"/>
    <cellStyle name="Normal 10 3 8 3 2 4 3 2" xfId="25202" xr:uid="{5BE9A9D8-D0A8-48B5-93B9-6B295F451C4B}"/>
    <cellStyle name="Normal 10 3 8 3 2 4 4" xfId="25203" xr:uid="{F4E8C6F3-DD62-41A6-8989-70F34A5CCB98}"/>
    <cellStyle name="Normal 10 3 8 3 2 5" xfId="25204" xr:uid="{53BD2B4B-C85C-441F-9CBB-FCDF22EDFE10}"/>
    <cellStyle name="Normal 10 3 8 3 2 5 2" xfId="25205" xr:uid="{29536F02-BCDD-42E6-AD14-67D16AB94E02}"/>
    <cellStyle name="Normal 10 3 8 3 2 5 2 2" xfId="25206" xr:uid="{6C9D731A-FA57-4C87-A303-6F83D3276042}"/>
    <cellStyle name="Normal 10 3 8 3 2 5 3" xfId="25207" xr:uid="{74C3A00D-E134-4AD8-AFE2-8B71D7E2F8E9}"/>
    <cellStyle name="Normal 10 3 8 3 2 6" xfId="25208" xr:uid="{E722D5C7-059F-4336-A027-D4713C78F8B4}"/>
    <cellStyle name="Normal 10 3 8 3 2 6 2" xfId="25209" xr:uid="{7BBFA482-0642-43B9-8C58-61B15F428992}"/>
    <cellStyle name="Normal 10 3 8 3 2 7" xfId="25210" xr:uid="{C1000969-6C07-46D0-8C78-E3110050BAE5}"/>
    <cellStyle name="Normal 10 3 8 3 3" xfId="25211" xr:uid="{9525447F-83A9-4E45-8D5A-3326506E2D84}"/>
    <cellStyle name="Normal 10 3 8 3 3 2" xfId="25212" xr:uid="{3A9A87CA-8C03-42A4-9E62-05B676FE3306}"/>
    <cellStyle name="Normal 10 3 8 3 3 2 2" xfId="25213" xr:uid="{B5948FA6-7B66-4CD8-8687-EC1F9AE47888}"/>
    <cellStyle name="Normal 10 3 8 3 3 2 2 2" xfId="25214" xr:uid="{0724E7ED-A5FD-4EBE-8D92-7B08AD49F3F7}"/>
    <cellStyle name="Normal 10 3 8 3 3 2 2 2 2" xfId="25215" xr:uid="{6D21E54B-3DF8-4AC8-8AC9-FD9CE0FD75FB}"/>
    <cellStyle name="Normal 10 3 8 3 3 2 2 2 2 2" xfId="25216" xr:uid="{F6B1E7CF-5ED8-449C-A872-7BB1397EC4E2}"/>
    <cellStyle name="Normal 10 3 8 3 3 2 2 2 3" xfId="25217" xr:uid="{8A51633B-E648-40DB-9987-BA30BD35BDA6}"/>
    <cellStyle name="Normal 10 3 8 3 3 2 2 3" xfId="25218" xr:uid="{5B483080-CF5B-4B2B-93C8-CC4B7F04D463}"/>
    <cellStyle name="Normal 10 3 8 3 3 2 2 3 2" xfId="25219" xr:uid="{55D6368B-CE87-4F51-9BC0-819A22B0C6F7}"/>
    <cellStyle name="Normal 10 3 8 3 3 2 2 4" xfId="25220" xr:uid="{79AEB7F9-4088-44D4-BD9F-7C94592E0F7E}"/>
    <cellStyle name="Normal 10 3 8 3 3 2 3" xfId="25221" xr:uid="{65033059-4E6A-4AF9-866A-C471DB4A8565}"/>
    <cellStyle name="Normal 10 3 8 3 3 2 3 2" xfId="25222" xr:uid="{13510BEE-4182-4FE0-AF62-7634A0A6EB9B}"/>
    <cellStyle name="Normal 10 3 8 3 3 2 3 2 2" xfId="25223" xr:uid="{D761E6B7-8D68-470C-AF67-C6CEA8BA1D36}"/>
    <cellStyle name="Normal 10 3 8 3 3 2 3 3" xfId="25224" xr:uid="{5CEC3638-0E4D-4B59-ACAE-445C5AAFD7AC}"/>
    <cellStyle name="Normal 10 3 8 3 3 2 4" xfId="25225" xr:uid="{FD976F6D-A62E-4C4D-81E7-DFD5298E98A2}"/>
    <cellStyle name="Normal 10 3 8 3 3 2 4 2" xfId="25226" xr:uid="{C7CDCA31-9680-46CC-AFD4-0BD73F0B046E}"/>
    <cellStyle name="Normal 10 3 8 3 3 2 5" xfId="25227" xr:uid="{B410C884-DFD8-4B3C-967D-52A8450541E7}"/>
    <cellStyle name="Normal 10 3 8 3 3 3" xfId="25228" xr:uid="{1F607425-5A7D-46D6-A66F-F00295CFF953}"/>
    <cellStyle name="Normal 10 3 8 3 3 3 2" xfId="25229" xr:uid="{133D6852-05EA-4BDD-B7D8-436B72CBA1AA}"/>
    <cellStyle name="Normal 10 3 8 3 3 3 2 2" xfId="25230" xr:uid="{A863AF6A-F9DE-446A-A436-B3CCD135A119}"/>
    <cellStyle name="Normal 10 3 8 3 3 3 2 2 2" xfId="25231" xr:uid="{CDA95E48-BA77-46DD-8D0B-1525F8088652}"/>
    <cellStyle name="Normal 10 3 8 3 3 3 2 3" xfId="25232" xr:uid="{9219FE21-5D99-4025-A5C2-C32164F9BFDE}"/>
    <cellStyle name="Normal 10 3 8 3 3 3 3" xfId="25233" xr:uid="{C9F3FFEE-CEC7-4830-B9FB-DBD80FFF6775}"/>
    <cellStyle name="Normal 10 3 8 3 3 3 3 2" xfId="25234" xr:uid="{2CC0D86E-9F22-4B64-8285-275BC462E323}"/>
    <cellStyle name="Normal 10 3 8 3 3 3 4" xfId="25235" xr:uid="{F30F6289-2555-44AD-8412-C59BFB82565D}"/>
    <cellStyle name="Normal 10 3 8 3 3 4" xfId="25236" xr:uid="{3C14CD0B-DF0B-495B-A5E4-B375FEB19760}"/>
    <cellStyle name="Normal 10 3 8 3 3 4 2" xfId="25237" xr:uid="{FEC1C29C-8110-43E0-8AC9-5074874524A7}"/>
    <cellStyle name="Normal 10 3 8 3 3 4 2 2" xfId="25238" xr:uid="{C17D18D8-9714-4EFD-BCDF-400588DA830E}"/>
    <cellStyle name="Normal 10 3 8 3 3 4 3" xfId="25239" xr:uid="{2DAA9DAE-6145-4C0F-BD8D-2AFA146EF70B}"/>
    <cellStyle name="Normal 10 3 8 3 3 5" xfId="25240" xr:uid="{7639246D-9A74-4488-96A0-FD7DC000B409}"/>
    <cellStyle name="Normal 10 3 8 3 3 5 2" xfId="25241" xr:uid="{A31153E6-9C3F-4978-A11E-42C80D007CBE}"/>
    <cellStyle name="Normal 10 3 8 3 3 6" xfId="25242" xr:uid="{E19A38E8-6E35-4557-840E-637E4DCEF27A}"/>
    <cellStyle name="Normal 10 3 8 3 4" xfId="25243" xr:uid="{0C4514A6-026A-4FED-A0DD-6C4446DB50EA}"/>
    <cellStyle name="Normal 10 3 8 3 4 2" xfId="25244" xr:uid="{2F73FEB9-E81E-4477-94AF-4D529C8435B5}"/>
    <cellStyle name="Normal 10 3 8 3 4 2 2" xfId="25245" xr:uid="{C7ADFCDE-3E3B-4BBB-A4AC-3DFBAC5BCF85}"/>
    <cellStyle name="Normal 10 3 8 3 4 2 2 2" xfId="25246" xr:uid="{DB4A9D9A-7015-4C41-A8D2-43142721BE00}"/>
    <cellStyle name="Normal 10 3 8 3 4 2 2 2 2" xfId="25247" xr:uid="{E6992DF6-1D4E-4C22-99A5-14C3448F89F6}"/>
    <cellStyle name="Normal 10 3 8 3 4 2 2 3" xfId="25248" xr:uid="{5007BFCC-29D3-4D1F-A518-A50EF3D17D29}"/>
    <cellStyle name="Normal 10 3 8 3 4 2 3" xfId="25249" xr:uid="{D5974282-AFCC-40D0-BC98-30CDF10F2426}"/>
    <cellStyle name="Normal 10 3 8 3 4 2 3 2" xfId="25250" xr:uid="{9ED17B05-0CF6-4681-AAC1-89AB2B5598FF}"/>
    <cellStyle name="Normal 10 3 8 3 4 2 4" xfId="25251" xr:uid="{7CAB4AE7-5CA5-4144-A4D7-5C5F70020D70}"/>
    <cellStyle name="Normal 10 3 8 3 4 3" xfId="25252" xr:uid="{DEF8FAB6-6366-4423-9977-A8E1D359D65A}"/>
    <cellStyle name="Normal 10 3 8 3 4 3 2" xfId="25253" xr:uid="{06029957-A679-4422-9AE0-560E1FDC67FC}"/>
    <cellStyle name="Normal 10 3 8 3 4 3 2 2" xfId="25254" xr:uid="{F73D44DF-C55E-4AB1-9B6C-692D6AE6829F}"/>
    <cellStyle name="Normal 10 3 8 3 4 3 3" xfId="25255" xr:uid="{3E3C1E9D-1BF2-4C9D-87E4-B2FAE51C0187}"/>
    <cellStyle name="Normal 10 3 8 3 4 4" xfId="25256" xr:uid="{581E69A6-4E22-433D-AA3C-E847A395439F}"/>
    <cellStyle name="Normal 10 3 8 3 4 4 2" xfId="25257" xr:uid="{F32DBDFE-1AFD-4F8E-B5B7-E3272DB0713A}"/>
    <cellStyle name="Normal 10 3 8 3 4 5" xfId="25258" xr:uid="{E68F19A5-063F-4F84-999C-1A9D09079F7F}"/>
    <cellStyle name="Normal 10 3 8 3 5" xfId="25259" xr:uid="{EFEB5642-02D7-438B-B139-1F36D614C397}"/>
    <cellStyle name="Normal 10 3 8 3 5 2" xfId="25260" xr:uid="{A9440DC8-5AE0-43C0-B676-F46D13C28832}"/>
    <cellStyle name="Normal 10 3 8 3 5 2 2" xfId="25261" xr:uid="{DDB3C688-BC27-417F-A1BF-1FE0F5F0F891}"/>
    <cellStyle name="Normal 10 3 8 3 5 2 2 2" xfId="25262" xr:uid="{9C19A605-0F6A-48C9-8797-7C3B61FC356D}"/>
    <cellStyle name="Normal 10 3 8 3 5 2 3" xfId="25263" xr:uid="{63A69842-5461-4CEA-B88B-04316A228501}"/>
    <cellStyle name="Normal 10 3 8 3 5 3" xfId="25264" xr:uid="{301DCCBC-0036-49A4-BF23-631B3994636F}"/>
    <cellStyle name="Normal 10 3 8 3 5 3 2" xfId="25265" xr:uid="{8DFFE858-BACB-4C12-A6B0-F7D9244EABA6}"/>
    <cellStyle name="Normal 10 3 8 3 5 4" xfId="25266" xr:uid="{66A4DCD2-876F-4BB1-B72C-D2C5A05E8D67}"/>
    <cellStyle name="Normal 10 3 8 3 6" xfId="25267" xr:uid="{5AB9C6AC-CEE1-488E-8A3F-1F742005294D}"/>
    <cellStyle name="Normal 10 3 8 3 6 2" xfId="25268" xr:uid="{4FA46521-9EE9-4F8D-AC88-35D95B304738}"/>
    <cellStyle name="Normal 10 3 8 3 6 2 2" xfId="25269" xr:uid="{633B9705-B565-49CE-8E02-4408C39355A6}"/>
    <cellStyle name="Normal 10 3 8 3 6 3" xfId="25270" xr:uid="{356A81FD-E358-4D4F-B43C-04EFCCA359D7}"/>
    <cellStyle name="Normal 10 3 8 3 7" xfId="25271" xr:uid="{6A9B4DC8-E281-45CE-BA04-D6B080CF2C16}"/>
    <cellStyle name="Normal 10 3 8 3 7 2" xfId="25272" xr:uid="{5A67BB6F-E85E-490C-983A-9DAA37448FEF}"/>
    <cellStyle name="Normal 10 3 8 3 8" xfId="25273" xr:uid="{E71F1B0C-3229-4DE1-A6FE-D4C687BF6FF7}"/>
    <cellStyle name="Normal 10 3 8 3 9" xfId="25146" xr:uid="{34EE363A-1FFF-4EFF-983A-EA63EAEC8CDB}"/>
    <cellStyle name="Normal 10 3 8 4" xfId="25274" xr:uid="{773B5AE5-21DC-4990-98AB-7BF1F3A1F847}"/>
    <cellStyle name="Normal 10 3 8 4 2" xfId="25275" xr:uid="{A0BC517E-0495-44D4-A629-E036921E3D4D}"/>
    <cellStyle name="Normal 10 3 8 4 2 2" xfId="25276" xr:uid="{05355ADD-E656-4DF7-AA9F-70909DDFCE1A}"/>
    <cellStyle name="Normal 10 3 8 4 2 2 2" xfId="25277" xr:uid="{4221527C-73B6-40AC-B492-751DAC61D164}"/>
    <cellStyle name="Normal 10 3 8 4 2 2 2 2" xfId="25278" xr:uid="{65A59008-27EE-43BE-8174-FE8A6B4847C0}"/>
    <cellStyle name="Normal 10 3 8 4 2 2 2 2 2" xfId="25279" xr:uid="{E92FDAE4-83C0-49CB-85C6-0412B0888CA9}"/>
    <cellStyle name="Normal 10 3 8 4 2 2 2 2 2 2" xfId="25280" xr:uid="{196B92EF-77E4-4E24-BA26-3CB4985C8C8F}"/>
    <cellStyle name="Normal 10 3 8 4 2 2 2 2 3" xfId="25281" xr:uid="{1B662972-0FD7-449B-875C-75D7EDB2B3DB}"/>
    <cellStyle name="Normal 10 3 8 4 2 2 2 3" xfId="25282" xr:uid="{B60C60F2-BE13-4539-9F24-C0D3CDA7AD90}"/>
    <cellStyle name="Normal 10 3 8 4 2 2 2 3 2" xfId="25283" xr:uid="{F2CA3D07-8B9B-4AF7-9CF7-A065DAE44CED}"/>
    <cellStyle name="Normal 10 3 8 4 2 2 2 4" xfId="25284" xr:uid="{2FD5E0DC-2023-4204-8AF1-081ED342C59E}"/>
    <cellStyle name="Normal 10 3 8 4 2 2 3" xfId="25285" xr:uid="{A56398A2-4880-45B5-BADB-F374EC03D243}"/>
    <cellStyle name="Normal 10 3 8 4 2 2 3 2" xfId="25286" xr:uid="{DBB1DA3D-E25F-4F86-8385-FC2C30920078}"/>
    <cellStyle name="Normal 10 3 8 4 2 2 3 2 2" xfId="25287" xr:uid="{800DD2DA-F8A8-4C72-8455-5786D81C9534}"/>
    <cellStyle name="Normal 10 3 8 4 2 2 3 3" xfId="25288" xr:uid="{4D95A966-8EC7-4FA6-B863-EB4F03AA5520}"/>
    <cellStyle name="Normal 10 3 8 4 2 2 4" xfId="25289" xr:uid="{FCE39790-1940-4C74-A884-EAE9D1B2DB67}"/>
    <cellStyle name="Normal 10 3 8 4 2 2 4 2" xfId="25290" xr:uid="{97C364BC-B191-4EFF-91D4-84A123AC7269}"/>
    <cellStyle name="Normal 10 3 8 4 2 2 5" xfId="25291" xr:uid="{7D21C614-D3BE-4737-B889-4916805119CB}"/>
    <cellStyle name="Normal 10 3 8 4 2 3" xfId="25292" xr:uid="{D78972DE-084B-439E-B539-403FA5A63C7C}"/>
    <cellStyle name="Normal 10 3 8 4 2 3 2" xfId="25293" xr:uid="{FC01347E-15FC-4267-8022-60B478995EC6}"/>
    <cellStyle name="Normal 10 3 8 4 2 3 2 2" xfId="25294" xr:uid="{4E7656EB-7A97-4253-853F-D25C170E98F0}"/>
    <cellStyle name="Normal 10 3 8 4 2 3 2 2 2" xfId="25295" xr:uid="{8A040B7E-4C3A-40CA-A06E-BBFF2F5B010A}"/>
    <cellStyle name="Normal 10 3 8 4 2 3 2 3" xfId="25296" xr:uid="{8E4AE82B-A39B-4775-9359-2706C5AE2FA3}"/>
    <cellStyle name="Normal 10 3 8 4 2 3 3" xfId="25297" xr:uid="{606A7059-DFF2-4927-95A6-BCED7B31D76D}"/>
    <cellStyle name="Normal 10 3 8 4 2 3 3 2" xfId="25298" xr:uid="{DF4826F7-26FC-4F79-B290-077A8F926B8E}"/>
    <cellStyle name="Normal 10 3 8 4 2 3 4" xfId="25299" xr:uid="{A674581D-5052-4979-9BD6-791A7B7C003C}"/>
    <cellStyle name="Normal 10 3 8 4 2 4" xfId="25300" xr:uid="{89D60546-438D-46A2-892D-74484CFA1BF9}"/>
    <cellStyle name="Normal 10 3 8 4 2 4 2" xfId="25301" xr:uid="{D34970E0-A0C1-439C-AA4A-1630C71927B8}"/>
    <cellStyle name="Normal 10 3 8 4 2 4 2 2" xfId="25302" xr:uid="{F1C7A624-A002-468D-8F1F-DADE3E1CBFD8}"/>
    <cellStyle name="Normal 10 3 8 4 2 4 3" xfId="25303" xr:uid="{1DDC9970-42B1-4F16-938B-EC1A83ADC590}"/>
    <cellStyle name="Normal 10 3 8 4 2 5" xfId="25304" xr:uid="{13597B49-6F7E-4386-A5CB-C9864A0D392E}"/>
    <cellStyle name="Normal 10 3 8 4 2 5 2" xfId="25305" xr:uid="{7EAE59D8-09E1-472C-ADEE-907F26965A2E}"/>
    <cellStyle name="Normal 10 3 8 4 2 6" xfId="25306" xr:uid="{BCF0E51C-8B00-4888-9837-7E7CF6789BEC}"/>
    <cellStyle name="Normal 10 3 8 4 3" xfId="25307" xr:uid="{6D4B1BBC-52A3-41B5-8BA7-222455CEA606}"/>
    <cellStyle name="Normal 10 3 8 4 3 2" xfId="25308" xr:uid="{10FF6AA8-72E8-4109-9974-6B5FF48753CA}"/>
    <cellStyle name="Normal 10 3 8 4 3 2 2" xfId="25309" xr:uid="{930E872E-28E1-4E32-BE01-7AD2315B62C8}"/>
    <cellStyle name="Normal 10 3 8 4 3 2 2 2" xfId="25310" xr:uid="{76789B8A-D597-4902-B340-F55AD5D0DAA9}"/>
    <cellStyle name="Normal 10 3 8 4 3 2 2 2 2" xfId="25311" xr:uid="{9535AE37-059D-4266-83F7-50D4F2E8BFE8}"/>
    <cellStyle name="Normal 10 3 8 4 3 2 2 3" xfId="25312" xr:uid="{C8DB6D1C-D289-4F64-AB99-C3C795F94DCB}"/>
    <cellStyle name="Normal 10 3 8 4 3 2 3" xfId="25313" xr:uid="{23E4D0ED-2F45-4DBE-8DA0-AAC090DDF10C}"/>
    <cellStyle name="Normal 10 3 8 4 3 2 3 2" xfId="25314" xr:uid="{57764E11-D494-40BA-AA80-188F15AA4076}"/>
    <cellStyle name="Normal 10 3 8 4 3 2 4" xfId="25315" xr:uid="{19C8AA5A-5F76-4B29-B02C-CE45C5E24FB0}"/>
    <cellStyle name="Normal 10 3 8 4 3 3" xfId="25316" xr:uid="{DABA3C57-6121-4002-9FD2-D0F6AF7F6757}"/>
    <cellStyle name="Normal 10 3 8 4 3 3 2" xfId="25317" xr:uid="{88E1AEEB-3CD4-4592-A734-A69CEF926C43}"/>
    <cellStyle name="Normal 10 3 8 4 3 3 2 2" xfId="25318" xr:uid="{50BA5859-37B4-4033-B25B-5B61E7DF6065}"/>
    <cellStyle name="Normal 10 3 8 4 3 3 3" xfId="25319" xr:uid="{5E368F51-DF67-46F0-9E41-77D18EF990DE}"/>
    <cellStyle name="Normal 10 3 8 4 3 4" xfId="25320" xr:uid="{8BE96719-909E-47A4-BD20-92BDC818CB28}"/>
    <cellStyle name="Normal 10 3 8 4 3 4 2" xfId="25321" xr:uid="{B674636E-32F7-442A-9508-B49A5B90C8D9}"/>
    <cellStyle name="Normal 10 3 8 4 3 5" xfId="25322" xr:uid="{A9E68670-BF09-4061-A0EF-39E875A54A21}"/>
    <cellStyle name="Normal 10 3 8 4 4" xfId="25323" xr:uid="{D859CCF4-1223-4A33-8FCD-737D432091EE}"/>
    <cellStyle name="Normal 10 3 8 4 4 2" xfId="25324" xr:uid="{8B781F3F-C1DB-467F-BEE4-7329226D7C7E}"/>
    <cellStyle name="Normal 10 3 8 4 4 2 2" xfId="25325" xr:uid="{55679E1F-92A8-419B-AA11-3811EB434B80}"/>
    <cellStyle name="Normal 10 3 8 4 4 2 2 2" xfId="25326" xr:uid="{BBC005EA-CEC5-45DE-BDCE-409E40725EB5}"/>
    <cellStyle name="Normal 10 3 8 4 4 2 3" xfId="25327" xr:uid="{3C338470-0191-44BF-B5B4-93E38DBBA45C}"/>
    <cellStyle name="Normal 10 3 8 4 4 3" xfId="25328" xr:uid="{2B3D7A14-404C-4573-911D-78A1B1719761}"/>
    <cellStyle name="Normal 10 3 8 4 4 3 2" xfId="25329" xr:uid="{337B3FCC-66FD-4DB7-A8EE-04CC483616AB}"/>
    <cellStyle name="Normal 10 3 8 4 4 4" xfId="25330" xr:uid="{FC3C65CF-101E-4867-9BDB-78D8BD396604}"/>
    <cellStyle name="Normal 10 3 8 4 5" xfId="25331" xr:uid="{26F33674-7561-49CD-A0DD-26BAECF05877}"/>
    <cellStyle name="Normal 10 3 8 4 5 2" xfId="25332" xr:uid="{2D3337D7-AC06-4A24-9C11-06018C77DDDD}"/>
    <cellStyle name="Normal 10 3 8 4 5 2 2" xfId="25333" xr:uid="{999B8AA8-5BFA-411B-AE1E-0A265909BA6C}"/>
    <cellStyle name="Normal 10 3 8 4 5 3" xfId="25334" xr:uid="{AE8AF746-CD44-42E0-AA58-2F2CA52CE457}"/>
    <cellStyle name="Normal 10 3 8 4 6" xfId="25335" xr:uid="{CD143710-6D07-4299-88E0-DE4AE5BD32D6}"/>
    <cellStyle name="Normal 10 3 8 4 6 2" xfId="25336" xr:uid="{BB5C2CCD-AF2A-4DBD-AC36-010A4ACD7257}"/>
    <cellStyle name="Normal 10 3 8 4 7" xfId="25337" xr:uid="{B6DDA8F6-CE8E-4171-BF0D-C6935AEBEDDF}"/>
    <cellStyle name="Normal 10 3 8 5" xfId="25338" xr:uid="{D712ECEE-2064-4DDA-BAFD-6D997A1CFF93}"/>
    <cellStyle name="Normal 10 3 8 5 2" xfId="25339" xr:uid="{34B9EEC5-630E-41D5-B2B8-E98FFEC0D087}"/>
    <cellStyle name="Normal 10 3 8 5 2 2" xfId="25340" xr:uid="{E6122576-23DC-4DFF-8024-34C41D1E189B}"/>
    <cellStyle name="Normal 10 3 8 5 2 2 2" xfId="25341" xr:uid="{A9819EB8-5996-4544-A69B-B397722F8911}"/>
    <cellStyle name="Normal 10 3 8 5 2 2 2 2" xfId="25342" xr:uid="{F8D6C07C-6BB5-493B-91CD-F77B44DF3F4E}"/>
    <cellStyle name="Normal 10 3 8 5 2 2 2 2 2" xfId="25343" xr:uid="{608DC936-8C22-4070-8A46-D14C3F0D5876}"/>
    <cellStyle name="Normal 10 3 8 5 2 2 2 3" xfId="25344" xr:uid="{97B7C992-7930-4CC4-AD75-701335544360}"/>
    <cellStyle name="Normal 10 3 8 5 2 2 3" xfId="25345" xr:uid="{86E898EB-6939-423E-9423-A6F115F13A9C}"/>
    <cellStyle name="Normal 10 3 8 5 2 2 3 2" xfId="25346" xr:uid="{D67B30DF-96DA-4559-B594-B427647F0BA6}"/>
    <cellStyle name="Normal 10 3 8 5 2 2 4" xfId="25347" xr:uid="{AB5DC024-01B0-469B-9B0B-C410CD6F0010}"/>
    <cellStyle name="Normal 10 3 8 5 2 3" xfId="25348" xr:uid="{F3A78EFC-6AC3-4D5D-A614-EB321880C22B}"/>
    <cellStyle name="Normal 10 3 8 5 2 3 2" xfId="25349" xr:uid="{481B8C0F-3CB4-4E55-9704-1C013BB9FCE9}"/>
    <cellStyle name="Normal 10 3 8 5 2 3 2 2" xfId="25350" xr:uid="{9C10B8D3-EF00-4FDF-B836-C897F618E103}"/>
    <cellStyle name="Normal 10 3 8 5 2 3 3" xfId="25351" xr:uid="{B790EF18-B463-4809-8EF8-4560D2221066}"/>
    <cellStyle name="Normal 10 3 8 5 2 4" xfId="25352" xr:uid="{B4CC23C8-ADC2-4D9A-A809-A8DAFB172FA3}"/>
    <cellStyle name="Normal 10 3 8 5 2 4 2" xfId="25353" xr:uid="{250F69AF-DA03-4770-A3A4-7758B03B4CD3}"/>
    <cellStyle name="Normal 10 3 8 5 2 5" xfId="25354" xr:uid="{E257501D-0635-4E8D-ACCD-E5C45602EBEF}"/>
    <cellStyle name="Normal 10 3 8 5 3" xfId="25355" xr:uid="{18873E2E-953C-4EE9-BD1F-331EC8436807}"/>
    <cellStyle name="Normal 10 3 8 5 3 2" xfId="25356" xr:uid="{23170603-5053-4311-8C0D-E746F310BDF2}"/>
    <cellStyle name="Normal 10 3 8 5 3 2 2" xfId="25357" xr:uid="{A2CAE754-8FFD-46C7-BC43-92D027A390D6}"/>
    <cellStyle name="Normal 10 3 8 5 3 2 2 2" xfId="25358" xr:uid="{41AEE726-11C2-4C88-BAB0-598C11315513}"/>
    <cellStyle name="Normal 10 3 8 5 3 2 3" xfId="25359" xr:uid="{4BD5294C-01D2-4D90-B385-8755E9CCBDA9}"/>
    <cellStyle name="Normal 10 3 8 5 3 3" xfId="25360" xr:uid="{1DF5F22D-C4A6-4F88-BC34-2570E87C0B4F}"/>
    <cellStyle name="Normal 10 3 8 5 3 3 2" xfId="25361" xr:uid="{D07745B1-287F-4B15-80CB-6B2B061457B4}"/>
    <cellStyle name="Normal 10 3 8 5 3 4" xfId="25362" xr:uid="{9B6FF051-3B4B-4955-ABEC-9F61FAA14284}"/>
    <cellStyle name="Normal 10 3 8 5 4" xfId="25363" xr:uid="{2DCA6D72-489E-4EB1-8E2D-AD97AD528D1E}"/>
    <cellStyle name="Normal 10 3 8 5 4 2" xfId="25364" xr:uid="{81481BE0-8045-4BD3-A033-3F33A2709598}"/>
    <cellStyle name="Normal 10 3 8 5 4 2 2" xfId="25365" xr:uid="{8463624B-C79F-47DE-8D61-DA0FFA0906E8}"/>
    <cellStyle name="Normal 10 3 8 5 4 3" xfId="25366" xr:uid="{ED665272-5920-471E-9A95-EFB493D3683E}"/>
    <cellStyle name="Normal 10 3 8 5 5" xfId="25367" xr:uid="{DF2A4C5A-7075-4FD4-B90D-AC1FD77C2430}"/>
    <cellStyle name="Normal 10 3 8 5 5 2" xfId="25368" xr:uid="{D837BC5B-E456-442D-AD5F-1D9F95E523FA}"/>
    <cellStyle name="Normal 10 3 8 5 6" xfId="25369" xr:uid="{B7651875-BB4A-4307-AE84-A12E4C5538E2}"/>
    <cellStyle name="Normal 10 3 8 6" xfId="25370" xr:uid="{E5CF7886-9DD6-4D90-8484-18ACE50B0D0F}"/>
    <cellStyle name="Normal 10 3 8 6 2" xfId="25371" xr:uid="{FCDB7D71-3ACF-455A-BC1B-CC6C4913F0B7}"/>
    <cellStyle name="Normal 10 3 8 6 2 2" xfId="25372" xr:uid="{86B91B4A-59A6-4E95-B69E-0D752546CEAD}"/>
    <cellStyle name="Normal 10 3 8 6 2 2 2" xfId="25373" xr:uid="{A7A7F9B8-83E6-4E51-A110-626A16E9AE7B}"/>
    <cellStyle name="Normal 10 3 8 6 2 2 2 2" xfId="25374" xr:uid="{ECAD3F74-82AC-46C9-AC93-109D4E606E08}"/>
    <cellStyle name="Normal 10 3 8 6 2 2 3" xfId="25375" xr:uid="{D06EBBB3-AFB5-4B71-A40F-18A17651C63B}"/>
    <cellStyle name="Normal 10 3 8 6 2 3" xfId="25376" xr:uid="{9C676D18-DA8C-42D0-88DA-20F001E9455E}"/>
    <cellStyle name="Normal 10 3 8 6 2 3 2" xfId="25377" xr:uid="{3F1E92C7-225E-41EE-A161-73761FE0A9F6}"/>
    <cellStyle name="Normal 10 3 8 6 2 4" xfId="25378" xr:uid="{D7DE0B8A-D00C-4C59-81EB-01195B4C477C}"/>
    <cellStyle name="Normal 10 3 8 6 3" xfId="25379" xr:uid="{41B28104-0781-43C3-9800-B162EC4C4F86}"/>
    <cellStyle name="Normal 10 3 8 6 3 2" xfId="25380" xr:uid="{6DF0F049-6BD9-4BFE-9B8B-1A1211EAEBAC}"/>
    <cellStyle name="Normal 10 3 8 6 3 2 2" xfId="25381" xr:uid="{FCA5B4E8-1E8F-43AD-BF6F-016F5D83FA2C}"/>
    <cellStyle name="Normal 10 3 8 6 3 3" xfId="25382" xr:uid="{D901765F-82A4-4F3E-A016-B9893638E8F2}"/>
    <cellStyle name="Normal 10 3 8 6 4" xfId="25383" xr:uid="{21069F2C-265F-43F6-9659-C8CBFDDAFD39}"/>
    <cellStyle name="Normal 10 3 8 6 4 2" xfId="25384" xr:uid="{3E708727-9D25-49F7-A8A2-10E7B41556A7}"/>
    <cellStyle name="Normal 10 3 8 6 5" xfId="25385" xr:uid="{9AB4892B-D5FF-47D1-BF4C-0921E8481E54}"/>
    <cellStyle name="Normal 10 3 8 7" xfId="25386" xr:uid="{3B8410B8-B2E5-4F5B-95C8-832AC3513DDB}"/>
    <cellStyle name="Normal 10 3 8 7 2" xfId="25387" xr:uid="{225188E9-0FCE-4074-9B23-A77E25328BB0}"/>
    <cellStyle name="Normal 10 3 8 7 2 2" xfId="25388" xr:uid="{2E2218A8-DF08-4D1D-BF94-7F964A65E635}"/>
    <cellStyle name="Normal 10 3 8 7 2 2 2" xfId="25389" xr:uid="{F39F45AF-3583-424A-8A2B-28574119F4BB}"/>
    <cellStyle name="Normal 10 3 8 7 2 3" xfId="25390" xr:uid="{E3040683-FE1E-461E-A623-A2400A747830}"/>
    <cellStyle name="Normal 10 3 8 7 3" xfId="25391" xr:uid="{426A8D1F-F571-40B4-84B5-9838FEBBE837}"/>
    <cellStyle name="Normal 10 3 8 7 3 2" xfId="25392" xr:uid="{E6AF529E-32EB-453E-82DD-99EA3E6DBF83}"/>
    <cellStyle name="Normal 10 3 8 7 4" xfId="25393" xr:uid="{BFF5FD04-BEBE-4D24-8A9A-A1064A9D3141}"/>
    <cellStyle name="Normal 10 3 8 8" xfId="25394" xr:uid="{02A34D26-B2E2-437E-8FA2-47860E44698B}"/>
    <cellStyle name="Normal 10 3 8 8 2" xfId="25395" xr:uid="{491F99CA-726A-4092-929A-F46BF266FEBA}"/>
    <cellStyle name="Normal 10 3 8 8 2 2" xfId="25396" xr:uid="{983DECB8-88BF-447F-B44B-680BD6F699D6}"/>
    <cellStyle name="Normal 10 3 8 8 3" xfId="25397" xr:uid="{C0684041-EDAA-41CE-8532-617A566EF662}"/>
    <cellStyle name="Normal 10 3 8 9" xfId="25398" xr:uid="{5211CF26-5D3D-41C2-B033-A99110F2BF12}"/>
    <cellStyle name="Normal 10 3 8 9 2" xfId="25399" xr:uid="{1D9662F7-FB30-4C40-9397-DA12786CAA88}"/>
    <cellStyle name="Normal 10 3 9" xfId="327" xr:uid="{F3CFB30B-6519-4EB6-AED7-4F971004A054}"/>
    <cellStyle name="Normal 10 3 9 10" xfId="25400" xr:uid="{B3A1BA22-5B4F-4A0E-A91E-13E09561E3E5}"/>
    <cellStyle name="Normal 10 3 9 2" xfId="25401" xr:uid="{4509F580-7439-4E2F-88B7-1DBB81D47D1A}"/>
    <cellStyle name="Normal 10 3 9 2 2" xfId="25402" xr:uid="{EE5DFDC3-BC67-4384-922A-CBD40C52D546}"/>
    <cellStyle name="Normal 10 3 9 2 2 2" xfId="25403" xr:uid="{1F262C34-5AF6-43EA-BEE1-9969A926D42E}"/>
    <cellStyle name="Normal 10 3 9 2 2 2 2" xfId="25404" xr:uid="{4B35503F-37B5-4681-9A32-E1970CB10DC7}"/>
    <cellStyle name="Normal 10 3 9 2 2 2 2 2" xfId="25405" xr:uid="{409AC17C-8ED8-4677-8162-CFC82968DC19}"/>
    <cellStyle name="Normal 10 3 9 2 2 2 2 2 2" xfId="25406" xr:uid="{08345A31-97DD-4DC5-9B5D-CE54CD9308B2}"/>
    <cellStyle name="Normal 10 3 9 2 2 2 2 2 2 2" xfId="25407" xr:uid="{362878C7-B4DA-43F3-9EA0-B9AF33E640A2}"/>
    <cellStyle name="Normal 10 3 9 2 2 2 2 2 2 2 2" xfId="25408" xr:uid="{A4214076-34D6-4293-A7ED-9DD0E29F4CF2}"/>
    <cellStyle name="Normal 10 3 9 2 2 2 2 2 2 3" xfId="25409" xr:uid="{75C26430-F0C7-4279-88CE-DD8BC158DD6D}"/>
    <cellStyle name="Normal 10 3 9 2 2 2 2 2 3" xfId="25410" xr:uid="{6BB7CD74-BB3C-4214-990F-30AA08E2AE5B}"/>
    <cellStyle name="Normal 10 3 9 2 2 2 2 2 3 2" xfId="25411" xr:uid="{5FF38F79-8107-4737-9F5A-34856CE123A3}"/>
    <cellStyle name="Normal 10 3 9 2 2 2 2 2 4" xfId="25412" xr:uid="{1D52DD05-AE6F-4E91-87A9-2363CB14B518}"/>
    <cellStyle name="Normal 10 3 9 2 2 2 2 3" xfId="25413" xr:uid="{C41CB1C5-BEEC-4A38-99F7-42515AB02AAE}"/>
    <cellStyle name="Normal 10 3 9 2 2 2 2 3 2" xfId="25414" xr:uid="{62C47CC0-0CA0-489C-BE87-D158470B22BC}"/>
    <cellStyle name="Normal 10 3 9 2 2 2 2 3 2 2" xfId="25415" xr:uid="{ABDFB745-9248-4A47-A1A7-16FF37C8872E}"/>
    <cellStyle name="Normal 10 3 9 2 2 2 2 3 3" xfId="25416" xr:uid="{581E693A-EA84-48F0-BB43-CD3204AA1F71}"/>
    <cellStyle name="Normal 10 3 9 2 2 2 2 4" xfId="25417" xr:uid="{3D5CC778-5E6B-41FF-907B-0F334204014B}"/>
    <cellStyle name="Normal 10 3 9 2 2 2 2 4 2" xfId="25418" xr:uid="{F08F3E6E-C279-4748-9385-03F3E660C66F}"/>
    <cellStyle name="Normal 10 3 9 2 2 2 2 5" xfId="25419" xr:uid="{0AB0B3F3-F752-479A-9212-337812DD9DBD}"/>
    <cellStyle name="Normal 10 3 9 2 2 2 3" xfId="25420" xr:uid="{C08757D7-3035-406F-9B02-5DE45F0E122D}"/>
    <cellStyle name="Normal 10 3 9 2 2 2 3 2" xfId="25421" xr:uid="{BEB050C9-89FB-4F16-8054-8C51A3B966F3}"/>
    <cellStyle name="Normal 10 3 9 2 2 2 3 2 2" xfId="25422" xr:uid="{4C5E97CB-7037-43B3-8C61-EC0B20A03A3F}"/>
    <cellStyle name="Normal 10 3 9 2 2 2 3 2 2 2" xfId="25423" xr:uid="{EBA043C8-AE8E-4139-99AA-89590CA0AA97}"/>
    <cellStyle name="Normal 10 3 9 2 2 2 3 2 3" xfId="25424" xr:uid="{0963F698-5113-4B57-BB64-6A719E832230}"/>
    <cellStyle name="Normal 10 3 9 2 2 2 3 3" xfId="25425" xr:uid="{A06B24E8-1133-4382-8BA7-3CB66EBC37DF}"/>
    <cellStyle name="Normal 10 3 9 2 2 2 3 3 2" xfId="25426" xr:uid="{457490D2-35E9-4078-94B5-AF6CBEA2733B}"/>
    <cellStyle name="Normal 10 3 9 2 2 2 3 4" xfId="25427" xr:uid="{12D2CD42-794F-4C7B-B126-B2787679E08A}"/>
    <cellStyle name="Normal 10 3 9 2 2 2 4" xfId="25428" xr:uid="{072D3775-C449-4A8E-9A18-7ED02EE8566F}"/>
    <cellStyle name="Normal 10 3 9 2 2 2 4 2" xfId="25429" xr:uid="{B5E679FC-76B3-4ED8-9B8D-BF118DED0EDB}"/>
    <cellStyle name="Normal 10 3 9 2 2 2 4 2 2" xfId="25430" xr:uid="{94E59E8D-F673-49E7-AF3B-9A92A8F10231}"/>
    <cellStyle name="Normal 10 3 9 2 2 2 4 3" xfId="25431" xr:uid="{CA05436E-1D08-4702-BA74-E856A5CFB291}"/>
    <cellStyle name="Normal 10 3 9 2 2 2 5" xfId="25432" xr:uid="{1B34F56E-CFBF-4982-9AD5-CA357A346BFA}"/>
    <cellStyle name="Normal 10 3 9 2 2 2 5 2" xfId="25433" xr:uid="{2562C4E4-1AA4-4A2D-818C-17F3259C7D5B}"/>
    <cellStyle name="Normal 10 3 9 2 2 2 6" xfId="25434" xr:uid="{70B7F1F0-A36D-4B9A-ACF7-3A6A6CBEDCFC}"/>
    <cellStyle name="Normal 10 3 9 2 2 3" xfId="25435" xr:uid="{A7289825-E931-492A-B07D-2EAA99ECBA74}"/>
    <cellStyle name="Normal 10 3 9 2 2 3 2" xfId="25436" xr:uid="{AF37A818-6839-499F-B26A-63F0BB82D896}"/>
    <cellStyle name="Normal 10 3 9 2 2 3 2 2" xfId="25437" xr:uid="{AB416797-8B08-4ADC-B4AE-7228A712B57B}"/>
    <cellStyle name="Normal 10 3 9 2 2 3 2 2 2" xfId="25438" xr:uid="{5B1EEC77-9A32-4911-A2F0-A814FCBE1BD5}"/>
    <cellStyle name="Normal 10 3 9 2 2 3 2 2 2 2" xfId="25439" xr:uid="{62F461C8-1FB8-473B-BF82-E9639CC101FA}"/>
    <cellStyle name="Normal 10 3 9 2 2 3 2 2 3" xfId="25440" xr:uid="{33EF199D-8057-47DD-B1A3-1496C6D3C159}"/>
    <cellStyle name="Normal 10 3 9 2 2 3 2 3" xfId="25441" xr:uid="{94C6A392-B75A-405B-A5BF-7742D0C1F4CB}"/>
    <cellStyle name="Normal 10 3 9 2 2 3 2 3 2" xfId="25442" xr:uid="{E7F30E44-CA1A-4FBC-8322-C7EF5F974B0D}"/>
    <cellStyle name="Normal 10 3 9 2 2 3 2 4" xfId="25443" xr:uid="{016B9D2E-2C52-4296-8B7C-E62F30D1DF20}"/>
    <cellStyle name="Normal 10 3 9 2 2 3 3" xfId="25444" xr:uid="{CBED7546-232B-4EBC-B6D1-2270E233C9A8}"/>
    <cellStyle name="Normal 10 3 9 2 2 3 3 2" xfId="25445" xr:uid="{0CA699A9-8937-4A2B-BD22-D580D95208CC}"/>
    <cellStyle name="Normal 10 3 9 2 2 3 3 2 2" xfId="25446" xr:uid="{C90777C5-5AFA-4C95-8E4E-456C00184F1F}"/>
    <cellStyle name="Normal 10 3 9 2 2 3 3 3" xfId="25447" xr:uid="{8FA0BE37-D702-4E36-9F42-3A923F448F3C}"/>
    <cellStyle name="Normal 10 3 9 2 2 3 4" xfId="25448" xr:uid="{D7AFDB85-C489-4348-83ED-3ADE1CDCDC93}"/>
    <cellStyle name="Normal 10 3 9 2 2 3 4 2" xfId="25449" xr:uid="{C58E5F1E-DDD4-4A74-A01B-0E7382B128C4}"/>
    <cellStyle name="Normal 10 3 9 2 2 3 5" xfId="25450" xr:uid="{74080C9D-1E39-4FBB-884A-44111C6B102D}"/>
    <cellStyle name="Normal 10 3 9 2 2 4" xfId="25451" xr:uid="{21CC13C9-C994-4248-AF64-245BD8AC342C}"/>
    <cellStyle name="Normal 10 3 9 2 2 4 2" xfId="25452" xr:uid="{8F36854F-0E19-4799-A48E-1F7BC0D1A51C}"/>
    <cellStyle name="Normal 10 3 9 2 2 4 2 2" xfId="25453" xr:uid="{355891EE-727F-447B-A123-45AB0BE851A8}"/>
    <cellStyle name="Normal 10 3 9 2 2 4 2 2 2" xfId="25454" xr:uid="{1873607B-FA57-44D2-A867-FD117BA00575}"/>
    <cellStyle name="Normal 10 3 9 2 2 4 2 3" xfId="25455" xr:uid="{C8FF4633-937D-40BA-B8E9-B133A200C1CE}"/>
    <cellStyle name="Normal 10 3 9 2 2 4 3" xfId="25456" xr:uid="{27A2D0ED-9662-47A5-8F10-89A378F96851}"/>
    <cellStyle name="Normal 10 3 9 2 2 4 3 2" xfId="25457" xr:uid="{B7139C92-0259-4FA0-812A-93CA684D137E}"/>
    <cellStyle name="Normal 10 3 9 2 2 4 4" xfId="25458" xr:uid="{328FFC58-ADCD-405F-A8F0-7350B0A4A352}"/>
    <cellStyle name="Normal 10 3 9 2 2 5" xfId="25459" xr:uid="{0FF53D83-1E99-4CF3-BA75-B05D44E8D146}"/>
    <cellStyle name="Normal 10 3 9 2 2 5 2" xfId="25460" xr:uid="{31F97F65-37D6-4139-B9B8-5EDD6D30622F}"/>
    <cellStyle name="Normal 10 3 9 2 2 5 2 2" xfId="25461" xr:uid="{CDA27B54-8650-42F1-9A66-8C2A0131A64B}"/>
    <cellStyle name="Normal 10 3 9 2 2 5 3" xfId="25462" xr:uid="{6BFB183E-F1F4-476F-8AAB-F261BE2178C4}"/>
    <cellStyle name="Normal 10 3 9 2 2 6" xfId="25463" xr:uid="{1E2FFED9-C2DA-4BF5-BAC6-9F25FCCF454C}"/>
    <cellStyle name="Normal 10 3 9 2 2 6 2" xfId="25464" xr:uid="{CC092724-4B2F-400C-A23A-C04052E80ED7}"/>
    <cellStyle name="Normal 10 3 9 2 2 7" xfId="25465" xr:uid="{CE4CA40D-E064-43BF-8C11-69D059F4F967}"/>
    <cellStyle name="Normal 10 3 9 2 3" xfId="25466" xr:uid="{402CEF7F-FA2D-4CDD-A0D2-2503786B5AA7}"/>
    <cellStyle name="Normal 10 3 9 2 3 2" xfId="25467" xr:uid="{7DDBAE56-7378-4CEA-8831-2750B3CCE843}"/>
    <cellStyle name="Normal 10 3 9 2 3 2 2" xfId="25468" xr:uid="{C80D7694-82E2-4295-A562-5EC72D9A8F81}"/>
    <cellStyle name="Normal 10 3 9 2 3 2 2 2" xfId="25469" xr:uid="{93348236-6E35-448B-9739-9F35653E3AB8}"/>
    <cellStyle name="Normal 10 3 9 2 3 2 2 2 2" xfId="25470" xr:uid="{88881A7A-B9A7-411E-8CC0-9053EF142C5B}"/>
    <cellStyle name="Normal 10 3 9 2 3 2 2 2 2 2" xfId="25471" xr:uid="{75157B02-E6FB-4308-8C67-A61A1AFA3312}"/>
    <cellStyle name="Normal 10 3 9 2 3 2 2 2 3" xfId="25472" xr:uid="{1D9FB5E2-4481-4730-AAF8-F603921BBA78}"/>
    <cellStyle name="Normal 10 3 9 2 3 2 2 3" xfId="25473" xr:uid="{68334EB4-3232-4931-867E-EB733C0518C5}"/>
    <cellStyle name="Normal 10 3 9 2 3 2 2 3 2" xfId="25474" xr:uid="{0775BB08-DAA1-47E0-AC6F-C09509B2619A}"/>
    <cellStyle name="Normal 10 3 9 2 3 2 2 4" xfId="25475" xr:uid="{5047B160-CBF1-4A4C-A9C6-96CB536E4C8B}"/>
    <cellStyle name="Normal 10 3 9 2 3 2 3" xfId="25476" xr:uid="{8E5E0E51-46A1-4FAE-94D0-32EB92D57184}"/>
    <cellStyle name="Normal 10 3 9 2 3 2 3 2" xfId="25477" xr:uid="{1AE2F651-AF69-44BC-AF2B-BD92D5EBB6BC}"/>
    <cellStyle name="Normal 10 3 9 2 3 2 3 2 2" xfId="25478" xr:uid="{0A812189-FE5F-46BC-8AA2-F082D8FFC4B0}"/>
    <cellStyle name="Normal 10 3 9 2 3 2 3 3" xfId="25479" xr:uid="{DAF9F615-E32D-448C-8F38-A1CC5AA915DE}"/>
    <cellStyle name="Normal 10 3 9 2 3 2 4" xfId="25480" xr:uid="{B4EE8CEF-19BB-4ADE-B252-0504F2190286}"/>
    <cellStyle name="Normal 10 3 9 2 3 2 4 2" xfId="25481" xr:uid="{7AC271A5-8227-4063-BCFE-B6AFDE8541AC}"/>
    <cellStyle name="Normal 10 3 9 2 3 2 5" xfId="25482" xr:uid="{B485E2AB-1915-43F4-85BD-372A2FEE158A}"/>
    <cellStyle name="Normal 10 3 9 2 3 3" xfId="25483" xr:uid="{80DB4584-0FF9-40D5-93B0-66BA773F0DAD}"/>
    <cellStyle name="Normal 10 3 9 2 3 3 2" xfId="25484" xr:uid="{D90E4692-2C75-4710-97C2-C5B741581A30}"/>
    <cellStyle name="Normal 10 3 9 2 3 3 2 2" xfId="25485" xr:uid="{809CBB89-39ED-4792-8047-53D7784702AB}"/>
    <cellStyle name="Normal 10 3 9 2 3 3 2 2 2" xfId="25486" xr:uid="{23B3BC02-D254-400C-B7B6-4BC3E207ABF8}"/>
    <cellStyle name="Normal 10 3 9 2 3 3 2 3" xfId="25487" xr:uid="{8B16B9BA-AD15-403C-A574-A892C7F46B43}"/>
    <cellStyle name="Normal 10 3 9 2 3 3 3" xfId="25488" xr:uid="{F5A7C42B-0DFE-4AF2-A26E-40A8EB161989}"/>
    <cellStyle name="Normal 10 3 9 2 3 3 3 2" xfId="25489" xr:uid="{1117E65D-2B5A-4875-9C1B-42B08349F3AB}"/>
    <cellStyle name="Normal 10 3 9 2 3 3 4" xfId="25490" xr:uid="{433D2834-8DCB-44EE-9CEC-89515BB28572}"/>
    <cellStyle name="Normal 10 3 9 2 3 4" xfId="25491" xr:uid="{4F8AF1B1-666D-4942-BF43-27E943E74E0E}"/>
    <cellStyle name="Normal 10 3 9 2 3 4 2" xfId="25492" xr:uid="{EF0D7107-6285-4541-877E-C24FBAE8CA43}"/>
    <cellStyle name="Normal 10 3 9 2 3 4 2 2" xfId="25493" xr:uid="{A28ADDFB-CA49-469D-B8CC-5A9B2264D66F}"/>
    <cellStyle name="Normal 10 3 9 2 3 4 3" xfId="25494" xr:uid="{49C22949-5241-46F1-8B2A-BB51DB23E757}"/>
    <cellStyle name="Normal 10 3 9 2 3 5" xfId="25495" xr:uid="{3B9EE88B-61CE-4283-A53D-AB77041596FB}"/>
    <cellStyle name="Normal 10 3 9 2 3 5 2" xfId="25496" xr:uid="{C08C7A74-4F48-4BAB-8A51-E65C0B151339}"/>
    <cellStyle name="Normal 10 3 9 2 3 6" xfId="25497" xr:uid="{0BD8EBA4-37E1-42A8-9A30-5712B9386E79}"/>
    <cellStyle name="Normal 10 3 9 2 4" xfId="25498" xr:uid="{C5F68BB2-2613-4085-9439-651647AD46B5}"/>
    <cellStyle name="Normal 10 3 9 2 4 2" xfId="25499" xr:uid="{B2A38A7B-5939-476C-BE58-F0DE26372D15}"/>
    <cellStyle name="Normal 10 3 9 2 4 2 2" xfId="25500" xr:uid="{77AB795A-68CB-4DAE-AB81-800F0F427A9F}"/>
    <cellStyle name="Normal 10 3 9 2 4 2 2 2" xfId="25501" xr:uid="{3F2B0E98-3092-4DF9-A3AE-68FDE43F8002}"/>
    <cellStyle name="Normal 10 3 9 2 4 2 2 2 2" xfId="25502" xr:uid="{79E8935C-DE12-44DD-9DB8-6E4AC9439343}"/>
    <cellStyle name="Normal 10 3 9 2 4 2 2 3" xfId="25503" xr:uid="{9FEBF5EF-2A25-4495-87CC-6FD9881E0A6C}"/>
    <cellStyle name="Normal 10 3 9 2 4 2 3" xfId="25504" xr:uid="{C8861E7F-718E-41C4-A357-6937815EFD4B}"/>
    <cellStyle name="Normal 10 3 9 2 4 2 3 2" xfId="25505" xr:uid="{3CF69042-EC09-4938-9003-4B0754F01C61}"/>
    <cellStyle name="Normal 10 3 9 2 4 2 4" xfId="25506" xr:uid="{1F72F20C-794B-4EFA-B278-0E141694CC51}"/>
    <cellStyle name="Normal 10 3 9 2 4 3" xfId="25507" xr:uid="{0B58F3B2-BF89-4633-BFBB-32D960044B74}"/>
    <cellStyle name="Normal 10 3 9 2 4 3 2" xfId="25508" xr:uid="{98008494-8755-484B-AEDD-D454DF53314B}"/>
    <cellStyle name="Normal 10 3 9 2 4 3 2 2" xfId="25509" xr:uid="{0192D6A1-9F97-4805-822A-C14276F231CF}"/>
    <cellStyle name="Normal 10 3 9 2 4 3 3" xfId="25510" xr:uid="{D39B7F16-1178-48C2-94AC-C69C0CFE2320}"/>
    <cellStyle name="Normal 10 3 9 2 4 4" xfId="25511" xr:uid="{7E403538-2C23-44D8-92DD-E01A82E219EB}"/>
    <cellStyle name="Normal 10 3 9 2 4 4 2" xfId="25512" xr:uid="{204351A7-C12D-4663-B286-5E9E5836D82E}"/>
    <cellStyle name="Normal 10 3 9 2 4 5" xfId="25513" xr:uid="{2BDE9BB8-A760-4F0B-B62B-8E9DAC6369C8}"/>
    <cellStyle name="Normal 10 3 9 2 5" xfId="25514" xr:uid="{836B2339-C947-491A-A4A6-38C41989A255}"/>
    <cellStyle name="Normal 10 3 9 2 5 2" xfId="25515" xr:uid="{42EA5394-6A5A-4AA4-B872-45063444336E}"/>
    <cellStyle name="Normal 10 3 9 2 5 2 2" xfId="25516" xr:uid="{EE989A90-13F3-4A55-A639-F11E0582BE2D}"/>
    <cellStyle name="Normal 10 3 9 2 5 2 2 2" xfId="25517" xr:uid="{74B30D28-F721-4AB8-A4B5-1A78BC66DE8C}"/>
    <cellStyle name="Normal 10 3 9 2 5 2 3" xfId="25518" xr:uid="{91874311-E430-4025-AD26-F23DB463F303}"/>
    <cellStyle name="Normal 10 3 9 2 5 3" xfId="25519" xr:uid="{EB387D8C-DDF9-46D3-B201-E46E039EE8D2}"/>
    <cellStyle name="Normal 10 3 9 2 5 3 2" xfId="25520" xr:uid="{E24ED2F3-6A7C-410C-9DA4-376938641612}"/>
    <cellStyle name="Normal 10 3 9 2 5 4" xfId="25521" xr:uid="{628CC4C8-68E8-4010-8970-B5212EF1B815}"/>
    <cellStyle name="Normal 10 3 9 2 6" xfId="25522" xr:uid="{D45233D6-34CB-4CEC-9A59-4A8A1281EFE6}"/>
    <cellStyle name="Normal 10 3 9 2 6 2" xfId="25523" xr:uid="{9D73B181-2D39-4014-A1DD-F9CE345E7826}"/>
    <cellStyle name="Normal 10 3 9 2 6 2 2" xfId="25524" xr:uid="{D252316B-F175-484F-90AF-148666658412}"/>
    <cellStyle name="Normal 10 3 9 2 6 3" xfId="25525" xr:uid="{668CEAC4-B827-4070-B4E8-33A08F5B1270}"/>
    <cellStyle name="Normal 10 3 9 2 7" xfId="25526" xr:uid="{9DE6DA63-F050-4D09-8BD7-C45FC9084DE7}"/>
    <cellStyle name="Normal 10 3 9 2 7 2" xfId="25527" xr:uid="{10413B4C-970D-4CDD-9519-33F76C3EAE11}"/>
    <cellStyle name="Normal 10 3 9 2 8" xfId="25528" xr:uid="{EF707BFE-0A7D-4604-94A4-8F17466A576A}"/>
    <cellStyle name="Normal 10 3 9 3" xfId="25529" xr:uid="{E4EBBEBA-09E0-4605-9E6A-227B08155DB7}"/>
    <cellStyle name="Normal 10 3 9 3 2" xfId="25530" xr:uid="{A43DA06B-40BD-4FF6-9DE4-918F62423C6A}"/>
    <cellStyle name="Normal 10 3 9 3 2 2" xfId="25531" xr:uid="{EB0936BB-D336-43D0-987B-65935DE7309E}"/>
    <cellStyle name="Normal 10 3 9 3 2 2 2" xfId="25532" xr:uid="{3EDC02F5-156C-40FA-9611-D1294B4933E4}"/>
    <cellStyle name="Normal 10 3 9 3 2 2 2 2" xfId="25533" xr:uid="{5523EA05-E265-4352-BC42-FEE6D32161F7}"/>
    <cellStyle name="Normal 10 3 9 3 2 2 2 2 2" xfId="25534" xr:uid="{736774C2-B8EE-4497-9A74-D517F3B6D641}"/>
    <cellStyle name="Normal 10 3 9 3 2 2 2 2 2 2" xfId="25535" xr:uid="{FA479FEB-50C9-4D11-9760-FFE4C36B8C7B}"/>
    <cellStyle name="Normal 10 3 9 3 2 2 2 2 3" xfId="25536" xr:uid="{4A9C1252-AA51-4013-AC2D-0E101D174A62}"/>
    <cellStyle name="Normal 10 3 9 3 2 2 2 3" xfId="25537" xr:uid="{90EACEFE-8547-4B4A-AD9A-23CBD9F78375}"/>
    <cellStyle name="Normal 10 3 9 3 2 2 2 3 2" xfId="25538" xr:uid="{12EBF259-14F9-4D6B-AB2D-EF9250294E2D}"/>
    <cellStyle name="Normal 10 3 9 3 2 2 2 4" xfId="25539" xr:uid="{729287C2-E42E-4A6C-947C-15B0E6A323CD}"/>
    <cellStyle name="Normal 10 3 9 3 2 2 3" xfId="25540" xr:uid="{3F68F4C8-5ABF-4469-8D60-8E0641893225}"/>
    <cellStyle name="Normal 10 3 9 3 2 2 3 2" xfId="25541" xr:uid="{D77D9A68-C5DB-478D-AAB6-E32F0282C17E}"/>
    <cellStyle name="Normal 10 3 9 3 2 2 3 2 2" xfId="25542" xr:uid="{90E4C30B-3CE1-49AA-95C9-FCCB724CD03B}"/>
    <cellStyle name="Normal 10 3 9 3 2 2 3 3" xfId="25543" xr:uid="{0FE58573-E7BE-41AF-A586-8E052C2512F4}"/>
    <cellStyle name="Normal 10 3 9 3 2 2 4" xfId="25544" xr:uid="{221DFBA1-9F4B-4630-BBD9-D5E857F4B467}"/>
    <cellStyle name="Normal 10 3 9 3 2 2 4 2" xfId="25545" xr:uid="{66FA0391-6063-41B2-9FA3-CE1DBF7EE1C1}"/>
    <cellStyle name="Normal 10 3 9 3 2 2 5" xfId="25546" xr:uid="{478BBD5F-C434-4E40-BCB9-05A0BB67A9C6}"/>
    <cellStyle name="Normal 10 3 9 3 2 3" xfId="25547" xr:uid="{E454909B-AE16-45AF-A294-0C2568F455D2}"/>
    <cellStyle name="Normal 10 3 9 3 2 3 2" xfId="25548" xr:uid="{E89A41E2-EB81-4CD3-B96A-CBF5E56E882A}"/>
    <cellStyle name="Normal 10 3 9 3 2 3 2 2" xfId="25549" xr:uid="{16022D86-B6E7-460B-B61D-9525D6659060}"/>
    <cellStyle name="Normal 10 3 9 3 2 3 2 2 2" xfId="25550" xr:uid="{A3955A2F-0292-4EC4-B371-1486A616A34B}"/>
    <cellStyle name="Normal 10 3 9 3 2 3 2 3" xfId="25551" xr:uid="{B4878E4D-8B75-4F69-A386-AB7CAD2AFA09}"/>
    <cellStyle name="Normal 10 3 9 3 2 3 3" xfId="25552" xr:uid="{9E6AB680-9E71-4462-8270-7062CDC64F33}"/>
    <cellStyle name="Normal 10 3 9 3 2 3 3 2" xfId="25553" xr:uid="{7C730886-FB06-4DBF-A228-991D4F56B0F9}"/>
    <cellStyle name="Normal 10 3 9 3 2 3 4" xfId="25554" xr:uid="{04DBD96E-4B6C-4B1A-8C82-F81C418CA696}"/>
    <cellStyle name="Normal 10 3 9 3 2 4" xfId="25555" xr:uid="{5BBD1F6E-26DD-4474-8498-73CD452BAC2D}"/>
    <cellStyle name="Normal 10 3 9 3 2 4 2" xfId="25556" xr:uid="{164F7A1B-87F0-4AB8-9116-26076C9C4381}"/>
    <cellStyle name="Normal 10 3 9 3 2 4 2 2" xfId="25557" xr:uid="{7B83CD29-AC08-4440-B630-815C1E417100}"/>
    <cellStyle name="Normal 10 3 9 3 2 4 3" xfId="25558" xr:uid="{C7C3E258-4723-4D95-935B-9E23D323302E}"/>
    <cellStyle name="Normal 10 3 9 3 2 5" xfId="25559" xr:uid="{47559B18-ECE8-4938-9D7B-B816B79591E4}"/>
    <cellStyle name="Normal 10 3 9 3 2 5 2" xfId="25560" xr:uid="{D5278E10-F4C3-40E0-BA95-CF1B14DDB062}"/>
    <cellStyle name="Normal 10 3 9 3 2 6" xfId="25561" xr:uid="{90B6EDFE-CA28-4E26-8898-F76F5899D895}"/>
    <cellStyle name="Normal 10 3 9 3 3" xfId="25562" xr:uid="{0EAF3989-EF81-46CA-925B-0B42C281CF62}"/>
    <cellStyle name="Normal 10 3 9 3 3 2" xfId="25563" xr:uid="{166AA136-B93D-4799-8BA3-3FDDC28D9AEA}"/>
    <cellStyle name="Normal 10 3 9 3 3 2 2" xfId="25564" xr:uid="{B6F774FF-C110-4A49-A4C3-5E0D0FDD2B75}"/>
    <cellStyle name="Normal 10 3 9 3 3 2 2 2" xfId="25565" xr:uid="{12A99ACE-EEE4-4A30-9439-16CE2F6920B1}"/>
    <cellStyle name="Normal 10 3 9 3 3 2 2 2 2" xfId="25566" xr:uid="{24F4D928-A35E-4668-A192-09AE4CA01669}"/>
    <cellStyle name="Normal 10 3 9 3 3 2 2 3" xfId="25567" xr:uid="{A17BE398-B392-496A-A109-608BC9D4A4B4}"/>
    <cellStyle name="Normal 10 3 9 3 3 2 3" xfId="25568" xr:uid="{5B605394-D449-450F-89FC-B61D2032E52B}"/>
    <cellStyle name="Normal 10 3 9 3 3 2 3 2" xfId="25569" xr:uid="{F850738B-EF07-4A9B-A098-90BF68EB10E4}"/>
    <cellStyle name="Normal 10 3 9 3 3 2 4" xfId="25570" xr:uid="{60A5AB39-116F-4273-98D6-8E4724C0E2AE}"/>
    <cellStyle name="Normal 10 3 9 3 3 3" xfId="25571" xr:uid="{548F8BFD-5727-4F7E-8634-8C1D3759ADFC}"/>
    <cellStyle name="Normal 10 3 9 3 3 3 2" xfId="25572" xr:uid="{1AF1F7B1-9186-472C-BA49-E13838DD93B0}"/>
    <cellStyle name="Normal 10 3 9 3 3 3 2 2" xfId="25573" xr:uid="{162AA958-A9DA-487E-A424-40BC9C5E1CCE}"/>
    <cellStyle name="Normal 10 3 9 3 3 3 3" xfId="25574" xr:uid="{5617CFBB-D256-4953-9408-EBD87CCD128A}"/>
    <cellStyle name="Normal 10 3 9 3 3 4" xfId="25575" xr:uid="{0841DA52-22FD-4D6D-8D00-767D564DBD98}"/>
    <cellStyle name="Normal 10 3 9 3 3 4 2" xfId="25576" xr:uid="{67BF5473-2579-497A-B647-A265A623E752}"/>
    <cellStyle name="Normal 10 3 9 3 3 5" xfId="25577" xr:uid="{F491FDAF-FEA7-4ABF-8685-6851D92B17B0}"/>
    <cellStyle name="Normal 10 3 9 3 4" xfId="25578" xr:uid="{5D7EABE6-D783-4FDE-913F-A1DB2E00BFF5}"/>
    <cellStyle name="Normal 10 3 9 3 4 2" xfId="25579" xr:uid="{BA48B633-4183-4354-AF13-C9AFF16E9B42}"/>
    <cellStyle name="Normal 10 3 9 3 4 2 2" xfId="25580" xr:uid="{CFC5481A-FD84-4D45-876C-8238B5A96F07}"/>
    <cellStyle name="Normal 10 3 9 3 4 2 2 2" xfId="25581" xr:uid="{397D5A9C-C73E-44EE-A2AD-38A0F7917783}"/>
    <cellStyle name="Normal 10 3 9 3 4 2 3" xfId="25582" xr:uid="{9F882645-9D74-4E69-8363-DB206947B9AF}"/>
    <cellStyle name="Normal 10 3 9 3 4 3" xfId="25583" xr:uid="{5163E842-64FD-4F04-988F-72AF433F4B23}"/>
    <cellStyle name="Normal 10 3 9 3 4 3 2" xfId="25584" xr:uid="{8ADC20BB-6DE5-42CC-BA54-AB26B4D5D9B5}"/>
    <cellStyle name="Normal 10 3 9 3 4 4" xfId="25585" xr:uid="{A2AE4ECF-A550-42A9-A347-7934B02A7B6F}"/>
    <cellStyle name="Normal 10 3 9 3 5" xfId="25586" xr:uid="{0B06B0B2-F672-4908-A78F-D2C02D63D052}"/>
    <cellStyle name="Normal 10 3 9 3 5 2" xfId="25587" xr:uid="{B4D35E75-18AC-4CD5-9F8B-5672715AAD30}"/>
    <cellStyle name="Normal 10 3 9 3 5 2 2" xfId="25588" xr:uid="{86B4CF46-467C-4BFB-A9A5-A12F149FD425}"/>
    <cellStyle name="Normal 10 3 9 3 5 3" xfId="25589" xr:uid="{A516191C-8351-4EC0-AB3F-36B8BBFAAC42}"/>
    <cellStyle name="Normal 10 3 9 3 6" xfId="25590" xr:uid="{A5638581-FCBE-4ACC-8B11-EC709D4273BF}"/>
    <cellStyle name="Normal 10 3 9 3 6 2" xfId="25591" xr:uid="{556A9BF8-A63D-4888-8448-C5CACCDD467A}"/>
    <cellStyle name="Normal 10 3 9 3 7" xfId="25592" xr:uid="{38FA5D84-42BB-4BB9-A509-806B96B5C4C7}"/>
    <cellStyle name="Normal 10 3 9 4" xfId="25593" xr:uid="{32B2B76F-72C4-4607-8B66-899B3A494E16}"/>
    <cellStyle name="Normal 10 3 9 4 2" xfId="25594" xr:uid="{62B822CA-497C-4870-B580-51CDB324226E}"/>
    <cellStyle name="Normal 10 3 9 4 2 2" xfId="25595" xr:uid="{5B4E153F-8733-4702-B258-34003EB85E78}"/>
    <cellStyle name="Normal 10 3 9 4 2 2 2" xfId="25596" xr:uid="{93516739-9799-4919-BD83-658CF35B910C}"/>
    <cellStyle name="Normal 10 3 9 4 2 2 2 2" xfId="25597" xr:uid="{FD1876EC-64F7-4D01-B5E4-05D8B00F965F}"/>
    <cellStyle name="Normal 10 3 9 4 2 2 2 2 2" xfId="25598" xr:uid="{06279E57-2FE2-4C04-BFC6-30862BFBB591}"/>
    <cellStyle name="Normal 10 3 9 4 2 2 2 3" xfId="25599" xr:uid="{1175247D-4DA7-41DC-A07F-CC54125F7523}"/>
    <cellStyle name="Normal 10 3 9 4 2 2 3" xfId="25600" xr:uid="{E663EF0F-341A-4946-A4B8-06A649AA1B50}"/>
    <cellStyle name="Normal 10 3 9 4 2 2 3 2" xfId="25601" xr:uid="{C38A7199-0655-4317-AB6D-215583FFC2B6}"/>
    <cellStyle name="Normal 10 3 9 4 2 2 4" xfId="25602" xr:uid="{8AC055CF-C23E-4189-80CF-E6FF7BCF60F9}"/>
    <cellStyle name="Normal 10 3 9 4 2 3" xfId="25603" xr:uid="{1FC01708-FE98-4508-A247-0371C0F4694C}"/>
    <cellStyle name="Normal 10 3 9 4 2 3 2" xfId="25604" xr:uid="{C1A6A4F1-A298-4BCD-A84F-2CF6890AE7FA}"/>
    <cellStyle name="Normal 10 3 9 4 2 3 2 2" xfId="25605" xr:uid="{08A271F7-7DDC-4FA0-AD55-AC784F3E4D40}"/>
    <cellStyle name="Normal 10 3 9 4 2 3 3" xfId="25606" xr:uid="{FD52DC4D-F889-44AC-9414-2BC9AD86CDAE}"/>
    <cellStyle name="Normal 10 3 9 4 2 4" xfId="25607" xr:uid="{20FCA5E5-91E2-4473-8119-A45EA87BC7A1}"/>
    <cellStyle name="Normal 10 3 9 4 2 4 2" xfId="25608" xr:uid="{0DBB628F-2202-473B-9243-9E0B103DB52B}"/>
    <cellStyle name="Normal 10 3 9 4 2 5" xfId="25609" xr:uid="{0A56CB6B-BFEE-4245-891F-C30F636B5C6A}"/>
    <cellStyle name="Normal 10 3 9 4 3" xfId="25610" xr:uid="{98D1C7D7-2B27-4023-BD32-585D6470DFDF}"/>
    <cellStyle name="Normal 10 3 9 4 3 2" xfId="25611" xr:uid="{D7F304D7-5EA8-48FB-96C5-68E739DCB84F}"/>
    <cellStyle name="Normal 10 3 9 4 3 2 2" xfId="25612" xr:uid="{9A4A6329-AFD0-4FDF-8211-E659E8D7D744}"/>
    <cellStyle name="Normal 10 3 9 4 3 2 2 2" xfId="25613" xr:uid="{5674912F-476D-4A3D-85B0-F77AE6076D04}"/>
    <cellStyle name="Normal 10 3 9 4 3 2 3" xfId="25614" xr:uid="{276DBED6-FF89-4EB7-9A0A-62C4937271AF}"/>
    <cellStyle name="Normal 10 3 9 4 3 3" xfId="25615" xr:uid="{F0B7B532-8212-4A75-9E99-DF90F6887C0E}"/>
    <cellStyle name="Normal 10 3 9 4 3 3 2" xfId="25616" xr:uid="{812C6EA0-B585-4E1C-B649-D8F1398EFCF2}"/>
    <cellStyle name="Normal 10 3 9 4 3 4" xfId="25617" xr:uid="{70C343A4-1028-4AE1-88D1-8ACB6935E287}"/>
    <cellStyle name="Normal 10 3 9 4 4" xfId="25618" xr:uid="{2D8E3BA9-5893-47FC-B9C0-4480AD524B8F}"/>
    <cellStyle name="Normal 10 3 9 4 4 2" xfId="25619" xr:uid="{6C7B098A-F0FB-44E0-B005-0589B59581E9}"/>
    <cellStyle name="Normal 10 3 9 4 4 2 2" xfId="25620" xr:uid="{F08F7BC6-1A44-470A-8D00-7CA2F37B7AE5}"/>
    <cellStyle name="Normal 10 3 9 4 4 3" xfId="25621" xr:uid="{098FF1C7-A5A5-4DB2-B784-7DFE474F5D6D}"/>
    <cellStyle name="Normal 10 3 9 4 5" xfId="25622" xr:uid="{35B2ECED-1C4B-49A2-9F92-E28C15B2B27C}"/>
    <cellStyle name="Normal 10 3 9 4 5 2" xfId="25623" xr:uid="{7C901A3D-8C7D-4FA3-BDCC-0F34EE056315}"/>
    <cellStyle name="Normal 10 3 9 4 6" xfId="25624" xr:uid="{A439A61F-E021-4667-84C7-49A9B8560BCD}"/>
    <cellStyle name="Normal 10 3 9 5" xfId="25625" xr:uid="{43407F25-6FFE-40DE-9FFB-0B52D061FFB6}"/>
    <cellStyle name="Normal 10 3 9 5 2" xfId="25626" xr:uid="{4EA74501-79F5-4E75-B043-D9D76B7529EE}"/>
    <cellStyle name="Normal 10 3 9 5 2 2" xfId="25627" xr:uid="{2AE806B1-7A1B-4556-B287-E6E20371810A}"/>
    <cellStyle name="Normal 10 3 9 5 2 2 2" xfId="25628" xr:uid="{0257CF60-9A47-445B-8C48-C33A0771CA54}"/>
    <cellStyle name="Normal 10 3 9 5 2 2 2 2" xfId="25629" xr:uid="{8DEBB361-F616-47E0-B2FE-24014051168F}"/>
    <cellStyle name="Normal 10 3 9 5 2 2 3" xfId="25630" xr:uid="{77AA6F10-234A-43FA-BE4D-FA56D602661A}"/>
    <cellStyle name="Normal 10 3 9 5 2 3" xfId="25631" xr:uid="{B66599E0-4B48-4184-9C3B-3515CBE237D1}"/>
    <cellStyle name="Normal 10 3 9 5 2 3 2" xfId="25632" xr:uid="{C1E1E712-F6C6-4535-9FEC-0694B0BA3E0A}"/>
    <cellStyle name="Normal 10 3 9 5 2 4" xfId="25633" xr:uid="{468AAC81-7DCE-4FAA-9B3C-DD45A9B094A5}"/>
    <cellStyle name="Normal 10 3 9 5 3" xfId="25634" xr:uid="{1D83DDB5-D09B-4AAC-AF08-0C43002A8718}"/>
    <cellStyle name="Normal 10 3 9 5 3 2" xfId="25635" xr:uid="{2CD4DCF9-CE43-472D-9696-0048527E343C}"/>
    <cellStyle name="Normal 10 3 9 5 3 2 2" xfId="25636" xr:uid="{08B6BCD7-3B7B-45BC-B4A8-ED47DBDDC89B}"/>
    <cellStyle name="Normal 10 3 9 5 3 3" xfId="25637" xr:uid="{E96B4606-52D5-423D-A1C1-4B8DC7E938FC}"/>
    <cellStyle name="Normal 10 3 9 5 4" xfId="25638" xr:uid="{A4ED1339-566F-4477-A853-0BE2415187CD}"/>
    <cellStyle name="Normal 10 3 9 5 4 2" xfId="25639" xr:uid="{C7E1B5BD-1B5B-4909-9E1D-17398D8C4560}"/>
    <cellStyle name="Normal 10 3 9 5 5" xfId="25640" xr:uid="{404E9CCD-490A-4F78-B460-BEFA47F95CF8}"/>
    <cellStyle name="Normal 10 3 9 6" xfId="25641" xr:uid="{4DAE8EAF-C220-40B4-BA04-F489B1C825D5}"/>
    <cellStyle name="Normal 10 3 9 6 2" xfId="25642" xr:uid="{1113089A-6C57-4758-8A6F-AD51DC0DFAC5}"/>
    <cellStyle name="Normal 10 3 9 6 2 2" xfId="25643" xr:uid="{4D8FDD82-BB09-494B-8922-52EAEC8F676E}"/>
    <cellStyle name="Normal 10 3 9 6 2 2 2" xfId="25644" xr:uid="{ABFAB416-707F-4BB0-832D-B70C56F06D27}"/>
    <cellStyle name="Normal 10 3 9 6 2 3" xfId="25645" xr:uid="{CFC425AD-F410-4667-BD2E-345A6F507FF7}"/>
    <cellStyle name="Normal 10 3 9 6 3" xfId="25646" xr:uid="{7014E023-35BF-4F29-83BC-C248D58605C4}"/>
    <cellStyle name="Normal 10 3 9 6 3 2" xfId="25647" xr:uid="{E9B6EBD3-E5BD-48C2-A18F-9A5F3695454A}"/>
    <cellStyle name="Normal 10 3 9 6 4" xfId="25648" xr:uid="{F903EFB9-5327-449A-A76F-FC7E5E611693}"/>
    <cellStyle name="Normal 10 3 9 7" xfId="25649" xr:uid="{CD10723B-22EF-42D2-9890-1516141B3631}"/>
    <cellStyle name="Normal 10 3 9 7 2" xfId="25650" xr:uid="{FFDA362D-B72D-4683-9AC1-88362B9B47C7}"/>
    <cellStyle name="Normal 10 3 9 7 2 2" xfId="25651" xr:uid="{D40DD3D8-4815-417E-9198-9FE321D9D6EC}"/>
    <cellStyle name="Normal 10 3 9 7 3" xfId="25652" xr:uid="{F2207520-C56D-4010-8468-DE9E09092137}"/>
    <cellStyle name="Normal 10 3 9 8" xfId="25653" xr:uid="{405E9A02-396E-42BB-A9DC-6C90DC182578}"/>
    <cellStyle name="Normal 10 3 9 8 2" xfId="25654" xr:uid="{DE23D782-774D-4E49-8EE4-7F9D15907FED}"/>
    <cellStyle name="Normal 10 3 9 9" xfId="25655" xr:uid="{01839EB9-85E2-4183-85F6-1C2BEE7F9906}"/>
    <cellStyle name="Normal 10 4" xfId="305" xr:uid="{BCC4525F-DF81-41DE-A187-42B6EC61D430}"/>
    <cellStyle name="Normal 10 4 10" xfId="25657" xr:uid="{67FEAB7C-BE37-42D8-A56C-A8BF98C5804D}"/>
    <cellStyle name="Normal 10 4 11" xfId="25656" xr:uid="{7D30462E-A571-480E-B4B9-FE8624F77248}"/>
    <cellStyle name="Normal 10 4 12" xfId="54810" xr:uid="{EBBC28AA-280F-45EC-BC30-AB697C82E599}"/>
    <cellStyle name="Normal 10 4 2" xfId="25658" xr:uid="{8A01058E-8C85-4786-B474-64245E20D156}"/>
    <cellStyle name="Normal 10 4 2 2" xfId="25659" xr:uid="{02C5FF3E-57F8-4487-812B-98A8950F5E08}"/>
    <cellStyle name="Normal 10 4 2 2 2" xfId="25660" xr:uid="{1027BBB9-7C3E-413E-A096-F62792901B03}"/>
    <cellStyle name="Normal 10 4 2 2 2 2" xfId="25661" xr:uid="{B4F7510F-DF45-48B2-8389-D8FF7C53B490}"/>
    <cellStyle name="Normal 10 4 2 2 2 2 2" xfId="25662" xr:uid="{E21027B2-2DE7-4117-8E2C-EC51C5B754C6}"/>
    <cellStyle name="Normal 10 4 2 2 2 2 2 2" xfId="25663" xr:uid="{C0F08C1E-765D-4853-9D8A-295A0EFBF8A4}"/>
    <cellStyle name="Normal 10 4 2 2 2 2 2 2 2" xfId="25664" xr:uid="{DF23A22E-2C72-42D3-A86B-F01B6D26EED9}"/>
    <cellStyle name="Normal 10 4 2 2 2 2 2 2 2 2" xfId="25665" xr:uid="{47F49F19-7062-4770-A641-2BFF9242667F}"/>
    <cellStyle name="Normal 10 4 2 2 2 2 2 2 2 2 2" xfId="25666" xr:uid="{1F676A58-15BC-4DCB-B8AE-C0FA748DD1F5}"/>
    <cellStyle name="Normal 10 4 2 2 2 2 2 2 2 3" xfId="25667" xr:uid="{30C4BE1A-3938-4EED-95AD-129DBE2C0AEF}"/>
    <cellStyle name="Normal 10 4 2 2 2 2 2 2 3" xfId="25668" xr:uid="{8209BCA6-1D8C-4BFE-A74E-53384244182B}"/>
    <cellStyle name="Normal 10 4 2 2 2 2 2 2 3 2" xfId="25669" xr:uid="{22BBD5FB-F74E-4702-9EC6-4AAA87A4943D}"/>
    <cellStyle name="Normal 10 4 2 2 2 2 2 2 4" xfId="25670" xr:uid="{D7ADB162-3515-4F29-B8FF-42F20279741E}"/>
    <cellStyle name="Normal 10 4 2 2 2 2 2 3" xfId="25671" xr:uid="{861CF29A-2F6A-48C3-8E03-833F6D584150}"/>
    <cellStyle name="Normal 10 4 2 2 2 2 2 3 2" xfId="25672" xr:uid="{63137935-FC5E-4650-82A2-2677F1ECD6EB}"/>
    <cellStyle name="Normal 10 4 2 2 2 2 2 3 2 2" xfId="25673" xr:uid="{EBED92D7-F8CD-4A56-939E-5A7439925E65}"/>
    <cellStyle name="Normal 10 4 2 2 2 2 2 3 3" xfId="25674" xr:uid="{6DD93486-310F-43E3-8ACC-9470561C5778}"/>
    <cellStyle name="Normal 10 4 2 2 2 2 2 4" xfId="25675" xr:uid="{FB564E24-61CE-4F29-8D45-3C90ECA82E22}"/>
    <cellStyle name="Normal 10 4 2 2 2 2 2 4 2" xfId="25676" xr:uid="{7A49ED68-68D0-473D-8643-FBE00B7545D8}"/>
    <cellStyle name="Normal 10 4 2 2 2 2 2 5" xfId="25677" xr:uid="{F9CC51E3-FF48-4574-9270-642B8037CF2A}"/>
    <cellStyle name="Normal 10 4 2 2 2 2 3" xfId="25678" xr:uid="{CD04DDEB-6538-41F9-8C96-6D581700054E}"/>
    <cellStyle name="Normal 10 4 2 2 2 2 3 2" xfId="25679" xr:uid="{8D9A2259-99AD-421C-9415-C6390888512D}"/>
    <cellStyle name="Normal 10 4 2 2 2 2 3 2 2" xfId="25680" xr:uid="{D4B6C7A7-130A-4894-AFE6-658923BCFDF8}"/>
    <cellStyle name="Normal 10 4 2 2 2 2 3 2 2 2" xfId="25681" xr:uid="{C014235D-1DBA-4BE4-93EC-5D2FAC8A5474}"/>
    <cellStyle name="Normal 10 4 2 2 2 2 3 2 3" xfId="25682" xr:uid="{7080CC60-8D2C-4B41-8FF2-DB869406B8AC}"/>
    <cellStyle name="Normal 10 4 2 2 2 2 3 3" xfId="25683" xr:uid="{CA947B56-D177-4751-9F4D-99D3BAE5DF5F}"/>
    <cellStyle name="Normal 10 4 2 2 2 2 3 3 2" xfId="25684" xr:uid="{EE1B4314-0589-4290-B591-CE95198693B7}"/>
    <cellStyle name="Normal 10 4 2 2 2 2 3 4" xfId="25685" xr:uid="{419E9A14-753F-4A7B-8D6B-C2E6835B7519}"/>
    <cellStyle name="Normal 10 4 2 2 2 2 4" xfId="25686" xr:uid="{0E47BF75-AE4B-48A8-B558-862521463615}"/>
    <cellStyle name="Normal 10 4 2 2 2 2 4 2" xfId="25687" xr:uid="{60463E0B-653E-45F5-8883-AD7BF0C8DA00}"/>
    <cellStyle name="Normal 10 4 2 2 2 2 4 2 2" xfId="25688" xr:uid="{2A4ADE23-5DCA-4D0C-B0E1-7F0D6A17B77D}"/>
    <cellStyle name="Normal 10 4 2 2 2 2 4 3" xfId="25689" xr:uid="{8A29B8C8-3BE4-4CF1-B8F6-4230E7F7AE80}"/>
    <cellStyle name="Normal 10 4 2 2 2 2 5" xfId="25690" xr:uid="{733139FB-480E-460A-BA8D-C35F5B4B40CB}"/>
    <cellStyle name="Normal 10 4 2 2 2 2 5 2" xfId="25691" xr:uid="{D2F00F9E-8977-4435-8B45-D2AF7A0A6B7A}"/>
    <cellStyle name="Normal 10 4 2 2 2 2 6" xfId="25692" xr:uid="{BFD2DD81-5A9E-4806-A660-11F628F9EC77}"/>
    <cellStyle name="Normal 10 4 2 2 2 3" xfId="25693" xr:uid="{3549E010-4917-41CC-9224-B43F95BC8A26}"/>
    <cellStyle name="Normal 10 4 2 2 2 3 2" xfId="25694" xr:uid="{5AD807F9-9C2E-41EB-9786-D6F732444A06}"/>
    <cellStyle name="Normal 10 4 2 2 2 3 2 2" xfId="25695" xr:uid="{569DBD12-76B1-437B-A1FC-0F55714BA4B1}"/>
    <cellStyle name="Normal 10 4 2 2 2 3 2 2 2" xfId="25696" xr:uid="{1E5E0260-7119-4CB0-83DE-41ACD07D5BC1}"/>
    <cellStyle name="Normal 10 4 2 2 2 3 2 2 2 2" xfId="25697" xr:uid="{2D97C972-F120-4433-B3E4-4F693406103F}"/>
    <cellStyle name="Normal 10 4 2 2 2 3 2 2 3" xfId="25698" xr:uid="{C2672CBF-49B7-4EC8-86CF-168CF894C595}"/>
    <cellStyle name="Normal 10 4 2 2 2 3 2 3" xfId="25699" xr:uid="{4C548A5A-A9C8-444D-A1B3-446D0AAEDB64}"/>
    <cellStyle name="Normal 10 4 2 2 2 3 2 3 2" xfId="25700" xr:uid="{48BC8B24-BF85-47FF-9E16-BDBAB04C4680}"/>
    <cellStyle name="Normal 10 4 2 2 2 3 2 4" xfId="25701" xr:uid="{8D6DE695-4A0F-4541-988D-CD3E97CB3A6F}"/>
    <cellStyle name="Normal 10 4 2 2 2 3 3" xfId="25702" xr:uid="{D0728FC2-8057-43C6-BE1F-B5E608AC9718}"/>
    <cellStyle name="Normal 10 4 2 2 2 3 3 2" xfId="25703" xr:uid="{930E4DD4-1921-4CF4-BC13-15943A01853E}"/>
    <cellStyle name="Normal 10 4 2 2 2 3 3 2 2" xfId="25704" xr:uid="{B259AF90-5BDB-4A8B-A9C7-05E44FB0188B}"/>
    <cellStyle name="Normal 10 4 2 2 2 3 3 3" xfId="25705" xr:uid="{1BAE9212-83C9-4098-907C-367345EAFE44}"/>
    <cellStyle name="Normal 10 4 2 2 2 3 4" xfId="25706" xr:uid="{F422105E-8FAA-4A28-9466-8A595A5375B6}"/>
    <cellStyle name="Normal 10 4 2 2 2 3 4 2" xfId="25707" xr:uid="{F20AFFFA-77B2-4D1D-8448-2A6A0078BA79}"/>
    <cellStyle name="Normal 10 4 2 2 2 3 5" xfId="25708" xr:uid="{1D221179-D93B-4F67-AF94-AA02F37A1BCE}"/>
    <cellStyle name="Normal 10 4 2 2 2 4" xfId="25709" xr:uid="{D86C59EA-7002-43DB-B091-7EB4BCDF2BB7}"/>
    <cellStyle name="Normal 10 4 2 2 2 4 2" xfId="25710" xr:uid="{B92F738A-7049-4423-9D22-686246E7C112}"/>
    <cellStyle name="Normal 10 4 2 2 2 4 2 2" xfId="25711" xr:uid="{EDA67718-AA1E-4768-BC21-CF39A369A860}"/>
    <cellStyle name="Normal 10 4 2 2 2 4 2 2 2" xfId="25712" xr:uid="{D7782FB7-384D-42F4-8F76-0E577531A82A}"/>
    <cellStyle name="Normal 10 4 2 2 2 4 2 3" xfId="25713" xr:uid="{F899E9E9-65D9-4899-BCFE-31CADDE51752}"/>
    <cellStyle name="Normal 10 4 2 2 2 4 3" xfId="25714" xr:uid="{EE5BB6A3-2E43-4FEF-87F5-39FE6F7EC840}"/>
    <cellStyle name="Normal 10 4 2 2 2 4 3 2" xfId="25715" xr:uid="{5A061E9A-19BF-4A03-8220-FB5EE267D2ED}"/>
    <cellStyle name="Normal 10 4 2 2 2 4 4" xfId="25716" xr:uid="{CF8DF0EF-7B59-4983-831A-99A4BD1164EC}"/>
    <cellStyle name="Normal 10 4 2 2 2 5" xfId="25717" xr:uid="{4B9CD898-BA30-425D-A4F3-7F4424CADF3D}"/>
    <cellStyle name="Normal 10 4 2 2 2 5 2" xfId="25718" xr:uid="{9D183657-AC26-4360-A580-E5D25296F3F1}"/>
    <cellStyle name="Normal 10 4 2 2 2 5 2 2" xfId="25719" xr:uid="{0269413A-14AA-4404-997E-0D514A07AA19}"/>
    <cellStyle name="Normal 10 4 2 2 2 5 3" xfId="25720" xr:uid="{F66051CE-82C9-481D-83E3-A68BDBD5E837}"/>
    <cellStyle name="Normal 10 4 2 2 2 6" xfId="25721" xr:uid="{8AF8A2A2-E198-43BF-9F9F-6F6DACC3ABBF}"/>
    <cellStyle name="Normal 10 4 2 2 2 6 2" xfId="25722" xr:uid="{B74ACBBE-2323-40EB-9A17-B84CF1C88C3C}"/>
    <cellStyle name="Normal 10 4 2 2 2 7" xfId="25723" xr:uid="{6D587258-8E26-44A2-97E6-ECC48AE44EF9}"/>
    <cellStyle name="Normal 10 4 2 2 3" xfId="25724" xr:uid="{82F23D64-5842-4BB3-A6E9-6D3A451C32E1}"/>
    <cellStyle name="Normal 10 4 2 2 3 2" xfId="25725" xr:uid="{CFA43E43-9B26-476B-B8CB-E2D514D01BC0}"/>
    <cellStyle name="Normal 10 4 2 2 3 2 2" xfId="25726" xr:uid="{B9D48B65-92C4-4C0E-94B2-2C05EA55C860}"/>
    <cellStyle name="Normal 10 4 2 2 3 2 2 2" xfId="25727" xr:uid="{9734611C-9645-45E2-9C4B-A64A53C4E190}"/>
    <cellStyle name="Normal 10 4 2 2 3 2 2 2 2" xfId="25728" xr:uid="{8483D882-3D90-472D-90E6-C9BAEB6A27BB}"/>
    <cellStyle name="Normal 10 4 2 2 3 2 2 2 2 2" xfId="25729" xr:uid="{5C746BB2-F02D-4F0A-A8B1-5621FED63771}"/>
    <cellStyle name="Normal 10 4 2 2 3 2 2 2 3" xfId="25730" xr:uid="{AD8F25EF-7385-4201-9D88-61085E26F163}"/>
    <cellStyle name="Normal 10 4 2 2 3 2 2 3" xfId="25731" xr:uid="{D675CA01-6C4F-4662-BF67-4135C178116B}"/>
    <cellStyle name="Normal 10 4 2 2 3 2 2 3 2" xfId="25732" xr:uid="{84F64DB8-7D1B-4B6B-92EC-D863B65CCC5A}"/>
    <cellStyle name="Normal 10 4 2 2 3 2 2 4" xfId="25733" xr:uid="{CC7C08AC-CA69-4DE3-908D-95DF53E3F137}"/>
    <cellStyle name="Normal 10 4 2 2 3 2 3" xfId="25734" xr:uid="{B47B5F14-0E57-4200-8B97-4C282DAE507B}"/>
    <cellStyle name="Normal 10 4 2 2 3 2 3 2" xfId="25735" xr:uid="{69328738-8DE3-4E35-B97E-C7BD4A9A89A5}"/>
    <cellStyle name="Normal 10 4 2 2 3 2 3 2 2" xfId="25736" xr:uid="{15C48FEA-2FEE-4F87-9F69-AE498348ECEA}"/>
    <cellStyle name="Normal 10 4 2 2 3 2 3 3" xfId="25737" xr:uid="{FEAFAD06-972E-4F7E-AB29-838CCC931722}"/>
    <cellStyle name="Normal 10 4 2 2 3 2 4" xfId="25738" xr:uid="{4CF49ABD-6486-4F45-B1EB-57D355E5CFFA}"/>
    <cellStyle name="Normal 10 4 2 2 3 2 4 2" xfId="25739" xr:uid="{3E23B9B9-1E0A-4A5C-9BC3-AFFC455853A3}"/>
    <cellStyle name="Normal 10 4 2 2 3 2 5" xfId="25740" xr:uid="{3C4B4BC9-92C6-42CF-8E53-4BC5110D506C}"/>
    <cellStyle name="Normal 10 4 2 2 3 3" xfId="25741" xr:uid="{376A1A5A-1441-4719-8824-E32456F4CAA1}"/>
    <cellStyle name="Normal 10 4 2 2 3 3 2" xfId="25742" xr:uid="{DB4604CC-EB8A-4B26-8190-EF82F528EA44}"/>
    <cellStyle name="Normal 10 4 2 2 3 3 2 2" xfId="25743" xr:uid="{6BEE0876-D4DE-4CF0-96AA-E810C18D2DB6}"/>
    <cellStyle name="Normal 10 4 2 2 3 3 2 2 2" xfId="25744" xr:uid="{CCB7386B-2ABF-4209-B076-FD0D34E7509F}"/>
    <cellStyle name="Normal 10 4 2 2 3 3 2 3" xfId="25745" xr:uid="{330316EB-C76E-44C7-ACFA-D697277F77B2}"/>
    <cellStyle name="Normal 10 4 2 2 3 3 3" xfId="25746" xr:uid="{C08DADEA-22BB-4AC2-99BD-2C9AFED24135}"/>
    <cellStyle name="Normal 10 4 2 2 3 3 3 2" xfId="25747" xr:uid="{2B57623B-3A0B-4560-BDEE-AE3F40A3C4EF}"/>
    <cellStyle name="Normal 10 4 2 2 3 3 4" xfId="25748" xr:uid="{D3C84860-7FAE-4756-8D8A-3AF06B7E2BC9}"/>
    <cellStyle name="Normal 10 4 2 2 3 4" xfId="25749" xr:uid="{05B8FD0C-5065-47EC-8138-7E87E61CD7F6}"/>
    <cellStyle name="Normal 10 4 2 2 3 4 2" xfId="25750" xr:uid="{8F9108FF-9CDC-42D5-AA4D-AB181C935FFC}"/>
    <cellStyle name="Normal 10 4 2 2 3 4 2 2" xfId="25751" xr:uid="{76FBBDA5-4B80-4789-BC0D-361BD8A2A82A}"/>
    <cellStyle name="Normal 10 4 2 2 3 4 3" xfId="25752" xr:uid="{63234DDD-0F37-4A11-A396-0628DF9A97A5}"/>
    <cellStyle name="Normal 10 4 2 2 3 5" xfId="25753" xr:uid="{6CAADA80-A873-4ACE-A49B-813B12FAFEFE}"/>
    <cellStyle name="Normal 10 4 2 2 3 5 2" xfId="25754" xr:uid="{8C1DF71F-A87F-4AD2-B07A-03A1B87C81FD}"/>
    <cellStyle name="Normal 10 4 2 2 3 6" xfId="25755" xr:uid="{A61F6513-F9AF-43CE-9E70-76F0E5E07055}"/>
    <cellStyle name="Normal 10 4 2 2 4" xfId="25756" xr:uid="{0E2E678A-9ADE-4A13-B99B-66B21BD67D47}"/>
    <cellStyle name="Normal 10 4 2 2 4 2" xfId="25757" xr:uid="{ACA4BAD2-C4DC-4BA6-B891-F12F52F2556F}"/>
    <cellStyle name="Normal 10 4 2 2 4 2 2" xfId="25758" xr:uid="{CBF70651-E4DD-4B4A-AB9F-8405D3AC3CC6}"/>
    <cellStyle name="Normal 10 4 2 2 4 2 2 2" xfId="25759" xr:uid="{0CDFBAA1-37BC-4454-8B06-C6404ADB3F5D}"/>
    <cellStyle name="Normal 10 4 2 2 4 2 2 2 2" xfId="25760" xr:uid="{33E7ACD5-5A74-419C-BBF9-BE6AB89C82F2}"/>
    <cellStyle name="Normal 10 4 2 2 4 2 2 3" xfId="25761" xr:uid="{D0F1705C-0D84-421F-AC3D-0C20382AEC20}"/>
    <cellStyle name="Normal 10 4 2 2 4 2 3" xfId="25762" xr:uid="{88D11BCD-02F4-4979-A97E-552E67FE4DEB}"/>
    <cellStyle name="Normal 10 4 2 2 4 2 3 2" xfId="25763" xr:uid="{9BE9D14E-E62E-4A49-B868-AE44686C6CC0}"/>
    <cellStyle name="Normal 10 4 2 2 4 2 4" xfId="25764" xr:uid="{908596EF-A2DE-42EB-9422-3C09D5550EAD}"/>
    <cellStyle name="Normal 10 4 2 2 4 3" xfId="25765" xr:uid="{65A09582-1CF4-4497-925D-D80E621F5F4E}"/>
    <cellStyle name="Normal 10 4 2 2 4 3 2" xfId="25766" xr:uid="{C4FECCA9-D251-42AA-A4A1-835AC702EE41}"/>
    <cellStyle name="Normal 10 4 2 2 4 3 2 2" xfId="25767" xr:uid="{705C248D-3F1A-4314-87A0-3B5C508CA1C8}"/>
    <cellStyle name="Normal 10 4 2 2 4 3 3" xfId="25768" xr:uid="{C6BBC25A-EC42-465D-9866-4585C0CAC5A8}"/>
    <cellStyle name="Normal 10 4 2 2 4 4" xfId="25769" xr:uid="{2B7EE408-4F01-4627-BB95-41B771CF99B2}"/>
    <cellStyle name="Normal 10 4 2 2 4 4 2" xfId="25770" xr:uid="{E7AF0C6E-41C6-47FE-91F4-518C53CC763E}"/>
    <cellStyle name="Normal 10 4 2 2 4 5" xfId="25771" xr:uid="{A31686EC-C5C7-44B5-BA32-EFEEDECB2100}"/>
    <cellStyle name="Normal 10 4 2 2 5" xfId="25772" xr:uid="{626EC946-3B40-49A2-8708-4DFEC5C8DF21}"/>
    <cellStyle name="Normal 10 4 2 2 5 2" xfId="25773" xr:uid="{25C73C0D-14B3-4A40-AE68-98066CC3E7BC}"/>
    <cellStyle name="Normal 10 4 2 2 5 2 2" xfId="25774" xr:uid="{2B741EC8-71C5-41FF-8879-BC5378C8B8A2}"/>
    <cellStyle name="Normal 10 4 2 2 5 2 2 2" xfId="25775" xr:uid="{A25D0002-1260-4C5C-8813-B850BFD449BD}"/>
    <cellStyle name="Normal 10 4 2 2 5 2 3" xfId="25776" xr:uid="{78C77DCD-F78C-49E2-B67A-E76A2990D4D2}"/>
    <cellStyle name="Normal 10 4 2 2 5 3" xfId="25777" xr:uid="{BFDFF7A3-501C-4082-941D-A9E0846238CF}"/>
    <cellStyle name="Normal 10 4 2 2 5 3 2" xfId="25778" xr:uid="{2BAA24DC-CD14-4466-86C8-8264442B3792}"/>
    <cellStyle name="Normal 10 4 2 2 5 4" xfId="25779" xr:uid="{C3564B8B-85EF-4643-A302-9F6D555DF88D}"/>
    <cellStyle name="Normal 10 4 2 2 6" xfId="25780" xr:uid="{77D0AF21-7A69-4CA2-A6CF-8C4DA3BFF419}"/>
    <cellStyle name="Normal 10 4 2 2 6 2" xfId="25781" xr:uid="{F39112F4-4F66-45ED-8745-5167BC7015A1}"/>
    <cellStyle name="Normal 10 4 2 2 6 2 2" xfId="25782" xr:uid="{F550716D-DB82-4BDC-BC99-F0EF0166B332}"/>
    <cellStyle name="Normal 10 4 2 2 6 3" xfId="25783" xr:uid="{2F6862C4-054B-4D26-BEF1-88910FEB0CB0}"/>
    <cellStyle name="Normal 10 4 2 2 7" xfId="25784" xr:uid="{E997A4C5-2F4B-4AB2-A383-4A3427037675}"/>
    <cellStyle name="Normal 10 4 2 2 7 2" xfId="25785" xr:uid="{74E59F5D-258A-44B1-B217-C15453BA0DD4}"/>
    <cellStyle name="Normal 10 4 2 2 8" xfId="25786" xr:uid="{45911B40-8F25-4461-A81A-807083236B90}"/>
    <cellStyle name="Normal 10 4 2 3" xfId="25787" xr:uid="{8125FC66-C5B9-4D7E-9D71-CFF99015CDC8}"/>
    <cellStyle name="Normal 10 4 2 3 2" xfId="25788" xr:uid="{3485FAB8-7195-4D14-A26E-72DFEAE9C7E8}"/>
    <cellStyle name="Normal 10 4 2 3 2 2" xfId="25789" xr:uid="{B17B11BA-B65F-4C70-862B-A19B1174CA0E}"/>
    <cellStyle name="Normal 10 4 2 3 2 2 2" xfId="25790" xr:uid="{4EE3FDF4-F242-4692-B9F5-FBFA5F58E08E}"/>
    <cellStyle name="Normal 10 4 2 3 2 2 2 2" xfId="25791" xr:uid="{FAA4601C-8F6E-4E14-84BF-971875178398}"/>
    <cellStyle name="Normal 10 4 2 3 2 2 2 2 2" xfId="25792" xr:uid="{B2DF7F3A-B2E7-4609-9A78-82F1E0A4F325}"/>
    <cellStyle name="Normal 10 4 2 3 2 2 2 2 2 2" xfId="25793" xr:uid="{E0870304-2435-4865-8F49-1B9280DA1D38}"/>
    <cellStyle name="Normal 10 4 2 3 2 2 2 2 3" xfId="25794" xr:uid="{0CC7E115-6CF3-48FB-92D6-67DD4D13CFD1}"/>
    <cellStyle name="Normal 10 4 2 3 2 2 2 3" xfId="25795" xr:uid="{BBFFAF43-AB58-4965-9CB5-CA8E429B3D4D}"/>
    <cellStyle name="Normal 10 4 2 3 2 2 2 3 2" xfId="25796" xr:uid="{CB207FAA-CF70-4779-BADF-67E25150967C}"/>
    <cellStyle name="Normal 10 4 2 3 2 2 2 4" xfId="25797" xr:uid="{9607F52C-F3F9-4E0A-919A-F9EAC011BCEF}"/>
    <cellStyle name="Normal 10 4 2 3 2 2 3" xfId="25798" xr:uid="{A2016B12-2BCB-439F-9801-2E9845071CD8}"/>
    <cellStyle name="Normal 10 4 2 3 2 2 3 2" xfId="25799" xr:uid="{1AB8A430-ACC6-4236-8A3E-A811C37D3AC9}"/>
    <cellStyle name="Normal 10 4 2 3 2 2 3 2 2" xfId="25800" xr:uid="{1D79DC48-8155-4A0D-8F02-4B766299D9C2}"/>
    <cellStyle name="Normal 10 4 2 3 2 2 3 3" xfId="25801" xr:uid="{947C99C7-85B1-43FC-9C9F-FB3627EF96BF}"/>
    <cellStyle name="Normal 10 4 2 3 2 2 4" xfId="25802" xr:uid="{0DC55477-C31E-4DEA-8CC6-3903D3BF52FF}"/>
    <cellStyle name="Normal 10 4 2 3 2 2 4 2" xfId="25803" xr:uid="{48553291-E467-4D0D-A97B-81D33F7F13CD}"/>
    <cellStyle name="Normal 10 4 2 3 2 2 5" xfId="25804" xr:uid="{90FD4556-03D7-45A2-90C8-7A226BC4858B}"/>
    <cellStyle name="Normal 10 4 2 3 2 3" xfId="25805" xr:uid="{53E45612-9BDB-458F-B8CA-5118778DA3C0}"/>
    <cellStyle name="Normal 10 4 2 3 2 3 2" xfId="25806" xr:uid="{39752871-864B-4A3B-A504-6B96DBCD0C71}"/>
    <cellStyle name="Normal 10 4 2 3 2 3 2 2" xfId="25807" xr:uid="{62704AF6-D71F-45C2-B54C-ECAAF58373F5}"/>
    <cellStyle name="Normal 10 4 2 3 2 3 2 2 2" xfId="25808" xr:uid="{9CBDECAE-28A0-40E3-9953-D2D77A7A5F3F}"/>
    <cellStyle name="Normal 10 4 2 3 2 3 2 3" xfId="25809" xr:uid="{9EA121D3-230D-43C0-BEAB-ABBD1F75D87D}"/>
    <cellStyle name="Normal 10 4 2 3 2 3 3" xfId="25810" xr:uid="{284B9360-0087-4BFC-ABA5-6096ECD27FF1}"/>
    <cellStyle name="Normal 10 4 2 3 2 3 3 2" xfId="25811" xr:uid="{AC06BC30-C0B4-4758-836F-F315D1C547EA}"/>
    <cellStyle name="Normal 10 4 2 3 2 3 4" xfId="25812" xr:uid="{9449D89E-5A42-4090-B46C-76B69D1D044D}"/>
    <cellStyle name="Normal 10 4 2 3 2 4" xfId="25813" xr:uid="{FD923570-E77F-4EE5-AEEE-B6882DFB3049}"/>
    <cellStyle name="Normal 10 4 2 3 2 4 2" xfId="25814" xr:uid="{17D4D4D2-1C57-4BA4-8C56-FF00A2072401}"/>
    <cellStyle name="Normal 10 4 2 3 2 4 2 2" xfId="25815" xr:uid="{53DB2F28-C40F-47AB-AD23-67DBDAF49FDF}"/>
    <cellStyle name="Normal 10 4 2 3 2 4 3" xfId="25816" xr:uid="{4D8B1709-8BCA-44F4-91D4-1D9BC14AB250}"/>
    <cellStyle name="Normal 10 4 2 3 2 5" xfId="25817" xr:uid="{AB6E12DB-0753-4260-AF90-68E7BEF965CF}"/>
    <cellStyle name="Normal 10 4 2 3 2 5 2" xfId="25818" xr:uid="{1D6F9B0F-55F4-46DD-8ECA-F3501B1B31B6}"/>
    <cellStyle name="Normal 10 4 2 3 2 6" xfId="25819" xr:uid="{85E6581E-3F80-4248-A241-A1C6517D217C}"/>
    <cellStyle name="Normal 10 4 2 3 3" xfId="25820" xr:uid="{A420B794-2AF2-418F-8225-1CC9CC4CD373}"/>
    <cellStyle name="Normal 10 4 2 3 3 2" xfId="25821" xr:uid="{E971611A-252F-4439-9C3A-3C636E56514D}"/>
    <cellStyle name="Normal 10 4 2 3 3 2 2" xfId="25822" xr:uid="{65A170F5-0BD2-49E8-AA87-1A33EFFDB737}"/>
    <cellStyle name="Normal 10 4 2 3 3 2 2 2" xfId="25823" xr:uid="{0ECC46DE-9020-4DCD-9D31-B935FFCF4F6E}"/>
    <cellStyle name="Normal 10 4 2 3 3 2 2 2 2" xfId="25824" xr:uid="{789227BF-A5E0-4F04-A836-98174E530C5A}"/>
    <cellStyle name="Normal 10 4 2 3 3 2 2 3" xfId="25825" xr:uid="{62CCC148-5B39-41CD-B1B8-86F55379C027}"/>
    <cellStyle name="Normal 10 4 2 3 3 2 3" xfId="25826" xr:uid="{567D44D1-34F2-4B95-A246-656B112D8FD8}"/>
    <cellStyle name="Normal 10 4 2 3 3 2 3 2" xfId="25827" xr:uid="{064B190F-BA07-47BF-94E0-A21E86CCC5D7}"/>
    <cellStyle name="Normal 10 4 2 3 3 2 4" xfId="25828" xr:uid="{73F8058A-89DE-48DF-823E-CCA6E434BDB6}"/>
    <cellStyle name="Normal 10 4 2 3 3 3" xfId="25829" xr:uid="{E7855D73-EB3D-4222-8FFC-ACC76B1E83D0}"/>
    <cellStyle name="Normal 10 4 2 3 3 3 2" xfId="25830" xr:uid="{AE1E719F-E8BA-4FE0-8BF7-DA68E7177E02}"/>
    <cellStyle name="Normal 10 4 2 3 3 3 2 2" xfId="25831" xr:uid="{3603F369-55FB-4884-BDAC-5B32C6FF7101}"/>
    <cellStyle name="Normal 10 4 2 3 3 3 3" xfId="25832" xr:uid="{DF4A1248-660D-4595-8194-69FCC4B83774}"/>
    <cellStyle name="Normal 10 4 2 3 3 4" xfId="25833" xr:uid="{0E40FB1A-D8D6-4880-9AC2-72E7806E0E66}"/>
    <cellStyle name="Normal 10 4 2 3 3 4 2" xfId="25834" xr:uid="{F9A08EAD-A597-4951-B269-AD5448D646FF}"/>
    <cellStyle name="Normal 10 4 2 3 3 5" xfId="25835" xr:uid="{E0BAFFA1-F64F-41EA-986C-5F9B568BF30C}"/>
    <cellStyle name="Normal 10 4 2 3 4" xfId="25836" xr:uid="{AD6FFD8A-834D-45FD-95A6-EAA749499672}"/>
    <cellStyle name="Normal 10 4 2 3 4 2" xfId="25837" xr:uid="{82E181C0-F98F-47C0-B0CE-DE65983F86EC}"/>
    <cellStyle name="Normal 10 4 2 3 4 2 2" xfId="25838" xr:uid="{B78BD571-2D7F-4CE2-8A7E-12B93E627958}"/>
    <cellStyle name="Normal 10 4 2 3 4 2 2 2" xfId="25839" xr:uid="{1D2FDCDD-4FCC-45C6-87A8-99E993E3C1D0}"/>
    <cellStyle name="Normal 10 4 2 3 4 2 3" xfId="25840" xr:uid="{87957C9C-4FFC-4DB9-9285-1C32F1D95AA6}"/>
    <cellStyle name="Normal 10 4 2 3 4 3" xfId="25841" xr:uid="{8E7FCF41-6DDF-462B-93A2-8D6FC748103C}"/>
    <cellStyle name="Normal 10 4 2 3 4 3 2" xfId="25842" xr:uid="{5F7F0345-DCBB-401F-B7AF-447619594C5C}"/>
    <cellStyle name="Normal 10 4 2 3 4 4" xfId="25843" xr:uid="{0BAEE58E-735D-4223-9713-F199B21A0233}"/>
    <cellStyle name="Normal 10 4 2 3 5" xfId="25844" xr:uid="{4E316DB5-A149-48FE-9055-174A3713F407}"/>
    <cellStyle name="Normal 10 4 2 3 5 2" xfId="25845" xr:uid="{C6812A46-3099-4341-8E80-71D624A3C861}"/>
    <cellStyle name="Normal 10 4 2 3 5 2 2" xfId="25846" xr:uid="{CD8EE9EF-7835-4CFB-A66D-2A615EF4693E}"/>
    <cellStyle name="Normal 10 4 2 3 5 3" xfId="25847" xr:uid="{95604FCE-59A6-4663-B8D2-BFA501B305D2}"/>
    <cellStyle name="Normal 10 4 2 3 6" xfId="25848" xr:uid="{AD7BA980-DDA0-47A0-9874-2BA8D4D0E22B}"/>
    <cellStyle name="Normal 10 4 2 3 6 2" xfId="25849" xr:uid="{A1CD70B2-FAED-417B-BCE1-12EEAC9E330B}"/>
    <cellStyle name="Normal 10 4 2 3 7" xfId="25850" xr:uid="{2FD3F734-5BD0-468A-9000-BA8A2F9DFEB9}"/>
    <cellStyle name="Normal 10 4 2 4" xfId="25851" xr:uid="{69583B3D-182C-4FB4-8EE6-A0B6DBD59AA6}"/>
    <cellStyle name="Normal 10 4 2 4 2" xfId="25852" xr:uid="{3C136613-49F3-46B6-8487-FCF5D68B84C1}"/>
    <cellStyle name="Normal 10 4 2 4 2 2" xfId="25853" xr:uid="{B41F9323-E9A7-47D5-B0F7-C064D2C5A81A}"/>
    <cellStyle name="Normal 10 4 2 4 2 2 2" xfId="25854" xr:uid="{08C0221C-2190-4A5E-B28C-A47EDE6C17D1}"/>
    <cellStyle name="Normal 10 4 2 4 2 2 2 2" xfId="25855" xr:uid="{079C48F1-88F0-424C-B639-EE0646FE662E}"/>
    <cellStyle name="Normal 10 4 2 4 2 2 2 2 2" xfId="25856" xr:uid="{7970360C-FD1B-4442-852E-9601F9442758}"/>
    <cellStyle name="Normal 10 4 2 4 2 2 2 3" xfId="25857" xr:uid="{D6C87379-ACC2-4953-8691-9A97931D70D2}"/>
    <cellStyle name="Normal 10 4 2 4 2 2 3" xfId="25858" xr:uid="{5108453D-0315-49A5-9942-36BD9AF16EF7}"/>
    <cellStyle name="Normal 10 4 2 4 2 2 3 2" xfId="25859" xr:uid="{A58A84EA-548F-4E50-BD76-73964595570D}"/>
    <cellStyle name="Normal 10 4 2 4 2 2 4" xfId="25860" xr:uid="{0475C7A2-5F38-4804-AFDD-FA20E65D7437}"/>
    <cellStyle name="Normal 10 4 2 4 2 3" xfId="25861" xr:uid="{9A54B850-7C1E-4973-805B-9564BBF73A5C}"/>
    <cellStyle name="Normal 10 4 2 4 2 3 2" xfId="25862" xr:uid="{784885C9-6EDC-417B-BB5D-509A80165D16}"/>
    <cellStyle name="Normal 10 4 2 4 2 3 2 2" xfId="25863" xr:uid="{A3EB37FC-2B4D-431D-BD34-45610C257F0C}"/>
    <cellStyle name="Normal 10 4 2 4 2 3 3" xfId="25864" xr:uid="{31F39611-045D-44E2-967C-20E17BE2AEEC}"/>
    <cellStyle name="Normal 10 4 2 4 2 4" xfId="25865" xr:uid="{846FB28E-A9C9-4537-BC94-56035FFDC841}"/>
    <cellStyle name="Normal 10 4 2 4 2 4 2" xfId="25866" xr:uid="{67C5EFAB-5A06-4CF6-8703-736E17E095F7}"/>
    <cellStyle name="Normal 10 4 2 4 2 5" xfId="25867" xr:uid="{9DF3A366-E4E7-474B-B395-1239879DE3F1}"/>
    <cellStyle name="Normal 10 4 2 4 3" xfId="25868" xr:uid="{826896DB-AB5C-4FE1-A747-BD10D59FF9C3}"/>
    <cellStyle name="Normal 10 4 2 4 3 2" xfId="25869" xr:uid="{3A9D88D6-D3A2-4963-B7D6-CA28FE146ACA}"/>
    <cellStyle name="Normal 10 4 2 4 3 2 2" xfId="25870" xr:uid="{22F64EDF-AA8F-4935-8B6F-6A331792999F}"/>
    <cellStyle name="Normal 10 4 2 4 3 2 2 2" xfId="25871" xr:uid="{53724483-6983-4C48-BD28-69FCEBEB0A2C}"/>
    <cellStyle name="Normal 10 4 2 4 3 2 3" xfId="25872" xr:uid="{B13C162C-CCA7-4430-A381-5A1366E9DAA5}"/>
    <cellStyle name="Normal 10 4 2 4 3 3" xfId="25873" xr:uid="{97EBABF4-F85C-4B52-8870-10BC10255FC2}"/>
    <cellStyle name="Normal 10 4 2 4 3 3 2" xfId="25874" xr:uid="{1DD84906-6286-45FB-ADC0-5367821E715F}"/>
    <cellStyle name="Normal 10 4 2 4 3 4" xfId="25875" xr:uid="{B87B7F4E-8352-4784-AFE1-0F93718EFB18}"/>
    <cellStyle name="Normal 10 4 2 4 4" xfId="25876" xr:uid="{3A1E5233-3ADF-4824-8B50-959E08E7CE80}"/>
    <cellStyle name="Normal 10 4 2 4 4 2" xfId="25877" xr:uid="{6277724C-5691-4627-AEAA-45D50A38975B}"/>
    <cellStyle name="Normal 10 4 2 4 4 2 2" xfId="25878" xr:uid="{D79EAFC3-D013-4EFB-BA0C-23D0C374B190}"/>
    <cellStyle name="Normal 10 4 2 4 4 3" xfId="25879" xr:uid="{961C7961-514F-4631-9202-B286D800FAAC}"/>
    <cellStyle name="Normal 10 4 2 4 5" xfId="25880" xr:uid="{164C02F0-F266-4597-9B33-97968E9B422A}"/>
    <cellStyle name="Normal 10 4 2 4 5 2" xfId="25881" xr:uid="{87CDEE86-0F06-48DE-9683-08084C0F0690}"/>
    <cellStyle name="Normal 10 4 2 4 6" xfId="25882" xr:uid="{FAE73E29-BBE6-4223-A312-60A5360ED54C}"/>
    <cellStyle name="Normal 10 4 2 5" xfId="25883" xr:uid="{E5D927F4-7995-4B8C-8C8E-AA91C07F6754}"/>
    <cellStyle name="Normal 10 4 2 5 2" xfId="25884" xr:uid="{92409EC3-B90E-463B-9E55-0556DBCE948A}"/>
    <cellStyle name="Normal 10 4 2 5 2 2" xfId="25885" xr:uid="{D59DD539-1DA5-40EF-BB5D-E5E498BC6621}"/>
    <cellStyle name="Normal 10 4 2 5 2 2 2" xfId="25886" xr:uid="{6734FE8D-43B8-4108-8E5E-7085EF06D35A}"/>
    <cellStyle name="Normal 10 4 2 5 2 2 2 2" xfId="25887" xr:uid="{A9321A1F-4A63-43C2-86D3-F8070593FAE2}"/>
    <cellStyle name="Normal 10 4 2 5 2 2 3" xfId="25888" xr:uid="{7FF9838F-DD13-46BE-A0A6-EC828B79021D}"/>
    <cellStyle name="Normal 10 4 2 5 2 3" xfId="25889" xr:uid="{B9402D49-3B4F-422A-B964-EC7E2C6E4218}"/>
    <cellStyle name="Normal 10 4 2 5 2 3 2" xfId="25890" xr:uid="{7EDB2714-903D-4FD7-8543-1ACF0F63333B}"/>
    <cellStyle name="Normal 10 4 2 5 2 4" xfId="25891" xr:uid="{77191EC5-C53C-4202-97DF-9B2D63299DFE}"/>
    <cellStyle name="Normal 10 4 2 5 3" xfId="25892" xr:uid="{ECE0DA03-1237-4ABF-B7FA-9824BA21BC25}"/>
    <cellStyle name="Normal 10 4 2 5 3 2" xfId="25893" xr:uid="{A543DF3F-00E8-4BEF-A9C6-07C1A6FCB1E4}"/>
    <cellStyle name="Normal 10 4 2 5 3 2 2" xfId="25894" xr:uid="{FE78A097-B782-4E57-8064-1189659B9C15}"/>
    <cellStyle name="Normal 10 4 2 5 3 3" xfId="25895" xr:uid="{FA3EEA44-6588-406A-9375-62096E9EB9A8}"/>
    <cellStyle name="Normal 10 4 2 5 4" xfId="25896" xr:uid="{A4929F79-6E58-4625-825B-9B6C6599EF1D}"/>
    <cellStyle name="Normal 10 4 2 5 4 2" xfId="25897" xr:uid="{9EA156B1-8A95-4701-8E8D-232F40A16F3D}"/>
    <cellStyle name="Normal 10 4 2 5 5" xfId="25898" xr:uid="{E05D6305-0A02-410E-A4F7-596C5A38A2A5}"/>
    <cellStyle name="Normal 10 4 2 6" xfId="25899" xr:uid="{E0B6585E-ACB1-486E-9C76-128F519BF3DF}"/>
    <cellStyle name="Normal 10 4 2 6 2" xfId="25900" xr:uid="{AA3D7222-4520-46FB-86DD-43ECFABA0428}"/>
    <cellStyle name="Normal 10 4 2 6 2 2" xfId="25901" xr:uid="{A579D292-9E1A-4905-9CCA-939E5310FB83}"/>
    <cellStyle name="Normal 10 4 2 6 2 2 2" xfId="25902" xr:uid="{23CA48C2-DC47-4815-B709-E973058A36FA}"/>
    <cellStyle name="Normal 10 4 2 6 2 3" xfId="25903" xr:uid="{55EBAA77-275F-459E-A591-89643AF46677}"/>
    <cellStyle name="Normal 10 4 2 6 3" xfId="25904" xr:uid="{7BAA2427-9AAE-4821-8259-5B3B4BE93E7B}"/>
    <cellStyle name="Normal 10 4 2 6 3 2" xfId="25905" xr:uid="{EFB9FC93-7A73-42F6-9E41-1CF71BCA3D39}"/>
    <cellStyle name="Normal 10 4 2 6 4" xfId="25906" xr:uid="{147ED4DF-7B79-4812-9165-91F9F4D6AC16}"/>
    <cellStyle name="Normal 10 4 2 7" xfId="25907" xr:uid="{691F4A75-CF0E-47C0-98D4-E7ACB23E58EE}"/>
    <cellStyle name="Normal 10 4 2 7 2" xfId="25908" xr:uid="{9C948088-EF49-41DC-9F22-2FF04994700E}"/>
    <cellStyle name="Normal 10 4 2 7 2 2" xfId="25909" xr:uid="{3E10FB4C-58FA-4C56-A8B6-0249D73E00A7}"/>
    <cellStyle name="Normal 10 4 2 7 3" xfId="25910" xr:uid="{64E17372-E518-4509-BB93-199DB7A08EBC}"/>
    <cellStyle name="Normal 10 4 2 8" xfId="25911" xr:uid="{F7C3D62D-766A-4FEB-B625-73DB59715AEA}"/>
    <cellStyle name="Normal 10 4 2 8 2" xfId="25912" xr:uid="{EC74B2B1-A6B2-4BD1-B374-E5B26D8D3AA6}"/>
    <cellStyle name="Normal 10 4 2 9" xfId="25913" xr:uid="{BD89A625-9E38-48ED-85B2-95DD7D59657E}"/>
    <cellStyle name="Normal 10 4 3" xfId="25914" xr:uid="{4FB3568D-7AD3-491A-8482-1E08B85FDE0E}"/>
    <cellStyle name="Normal 10 4 3 2" xfId="25915" xr:uid="{1D5CD0E8-D7DD-495C-BAA8-349CBD4A9A65}"/>
    <cellStyle name="Normal 10 4 3 2 2" xfId="25916" xr:uid="{7D6EF836-A7B6-43E3-8957-CCC672C61162}"/>
    <cellStyle name="Normal 10 4 3 2 2 2" xfId="25917" xr:uid="{62CD292D-1DFF-483E-AEE8-2FC24463970B}"/>
    <cellStyle name="Normal 10 4 3 2 2 2 2" xfId="25918" xr:uid="{3ED06DC1-FD7C-4542-84BB-C2EEF07DDB00}"/>
    <cellStyle name="Normal 10 4 3 2 2 2 2 2" xfId="25919" xr:uid="{E20B826A-97FE-46F1-B7D2-7543B916A854}"/>
    <cellStyle name="Normal 10 4 3 2 2 2 2 2 2" xfId="25920" xr:uid="{3A3133C2-9656-4D40-A6B6-799DAE067749}"/>
    <cellStyle name="Normal 10 4 3 2 2 2 2 2 2 2" xfId="25921" xr:uid="{0A3D7592-877D-4E93-A034-6FFCA887E5E9}"/>
    <cellStyle name="Normal 10 4 3 2 2 2 2 2 3" xfId="25922" xr:uid="{52C1AEBC-C1C8-4F27-8B77-4A4BCECB2655}"/>
    <cellStyle name="Normal 10 4 3 2 2 2 2 3" xfId="25923" xr:uid="{50045E02-DF20-40A3-A8C6-B883C4C8DD43}"/>
    <cellStyle name="Normal 10 4 3 2 2 2 2 3 2" xfId="25924" xr:uid="{3B7A0B34-CBE8-467B-92C1-94A7432BB228}"/>
    <cellStyle name="Normal 10 4 3 2 2 2 2 4" xfId="25925" xr:uid="{EF38D413-EB4E-4E5E-B428-B61CE69F41DB}"/>
    <cellStyle name="Normal 10 4 3 2 2 2 3" xfId="25926" xr:uid="{B8A963AA-03EF-490D-84CA-0C57A03EAAEC}"/>
    <cellStyle name="Normal 10 4 3 2 2 2 3 2" xfId="25927" xr:uid="{A67CAEA5-D080-4DDF-8F2E-4B55D7708119}"/>
    <cellStyle name="Normal 10 4 3 2 2 2 3 2 2" xfId="25928" xr:uid="{E0B671B1-0FD8-4A21-98D9-EB53D5D97C47}"/>
    <cellStyle name="Normal 10 4 3 2 2 2 3 3" xfId="25929" xr:uid="{8F11F36C-F28D-4757-B90A-7D4D8DABFBF6}"/>
    <cellStyle name="Normal 10 4 3 2 2 2 4" xfId="25930" xr:uid="{B87AE6AB-09C1-49F5-8F46-DD12CFD4B302}"/>
    <cellStyle name="Normal 10 4 3 2 2 2 4 2" xfId="25931" xr:uid="{47398BAD-99F6-4FB4-8E33-8CAE96094801}"/>
    <cellStyle name="Normal 10 4 3 2 2 2 5" xfId="25932" xr:uid="{D45ED15B-FBAF-4042-859D-16493358B0AD}"/>
    <cellStyle name="Normal 10 4 3 2 2 3" xfId="25933" xr:uid="{87903576-A712-4306-8173-0E25C789142E}"/>
    <cellStyle name="Normal 10 4 3 2 2 3 2" xfId="25934" xr:uid="{7AC22742-E41A-4285-84F5-EB1680C6D543}"/>
    <cellStyle name="Normal 10 4 3 2 2 3 2 2" xfId="25935" xr:uid="{C462C5E4-0FC5-438E-98AA-F1B69CEEE957}"/>
    <cellStyle name="Normal 10 4 3 2 2 3 2 2 2" xfId="25936" xr:uid="{3137EC5F-CF3D-42C5-B600-93027CD62A0D}"/>
    <cellStyle name="Normal 10 4 3 2 2 3 2 3" xfId="25937" xr:uid="{D2E3C2A2-5EB8-4769-99DE-53996D39498E}"/>
    <cellStyle name="Normal 10 4 3 2 2 3 3" xfId="25938" xr:uid="{95356C6C-64BF-41E8-B443-A311C8620DCB}"/>
    <cellStyle name="Normal 10 4 3 2 2 3 3 2" xfId="25939" xr:uid="{C205EA71-0238-46FF-9454-0AA0A438004C}"/>
    <cellStyle name="Normal 10 4 3 2 2 3 4" xfId="25940" xr:uid="{94C00114-725F-4296-94A2-DDB8260BA3A1}"/>
    <cellStyle name="Normal 10 4 3 2 2 4" xfId="25941" xr:uid="{3E03C435-FC76-42F7-8BE2-8B89BF695075}"/>
    <cellStyle name="Normal 10 4 3 2 2 4 2" xfId="25942" xr:uid="{8BCCD795-0396-43C9-954E-B75B83B5559D}"/>
    <cellStyle name="Normal 10 4 3 2 2 4 2 2" xfId="25943" xr:uid="{B549B08B-D898-4EBB-9B09-59D654F49A97}"/>
    <cellStyle name="Normal 10 4 3 2 2 4 3" xfId="25944" xr:uid="{0D259945-70BE-48E3-8B94-5EF3306A916B}"/>
    <cellStyle name="Normal 10 4 3 2 2 5" xfId="25945" xr:uid="{E20CB2BB-C3CD-444A-92CC-2DA8A028809F}"/>
    <cellStyle name="Normal 10 4 3 2 2 5 2" xfId="25946" xr:uid="{F3FC2F4D-D752-4AF5-9B70-3A18440C1302}"/>
    <cellStyle name="Normal 10 4 3 2 2 6" xfId="25947" xr:uid="{260C6090-8188-4187-99E8-32737F303406}"/>
    <cellStyle name="Normal 10 4 3 2 3" xfId="25948" xr:uid="{2F3FB5D3-0824-422B-AA6C-9E2CC4AE7D49}"/>
    <cellStyle name="Normal 10 4 3 2 3 2" xfId="25949" xr:uid="{6352153A-4640-438D-9437-96E22A783D38}"/>
    <cellStyle name="Normal 10 4 3 2 3 2 2" xfId="25950" xr:uid="{E00A719B-3F9F-465C-BF3B-EA98602BBEFB}"/>
    <cellStyle name="Normal 10 4 3 2 3 2 2 2" xfId="25951" xr:uid="{934B471A-073B-4336-B4F0-27A800E809B9}"/>
    <cellStyle name="Normal 10 4 3 2 3 2 2 2 2" xfId="25952" xr:uid="{D847A9EA-ECE8-4115-9AC7-AA8C846C215D}"/>
    <cellStyle name="Normal 10 4 3 2 3 2 2 3" xfId="25953" xr:uid="{28F640CA-337E-490D-B92E-DF12E4BB32A8}"/>
    <cellStyle name="Normal 10 4 3 2 3 2 3" xfId="25954" xr:uid="{EDE1F913-64BA-48D0-82DD-ED74FC416CC7}"/>
    <cellStyle name="Normal 10 4 3 2 3 2 3 2" xfId="25955" xr:uid="{9651903A-83F8-4217-8702-775A12536507}"/>
    <cellStyle name="Normal 10 4 3 2 3 2 4" xfId="25956" xr:uid="{81610BF8-B250-4DC6-8998-94B7ECBD9758}"/>
    <cellStyle name="Normal 10 4 3 2 3 3" xfId="25957" xr:uid="{47212D98-53C3-4132-AE35-4311AC2EEEAE}"/>
    <cellStyle name="Normal 10 4 3 2 3 3 2" xfId="25958" xr:uid="{3967F0E4-EE4A-4413-ACEA-97B17F3D9FAC}"/>
    <cellStyle name="Normal 10 4 3 2 3 3 2 2" xfId="25959" xr:uid="{320779F3-CCB9-476E-B047-90B747779A43}"/>
    <cellStyle name="Normal 10 4 3 2 3 3 3" xfId="25960" xr:uid="{2A7F5588-E637-43C0-94DA-311BDB48BCA9}"/>
    <cellStyle name="Normal 10 4 3 2 3 4" xfId="25961" xr:uid="{9323EE11-4391-4350-BB9B-8C0735DDC89F}"/>
    <cellStyle name="Normal 10 4 3 2 3 4 2" xfId="25962" xr:uid="{53096936-6F4E-4716-8486-61B28035D72B}"/>
    <cellStyle name="Normal 10 4 3 2 3 5" xfId="25963" xr:uid="{D3523A64-A0D6-4DC5-8487-69A680F123F9}"/>
    <cellStyle name="Normal 10 4 3 2 4" xfId="25964" xr:uid="{42490C2A-5B84-4551-A4BE-CACA1C5E0DA6}"/>
    <cellStyle name="Normal 10 4 3 2 4 2" xfId="25965" xr:uid="{C69FA71E-EF98-4FAC-AEFB-F69754093FE8}"/>
    <cellStyle name="Normal 10 4 3 2 4 2 2" xfId="25966" xr:uid="{72D0EDB0-155D-4251-BE2B-2780F1DE14DD}"/>
    <cellStyle name="Normal 10 4 3 2 4 2 2 2" xfId="25967" xr:uid="{6E64556E-290E-4C36-9F26-EA58FEC0F5AA}"/>
    <cellStyle name="Normal 10 4 3 2 4 2 3" xfId="25968" xr:uid="{04795482-B55D-43F5-94ED-C1F8CF2C0012}"/>
    <cellStyle name="Normal 10 4 3 2 4 3" xfId="25969" xr:uid="{E17A6EC9-6EB1-47D3-9A56-E64D1D69459A}"/>
    <cellStyle name="Normal 10 4 3 2 4 3 2" xfId="25970" xr:uid="{FC211539-D83F-4370-ADB1-9C2E45E13743}"/>
    <cellStyle name="Normal 10 4 3 2 4 4" xfId="25971" xr:uid="{3B9642D1-3D15-4423-A59F-9C31476D884F}"/>
    <cellStyle name="Normal 10 4 3 2 5" xfId="25972" xr:uid="{E2B87608-C4B8-4F8C-8ED1-2542E99B7F0F}"/>
    <cellStyle name="Normal 10 4 3 2 5 2" xfId="25973" xr:uid="{451E6EBD-FAAA-47DF-A156-C6FBA91F49FC}"/>
    <cellStyle name="Normal 10 4 3 2 5 2 2" xfId="25974" xr:uid="{C74A5B66-BF7D-4FC7-B453-09A2A29FE199}"/>
    <cellStyle name="Normal 10 4 3 2 5 3" xfId="25975" xr:uid="{49A314E4-9E7A-48F1-B73C-8016F46067B7}"/>
    <cellStyle name="Normal 10 4 3 2 6" xfId="25976" xr:uid="{24166E59-159F-405E-A443-A3E54562B510}"/>
    <cellStyle name="Normal 10 4 3 2 6 2" xfId="25977" xr:uid="{9D701CD5-B6C3-4761-B1A5-06F8B6119CB2}"/>
    <cellStyle name="Normal 10 4 3 2 7" xfId="25978" xr:uid="{F4E58823-7E3A-4BBD-8193-0F17E731B5C8}"/>
    <cellStyle name="Normal 10 4 3 3" xfId="25979" xr:uid="{1920650E-1622-43E5-9A2F-481FC2D16546}"/>
    <cellStyle name="Normal 10 4 3 3 2" xfId="25980" xr:uid="{94190DCC-3FE4-4FA3-9818-9E6766396914}"/>
    <cellStyle name="Normal 10 4 3 3 2 2" xfId="25981" xr:uid="{CA70EF7B-9584-40EF-8219-8F8A014B796A}"/>
    <cellStyle name="Normal 10 4 3 3 2 2 2" xfId="25982" xr:uid="{65D5E7DB-E6FF-4269-8D80-7B29731C0466}"/>
    <cellStyle name="Normal 10 4 3 3 2 2 2 2" xfId="25983" xr:uid="{A3FC8300-23CB-481D-AB57-81CF994F94F6}"/>
    <cellStyle name="Normal 10 4 3 3 2 2 2 2 2" xfId="25984" xr:uid="{7E389745-0AF1-43C3-A91D-BAC510A9FE34}"/>
    <cellStyle name="Normal 10 4 3 3 2 2 2 3" xfId="25985" xr:uid="{C1289707-F095-4A0D-8CC8-21130401FDEF}"/>
    <cellStyle name="Normal 10 4 3 3 2 2 3" xfId="25986" xr:uid="{D3F62C71-F994-4EDC-A9E9-E6784203CC94}"/>
    <cellStyle name="Normal 10 4 3 3 2 2 3 2" xfId="25987" xr:uid="{4CCA7321-2EF3-4D7D-ADBE-96FBF14492D9}"/>
    <cellStyle name="Normal 10 4 3 3 2 2 4" xfId="25988" xr:uid="{29DC41DC-D413-406E-9725-B2C98AEDC778}"/>
    <cellStyle name="Normal 10 4 3 3 2 3" xfId="25989" xr:uid="{82CAB6EC-BDEC-43B5-B688-80106F25FA9B}"/>
    <cellStyle name="Normal 10 4 3 3 2 3 2" xfId="25990" xr:uid="{3ED25629-497B-4113-80C3-33D99B2ACEC4}"/>
    <cellStyle name="Normal 10 4 3 3 2 3 2 2" xfId="25991" xr:uid="{88899F88-F80B-485F-9B1E-55156DEA7A9B}"/>
    <cellStyle name="Normal 10 4 3 3 2 3 3" xfId="25992" xr:uid="{8BC9AF3E-8709-4471-BF06-97A671A47834}"/>
    <cellStyle name="Normal 10 4 3 3 2 4" xfId="25993" xr:uid="{9A580A93-6DC3-473A-8C91-F805036B17FB}"/>
    <cellStyle name="Normal 10 4 3 3 2 4 2" xfId="25994" xr:uid="{A9DAD7D4-8C71-45F3-AF89-94AA6B2AA6A3}"/>
    <cellStyle name="Normal 10 4 3 3 2 5" xfId="25995" xr:uid="{844F53B3-9327-4723-B5AD-F95ABD3D5F12}"/>
    <cellStyle name="Normal 10 4 3 3 3" xfId="25996" xr:uid="{D19F7FC1-3E3F-41E3-A303-80C0FE563C5C}"/>
    <cellStyle name="Normal 10 4 3 3 3 2" xfId="25997" xr:uid="{E844CEE0-C546-4D48-840B-4071DB113C12}"/>
    <cellStyle name="Normal 10 4 3 3 3 2 2" xfId="25998" xr:uid="{BCB49A2C-3887-4537-AF70-4008B094A8CB}"/>
    <cellStyle name="Normal 10 4 3 3 3 2 2 2" xfId="25999" xr:uid="{F850C169-3279-485C-ACC4-56E0893480E7}"/>
    <cellStyle name="Normal 10 4 3 3 3 2 3" xfId="26000" xr:uid="{8F9B6464-138B-4D4D-8D24-03045A66D66E}"/>
    <cellStyle name="Normal 10 4 3 3 3 3" xfId="26001" xr:uid="{32885A01-A81E-4B01-B2CD-D745DE1C71AD}"/>
    <cellStyle name="Normal 10 4 3 3 3 3 2" xfId="26002" xr:uid="{F163F10A-FEC4-45D1-9186-47193507DCC2}"/>
    <cellStyle name="Normal 10 4 3 3 3 4" xfId="26003" xr:uid="{B5953C37-AAC8-47A7-8E87-34715E5BE6DD}"/>
    <cellStyle name="Normal 10 4 3 3 4" xfId="26004" xr:uid="{A4C562A4-193D-40AD-88D9-7938C79D6396}"/>
    <cellStyle name="Normal 10 4 3 3 4 2" xfId="26005" xr:uid="{06580BC3-101F-4FC7-B241-93BE0DBC8486}"/>
    <cellStyle name="Normal 10 4 3 3 4 2 2" xfId="26006" xr:uid="{2FABE6DC-A165-4FED-A6D3-7526E1528622}"/>
    <cellStyle name="Normal 10 4 3 3 4 3" xfId="26007" xr:uid="{D0C24980-2357-488F-A12D-E106F82929B8}"/>
    <cellStyle name="Normal 10 4 3 3 5" xfId="26008" xr:uid="{5C97E86A-E51F-4F1E-B222-F64A3FBC8979}"/>
    <cellStyle name="Normal 10 4 3 3 5 2" xfId="26009" xr:uid="{8874EB5A-10E3-4B2B-A9A1-BAC8BF7C1CD0}"/>
    <cellStyle name="Normal 10 4 3 3 6" xfId="26010" xr:uid="{985B3FA0-9609-41AE-A13F-880C2E7B5E83}"/>
    <cellStyle name="Normal 10 4 3 4" xfId="26011" xr:uid="{3B5BFE74-FBFB-4006-A0EA-C3C305246409}"/>
    <cellStyle name="Normal 10 4 3 4 2" xfId="26012" xr:uid="{90D564C4-1CC2-452A-80B1-214929D46765}"/>
    <cellStyle name="Normal 10 4 3 4 2 2" xfId="26013" xr:uid="{AF705480-602C-4299-BFCF-2BEE52B45ED2}"/>
    <cellStyle name="Normal 10 4 3 4 2 2 2" xfId="26014" xr:uid="{6491869E-9891-49B7-9BF6-06465F726992}"/>
    <cellStyle name="Normal 10 4 3 4 2 2 2 2" xfId="26015" xr:uid="{BE561E4E-E22B-4A62-B947-F36036F1A08F}"/>
    <cellStyle name="Normal 10 4 3 4 2 2 3" xfId="26016" xr:uid="{C11ABB81-E2D4-4463-B11A-786EEA2B4136}"/>
    <cellStyle name="Normal 10 4 3 4 2 3" xfId="26017" xr:uid="{21570D0E-64B4-4134-93E8-1C4B4C55C2A5}"/>
    <cellStyle name="Normal 10 4 3 4 2 3 2" xfId="26018" xr:uid="{74A79063-125B-4BE7-B46C-B0D6F03D5913}"/>
    <cellStyle name="Normal 10 4 3 4 2 4" xfId="26019" xr:uid="{94C8834E-B1AE-4754-8D81-8892EEA62CDD}"/>
    <cellStyle name="Normal 10 4 3 4 3" xfId="26020" xr:uid="{FBF02114-A40F-424A-BA62-3EA3C615FA11}"/>
    <cellStyle name="Normal 10 4 3 4 3 2" xfId="26021" xr:uid="{79FF2F21-3ADB-4AD4-AFD6-5F9500830F51}"/>
    <cellStyle name="Normal 10 4 3 4 3 2 2" xfId="26022" xr:uid="{FB86CEC4-51BF-4E68-907F-9A1CC5DC53B3}"/>
    <cellStyle name="Normal 10 4 3 4 3 3" xfId="26023" xr:uid="{9DDFAE49-6018-4113-9061-E09A38CEF57D}"/>
    <cellStyle name="Normal 10 4 3 4 4" xfId="26024" xr:uid="{F2B97832-231D-4A51-BEC7-9081FB2EFE2A}"/>
    <cellStyle name="Normal 10 4 3 4 4 2" xfId="26025" xr:uid="{F7F14FD8-C568-4B61-973F-BF5F6007B833}"/>
    <cellStyle name="Normal 10 4 3 4 5" xfId="26026" xr:uid="{5AA8F24D-1536-47A7-B634-6E5C713BAB6A}"/>
    <cellStyle name="Normal 10 4 3 5" xfId="26027" xr:uid="{D80A58A1-4717-4F88-821A-6F19C82C013C}"/>
    <cellStyle name="Normal 10 4 3 5 2" xfId="26028" xr:uid="{20DB056B-F6C5-4B32-A086-D85CE280B2B6}"/>
    <cellStyle name="Normal 10 4 3 5 2 2" xfId="26029" xr:uid="{A0A979EA-7FFD-43D5-95BC-02D659596CF1}"/>
    <cellStyle name="Normal 10 4 3 5 2 2 2" xfId="26030" xr:uid="{CBFC4C05-5916-4C49-BCEE-5EC155056D76}"/>
    <cellStyle name="Normal 10 4 3 5 2 3" xfId="26031" xr:uid="{722FAA7D-9207-4399-9988-01684A49132F}"/>
    <cellStyle name="Normal 10 4 3 5 3" xfId="26032" xr:uid="{1A095844-49A8-487B-A068-27F647A64ADB}"/>
    <cellStyle name="Normal 10 4 3 5 3 2" xfId="26033" xr:uid="{D5FB3643-B570-4C04-8FDA-EBC02EE5DB66}"/>
    <cellStyle name="Normal 10 4 3 5 4" xfId="26034" xr:uid="{2D097B61-2390-4FC5-B828-5BEAC77676BD}"/>
    <cellStyle name="Normal 10 4 3 6" xfId="26035" xr:uid="{EB5B3F0F-5EF8-4D5D-8ACF-9730AF61F077}"/>
    <cellStyle name="Normal 10 4 3 6 2" xfId="26036" xr:uid="{610CCA07-0AD8-42F4-83C7-6427D04870CD}"/>
    <cellStyle name="Normal 10 4 3 6 2 2" xfId="26037" xr:uid="{11CFC0BA-C045-474C-BD42-F1E7902EC876}"/>
    <cellStyle name="Normal 10 4 3 6 3" xfId="26038" xr:uid="{D3484C81-F63C-4EA6-AC41-A49EEE28ED68}"/>
    <cellStyle name="Normal 10 4 3 7" xfId="26039" xr:uid="{E749027C-9627-47CD-81C0-67B62A78DFB8}"/>
    <cellStyle name="Normal 10 4 3 7 2" xfId="26040" xr:uid="{CC07BD13-BBBC-41FA-AB2B-B946DEF50864}"/>
    <cellStyle name="Normal 10 4 3 8" xfId="26041" xr:uid="{BFC390D6-81D1-4011-A43D-3FB0C49B26E5}"/>
    <cellStyle name="Normal 10 4 4" xfId="26042" xr:uid="{B4B802D8-B2A7-4A10-86B2-239653394B73}"/>
    <cellStyle name="Normal 10 4 4 2" xfId="26043" xr:uid="{605A9D42-CEB8-42E6-8B4F-3507DE9C2CF1}"/>
    <cellStyle name="Normal 10 4 4 2 2" xfId="26044" xr:uid="{656A1A75-5B45-4635-981B-6741BE84AD65}"/>
    <cellStyle name="Normal 10 4 4 2 2 2" xfId="26045" xr:uid="{93FC609A-14F9-4E28-AADB-0C9D4F56F083}"/>
    <cellStyle name="Normal 10 4 4 2 2 2 2" xfId="26046" xr:uid="{17E7A2AF-C422-4E5A-BB39-C70B7721C66A}"/>
    <cellStyle name="Normal 10 4 4 2 2 2 2 2" xfId="26047" xr:uid="{F71304AC-792E-4C10-A61A-A2E5DB9742FA}"/>
    <cellStyle name="Normal 10 4 4 2 2 2 2 2 2" xfId="26048" xr:uid="{55D2D7C8-6C99-4D26-83B6-6B00D8805F5C}"/>
    <cellStyle name="Normal 10 4 4 2 2 2 2 3" xfId="26049" xr:uid="{3A2EF0A6-9424-4365-972E-2B0D8EF59ADF}"/>
    <cellStyle name="Normal 10 4 4 2 2 2 3" xfId="26050" xr:uid="{0B86FCEA-BBC5-44BE-BEB4-D97A67EF205B}"/>
    <cellStyle name="Normal 10 4 4 2 2 2 3 2" xfId="26051" xr:uid="{AC48CD41-1B3E-4CD8-8503-434DC170E2EA}"/>
    <cellStyle name="Normal 10 4 4 2 2 2 4" xfId="26052" xr:uid="{831F06A8-BF4F-4258-ABC4-D44823811F9F}"/>
    <cellStyle name="Normal 10 4 4 2 2 3" xfId="26053" xr:uid="{54136FF2-147A-4A4C-BEA7-5C6E31B634DD}"/>
    <cellStyle name="Normal 10 4 4 2 2 3 2" xfId="26054" xr:uid="{881CA09B-3652-4599-8CBC-E864411FE035}"/>
    <cellStyle name="Normal 10 4 4 2 2 3 2 2" xfId="26055" xr:uid="{E510C8AB-66D9-42E7-830D-5412AE0A54C8}"/>
    <cellStyle name="Normal 10 4 4 2 2 3 3" xfId="26056" xr:uid="{40F1FBDF-4A52-42A2-A624-67224EC8BF8D}"/>
    <cellStyle name="Normal 10 4 4 2 2 4" xfId="26057" xr:uid="{C8116EF9-9FB7-4C9A-97D0-B9F490586979}"/>
    <cellStyle name="Normal 10 4 4 2 2 4 2" xfId="26058" xr:uid="{0AFB8B4E-2945-4225-881D-812535DAADB3}"/>
    <cellStyle name="Normal 10 4 4 2 2 5" xfId="26059" xr:uid="{41B36C6A-AAC9-4435-BD6F-8F8B2C1A81EA}"/>
    <cellStyle name="Normal 10 4 4 2 3" xfId="26060" xr:uid="{B5B562E1-3076-4E1E-9E19-35F5D058F3ED}"/>
    <cellStyle name="Normal 10 4 4 2 3 2" xfId="26061" xr:uid="{87B3F231-3853-4969-85CE-BDA3E1E3564C}"/>
    <cellStyle name="Normal 10 4 4 2 3 2 2" xfId="26062" xr:uid="{48E5FA1B-81B4-4C9E-848E-A780BAB49EE9}"/>
    <cellStyle name="Normal 10 4 4 2 3 2 2 2" xfId="26063" xr:uid="{A5FC09E5-39C6-405F-A9D5-7B0FB580AEBF}"/>
    <cellStyle name="Normal 10 4 4 2 3 2 3" xfId="26064" xr:uid="{8777FA21-FA9C-43B9-9647-ED95CF0ADAD8}"/>
    <cellStyle name="Normal 10 4 4 2 3 3" xfId="26065" xr:uid="{E1267D4D-43F1-4CA5-B0A4-F9DE05A65AC4}"/>
    <cellStyle name="Normal 10 4 4 2 3 3 2" xfId="26066" xr:uid="{F3BDBEC9-D5DB-4759-93AA-521442B1B153}"/>
    <cellStyle name="Normal 10 4 4 2 3 4" xfId="26067" xr:uid="{86FDCE20-C36A-4918-9D65-3BC72E029204}"/>
    <cellStyle name="Normal 10 4 4 2 4" xfId="26068" xr:uid="{D1DFE4E9-ED0D-45E2-A5F4-14D935C4779F}"/>
    <cellStyle name="Normal 10 4 4 2 4 2" xfId="26069" xr:uid="{31B45AFA-5370-401C-85ED-824813338196}"/>
    <cellStyle name="Normal 10 4 4 2 4 2 2" xfId="26070" xr:uid="{23DE2D2E-E519-4C52-9AD8-15E81C2016AE}"/>
    <cellStyle name="Normal 10 4 4 2 4 3" xfId="26071" xr:uid="{7E3E7B95-DF27-4D76-9E5A-E7266EC58592}"/>
    <cellStyle name="Normal 10 4 4 2 5" xfId="26072" xr:uid="{6BC5CDB1-E3AA-4293-B8A4-4FF9A45900B5}"/>
    <cellStyle name="Normal 10 4 4 2 5 2" xfId="26073" xr:uid="{B2E8C73D-75E4-4595-98C1-0773F756385A}"/>
    <cellStyle name="Normal 10 4 4 2 6" xfId="26074" xr:uid="{7DAA6910-BB52-4B64-82DE-FA1F86E761F9}"/>
    <cellStyle name="Normal 10 4 4 3" xfId="26075" xr:uid="{9D2F7E16-B7AD-4934-8EEA-C0C6865DAF6C}"/>
    <cellStyle name="Normal 10 4 4 3 2" xfId="26076" xr:uid="{053856F3-AC8F-4659-B64F-3FFE9322E942}"/>
    <cellStyle name="Normal 10 4 4 3 2 2" xfId="26077" xr:uid="{4221FCF7-3274-4BE4-A9AB-D2E05CCA1A36}"/>
    <cellStyle name="Normal 10 4 4 3 2 2 2" xfId="26078" xr:uid="{6D337B6B-5088-4FA0-9127-8EA990083033}"/>
    <cellStyle name="Normal 10 4 4 3 2 2 2 2" xfId="26079" xr:uid="{4AE5A141-EAE5-4822-8218-6E47DBEBDD8B}"/>
    <cellStyle name="Normal 10 4 4 3 2 2 3" xfId="26080" xr:uid="{D72F9EB7-A7E2-4CEB-9E1F-2A3247CCA1E9}"/>
    <cellStyle name="Normal 10 4 4 3 2 3" xfId="26081" xr:uid="{DA3A7D6D-C4C0-4657-8BE5-B99D98257C1D}"/>
    <cellStyle name="Normal 10 4 4 3 2 3 2" xfId="26082" xr:uid="{E59B592F-37E4-4744-A53C-52A53CA9F593}"/>
    <cellStyle name="Normal 10 4 4 3 2 4" xfId="26083" xr:uid="{B39342A2-5FD0-4675-90EF-EA074BF32256}"/>
    <cellStyle name="Normal 10 4 4 3 3" xfId="26084" xr:uid="{FD3B5CE2-F1E4-45D3-88CE-F34E1B08FD73}"/>
    <cellStyle name="Normal 10 4 4 3 3 2" xfId="26085" xr:uid="{6287584F-4C51-49D8-AE85-3C36F2C267EF}"/>
    <cellStyle name="Normal 10 4 4 3 3 2 2" xfId="26086" xr:uid="{8AF72EDD-F8EC-48C6-965A-44B953DE5D59}"/>
    <cellStyle name="Normal 10 4 4 3 3 3" xfId="26087" xr:uid="{0FD1E757-26EA-4640-BD7A-D847028491C5}"/>
    <cellStyle name="Normal 10 4 4 3 4" xfId="26088" xr:uid="{0CBC1ECD-5D8C-48A0-B00A-9891380DAC68}"/>
    <cellStyle name="Normal 10 4 4 3 4 2" xfId="26089" xr:uid="{A1CAD900-4156-44E1-804E-5D38F0C156A6}"/>
    <cellStyle name="Normal 10 4 4 3 5" xfId="26090" xr:uid="{AC04181E-DD0E-49FB-9B1E-B7A4BA4EBF70}"/>
    <cellStyle name="Normal 10 4 4 4" xfId="26091" xr:uid="{263C4587-1307-426D-9D0C-5A0D44FA3422}"/>
    <cellStyle name="Normal 10 4 4 4 2" xfId="26092" xr:uid="{72E9538A-5443-4877-9977-C61C3E3DF3DF}"/>
    <cellStyle name="Normal 10 4 4 4 2 2" xfId="26093" xr:uid="{F9EF744F-6FAF-4990-BF9E-3E22FFB2BB92}"/>
    <cellStyle name="Normal 10 4 4 4 2 2 2" xfId="26094" xr:uid="{FC9866C2-2938-45DA-A4D0-D1FD36E1340A}"/>
    <cellStyle name="Normal 10 4 4 4 2 3" xfId="26095" xr:uid="{9AC36AE1-9F0C-42AB-BB71-26F87BEC6EE9}"/>
    <cellStyle name="Normal 10 4 4 4 3" xfId="26096" xr:uid="{6BA15C7D-F2FF-43C8-8B50-7A6FA5E6535B}"/>
    <cellStyle name="Normal 10 4 4 4 3 2" xfId="26097" xr:uid="{D0F0EE5A-E52C-4AB2-85CF-BF0D7DAE3D54}"/>
    <cellStyle name="Normal 10 4 4 4 4" xfId="26098" xr:uid="{F337BE65-FF14-4EE7-B89C-1C262E86A2C9}"/>
    <cellStyle name="Normal 10 4 4 5" xfId="26099" xr:uid="{C3EEEC9F-65A1-436B-827A-95BB83B2161A}"/>
    <cellStyle name="Normal 10 4 4 5 2" xfId="26100" xr:uid="{AE9CBF50-C17D-4DE6-B8ED-0BE9CF47BFD7}"/>
    <cellStyle name="Normal 10 4 4 5 2 2" xfId="26101" xr:uid="{0DB215FF-C457-4496-BE54-86CE2E86FD83}"/>
    <cellStyle name="Normal 10 4 4 5 3" xfId="26102" xr:uid="{FE13C4FB-9F27-421B-B13E-DC2402433021}"/>
    <cellStyle name="Normal 10 4 4 6" xfId="26103" xr:uid="{CD45FC3A-96AB-4082-B229-4648C7BEB63F}"/>
    <cellStyle name="Normal 10 4 4 6 2" xfId="26104" xr:uid="{841EE3B7-6569-46BE-B128-DCA403F53B17}"/>
    <cellStyle name="Normal 10 4 4 7" xfId="26105" xr:uid="{855683F9-5955-4FC2-B867-E34E67E768D1}"/>
    <cellStyle name="Normal 10 4 5" xfId="26106" xr:uid="{B1CBD283-F2D6-4F30-AAE7-CE6C6BE8DC6A}"/>
    <cellStyle name="Normal 10 4 5 2" xfId="26107" xr:uid="{3BF1AC98-7EBC-43CC-87BB-EA529292CBC0}"/>
    <cellStyle name="Normal 10 4 5 2 2" xfId="26108" xr:uid="{76AB517B-A289-4A26-97B5-C689161D2A13}"/>
    <cellStyle name="Normal 10 4 5 2 2 2" xfId="26109" xr:uid="{C2BD8525-44D3-4659-B4F5-37E5FB2A3D18}"/>
    <cellStyle name="Normal 10 4 5 2 2 2 2" xfId="26110" xr:uid="{072CD10D-39DC-4625-A2C1-98893B8CFDA6}"/>
    <cellStyle name="Normal 10 4 5 2 2 2 2 2" xfId="26111" xr:uid="{B45ADCA7-048E-4EDA-8156-47AFEE05C1DD}"/>
    <cellStyle name="Normal 10 4 5 2 2 2 3" xfId="26112" xr:uid="{87D916D7-E7B8-4A32-ABBC-A48E688ED68B}"/>
    <cellStyle name="Normal 10 4 5 2 2 3" xfId="26113" xr:uid="{E12CE266-9099-4C68-AAD8-F2AC17A1DA7A}"/>
    <cellStyle name="Normal 10 4 5 2 2 3 2" xfId="26114" xr:uid="{6ED0A4AF-BC94-43CD-87A1-61C3FF1D9ACC}"/>
    <cellStyle name="Normal 10 4 5 2 2 4" xfId="26115" xr:uid="{F668BCB3-DA0F-433F-9ACB-EF0AD832DA22}"/>
    <cellStyle name="Normal 10 4 5 2 3" xfId="26116" xr:uid="{14254D63-C4F5-48CA-A8AA-CB53507568B7}"/>
    <cellStyle name="Normal 10 4 5 2 3 2" xfId="26117" xr:uid="{0DE468E7-E89F-40D7-86B9-73219BCAFC2A}"/>
    <cellStyle name="Normal 10 4 5 2 3 2 2" xfId="26118" xr:uid="{CE652F6F-12CF-4385-BD25-2863AF8E91AF}"/>
    <cellStyle name="Normal 10 4 5 2 3 3" xfId="26119" xr:uid="{9BA60ADD-C00C-437E-A24E-5AF0DF6476BA}"/>
    <cellStyle name="Normal 10 4 5 2 4" xfId="26120" xr:uid="{F41308F4-AC5E-4B1F-ABF0-918373D0D2AA}"/>
    <cellStyle name="Normal 10 4 5 2 4 2" xfId="26121" xr:uid="{6025792D-5D13-4099-8ED1-EC80C2DEFB45}"/>
    <cellStyle name="Normal 10 4 5 2 5" xfId="26122" xr:uid="{7335C6BC-41AA-4AEA-8CA4-748BA3A9F980}"/>
    <cellStyle name="Normal 10 4 5 3" xfId="26123" xr:uid="{1F0160EE-0B26-4C6B-A64D-2F3996518BE7}"/>
    <cellStyle name="Normal 10 4 5 3 2" xfId="26124" xr:uid="{B5ABB3E9-642A-466C-BD85-06194742085C}"/>
    <cellStyle name="Normal 10 4 5 3 2 2" xfId="26125" xr:uid="{1C592722-A1FC-4671-BCFC-B643A5781582}"/>
    <cellStyle name="Normal 10 4 5 3 2 2 2" xfId="26126" xr:uid="{394577C3-FAA7-4DA7-A0E2-77B3B77DAE6F}"/>
    <cellStyle name="Normal 10 4 5 3 2 3" xfId="26127" xr:uid="{36A07D7C-4771-4E26-8A24-11125E5AE805}"/>
    <cellStyle name="Normal 10 4 5 3 3" xfId="26128" xr:uid="{AE4E1818-2609-4214-9C12-FAC616E84E33}"/>
    <cellStyle name="Normal 10 4 5 3 3 2" xfId="26129" xr:uid="{6A77E7AE-7284-4660-8CA6-088632918846}"/>
    <cellStyle name="Normal 10 4 5 3 4" xfId="26130" xr:uid="{BFFD0B86-6578-4779-9189-4DEB93F00BCE}"/>
    <cellStyle name="Normal 10 4 5 4" xfId="26131" xr:uid="{11CC165E-666B-4A3B-A896-42B350C9D182}"/>
    <cellStyle name="Normal 10 4 5 4 2" xfId="26132" xr:uid="{A4AFA1EC-E1A6-49F4-A8F8-5599E3496A9F}"/>
    <cellStyle name="Normal 10 4 5 4 2 2" xfId="26133" xr:uid="{284085FA-386A-4411-9228-17ED42CEFD9E}"/>
    <cellStyle name="Normal 10 4 5 4 3" xfId="26134" xr:uid="{09CC8D74-6552-4D8A-809A-274A6190EADE}"/>
    <cellStyle name="Normal 10 4 5 5" xfId="26135" xr:uid="{55BAE80B-F038-419A-A88C-A106D6F8D7AF}"/>
    <cellStyle name="Normal 10 4 5 5 2" xfId="26136" xr:uid="{7F2748DB-FEE7-4E81-B0D4-43E71AF16709}"/>
    <cellStyle name="Normal 10 4 5 6" xfId="26137" xr:uid="{B16EC01F-D0B7-4280-8F56-31CC0377AC31}"/>
    <cellStyle name="Normal 10 4 6" xfId="26138" xr:uid="{94CF0525-ACBC-406D-8D30-CC360878EF3D}"/>
    <cellStyle name="Normal 10 4 6 2" xfId="26139" xr:uid="{737773DF-F51C-4868-98FF-17AF063E1E7A}"/>
    <cellStyle name="Normal 10 4 6 2 2" xfId="26140" xr:uid="{AA9CB18D-0199-420E-9416-17B3CFB7E805}"/>
    <cellStyle name="Normal 10 4 6 2 2 2" xfId="26141" xr:uid="{1F9B562B-B5C2-4DDA-9555-A857AE42E715}"/>
    <cellStyle name="Normal 10 4 6 2 2 2 2" xfId="26142" xr:uid="{FE6E6960-FDA8-4356-9E67-C1B96130A9E0}"/>
    <cellStyle name="Normal 10 4 6 2 2 3" xfId="26143" xr:uid="{3D3FD318-4374-4E91-BF05-D491315A85B1}"/>
    <cellStyle name="Normal 10 4 6 2 3" xfId="26144" xr:uid="{7A85E4FA-A2C6-4CCC-BA30-0A1CA056DFAB}"/>
    <cellStyle name="Normal 10 4 6 2 3 2" xfId="26145" xr:uid="{58D463BF-93E2-4BB2-AABB-175D03597F9E}"/>
    <cellStyle name="Normal 10 4 6 2 4" xfId="26146" xr:uid="{4FE7EDD1-666A-46AB-830A-F47A7E3205BB}"/>
    <cellStyle name="Normal 10 4 6 3" xfId="26147" xr:uid="{1CB6CC37-891C-4B01-8D69-CCEBC04F9BF3}"/>
    <cellStyle name="Normal 10 4 6 3 2" xfId="26148" xr:uid="{DA8ECDE1-8B91-4371-B920-5F2F3F9ED631}"/>
    <cellStyle name="Normal 10 4 6 3 2 2" xfId="26149" xr:uid="{2E2CE645-0983-449F-AD2B-6C34DDE0DBA8}"/>
    <cellStyle name="Normal 10 4 6 3 3" xfId="26150" xr:uid="{5E79F033-AEFF-4642-B334-D17E624D5F58}"/>
    <cellStyle name="Normal 10 4 6 4" xfId="26151" xr:uid="{4BC481AC-0B24-41B2-B952-794E8EA05794}"/>
    <cellStyle name="Normal 10 4 6 4 2" xfId="26152" xr:uid="{6E8741D8-D111-422F-A270-0EBDE433ADAE}"/>
    <cellStyle name="Normal 10 4 6 5" xfId="26153" xr:uid="{64E37B2C-0CD3-45AC-B12E-7D30703BC825}"/>
    <cellStyle name="Normal 10 4 7" xfId="26154" xr:uid="{0C4D419D-BF1C-4F66-81C0-33247CAA6A22}"/>
    <cellStyle name="Normal 10 4 7 2" xfId="26155" xr:uid="{9904048F-EC95-43C4-9820-6EB2845CA366}"/>
    <cellStyle name="Normal 10 4 7 2 2" xfId="26156" xr:uid="{BEE4BFF2-E1FA-4720-85E7-181995224BDB}"/>
    <cellStyle name="Normal 10 4 7 2 2 2" xfId="26157" xr:uid="{F0F68DCF-EB2F-4122-8B2B-567B71A63614}"/>
    <cellStyle name="Normal 10 4 7 2 3" xfId="26158" xr:uid="{69BE305B-5880-478A-9BF3-D265EB7C94CF}"/>
    <cellStyle name="Normal 10 4 7 3" xfId="26159" xr:uid="{76E34E97-A09A-4D27-9A19-BE71F5828CAD}"/>
    <cellStyle name="Normal 10 4 7 3 2" xfId="26160" xr:uid="{29CB6796-5778-47FB-BBCA-F7BD72A15EEE}"/>
    <cellStyle name="Normal 10 4 7 4" xfId="26161" xr:uid="{FE5C8F52-1870-4F3D-A687-CFC77EF3C51E}"/>
    <cellStyle name="Normal 10 4 8" xfId="26162" xr:uid="{BF668EEC-08EF-432A-874C-97B6B39F254C}"/>
    <cellStyle name="Normal 10 4 8 2" xfId="26163" xr:uid="{33E024A1-BF42-489E-B38D-9B46A8533EB1}"/>
    <cellStyle name="Normal 10 4 8 2 2" xfId="26164" xr:uid="{B7DE4EB9-2BB9-4F9D-93F4-A734CEEE5FD2}"/>
    <cellStyle name="Normal 10 4 8 3" xfId="26165" xr:uid="{193FAEF8-4622-4AA2-9D8F-F07E928CD5D8}"/>
    <cellStyle name="Normal 10 4 9" xfId="26166" xr:uid="{96109EE8-C88F-48E5-AE93-CF6BEFB78CF6}"/>
    <cellStyle name="Normal 10 4 9 2" xfId="26167" xr:uid="{D2FC1EE9-210A-4F31-A5EB-2119C5EDE114}"/>
    <cellStyle name="Normal 10 5" xfId="431" xr:uid="{C69C363F-CD01-4055-87F0-C53FD829BDAF}"/>
    <cellStyle name="Normal 10 6" xfId="541" xr:uid="{4FCF0CDF-8413-4BAC-8AEE-EB27687C5EED}"/>
    <cellStyle name="Normal 10 7" xfId="54773" xr:uid="{BE8514AD-AC1E-4F45-B355-4A90BD2353A2}"/>
    <cellStyle name="Normal 10 8" xfId="54792" xr:uid="{E429CEA1-3B54-4D7E-8B23-364C358C133A}"/>
    <cellStyle name="Normal 11" xfId="65" xr:uid="{3BFFAC5B-62B9-4B67-9CAF-46189C536484}"/>
    <cellStyle name="Normal 11 2" xfId="66" xr:uid="{CE481C7C-78CE-41FE-BDD3-52367D9E3BDC}"/>
    <cellStyle name="Normal 11 2 10" xfId="435" xr:uid="{D7A2BCEA-63B4-4E63-B2B2-3E168DE6D4DA}"/>
    <cellStyle name="Normal 11 2 11" xfId="523" xr:uid="{94254B1D-C07B-4D8B-AB3C-0D84CA0E1BDB}"/>
    <cellStyle name="Normal 11 2 12" xfId="54796" xr:uid="{953DD094-8216-4FDD-AD21-2F349E2017C7}"/>
    <cellStyle name="Normal 11 2 2" xfId="181" xr:uid="{E481AD30-8DF4-47DF-B244-4C233E528D63}"/>
    <cellStyle name="Normal 11 2 2 10" xfId="26168" xr:uid="{CF645531-D63B-4049-9BD9-7AC602551633}"/>
    <cellStyle name="Normal 11 2 2 10 2" xfId="26169" xr:uid="{49E9F2EA-4601-43EA-BB76-87830E2D8CAA}"/>
    <cellStyle name="Normal 11 2 2 10 2 2" xfId="26170" xr:uid="{8C5852C8-5609-40A8-A9E7-35672B4DD4F5}"/>
    <cellStyle name="Normal 11 2 2 10 2 2 2" xfId="26171" xr:uid="{36298CD6-38FB-4F09-885B-D0A46FA4268A}"/>
    <cellStyle name="Normal 11 2 2 10 2 2 2 2" xfId="26172" xr:uid="{93619459-9BC8-4A9D-98EF-5AB1EFE30035}"/>
    <cellStyle name="Normal 11 2 2 10 2 2 2 2 2" xfId="26173" xr:uid="{0BD8CF7D-E362-49F2-8D93-5B89D63C6CB4}"/>
    <cellStyle name="Normal 11 2 2 10 2 2 2 3" xfId="26174" xr:uid="{C1CB219C-7BA0-4F49-B9E7-7C3F575AE08D}"/>
    <cellStyle name="Normal 11 2 2 10 2 2 3" xfId="26175" xr:uid="{6EA79304-8383-4A48-A35E-9995FD4E70B0}"/>
    <cellStyle name="Normal 11 2 2 10 2 2 3 2" xfId="26176" xr:uid="{944ADABF-AC10-4BAA-B06A-E2512839B7CE}"/>
    <cellStyle name="Normal 11 2 2 10 2 2 4" xfId="26177" xr:uid="{AF7660C5-C1BD-475A-9BEE-9AA86D499270}"/>
    <cellStyle name="Normal 11 2 2 10 2 3" xfId="26178" xr:uid="{16447FE2-0A5B-4014-B804-81D5CD22E562}"/>
    <cellStyle name="Normal 11 2 2 10 2 3 2" xfId="26179" xr:uid="{CFA8F5FA-81C3-491B-816D-C4C68286257D}"/>
    <cellStyle name="Normal 11 2 2 10 2 3 2 2" xfId="26180" xr:uid="{07BED163-3470-4453-8838-C32B493A5EE4}"/>
    <cellStyle name="Normal 11 2 2 10 2 3 3" xfId="26181" xr:uid="{AA0BF9FD-D292-47D9-A7D2-7D778A0D6C1F}"/>
    <cellStyle name="Normal 11 2 2 10 2 4" xfId="26182" xr:uid="{AB37615A-9E07-44ED-BD69-2C2BBF7DBE76}"/>
    <cellStyle name="Normal 11 2 2 10 2 4 2" xfId="26183" xr:uid="{E504F183-BB6E-40E6-B4DD-B59EE231644A}"/>
    <cellStyle name="Normal 11 2 2 10 2 5" xfId="26184" xr:uid="{C0499523-010A-454F-8448-BFEEB95FFD74}"/>
    <cellStyle name="Normal 11 2 2 10 3" xfId="26185" xr:uid="{2CD1961E-2283-4934-B114-34345FB0AD42}"/>
    <cellStyle name="Normal 11 2 2 10 3 2" xfId="26186" xr:uid="{31EF9363-4F1B-4A34-9649-50EF22887D56}"/>
    <cellStyle name="Normal 11 2 2 10 3 2 2" xfId="26187" xr:uid="{B488F72E-3108-4C36-9D71-8CC3B4A39919}"/>
    <cellStyle name="Normal 11 2 2 10 3 2 2 2" xfId="26188" xr:uid="{83CCC0C1-68D0-4077-9BC2-B9CDEB453ED0}"/>
    <cellStyle name="Normal 11 2 2 10 3 2 3" xfId="26189" xr:uid="{407EE060-B36D-4C68-9EA1-7B5BA2D8B9EB}"/>
    <cellStyle name="Normal 11 2 2 10 3 3" xfId="26190" xr:uid="{B5EFD9C4-E18E-4350-AF57-36CDD3EB9559}"/>
    <cellStyle name="Normal 11 2 2 10 3 3 2" xfId="26191" xr:uid="{5DD8A2E6-49B7-45D5-B807-C20E3CE05EDA}"/>
    <cellStyle name="Normal 11 2 2 10 3 4" xfId="26192" xr:uid="{C55E93CD-1A76-4778-B137-F355BB7E5CD4}"/>
    <cellStyle name="Normal 11 2 2 10 4" xfId="26193" xr:uid="{6EFC050C-A771-47A4-A59B-A7D57E9E0AD3}"/>
    <cellStyle name="Normal 11 2 2 10 4 2" xfId="26194" xr:uid="{971C9E6D-703F-4FA3-BEE7-B56EE8D12997}"/>
    <cellStyle name="Normal 11 2 2 10 4 2 2" xfId="26195" xr:uid="{3E26EAE2-1EA7-44EB-8559-F654973D8607}"/>
    <cellStyle name="Normal 11 2 2 10 4 3" xfId="26196" xr:uid="{14622BEA-A64C-4663-8E8A-2F899C649CDA}"/>
    <cellStyle name="Normal 11 2 2 10 5" xfId="26197" xr:uid="{458FC478-C3E8-4C17-997E-A26F38F8B70F}"/>
    <cellStyle name="Normal 11 2 2 10 5 2" xfId="26198" xr:uid="{5F31CFBA-C7A3-410C-BE54-CC64558B4C1A}"/>
    <cellStyle name="Normal 11 2 2 10 6" xfId="26199" xr:uid="{C09E24C4-92F2-485F-A9D3-F7B7FEBE8BE1}"/>
    <cellStyle name="Normal 11 2 2 11" xfId="26200" xr:uid="{32E411DC-F9A4-4C51-B8A0-FD56F312AB8A}"/>
    <cellStyle name="Normal 11 2 2 11 2" xfId="26201" xr:uid="{57862ADC-6418-4C8C-B811-A01C330F69CB}"/>
    <cellStyle name="Normal 11 2 2 11 2 2" xfId="26202" xr:uid="{841AD9C2-1E02-4B6A-8F86-426DA9889855}"/>
    <cellStyle name="Normal 11 2 2 11 2 2 2" xfId="26203" xr:uid="{6E966ABF-A3DA-422F-BC5E-36878190517A}"/>
    <cellStyle name="Normal 11 2 2 11 2 2 2 2" xfId="26204" xr:uid="{A8EBBC5C-9393-4F68-BFDD-15FD0FD7D321}"/>
    <cellStyle name="Normal 11 2 2 11 2 2 3" xfId="26205" xr:uid="{0338C8EF-5798-4658-AF2A-464DF7C902AE}"/>
    <cellStyle name="Normal 11 2 2 11 2 3" xfId="26206" xr:uid="{D8FC3E0B-2BA4-4E08-B09D-375FC86788EE}"/>
    <cellStyle name="Normal 11 2 2 11 2 3 2" xfId="26207" xr:uid="{51D06A30-4A92-4653-A63B-C9CE89130915}"/>
    <cellStyle name="Normal 11 2 2 11 2 4" xfId="26208" xr:uid="{17BA3012-5255-409B-B228-B42F55788ACD}"/>
    <cellStyle name="Normal 11 2 2 11 3" xfId="26209" xr:uid="{1263A890-E4E7-42E9-A892-8854F1FA1532}"/>
    <cellStyle name="Normal 11 2 2 11 3 2" xfId="26210" xr:uid="{6EC7CC47-5EF0-43AD-A579-326A146A5121}"/>
    <cellStyle name="Normal 11 2 2 11 3 2 2" xfId="26211" xr:uid="{A0823D04-C460-452A-9938-DFB1A0A86B46}"/>
    <cellStyle name="Normal 11 2 2 11 3 3" xfId="26212" xr:uid="{4D65F00A-A7FF-4517-885A-258AF918CFA8}"/>
    <cellStyle name="Normal 11 2 2 11 4" xfId="26213" xr:uid="{FDF4A9AF-FB0C-4758-B04A-2B874122790C}"/>
    <cellStyle name="Normal 11 2 2 11 4 2" xfId="26214" xr:uid="{366FF02D-2D15-4525-B58A-5FC71A65D5FA}"/>
    <cellStyle name="Normal 11 2 2 11 5" xfId="26215" xr:uid="{245694F7-9176-4361-9E23-49F854C829CA}"/>
    <cellStyle name="Normal 11 2 2 12" xfId="26216" xr:uid="{9FF96330-F443-4203-AB3D-A4C28D697CAF}"/>
    <cellStyle name="Normal 11 2 2 12 2" xfId="26217" xr:uid="{391DC7FB-7B65-44E3-87BB-AA3B92AA9A80}"/>
    <cellStyle name="Normal 11 2 2 12 2 2" xfId="26218" xr:uid="{026143AA-5F96-4594-B44C-FB9AA9F0E046}"/>
    <cellStyle name="Normal 11 2 2 12 2 2 2" xfId="26219" xr:uid="{373955F0-0B99-4C6C-9832-A74ABAB3CF88}"/>
    <cellStyle name="Normal 11 2 2 12 2 3" xfId="26220" xr:uid="{E6FCB49A-1642-431D-97A1-851F4AC66310}"/>
    <cellStyle name="Normal 11 2 2 12 3" xfId="26221" xr:uid="{BDEFF2C3-D726-4202-BAA6-960215114EDF}"/>
    <cellStyle name="Normal 11 2 2 12 3 2" xfId="26222" xr:uid="{E273AA57-A7B9-4BF1-9082-86169F98FB84}"/>
    <cellStyle name="Normal 11 2 2 12 4" xfId="26223" xr:uid="{55E6334C-883D-412A-A39E-8C10BCF1EF89}"/>
    <cellStyle name="Normal 11 2 2 13" xfId="26224" xr:uid="{075B9BE7-5242-4014-BE04-E6CDDC4B23DD}"/>
    <cellStyle name="Normal 11 2 2 13 2" xfId="26225" xr:uid="{208C752E-FE2C-4DF0-AC44-2138C0163432}"/>
    <cellStyle name="Normal 11 2 2 13 2 2" xfId="26226" xr:uid="{9F84872D-1025-4F1F-910D-0C4D1252266A}"/>
    <cellStyle name="Normal 11 2 2 13 3" xfId="26227" xr:uid="{0989E501-1C0F-4F00-8DCA-F900EA2445D9}"/>
    <cellStyle name="Normal 11 2 2 14" xfId="26228" xr:uid="{BD607309-C352-4CA9-85AF-2536957BA436}"/>
    <cellStyle name="Normal 11 2 2 14 2" xfId="26229" xr:uid="{C89D19A7-8BCB-4C98-859C-F6FEE502D00A}"/>
    <cellStyle name="Normal 11 2 2 15" xfId="26230" xr:uid="{7E4B2499-0989-45BB-872B-546071C5A759}"/>
    <cellStyle name="Normal 11 2 2 16" xfId="531" xr:uid="{D8A2E50E-48FE-4F1F-8E1A-B6C98B2734ED}"/>
    <cellStyle name="Normal 11 2 2 17" xfId="54814" xr:uid="{CB81B61C-08D8-4543-8D27-FF99924569CE}"/>
    <cellStyle name="Normal 11 2 2 2" xfId="216" xr:uid="{109DE0A9-93B6-4B16-A2C6-E8A191B7DB99}"/>
    <cellStyle name="Normal 11 2 2 2 10" xfId="26231" xr:uid="{A80FC725-0AC1-4B66-89AA-AAC34A572E3A}"/>
    <cellStyle name="Normal 11 2 2 2 10 2" xfId="26232" xr:uid="{65E2B926-2D9A-423D-9508-3EE2C5B429F6}"/>
    <cellStyle name="Normal 11 2 2 2 10 2 2" xfId="26233" xr:uid="{E4B192AF-49F9-49F9-AFC1-FFC8AF2AC2B0}"/>
    <cellStyle name="Normal 11 2 2 2 10 2 2 2" xfId="26234" xr:uid="{FF1A80C6-D423-4792-B758-712D94C813D3}"/>
    <cellStyle name="Normal 11 2 2 2 10 2 2 2 2" xfId="26235" xr:uid="{CA82BD0A-B138-47F2-820F-1203568ABFB9}"/>
    <cellStyle name="Normal 11 2 2 2 10 2 2 3" xfId="26236" xr:uid="{E46AC34E-303B-4053-933E-D92244CBB2A2}"/>
    <cellStyle name="Normal 11 2 2 2 10 2 3" xfId="26237" xr:uid="{B1B73350-9E67-4F0F-845E-40B6758AF722}"/>
    <cellStyle name="Normal 11 2 2 2 10 2 3 2" xfId="26238" xr:uid="{9F9A2A18-1116-4C2D-AE20-AD33C58BACA7}"/>
    <cellStyle name="Normal 11 2 2 2 10 2 4" xfId="26239" xr:uid="{1FE505D2-0464-440B-B3C3-EAA7B9EFDC1C}"/>
    <cellStyle name="Normal 11 2 2 2 10 3" xfId="26240" xr:uid="{FE07909F-A440-466E-8DCF-8BC24BDB4B34}"/>
    <cellStyle name="Normal 11 2 2 2 10 3 2" xfId="26241" xr:uid="{7C91C68D-377E-4965-8124-5CB90B4D051D}"/>
    <cellStyle name="Normal 11 2 2 2 10 3 2 2" xfId="26242" xr:uid="{E4390278-9D25-49C8-AE02-65CFD7DAA763}"/>
    <cellStyle name="Normal 11 2 2 2 10 3 3" xfId="26243" xr:uid="{B290E254-8BA1-42CE-8E53-2641E27B3B74}"/>
    <cellStyle name="Normal 11 2 2 2 10 4" xfId="26244" xr:uid="{F9E86EE1-0FD3-4992-ACC0-0A07BEF7D7FD}"/>
    <cellStyle name="Normal 11 2 2 2 10 4 2" xfId="26245" xr:uid="{4916AFBF-0212-47E9-BCED-37C7880BFF95}"/>
    <cellStyle name="Normal 11 2 2 2 10 5" xfId="26246" xr:uid="{12A8F293-C8F1-4FAA-908F-9D11D88727BD}"/>
    <cellStyle name="Normal 11 2 2 2 11" xfId="26247" xr:uid="{92DB2989-4CFE-4125-9972-6A91E7CB77A4}"/>
    <cellStyle name="Normal 11 2 2 2 11 2" xfId="26248" xr:uid="{FD3D9683-6C7C-41DB-AB9D-94988EB3F70C}"/>
    <cellStyle name="Normal 11 2 2 2 11 2 2" xfId="26249" xr:uid="{0C4B6EEC-1461-4FC5-88D2-D4EF64CC9118}"/>
    <cellStyle name="Normal 11 2 2 2 11 2 2 2" xfId="26250" xr:uid="{6BDA527A-9DC7-48C1-95AA-30460F50BBDA}"/>
    <cellStyle name="Normal 11 2 2 2 11 2 3" xfId="26251" xr:uid="{1C34B9A4-255B-4D1B-BCF9-9FAFACFCA0D0}"/>
    <cellStyle name="Normal 11 2 2 2 11 3" xfId="26252" xr:uid="{FA6E1F8E-5A98-4DCB-9C83-F3D518F558DB}"/>
    <cellStyle name="Normal 11 2 2 2 11 3 2" xfId="26253" xr:uid="{CA053A8C-465B-4AD1-AA17-6134DF7CB4B2}"/>
    <cellStyle name="Normal 11 2 2 2 11 4" xfId="26254" xr:uid="{2C2D09D2-C034-4587-99AC-485D00D92EB5}"/>
    <cellStyle name="Normal 11 2 2 2 12" xfId="26255" xr:uid="{7CA15A57-F886-40CB-AE06-82F05957AD71}"/>
    <cellStyle name="Normal 11 2 2 2 12 2" xfId="26256" xr:uid="{42582678-F821-42CA-B898-21B3AE66290E}"/>
    <cellStyle name="Normal 11 2 2 2 12 2 2" xfId="26257" xr:uid="{D43D043D-3B80-4C6B-B3BF-FDE341375ADF}"/>
    <cellStyle name="Normal 11 2 2 2 12 3" xfId="26258" xr:uid="{380BFBC0-94C4-405D-B825-3D3DEF74F69E}"/>
    <cellStyle name="Normal 11 2 2 2 13" xfId="26259" xr:uid="{58DB760B-1A91-475E-A386-8482B7EDD1CC}"/>
    <cellStyle name="Normal 11 2 2 2 13 2" xfId="26260" xr:uid="{4DD38814-FF05-482E-98F6-77E6503F52D5}"/>
    <cellStyle name="Normal 11 2 2 2 14" xfId="26261" xr:uid="{9DF44D0A-7F21-4640-865C-6C01473FABD3}"/>
    <cellStyle name="Normal 11 2 2 2 15" xfId="539" xr:uid="{F1E5E26E-348B-41C9-A655-B57A4CED667C}"/>
    <cellStyle name="Normal 11 2 2 2 2" xfId="232" xr:uid="{9FAB7242-5F37-4757-AC8F-685C39354F0C}"/>
    <cellStyle name="Normal 11 2 2 2 2 10" xfId="26262" xr:uid="{71524757-AB99-4CBB-BE5E-D85791A965C3}"/>
    <cellStyle name="Normal 11 2 2 2 2 11" xfId="575" xr:uid="{CF03B696-FBFD-4EAF-82F6-BDBE8BB8A081}"/>
    <cellStyle name="Normal 11 2 2 2 2 2" xfId="352" xr:uid="{FC889BE8-8BBF-4B7B-B842-DF7E9F9D9C0F}"/>
    <cellStyle name="Normal 11 2 2 2 2 2 10" xfId="26263" xr:uid="{FF8BB284-C471-4308-9443-93A4B616C392}"/>
    <cellStyle name="Normal 11 2 2 2 2 2 2" xfId="26264" xr:uid="{A5797ED2-AE02-4D50-A3BA-59962278C036}"/>
    <cellStyle name="Normal 11 2 2 2 2 2 2 2" xfId="26265" xr:uid="{41CFD0A1-06CE-44C4-853D-31055EC42974}"/>
    <cellStyle name="Normal 11 2 2 2 2 2 2 2 2" xfId="26266" xr:uid="{1C7574E7-46B0-4E7A-AD75-433C437E87EE}"/>
    <cellStyle name="Normal 11 2 2 2 2 2 2 2 2 2" xfId="26267" xr:uid="{8CCA0BA4-7584-49C2-8D52-F2227D373162}"/>
    <cellStyle name="Normal 11 2 2 2 2 2 2 2 2 2 2" xfId="26268" xr:uid="{133E60C2-1F81-424C-BCD5-167CA56D8077}"/>
    <cellStyle name="Normal 11 2 2 2 2 2 2 2 2 2 2 2" xfId="26269" xr:uid="{2F2DEC02-9F9A-4D2B-BD94-5E0AA45ABB51}"/>
    <cellStyle name="Normal 11 2 2 2 2 2 2 2 2 2 2 2 2" xfId="26270" xr:uid="{331BC923-3F7F-413F-A9FC-DDFBDC9542F4}"/>
    <cellStyle name="Normal 11 2 2 2 2 2 2 2 2 2 2 2 2 2" xfId="26271" xr:uid="{5519102C-F2E5-4280-B893-3AD2D44D86B1}"/>
    <cellStyle name="Normal 11 2 2 2 2 2 2 2 2 2 2 2 3" xfId="26272" xr:uid="{E68FF327-9E08-4A9C-99A3-C8B9C12D0C64}"/>
    <cellStyle name="Normal 11 2 2 2 2 2 2 2 2 2 2 3" xfId="26273" xr:uid="{FD297E31-ED19-4670-8B96-B8C25C70B982}"/>
    <cellStyle name="Normal 11 2 2 2 2 2 2 2 2 2 2 3 2" xfId="26274" xr:uid="{A5D17836-DA39-4D34-B29C-77EAA2CE02CE}"/>
    <cellStyle name="Normal 11 2 2 2 2 2 2 2 2 2 2 4" xfId="26275" xr:uid="{EFA26EF1-7891-41B0-A90C-98881514A186}"/>
    <cellStyle name="Normal 11 2 2 2 2 2 2 2 2 2 3" xfId="26276" xr:uid="{C1EC4703-B801-4E14-A604-9FC396F668A4}"/>
    <cellStyle name="Normal 11 2 2 2 2 2 2 2 2 2 3 2" xfId="26277" xr:uid="{77B22F4A-ADFB-43AC-80D4-7CBC7DA12A36}"/>
    <cellStyle name="Normal 11 2 2 2 2 2 2 2 2 2 3 2 2" xfId="26278" xr:uid="{CC368013-E2BA-48D3-A4ED-2B6C794DE8E2}"/>
    <cellStyle name="Normal 11 2 2 2 2 2 2 2 2 2 3 3" xfId="26279" xr:uid="{CC01A435-CBBF-4880-926B-B62596981E30}"/>
    <cellStyle name="Normal 11 2 2 2 2 2 2 2 2 2 4" xfId="26280" xr:uid="{DE4E91AB-3EBE-4D52-9B3C-4B92DB9568D6}"/>
    <cellStyle name="Normal 11 2 2 2 2 2 2 2 2 2 4 2" xfId="26281" xr:uid="{AF2C7CDD-B2B9-420C-9926-B46DF5E3790A}"/>
    <cellStyle name="Normal 11 2 2 2 2 2 2 2 2 2 5" xfId="26282" xr:uid="{EB83D758-F11B-4E29-993F-A46ED7DCD4CD}"/>
    <cellStyle name="Normal 11 2 2 2 2 2 2 2 2 3" xfId="26283" xr:uid="{FF6BA746-D7D2-4CA4-98CF-3AA59CBB06B2}"/>
    <cellStyle name="Normal 11 2 2 2 2 2 2 2 2 3 2" xfId="26284" xr:uid="{5F08271A-A50F-468D-9225-5D7564E578C2}"/>
    <cellStyle name="Normal 11 2 2 2 2 2 2 2 2 3 2 2" xfId="26285" xr:uid="{3CC6AA8E-BF65-41E6-BF26-0139C4D43479}"/>
    <cellStyle name="Normal 11 2 2 2 2 2 2 2 2 3 2 2 2" xfId="26286" xr:uid="{71953E60-5753-431C-A02E-A00C09BEF7B6}"/>
    <cellStyle name="Normal 11 2 2 2 2 2 2 2 2 3 2 3" xfId="26287" xr:uid="{7C12E8DC-B656-4342-A071-07A8BB5C547C}"/>
    <cellStyle name="Normal 11 2 2 2 2 2 2 2 2 3 3" xfId="26288" xr:uid="{986B30CE-BBD0-4D3E-9588-459046BC0C6B}"/>
    <cellStyle name="Normal 11 2 2 2 2 2 2 2 2 3 3 2" xfId="26289" xr:uid="{C7098B46-0EA4-4856-9EAD-844C735DCCF5}"/>
    <cellStyle name="Normal 11 2 2 2 2 2 2 2 2 3 4" xfId="26290" xr:uid="{746AA7FB-1F19-4C1E-B2AD-B64C4C60B577}"/>
    <cellStyle name="Normal 11 2 2 2 2 2 2 2 2 4" xfId="26291" xr:uid="{9CA5127A-ADAD-408B-9E7B-A3EDB6A6DDF0}"/>
    <cellStyle name="Normal 11 2 2 2 2 2 2 2 2 4 2" xfId="26292" xr:uid="{5DA68157-2B62-460F-A4C7-A554E025ED37}"/>
    <cellStyle name="Normal 11 2 2 2 2 2 2 2 2 4 2 2" xfId="26293" xr:uid="{3F554CED-2BE5-4735-A9A9-C563BA4A6602}"/>
    <cellStyle name="Normal 11 2 2 2 2 2 2 2 2 4 3" xfId="26294" xr:uid="{6F10FFF2-C87C-4AA5-9733-1971D78496FF}"/>
    <cellStyle name="Normal 11 2 2 2 2 2 2 2 2 5" xfId="26295" xr:uid="{CB121A94-E204-48F2-9F1A-96239929E381}"/>
    <cellStyle name="Normal 11 2 2 2 2 2 2 2 2 5 2" xfId="26296" xr:uid="{35D5E75A-5FB0-4CC5-9364-89EDC89B3E7D}"/>
    <cellStyle name="Normal 11 2 2 2 2 2 2 2 2 6" xfId="26297" xr:uid="{4A06ACE9-5B6A-4D14-A881-64759866BB3D}"/>
    <cellStyle name="Normal 11 2 2 2 2 2 2 2 3" xfId="26298" xr:uid="{992E336B-03CC-4B1B-889B-3DD3A343421D}"/>
    <cellStyle name="Normal 11 2 2 2 2 2 2 2 3 2" xfId="26299" xr:uid="{1993E03F-6F65-4FAC-9805-05DCE9EFF355}"/>
    <cellStyle name="Normal 11 2 2 2 2 2 2 2 3 2 2" xfId="26300" xr:uid="{E25751F6-BD8E-45FD-9FF6-EB378E855185}"/>
    <cellStyle name="Normal 11 2 2 2 2 2 2 2 3 2 2 2" xfId="26301" xr:uid="{81A95370-FF09-49CF-80FD-369F7A77B091}"/>
    <cellStyle name="Normal 11 2 2 2 2 2 2 2 3 2 2 2 2" xfId="26302" xr:uid="{7933F903-C169-43BD-8AD4-80182CEB8533}"/>
    <cellStyle name="Normal 11 2 2 2 2 2 2 2 3 2 2 3" xfId="26303" xr:uid="{CBC4F660-4023-4940-944F-442C90508608}"/>
    <cellStyle name="Normal 11 2 2 2 2 2 2 2 3 2 3" xfId="26304" xr:uid="{B855BA43-CCCE-44FB-914E-D1FBAC33186B}"/>
    <cellStyle name="Normal 11 2 2 2 2 2 2 2 3 2 3 2" xfId="26305" xr:uid="{74F4A7B0-AC8E-472B-BDE1-EEE69ABA7CB6}"/>
    <cellStyle name="Normal 11 2 2 2 2 2 2 2 3 2 4" xfId="26306" xr:uid="{AAFD93AB-A58B-469B-9C3C-B25935989E68}"/>
    <cellStyle name="Normal 11 2 2 2 2 2 2 2 3 3" xfId="26307" xr:uid="{1CCE1740-2D1F-410A-A034-D0D4AC9B1F92}"/>
    <cellStyle name="Normal 11 2 2 2 2 2 2 2 3 3 2" xfId="26308" xr:uid="{02E3AFF0-3111-42F4-A79C-54D1275A85D4}"/>
    <cellStyle name="Normal 11 2 2 2 2 2 2 2 3 3 2 2" xfId="26309" xr:uid="{BC00B159-AA7B-497C-8ADE-6D710FD81869}"/>
    <cellStyle name="Normal 11 2 2 2 2 2 2 2 3 3 3" xfId="26310" xr:uid="{4699FF7F-C23E-4D9B-A142-76FDBC35364F}"/>
    <cellStyle name="Normal 11 2 2 2 2 2 2 2 3 4" xfId="26311" xr:uid="{F887388D-46AA-4BDC-8A13-EABF8C880276}"/>
    <cellStyle name="Normal 11 2 2 2 2 2 2 2 3 4 2" xfId="26312" xr:uid="{B7C56B4C-BCFF-45E2-8C54-DB5054B65B63}"/>
    <cellStyle name="Normal 11 2 2 2 2 2 2 2 3 5" xfId="26313" xr:uid="{7BC40A06-7261-42B1-A1D6-251A2792F815}"/>
    <cellStyle name="Normal 11 2 2 2 2 2 2 2 4" xfId="26314" xr:uid="{75355112-C693-4D55-B6C1-DB4DEAC0DD9C}"/>
    <cellStyle name="Normal 11 2 2 2 2 2 2 2 4 2" xfId="26315" xr:uid="{006BEF86-FACA-49B8-9B6F-0110F9200CDD}"/>
    <cellStyle name="Normal 11 2 2 2 2 2 2 2 4 2 2" xfId="26316" xr:uid="{4B11AA70-2C4B-407E-90F8-CE2073E5FDC7}"/>
    <cellStyle name="Normal 11 2 2 2 2 2 2 2 4 2 2 2" xfId="26317" xr:uid="{1BFE8EED-32ED-472D-AE44-CBCE7B89A307}"/>
    <cellStyle name="Normal 11 2 2 2 2 2 2 2 4 2 3" xfId="26318" xr:uid="{033C8E1E-6D30-4267-A2FB-8F475774208D}"/>
    <cellStyle name="Normal 11 2 2 2 2 2 2 2 4 3" xfId="26319" xr:uid="{200C59C7-3D59-41E2-9F29-97D2F3A0F859}"/>
    <cellStyle name="Normal 11 2 2 2 2 2 2 2 4 3 2" xfId="26320" xr:uid="{608650FB-09A2-4DDF-B0D9-52B1C61927FA}"/>
    <cellStyle name="Normal 11 2 2 2 2 2 2 2 4 4" xfId="26321" xr:uid="{F67208E4-FDC8-4608-B2B9-C987AE0B5783}"/>
    <cellStyle name="Normal 11 2 2 2 2 2 2 2 5" xfId="26322" xr:uid="{E57C16A2-7CD3-49C9-92AD-1937DC208094}"/>
    <cellStyle name="Normal 11 2 2 2 2 2 2 2 5 2" xfId="26323" xr:uid="{CC565699-6DB4-4C66-BF62-44C5B1FD0D73}"/>
    <cellStyle name="Normal 11 2 2 2 2 2 2 2 5 2 2" xfId="26324" xr:uid="{FBAF9891-C313-4C5A-A81D-F40F423F73C8}"/>
    <cellStyle name="Normal 11 2 2 2 2 2 2 2 5 3" xfId="26325" xr:uid="{6DB38B34-AD43-44BE-8608-360FA4778EB4}"/>
    <cellStyle name="Normal 11 2 2 2 2 2 2 2 6" xfId="26326" xr:uid="{BD644C9D-510B-4908-B404-7FA9001768D7}"/>
    <cellStyle name="Normal 11 2 2 2 2 2 2 2 6 2" xfId="26327" xr:uid="{33A7AE70-26D2-4ADC-818C-160807AF3862}"/>
    <cellStyle name="Normal 11 2 2 2 2 2 2 2 7" xfId="26328" xr:uid="{CB8CC325-D5A5-4E4F-B23B-E009860E2798}"/>
    <cellStyle name="Normal 11 2 2 2 2 2 2 3" xfId="26329" xr:uid="{C1F32032-FD4B-47A6-AB67-31FBE91C22DE}"/>
    <cellStyle name="Normal 11 2 2 2 2 2 2 3 2" xfId="26330" xr:uid="{83356FF0-14BF-47EB-AC20-ADC8E8BAA220}"/>
    <cellStyle name="Normal 11 2 2 2 2 2 2 3 2 2" xfId="26331" xr:uid="{3FB038EE-E8FE-4902-BCAE-9C826FCBFE36}"/>
    <cellStyle name="Normal 11 2 2 2 2 2 2 3 2 2 2" xfId="26332" xr:uid="{B824D8C3-CBD8-4499-9527-445FA651A354}"/>
    <cellStyle name="Normal 11 2 2 2 2 2 2 3 2 2 2 2" xfId="26333" xr:uid="{AE6BACE8-32EA-4BFF-9419-AB5D68B8A150}"/>
    <cellStyle name="Normal 11 2 2 2 2 2 2 3 2 2 2 2 2" xfId="26334" xr:uid="{7A718C6C-A851-4A95-82B4-E033A0543AB4}"/>
    <cellStyle name="Normal 11 2 2 2 2 2 2 3 2 2 2 3" xfId="26335" xr:uid="{B32E6B34-0188-41C2-B794-8687C0B44916}"/>
    <cellStyle name="Normal 11 2 2 2 2 2 2 3 2 2 3" xfId="26336" xr:uid="{A0840177-5539-4030-BF36-8C5ADFDF2402}"/>
    <cellStyle name="Normal 11 2 2 2 2 2 2 3 2 2 3 2" xfId="26337" xr:uid="{7073432B-9CF2-428E-9C96-E8E30135147B}"/>
    <cellStyle name="Normal 11 2 2 2 2 2 2 3 2 2 4" xfId="26338" xr:uid="{2DE97CE2-BB3B-46CF-AB3A-EBB743B2FF1D}"/>
    <cellStyle name="Normal 11 2 2 2 2 2 2 3 2 3" xfId="26339" xr:uid="{4039B419-2E35-40FE-B32D-3E9A25EBD6D2}"/>
    <cellStyle name="Normal 11 2 2 2 2 2 2 3 2 3 2" xfId="26340" xr:uid="{8DA1588A-8FEA-4468-B8E0-DDF7FBDE2D6A}"/>
    <cellStyle name="Normal 11 2 2 2 2 2 2 3 2 3 2 2" xfId="26341" xr:uid="{80C790B3-C5BF-473B-AF0C-AA48847C4C7E}"/>
    <cellStyle name="Normal 11 2 2 2 2 2 2 3 2 3 3" xfId="26342" xr:uid="{A917B647-C62E-4A72-9D5E-22E0A311B879}"/>
    <cellStyle name="Normal 11 2 2 2 2 2 2 3 2 4" xfId="26343" xr:uid="{04CB00D5-9576-43DB-9BF1-AF6B1A2B6CCA}"/>
    <cellStyle name="Normal 11 2 2 2 2 2 2 3 2 4 2" xfId="26344" xr:uid="{8ED423A2-BBD4-4CB3-A3E8-2BBFC3247969}"/>
    <cellStyle name="Normal 11 2 2 2 2 2 2 3 2 5" xfId="26345" xr:uid="{C7330295-1F20-46BC-9F03-A3BA9C295103}"/>
    <cellStyle name="Normal 11 2 2 2 2 2 2 3 3" xfId="26346" xr:uid="{B0F2DDEF-C308-4960-B429-4D147A1EBB73}"/>
    <cellStyle name="Normal 11 2 2 2 2 2 2 3 3 2" xfId="26347" xr:uid="{7C8FDC9B-479E-424E-AF66-DE1E4328B59C}"/>
    <cellStyle name="Normal 11 2 2 2 2 2 2 3 3 2 2" xfId="26348" xr:uid="{FF787079-F240-45DA-A817-A646EFEC48E7}"/>
    <cellStyle name="Normal 11 2 2 2 2 2 2 3 3 2 2 2" xfId="26349" xr:uid="{BE19B354-0D3D-4962-B943-D559B0991BBD}"/>
    <cellStyle name="Normal 11 2 2 2 2 2 2 3 3 2 3" xfId="26350" xr:uid="{DCF28C22-EB31-45EC-8B6A-EA678F33D0B5}"/>
    <cellStyle name="Normal 11 2 2 2 2 2 2 3 3 3" xfId="26351" xr:uid="{815E8E57-02B1-43C2-AB82-108B4887E637}"/>
    <cellStyle name="Normal 11 2 2 2 2 2 2 3 3 3 2" xfId="26352" xr:uid="{03E841E9-23C2-464E-A008-F5A9D871F6A6}"/>
    <cellStyle name="Normal 11 2 2 2 2 2 2 3 3 4" xfId="26353" xr:uid="{51C84320-03EE-4827-BB69-39A1B8906853}"/>
    <cellStyle name="Normal 11 2 2 2 2 2 2 3 4" xfId="26354" xr:uid="{9DA89C4B-551E-4205-A398-B8CB91765331}"/>
    <cellStyle name="Normal 11 2 2 2 2 2 2 3 4 2" xfId="26355" xr:uid="{F9E2F419-3AA7-455B-98EA-EFD842C5A240}"/>
    <cellStyle name="Normal 11 2 2 2 2 2 2 3 4 2 2" xfId="26356" xr:uid="{D25CCFD8-6033-4B68-B3C2-EB34DAE48831}"/>
    <cellStyle name="Normal 11 2 2 2 2 2 2 3 4 3" xfId="26357" xr:uid="{AB08107B-D0B2-475C-8216-6B7FA8F01DE6}"/>
    <cellStyle name="Normal 11 2 2 2 2 2 2 3 5" xfId="26358" xr:uid="{054F34AC-5F26-4E9E-AD68-D26BC872EDFE}"/>
    <cellStyle name="Normal 11 2 2 2 2 2 2 3 5 2" xfId="26359" xr:uid="{A3FBF308-6332-43B2-93E6-322B694B553B}"/>
    <cellStyle name="Normal 11 2 2 2 2 2 2 3 6" xfId="26360" xr:uid="{52D6459E-6C74-43D9-9162-76E94F8A3242}"/>
    <cellStyle name="Normal 11 2 2 2 2 2 2 4" xfId="26361" xr:uid="{AFBCF92D-CE8F-44DE-B03E-EAEAD2989C43}"/>
    <cellStyle name="Normal 11 2 2 2 2 2 2 4 2" xfId="26362" xr:uid="{FC353D06-4EF9-4523-BBF5-8602EB9356BB}"/>
    <cellStyle name="Normal 11 2 2 2 2 2 2 4 2 2" xfId="26363" xr:uid="{605587F7-9F36-42B6-8C1A-7098631FE167}"/>
    <cellStyle name="Normal 11 2 2 2 2 2 2 4 2 2 2" xfId="26364" xr:uid="{0051E4AA-ED81-448E-A8A2-701122F5D8FC}"/>
    <cellStyle name="Normal 11 2 2 2 2 2 2 4 2 2 2 2" xfId="26365" xr:uid="{D3C67EDA-CC18-4DAF-8116-51261E89A77A}"/>
    <cellStyle name="Normal 11 2 2 2 2 2 2 4 2 2 3" xfId="26366" xr:uid="{49A5A0F1-113F-413F-9B10-F344359DDB17}"/>
    <cellStyle name="Normal 11 2 2 2 2 2 2 4 2 3" xfId="26367" xr:uid="{636FE36A-7394-4E55-B1DD-2C3C35F64F0B}"/>
    <cellStyle name="Normal 11 2 2 2 2 2 2 4 2 3 2" xfId="26368" xr:uid="{1EEBE648-3345-4E8F-B77C-384F8C9BB52C}"/>
    <cellStyle name="Normal 11 2 2 2 2 2 2 4 2 4" xfId="26369" xr:uid="{6995436F-0F6C-44A6-9909-0736152D877C}"/>
    <cellStyle name="Normal 11 2 2 2 2 2 2 4 3" xfId="26370" xr:uid="{6FD5B32B-68D1-4D6A-A7D1-0B90070A8AB0}"/>
    <cellStyle name="Normal 11 2 2 2 2 2 2 4 3 2" xfId="26371" xr:uid="{248134C2-0CD9-46AE-9086-AA39AD1C04A6}"/>
    <cellStyle name="Normal 11 2 2 2 2 2 2 4 3 2 2" xfId="26372" xr:uid="{ADB4F75A-DE5C-491B-90BF-4F12F82E26D1}"/>
    <cellStyle name="Normal 11 2 2 2 2 2 2 4 3 3" xfId="26373" xr:uid="{B096B1A9-B7BD-4E52-9DD6-D8162A3BAF66}"/>
    <cellStyle name="Normal 11 2 2 2 2 2 2 4 4" xfId="26374" xr:uid="{5F699D50-E70D-4A93-A416-C26434BD381A}"/>
    <cellStyle name="Normal 11 2 2 2 2 2 2 4 4 2" xfId="26375" xr:uid="{0A21EE5A-EB23-4C8B-A228-5DD577DD6F46}"/>
    <cellStyle name="Normal 11 2 2 2 2 2 2 4 5" xfId="26376" xr:uid="{F65D736E-0D7E-4B8A-AB18-86441DDD704B}"/>
    <cellStyle name="Normal 11 2 2 2 2 2 2 5" xfId="26377" xr:uid="{47BA0F8A-6787-4A75-8933-69C2E0E01207}"/>
    <cellStyle name="Normal 11 2 2 2 2 2 2 5 2" xfId="26378" xr:uid="{4DB72B6B-39F1-466B-86A3-5A3E5E4865BF}"/>
    <cellStyle name="Normal 11 2 2 2 2 2 2 5 2 2" xfId="26379" xr:uid="{1C5A2DA1-0615-44D6-9452-96D85FA88A93}"/>
    <cellStyle name="Normal 11 2 2 2 2 2 2 5 2 2 2" xfId="26380" xr:uid="{412F8D02-7D9C-4B97-893A-52E5B785C6CA}"/>
    <cellStyle name="Normal 11 2 2 2 2 2 2 5 2 3" xfId="26381" xr:uid="{48F87C6B-7BDD-437C-B1D4-DF906B9911CB}"/>
    <cellStyle name="Normal 11 2 2 2 2 2 2 5 3" xfId="26382" xr:uid="{6C5423E2-824B-4437-BE3B-137546E2C446}"/>
    <cellStyle name="Normal 11 2 2 2 2 2 2 5 3 2" xfId="26383" xr:uid="{33915882-2DD4-4BCE-8640-A52C97CC142F}"/>
    <cellStyle name="Normal 11 2 2 2 2 2 2 5 4" xfId="26384" xr:uid="{12D885F7-D535-4937-B686-7E2A70F6BBB9}"/>
    <cellStyle name="Normal 11 2 2 2 2 2 2 6" xfId="26385" xr:uid="{32B142B0-7C66-41FF-B218-DB56DEECAE73}"/>
    <cellStyle name="Normal 11 2 2 2 2 2 2 6 2" xfId="26386" xr:uid="{94448080-067F-4C09-9B10-C900C56E8262}"/>
    <cellStyle name="Normal 11 2 2 2 2 2 2 6 2 2" xfId="26387" xr:uid="{88A79092-A7C5-4E20-99B4-080AD4F40B65}"/>
    <cellStyle name="Normal 11 2 2 2 2 2 2 6 3" xfId="26388" xr:uid="{BF4A9C70-9900-4B24-8521-CE25333F55F5}"/>
    <cellStyle name="Normal 11 2 2 2 2 2 2 7" xfId="26389" xr:uid="{95074C37-A5CC-413C-90DF-FACA411CD43D}"/>
    <cellStyle name="Normal 11 2 2 2 2 2 2 7 2" xfId="26390" xr:uid="{4841BDC4-392D-43FA-BCDD-C692A8CB1308}"/>
    <cellStyle name="Normal 11 2 2 2 2 2 2 8" xfId="26391" xr:uid="{E8A86E5D-121D-4AFC-B420-33A208020B84}"/>
    <cellStyle name="Normal 11 2 2 2 2 2 3" xfId="26392" xr:uid="{A63142DA-AAD2-4D81-91AE-F1B1419E9CEB}"/>
    <cellStyle name="Normal 11 2 2 2 2 2 3 2" xfId="26393" xr:uid="{27EF481F-1680-4F8E-A8AB-B02E6FA37A0E}"/>
    <cellStyle name="Normal 11 2 2 2 2 2 3 2 2" xfId="26394" xr:uid="{DA594FEB-A87F-454C-9EEC-432AF6874EBC}"/>
    <cellStyle name="Normal 11 2 2 2 2 2 3 2 2 2" xfId="26395" xr:uid="{CE17F1FA-D9C1-4708-9F60-380993499486}"/>
    <cellStyle name="Normal 11 2 2 2 2 2 3 2 2 2 2" xfId="26396" xr:uid="{FF64C394-ADD4-44BE-82D7-F8BA29B0E276}"/>
    <cellStyle name="Normal 11 2 2 2 2 2 3 2 2 2 2 2" xfId="26397" xr:uid="{00651962-8FE4-4113-A35B-866EB52DD840}"/>
    <cellStyle name="Normal 11 2 2 2 2 2 3 2 2 2 2 2 2" xfId="26398" xr:uid="{6CC1E03E-C7F5-4311-99A9-70D1913321CF}"/>
    <cellStyle name="Normal 11 2 2 2 2 2 3 2 2 2 2 3" xfId="26399" xr:uid="{96B3DEE9-AA23-4288-AA24-B2ADB6517DD3}"/>
    <cellStyle name="Normal 11 2 2 2 2 2 3 2 2 2 3" xfId="26400" xr:uid="{4AE1B6F4-F44E-4B0B-9973-183DD09B3F32}"/>
    <cellStyle name="Normal 11 2 2 2 2 2 3 2 2 2 3 2" xfId="26401" xr:uid="{63990981-B4AD-4E57-B1B5-10622C899C45}"/>
    <cellStyle name="Normal 11 2 2 2 2 2 3 2 2 2 4" xfId="26402" xr:uid="{A03249CA-94C5-4C35-A744-EB8523ECE0B3}"/>
    <cellStyle name="Normal 11 2 2 2 2 2 3 2 2 3" xfId="26403" xr:uid="{054B81B6-0396-4244-98C8-2CC148F1F6B5}"/>
    <cellStyle name="Normal 11 2 2 2 2 2 3 2 2 3 2" xfId="26404" xr:uid="{6588367F-26DC-495C-ADEA-F6FE45F9C510}"/>
    <cellStyle name="Normal 11 2 2 2 2 2 3 2 2 3 2 2" xfId="26405" xr:uid="{820A58B7-BFA8-4192-BEA7-43F1F0DD2F49}"/>
    <cellStyle name="Normal 11 2 2 2 2 2 3 2 2 3 3" xfId="26406" xr:uid="{ECA5715E-F831-4DFC-9062-95C8A6F0FE37}"/>
    <cellStyle name="Normal 11 2 2 2 2 2 3 2 2 4" xfId="26407" xr:uid="{FD5206EE-D08E-4158-8998-CF31820E2464}"/>
    <cellStyle name="Normal 11 2 2 2 2 2 3 2 2 4 2" xfId="26408" xr:uid="{2D6661AE-A9A9-425A-8E5C-3D057648C614}"/>
    <cellStyle name="Normal 11 2 2 2 2 2 3 2 2 5" xfId="26409" xr:uid="{3FF29671-4DF0-49F5-9BF7-1585F1722661}"/>
    <cellStyle name="Normal 11 2 2 2 2 2 3 2 3" xfId="26410" xr:uid="{0FB93DF6-F53B-4EED-8039-97456FF0ED60}"/>
    <cellStyle name="Normal 11 2 2 2 2 2 3 2 3 2" xfId="26411" xr:uid="{5DC27F40-ABEB-4F52-909E-6CD53AAEA53D}"/>
    <cellStyle name="Normal 11 2 2 2 2 2 3 2 3 2 2" xfId="26412" xr:uid="{8050AD3A-4B79-4468-A58B-6C4353E649E0}"/>
    <cellStyle name="Normal 11 2 2 2 2 2 3 2 3 2 2 2" xfId="26413" xr:uid="{DBFDF670-27E5-43DC-939B-B0424C5577F6}"/>
    <cellStyle name="Normal 11 2 2 2 2 2 3 2 3 2 3" xfId="26414" xr:uid="{C134813B-7D69-4132-916D-3B56E0F9525C}"/>
    <cellStyle name="Normal 11 2 2 2 2 2 3 2 3 3" xfId="26415" xr:uid="{55BEA57C-EA8D-4B12-AE5C-D17FBA496B75}"/>
    <cellStyle name="Normal 11 2 2 2 2 2 3 2 3 3 2" xfId="26416" xr:uid="{FA450F5D-588E-40AC-91E6-FCE9B7DC40A8}"/>
    <cellStyle name="Normal 11 2 2 2 2 2 3 2 3 4" xfId="26417" xr:uid="{7CCEFFFD-0762-401A-80E9-2089A24D916D}"/>
    <cellStyle name="Normal 11 2 2 2 2 2 3 2 4" xfId="26418" xr:uid="{644B5C3A-B385-416E-B612-EED565CC8219}"/>
    <cellStyle name="Normal 11 2 2 2 2 2 3 2 4 2" xfId="26419" xr:uid="{9E6C0DB3-1B71-4883-8A8D-C7D8EB45CDEE}"/>
    <cellStyle name="Normal 11 2 2 2 2 2 3 2 4 2 2" xfId="26420" xr:uid="{4C38040B-2E46-4659-B468-AEBC8B1BC0DD}"/>
    <cellStyle name="Normal 11 2 2 2 2 2 3 2 4 3" xfId="26421" xr:uid="{E57BCE43-F87F-4981-B7A1-14276011CAAB}"/>
    <cellStyle name="Normal 11 2 2 2 2 2 3 2 5" xfId="26422" xr:uid="{DDDC043A-D25A-4874-BDA1-97D383AB17A1}"/>
    <cellStyle name="Normal 11 2 2 2 2 2 3 2 5 2" xfId="26423" xr:uid="{88447F8E-AC6B-4604-BEA9-81BC3FD47EAF}"/>
    <cellStyle name="Normal 11 2 2 2 2 2 3 2 6" xfId="26424" xr:uid="{9D849787-32CA-4263-BB0E-24AFA8B04098}"/>
    <cellStyle name="Normal 11 2 2 2 2 2 3 3" xfId="26425" xr:uid="{D92B778C-A2F8-492F-8140-8BACD38EF27A}"/>
    <cellStyle name="Normal 11 2 2 2 2 2 3 3 2" xfId="26426" xr:uid="{0A0467F0-849B-4E2B-B3B8-E8F75D4A2749}"/>
    <cellStyle name="Normal 11 2 2 2 2 2 3 3 2 2" xfId="26427" xr:uid="{E6F0A82A-495A-455A-A147-B7BB6BDE8892}"/>
    <cellStyle name="Normal 11 2 2 2 2 2 3 3 2 2 2" xfId="26428" xr:uid="{E90AF975-3149-48B7-80E7-B353E480351D}"/>
    <cellStyle name="Normal 11 2 2 2 2 2 3 3 2 2 2 2" xfId="26429" xr:uid="{0E83C3FB-989F-4E99-B253-E7167B207887}"/>
    <cellStyle name="Normal 11 2 2 2 2 2 3 3 2 2 3" xfId="26430" xr:uid="{0235E019-45C0-48BB-8720-0CAFFA25D03F}"/>
    <cellStyle name="Normal 11 2 2 2 2 2 3 3 2 3" xfId="26431" xr:uid="{65E43FFC-D232-4888-ADD7-0A292217F8C5}"/>
    <cellStyle name="Normal 11 2 2 2 2 2 3 3 2 3 2" xfId="26432" xr:uid="{6EA9A0EB-AD50-429E-9A4F-58488CADFDCE}"/>
    <cellStyle name="Normal 11 2 2 2 2 2 3 3 2 4" xfId="26433" xr:uid="{A33969E7-2EC4-4DC9-9F59-4085B84814AF}"/>
    <cellStyle name="Normal 11 2 2 2 2 2 3 3 3" xfId="26434" xr:uid="{9B0F8F1D-F766-4A8B-8EB6-41E788372205}"/>
    <cellStyle name="Normal 11 2 2 2 2 2 3 3 3 2" xfId="26435" xr:uid="{2BB4D6EF-DB9D-441E-957D-8BF2EAD18F8D}"/>
    <cellStyle name="Normal 11 2 2 2 2 2 3 3 3 2 2" xfId="26436" xr:uid="{DF839517-228C-4717-B185-DA0AA6F60C9D}"/>
    <cellStyle name="Normal 11 2 2 2 2 2 3 3 3 3" xfId="26437" xr:uid="{D85C0230-65DF-4BA4-903C-264F7A3D6C16}"/>
    <cellStyle name="Normal 11 2 2 2 2 2 3 3 4" xfId="26438" xr:uid="{85538C14-9B8E-4124-B43E-430061A8ED68}"/>
    <cellStyle name="Normal 11 2 2 2 2 2 3 3 4 2" xfId="26439" xr:uid="{739087CB-9974-4425-805A-9873CB0E98D1}"/>
    <cellStyle name="Normal 11 2 2 2 2 2 3 3 5" xfId="26440" xr:uid="{C365B6F2-6FC6-4AD3-84AE-C217BCDF24F6}"/>
    <cellStyle name="Normal 11 2 2 2 2 2 3 4" xfId="26441" xr:uid="{F7496F3C-4AE9-4996-90FA-A9C1AEFA568D}"/>
    <cellStyle name="Normal 11 2 2 2 2 2 3 4 2" xfId="26442" xr:uid="{BC4F53A5-A4EA-45AF-B7F4-41E09A775D43}"/>
    <cellStyle name="Normal 11 2 2 2 2 2 3 4 2 2" xfId="26443" xr:uid="{17A8E23C-A0D3-4000-B24F-FE30EBC7D699}"/>
    <cellStyle name="Normal 11 2 2 2 2 2 3 4 2 2 2" xfId="26444" xr:uid="{E28A42C0-02DF-4AB2-961D-ED90A8460003}"/>
    <cellStyle name="Normal 11 2 2 2 2 2 3 4 2 3" xfId="26445" xr:uid="{088FFF88-C3C6-408A-80E8-CFF40BB6B432}"/>
    <cellStyle name="Normal 11 2 2 2 2 2 3 4 3" xfId="26446" xr:uid="{D04FDAF6-A611-4B34-8A6B-4C7FE176CA25}"/>
    <cellStyle name="Normal 11 2 2 2 2 2 3 4 3 2" xfId="26447" xr:uid="{57927D84-CEF2-4B71-9358-67D89B1E2EF8}"/>
    <cellStyle name="Normal 11 2 2 2 2 2 3 4 4" xfId="26448" xr:uid="{1F051327-463E-4604-A598-32F8AB442687}"/>
    <cellStyle name="Normal 11 2 2 2 2 2 3 5" xfId="26449" xr:uid="{0989E9BC-CFBC-41AF-9793-20563D4A7224}"/>
    <cellStyle name="Normal 11 2 2 2 2 2 3 5 2" xfId="26450" xr:uid="{2D4683C2-0E40-4137-8888-38F3E89A997B}"/>
    <cellStyle name="Normal 11 2 2 2 2 2 3 5 2 2" xfId="26451" xr:uid="{AD50F192-8494-4D69-8392-FF3A72C464CE}"/>
    <cellStyle name="Normal 11 2 2 2 2 2 3 5 3" xfId="26452" xr:uid="{9E317688-7F8E-42A8-BB9D-EB3BBFD834CC}"/>
    <cellStyle name="Normal 11 2 2 2 2 2 3 6" xfId="26453" xr:uid="{CE3EA126-E0B2-4FBF-ACE2-3C29B3517421}"/>
    <cellStyle name="Normal 11 2 2 2 2 2 3 6 2" xfId="26454" xr:uid="{01078D6E-FD23-400A-A5DA-CBF73FADAA51}"/>
    <cellStyle name="Normal 11 2 2 2 2 2 3 7" xfId="26455" xr:uid="{9B665403-6F8D-41F6-8032-86F700FFBF1C}"/>
    <cellStyle name="Normal 11 2 2 2 2 2 4" xfId="26456" xr:uid="{87645571-783D-41C7-A9D6-76E3ED301AF3}"/>
    <cellStyle name="Normal 11 2 2 2 2 2 4 2" xfId="26457" xr:uid="{0369F2C2-A312-46C8-B789-4A9DACCB4A94}"/>
    <cellStyle name="Normal 11 2 2 2 2 2 4 2 2" xfId="26458" xr:uid="{945EC57E-CB3E-4941-940D-4D4748B0134E}"/>
    <cellStyle name="Normal 11 2 2 2 2 2 4 2 2 2" xfId="26459" xr:uid="{C6D7488A-2ED2-498D-ABE5-A0224624A0BE}"/>
    <cellStyle name="Normal 11 2 2 2 2 2 4 2 2 2 2" xfId="26460" xr:uid="{A71876F7-1B05-44C1-9BE5-5DCCA3E08000}"/>
    <cellStyle name="Normal 11 2 2 2 2 2 4 2 2 2 2 2" xfId="26461" xr:uid="{FF7C3B4F-6AAE-48BF-8610-DC46919B4B5F}"/>
    <cellStyle name="Normal 11 2 2 2 2 2 4 2 2 2 3" xfId="26462" xr:uid="{2656C06C-562B-482D-881F-4DA3E06F7E32}"/>
    <cellStyle name="Normal 11 2 2 2 2 2 4 2 2 3" xfId="26463" xr:uid="{F9443670-0EAA-4131-96AB-052AF8645237}"/>
    <cellStyle name="Normal 11 2 2 2 2 2 4 2 2 3 2" xfId="26464" xr:uid="{B6379D66-03C3-445A-A284-DB1345457886}"/>
    <cellStyle name="Normal 11 2 2 2 2 2 4 2 2 4" xfId="26465" xr:uid="{20768FDE-AFC3-4647-B054-7A9DF783E60E}"/>
    <cellStyle name="Normal 11 2 2 2 2 2 4 2 3" xfId="26466" xr:uid="{CEB361FF-9696-4613-B874-6E939E22FA25}"/>
    <cellStyle name="Normal 11 2 2 2 2 2 4 2 3 2" xfId="26467" xr:uid="{F4DBF3DB-CDF8-4279-9802-D677A676ED6A}"/>
    <cellStyle name="Normal 11 2 2 2 2 2 4 2 3 2 2" xfId="26468" xr:uid="{E37DB92D-41E7-4287-A50F-C92E36BEB6FA}"/>
    <cellStyle name="Normal 11 2 2 2 2 2 4 2 3 3" xfId="26469" xr:uid="{1DDE8FD1-34E5-4728-B59A-77A00AC69A00}"/>
    <cellStyle name="Normal 11 2 2 2 2 2 4 2 4" xfId="26470" xr:uid="{C05A5865-26A6-4ECD-BFF7-39D36641820B}"/>
    <cellStyle name="Normal 11 2 2 2 2 2 4 2 4 2" xfId="26471" xr:uid="{4235EAC1-A06E-4B68-85C4-1019F6F07B9E}"/>
    <cellStyle name="Normal 11 2 2 2 2 2 4 2 5" xfId="26472" xr:uid="{CB34E8B3-7011-4873-9DA1-E5862B7C4C15}"/>
    <cellStyle name="Normal 11 2 2 2 2 2 4 3" xfId="26473" xr:uid="{93F28D80-DAF6-417D-8071-718EB7F79BF4}"/>
    <cellStyle name="Normal 11 2 2 2 2 2 4 3 2" xfId="26474" xr:uid="{94A3C168-04BE-4E8F-840C-7F6FBF45990C}"/>
    <cellStyle name="Normal 11 2 2 2 2 2 4 3 2 2" xfId="26475" xr:uid="{A78CA38D-9180-470A-9C4C-133D5CB078E1}"/>
    <cellStyle name="Normal 11 2 2 2 2 2 4 3 2 2 2" xfId="26476" xr:uid="{2C50A8A6-470C-4AB0-A1D6-81B4E260765B}"/>
    <cellStyle name="Normal 11 2 2 2 2 2 4 3 2 3" xfId="26477" xr:uid="{185BB6B7-3368-44DB-BC65-358FE849294B}"/>
    <cellStyle name="Normal 11 2 2 2 2 2 4 3 3" xfId="26478" xr:uid="{76D3AAB9-4D82-4606-A528-81F3EA74669F}"/>
    <cellStyle name="Normal 11 2 2 2 2 2 4 3 3 2" xfId="26479" xr:uid="{E7C4882E-1DD5-45BA-A095-8B5BE0E5EDC9}"/>
    <cellStyle name="Normal 11 2 2 2 2 2 4 3 4" xfId="26480" xr:uid="{207D59E0-18A7-4C8E-BC2B-31E552FDD572}"/>
    <cellStyle name="Normal 11 2 2 2 2 2 4 4" xfId="26481" xr:uid="{044E4B20-F076-46B3-A603-4EC44604D29B}"/>
    <cellStyle name="Normal 11 2 2 2 2 2 4 4 2" xfId="26482" xr:uid="{F29553D4-6007-45D2-AB27-90EB7AA8AAFE}"/>
    <cellStyle name="Normal 11 2 2 2 2 2 4 4 2 2" xfId="26483" xr:uid="{6A0ABF42-7B4F-4481-8C10-22E1BC826BAB}"/>
    <cellStyle name="Normal 11 2 2 2 2 2 4 4 3" xfId="26484" xr:uid="{626B71B0-54A1-4BA0-960F-21F90AB0F3DE}"/>
    <cellStyle name="Normal 11 2 2 2 2 2 4 5" xfId="26485" xr:uid="{80D6F9F2-7C43-4DAB-B68D-D3D8C4BDAE07}"/>
    <cellStyle name="Normal 11 2 2 2 2 2 4 5 2" xfId="26486" xr:uid="{3C9781FA-DBBE-4A24-A6E2-A0E879E1BCFF}"/>
    <cellStyle name="Normal 11 2 2 2 2 2 4 6" xfId="26487" xr:uid="{E6B62C85-0953-48B8-BD52-650801B3F1FB}"/>
    <cellStyle name="Normal 11 2 2 2 2 2 5" xfId="26488" xr:uid="{9BFAABF9-2C4C-45FC-A6AA-4D64B5DAED50}"/>
    <cellStyle name="Normal 11 2 2 2 2 2 5 2" xfId="26489" xr:uid="{E99AA8C7-E79C-40E1-A3A8-AB4324DE92B2}"/>
    <cellStyle name="Normal 11 2 2 2 2 2 5 2 2" xfId="26490" xr:uid="{1FB9C386-E644-485D-8893-BD2D2817D728}"/>
    <cellStyle name="Normal 11 2 2 2 2 2 5 2 2 2" xfId="26491" xr:uid="{ABA5AD2A-DD34-4F22-9977-BD9174EEC745}"/>
    <cellStyle name="Normal 11 2 2 2 2 2 5 2 2 2 2" xfId="26492" xr:uid="{9FE97B81-DF9C-41B9-A12C-D7E434A4611E}"/>
    <cellStyle name="Normal 11 2 2 2 2 2 5 2 2 3" xfId="26493" xr:uid="{C0B4B001-D8CB-4B96-96A6-23C069A9004A}"/>
    <cellStyle name="Normal 11 2 2 2 2 2 5 2 3" xfId="26494" xr:uid="{7D337D05-7515-441D-98BB-F97142BD4A4F}"/>
    <cellStyle name="Normal 11 2 2 2 2 2 5 2 3 2" xfId="26495" xr:uid="{88DE04A8-1CDF-448B-B600-F125BF6C351F}"/>
    <cellStyle name="Normal 11 2 2 2 2 2 5 2 4" xfId="26496" xr:uid="{0F3FCD97-8AED-4932-B61C-DD6F0BD678DD}"/>
    <cellStyle name="Normal 11 2 2 2 2 2 5 3" xfId="26497" xr:uid="{3FE446F6-8182-47C7-B90D-FDF80BFF06EE}"/>
    <cellStyle name="Normal 11 2 2 2 2 2 5 3 2" xfId="26498" xr:uid="{D11CA626-CC4A-47AA-B171-192BCAA62DF8}"/>
    <cellStyle name="Normal 11 2 2 2 2 2 5 3 2 2" xfId="26499" xr:uid="{68A442AE-BA56-4513-B76D-448D066B0FF2}"/>
    <cellStyle name="Normal 11 2 2 2 2 2 5 3 3" xfId="26500" xr:uid="{484047D2-F621-4684-8223-9669C1C7CE01}"/>
    <cellStyle name="Normal 11 2 2 2 2 2 5 4" xfId="26501" xr:uid="{05228F02-7C88-4919-9F65-9C08CBA940AE}"/>
    <cellStyle name="Normal 11 2 2 2 2 2 5 4 2" xfId="26502" xr:uid="{446A25BB-E0E7-4864-8960-DFB0064A1600}"/>
    <cellStyle name="Normal 11 2 2 2 2 2 5 5" xfId="26503" xr:uid="{37BDC52F-B144-4F65-A2EF-20CC3AA4F8FF}"/>
    <cellStyle name="Normal 11 2 2 2 2 2 6" xfId="26504" xr:uid="{72CA139B-7853-48D3-A9A4-ECEFB8BA3850}"/>
    <cellStyle name="Normal 11 2 2 2 2 2 6 2" xfId="26505" xr:uid="{36ABF7CB-CA47-4A1A-9024-74D216C39382}"/>
    <cellStyle name="Normal 11 2 2 2 2 2 6 2 2" xfId="26506" xr:uid="{04AFC783-67FA-4D7E-80AB-03F9BBFCF6BD}"/>
    <cellStyle name="Normal 11 2 2 2 2 2 6 2 2 2" xfId="26507" xr:uid="{A9EB1C96-245F-486D-B6B6-B8096B82E103}"/>
    <cellStyle name="Normal 11 2 2 2 2 2 6 2 3" xfId="26508" xr:uid="{19D421F7-229E-4D31-947C-E6817500F4D8}"/>
    <cellStyle name="Normal 11 2 2 2 2 2 6 3" xfId="26509" xr:uid="{374A6DF6-B504-480E-92E0-1BDB7077EDE2}"/>
    <cellStyle name="Normal 11 2 2 2 2 2 6 3 2" xfId="26510" xr:uid="{A33B6681-8F0F-4379-8E09-4F6D41E09506}"/>
    <cellStyle name="Normal 11 2 2 2 2 2 6 4" xfId="26511" xr:uid="{ADF2FB40-E216-4BDB-B5F8-B688B587BF2F}"/>
    <cellStyle name="Normal 11 2 2 2 2 2 7" xfId="26512" xr:uid="{D26167B9-037F-4DA8-951F-FFEC50816AB0}"/>
    <cellStyle name="Normal 11 2 2 2 2 2 7 2" xfId="26513" xr:uid="{815FD4B2-7BDB-42A1-AD0B-568363D27B50}"/>
    <cellStyle name="Normal 11 2 2 2 2 2 7 2 2" xfId="26514" xr:uid="{0DB64E12-904A-4D9E-9B4D-32F56B3E575A}"/>
    <cellStyle name="Normal 11 2 2 2 2 2 7 3" xfId="26515" xr:uid="{787E7BFC-627E-4A31-9B49-A1A0E7CAAE33}"/>
    <cellStyle name="Normal 11 2 2 2 2 2 8" xfId="26516" xr:uid="{078CF46E-F42D-4C02-B3E5-424CC4F6695B}"/>
    <cellStyle name="Normal 11 2 2 2 2 2 8 2" xfId="26517" xr:uid="{BA4B1E77-1934-411A-900E-861B4251475D}"/>
    <cellStyle name="Normal 11 2 2 2 2 2 9" xfId="26518" xr:uid="{6DE9EB46-D7E1-492D-8642-355048497B23}"/>
    <cellStyle name="Normal 11 2 2 2 2 3" xfId="467" xr:uid="{B8A0B252-1B10-4F35-AD41-111E7BB6B50B}"/>
    <cellStyle name="Normal 11 2 2 2 2 3 2" xfId="26520" xr:uid="{4BDA41E0-0C53-4DA2-8430-F5BA612FB172}"/>
    <cellStyle name="Normal 11 2 2 2 2 3 2 2" xfId="26521" xr:uid="{7AC92951-934C-40A3-900E-428A6341CCAD}"/>
    <cellStyle name="Normal 11 2 2 2 2 3 2 2 2" xfId="26522" xr:uid="{08780587-AF07-4295-9F8C-73DB24A8C989}"/>
    <cellStyle name="Normal 11 2 2 2 2 3 2 2 2 2" xfId="26523" xr:uid="{3502094E-0932-4C66-BD94-20EED69E11CF}"/>
    <cellStyle name="Normal 11 2 2 2 2 3 2 2 2 2 2" xfId="26524" xr:uid="{74DFB02D-FB0C-47E5-B580-908DC700B0A3}"/>
    <cellStyle name="Normal 11 2 2 2 2 3 2 2 2 2 2 2" xfId="26525" xr:uid="{3EAAB3A5-64B3-4B49-8EE1-3D599A1886D1}"/>
    <cellStyle name="Normal 11 2 2 2 2 3 2 2 2 2 2 2 2" xfId="26526" xr:uid="{9F731C68-F603-4DAF-8AF9-0CC2AE68FAE5}"/>
    <cellStyle name="Normal 11 2 2 2 2 3 2 2 2 2 2 3" xfId="26527" xr:uid="{00C6E3BE-BE13-42DE-A4A1-A75934243DB7}"/>
    <cellStyle name="Normal 11 2 2 2 2 3 2 2 2 2 3" xfId="26528" xr:uid="{16CD8D51-7A43-4B74-9A79-D761805609BF}"/>
    <cellStyle name="Normal 11 2 2 2 2 3 2 2 2 2 3 2" xfId="26529" xr:uid="{4952DF4E-93C1-41B9-807D-9B9EF1F73493}"/>
    <cellStyle name="Normal 11 2 2 2 2 3 2 2 2 2 4" xfId="26530" xr:uid="{BC3BC0E0-B365-4F94-AA11-A4E0634E5881}"/>
    <cellStyle name="Normal 11 2 2 2 2 3 2 2 2 3" xfId="26531" xr:uid="{2943EBDF-2066-40B9-9E54-821F0EBEAE1F}"/>
    <cellStyle name="Normal 11 2 2 2 2 3 2 2 2 3 2" xfId="26532" xr:uid="{C01517DE-1FAF-4666-BDF7-AF30807D312D}"/>
    <cellStyle name="Normal 11 2 2 2 2 3 2 2 2 3 2 2" xfId="26533" xr:uid="{39312A0D-8A6F-453A-A5FB-7CC9B22F870C}"/>
    <cellStyle name="Normal 11 2 2 2 2 3 2 2 2 3 3" xfId="26534" xr:uid="{0B5E16AC-E505-417E-B927-C13187111287}"/>
    <cellStyle name="Normal 11 2 2 2 2 3 2 2 2 4" xfId="26535" xr:uid="{4B588A1E-6BB6-4579-812D-C62730203AFF}"/>
    <cellStyle name="Normal 11 2 2 2 2 3 2 2 2 4 2" xfId="26536" xr:uid="{B14174D5-5DB5-4534-84E3-49173B0A4C5C}"/>
    <cellStyle name="Normal 11 2 2 2 2 3 2 2 2 5" xfId="26537" xr:uid="{068AEB2E-F0C5-482D-9C7A-E2FA7E0A933F}"/>
    <cellStyle name="Normal 11 2 2 2 2 3 2 2 3" xfId="26538" xr:uid="{60186BA5-9B1E-4AB2-AA89-F9D2DFE05306}"/>
    <cellStyle name="Normal 11 2 2 2 2 3 2 2 3 2" xfId="26539" xr:uid="{F36F3C16-CD45-4973-A8E1-11B9F30B9B17}"/>
    <cellStyle name="Normal 11 2 2 2 2 3 2 2 3 2 2" xfId="26540" xr:uid="{2A767865-D82B-4125-8A06-C7ADB6A948F4}"/>
    <cellStyle name="Normal 11 2 2 2 2 3 2 2 3 2 2 2" xfId="26541" xr:uid="{87FA85ED-9308-4468-8D3D-A15FC5DE4193}"/>
    <cellStyle name="Normal 11 2 2 2 2 3 2 2 3 2 3" xfId="26542" xr:uid="{27EB852F-3E55-4D5D-A98F-91E8625B95C2}"/>
    <cellStyle name="Normal 11 2 2 2 2 3 2 2 3 3" xfId="26543" xr:uid="{036085A2-0383-49B9-BA0B-5353EFD13B5A}"/>
    <cellStyle name="Normal 11 2 2 2 2 3 2 2 3 3 2" xfId="26544" xr:uid="{5803F1D7-EDC1-451E-952C-CC49A6C44D9B}"/>
    <cellStyle name="Normal 11 2 2 2 2 3 2 2 3 4" xfId="26545" xr:uid="{8B5FF86E-FB87-45EF-877B-9AF24F93E794}"/>
    <cellStyle name="Normal 11 2 2 2 2 3 2 2 4" xfId="26546" xr:uid="{67A6264F-70AF-4271-AFF8-C166B5388E1A}"/>
    <cellStyle name="Normal 11 2 2 2 2 3 2 2 4 2" xfId="26547" xr:uid="{A0954369-8D5A-4560-91EE-7D41BEFD8992}"/>
    <cellStyle name="Normal 11 2 2 2 2 3 2 2 4 2 2" xfId="26548" xr:uid="{785C2316-A56C-437B-9069-472538F457D7}"/>
    <cellStyle name="Normal 11 2 2 2 2 3 2 2 4 3" xfId="26549" xr:uid="{E48B527E-184A-44C6-830D-DBF91B606C8E}"/>
    <cellStyle name="Normal 11 2 2 2 2 3 2 2 5" xfId="26550" xr:uid="{7BD1D6FB-4CD6-4D48-B4D8-14145CA62F74}"/>
    <cellStyle name="Normal 11 2 2 2 2 3 2 2 5 2" xfId="26551" xr:uid="{7A5DFC82-35D2-42D2-AB00-692C88CE1095}"/>
    <cellStyle name="Normal 11 2 2 2 2 3 2 2 6" xfId="26552" xr:uid="{DAD26BB9-FC12-4CD1-9C92-027FA408C87C}"/>
    <cellStyle name="Normal 11 2 2 2 2 3 2 3" xfId="26553" xr:uid="{1FF8F863-C237-4D67-A891-608A950A33BC}"/>
    <cellStyle name="Normal 11 2 2 2 2 3 2 3 2" xfId="26554" xr:uid="{4AA06B11-0B2A-415D-8035-99126DDCB14F}"/>
    <cellStyle name="Normal 11 2 2 2 2 3 2 3 2 2" xfId="26555" xr:uid="{4B2772DC-B314-46ED-94DB-B74085DD6F8F}"/>
    <cellStyle name="Normal 11 2 2 2 2 3 2 3 2 2 2" xfId="26556" xr:uid="{AD5B3AB9-5BE0-461E-8BCF-05AE6E021684}"/>
    <cellStyle name="Normal 11 2 2 2 2 3 2 3 2 2 2 2" xfId="26557" xr:uid="{35E21293-7021-47CB-B623-9E8BF6DF4B25}"/>
    <cellStyle name="Normal 11 2 2 2 2 3 2 3 2 2 3" xfId="26558" xr:uid="{72632BDF-ED73-454A-B450-5F54B2FC160E}"/>
    <cellStyle name="Normal 11 2 2 2 2 3 2 3 2 3" xfId="26559" xr:uid="{1444BC1C-F648-429C-91D4-0B31D8065BA8}"/>
    <cellStyle name="Normal 11 2 2 2 2 3 2 3 2 3 2" xfId="26560" xr:uid="{B8AE48AD-F38E-431A-B233-F7179F922463}"/>
    <cellStyle name="Normal 11 2 2 2 2 3 2 3 2 4" xfId="26561" xr:uid="{6F693C01-17AF-4770-AC12-876226982B84}"/>
    <cellStyle name="Normal 11 2 2 2 2 3 2 3 3" xfId="26562" xr:uid="{6207F079-75E1-4CDE-BA3D-A9B9366712C5}"/>
    <cellStyle name="Normal 11 2 2 2 2 3 2 3 3 2" xfId="26563" xr:uid="{BACA5126-BAE2-4E73-86A2-C6273FE17F84}"/>
    <cellStyle name="Normal 11 2 2 2 2 3 2 3 3 2 2" xfId="26564" xr:uid="{917EE15B-A5D8-4899-8930-72EAD7C9DF73}"/>
    <cellStyle name="Normal 11 2 2 2 2 3 2 3 3 3" xfId="26565" xr:uid="{DFFBEDB2-5014-4097-A8AB-10AD1E372C02}"/>
    <cellStyle name="Normal 11 2 2 2 2 3 2 3 4" xfId="26566" xr:uid="{B443574B-03AC-43E5-951E-BA75F4BB6691}"/>
    <cellStyle name="Normal 11 2 2 2 2 3 2 3 4 2" xfId="26567" xr:uid="{BE38ACA2-E9AA-4F0A-A954-6A5A73400157}"/>
    <cellStyle name="Normal 11 2 2 2 2 3 2 3 5" xfId="26568" xr:uid="{D4529D16-5A57-4E27-9685-3E946BCE4B0F}"/>
    <cellStyle name="Normal 11 2 2 2 2 3 2 4" xfId="26569" xr:uid="{0FC418C3-2C4A-4CB5-99E9-1444542A1B2D}"/>
    <cellStyle name="Normal 11 2 2 2 2 3 2 4 2" xfId="26570" xr:uid="{A3715829-8F83-456E-820F-0A41BEA4EAFF}"/>
    <cellStyle name="Normal 11 2 2 2 2 3 2 4 2 2" xfId="26571" xr:uid="{E9C1E2F6-396A-45E2-A5A6-60CBA8677DFB}"/>
    <cellStyle name="Normal 11 2 2 2 2 3 2 4 2 2 2" xfId="26572" xr:uid="{29047C63-24F0-40D4-A1D7-9E239415576D}"/>
    <cellStyle name="Normal 11 2 2 2 2 3 2 4 2 3" xfId="26573" xr:uid="{095DD79E-D38D-46F7-96B8-8138E43F79F2}"/>
    <cellStyle name="Normal 11 2 2 2 2 3 2 4 3" xfId="26574" xr:uid="{1AD17AF8-EDB0-4401-AB31-1E16F68831D6}"/>
    <cellStyle name="Normal 11 2 2 2 2 3 2 4 3 2" xfId="26575" xr:uid="{1C7674A6-4F6B-4800-9A7C-05D1C6A78DC1}"/>
    <cellStyle name="Normal 11 2 2 2 2 3 2 4 4" xfId="26576" xr:uid="{06AD809A-A2D0-4928-889D-EDCD4996C799}"/>
    <cellStyle name="Normal 11 2 2 2 2 3 2 5" xfId="26577" xr:uid="{3DB0B757-159B-4C82-A3CF-A5D2C80FBBE4}"/>
    <cellStyle name="Normal 11 2 2 2 2 3 2 5 2" xfId="26578" xr:uid="{E2888943-6072-4A34-BD2F-1478C6BEF843}"/>
    <cellStyle name="Normal 11 2 2 2 2 3 2 5 2 2" xfId="26579" xr:uid="{F5A94FCE-6BF2-44C1-952A-59C552262389}"/>
    <cellStyle name="Normal 11 2 2 2 2 3 2 5 3" xfId="26580" xr:uid="{62ADF133-46EC-471E-A8C2-BE77F8F5D9AB}"/>
    <cellStyle name="Normal 11 2 2 2 2 3 2 6" xfId="26581" xr:uid="{8505C8C4-206F-48B4-83DD-70A44C6DAE91}"/>
    <cellStyle name="Normal 11 2 2 2 2 3 2 6 2" xfId="26582" xr:uid="{B943FEFE-75A0-4EB9-8C34-31654473231F}"/>
    <cellStyle name="Normal 11 2 2 2 2 3 2 7" xfId="26583" xr:uid="{83E9AC1F-E95F-401C-BE3F-4CE7BB20CA82}"/>
    <cellStyle name="Normal 11 2 2 2 2 3 3" xfId="26584" xr:uid="{147A24C4-D110-46C5-8CB6-5EC277D03727}"/>
    <cellStyle name="Normal 11 2 2 2 2 3 3 2" xfId="26585" xr:uid="{A3FB3933-08EF-4CE7-871D-FA84CAA83C69}"/>
    <cellStyle name="Normal 11 2 2 2 2 3 3 2 2" xfId="26586" xr:uid="{AAAE312A-BABA-4D7A-B9FA-67FC3C7E6827}"/>
    <cellStyle name="Normal 11 2 2 2 2 3 3 2 2 2" xfId="26587" xr:uid="{1C6A32A5-50CF-4B22-AD44-AD02B868514B}"/>
    <cellStyle name="Normal 11 2 2 2 2 3 3 2 2 2 2" xfId="26588" xr:uid="{8375F223-9EBA-4B2C-970C-B7321F8123BC}"/>
    <cellStyle name="Normal 11 2 2 2 2 3 3 2 2 2 2 2" xfId="26589" xr:uid="{FE5CCBBC-896E-4624-8685-10EECE9307A3}"/>
    <cellStyle name="Normal 11 2 2 2 2 3 3 2 2 2 3" xfId="26590" xr:uid="{5606EAA6-9B53-41BD-A453-D9939C88A673}"/>
    <cellStyle name="Normal 11 2 2 2 2 3 3 2 2 3" xfId="26591" xr:uid="{1D7E528D-EDCD-4CD0-BAC0-04744197BE4A}"/>
    <cellStyle name="Normal 11 2 2 2 2 3 3 2 2 3 2" xfId="26592" xr:uid="{760C25C0-F6BB-464D-AF02-6372F7DB9533}"/>
    <cellStyle name="Normal 11 2 2 2 2 3 3 2 2 4" xfId="26593" xr:uid="{EA068CD2-1C14-429A-A99D-7E30337BAA71}"/>
    <cellStyle name="Normal 11 2 2 2 2 3 3 2 3" xfId="26594" xr:uid="{BB8D65CA-E0CE-41C4-91BE-FFBCD6BBB7BE}"/>
    <cellStyle name="Normal 11 2 2 2 2 3 3 2 3 2" xfId="26595" xr:uid="{F9B1E05F-20DC-4E03-816A-9D4D4FF74C43}"/>
    <cellStyle name="Normal 11 2 2 2 2 3 3 2 3 2 2" xfId="26596" xr:uid="{7649A9BF-7E7B-4AFA-BE0C-4A76373A0E8E}"/>
    <cellStyle name="Normal 11 2 2 2 2 3 3 2 3 3" xfId="26597" xr:uid="{37423617-B7B2-4B42-95BC-4F1DAE4F1896}"/>
    <cellStyle name="Normal 11 2 2 2 2 3 3 2 4" xfId="26598" xr:uid="{9063805F-3FAF-4458-84A8-6920F60B6C83}"/>
    <cellStyle name="Normal 11 2 2 2 2 3 3 2 4 2" xfId="26599" xr:uid="{DCA83E84-AB29-4BB5-96CE-906E5EE9AC6E}"/>
    <cellStyle name="Normal 11 2 2 2 2 3 3 2 5" xfId="26600" xr:uid="{95DA2B95-95EC-4D18-BA18-C58173CB814C}"/>
    <cellStyle name="Normal 11 2 2 2 2 3 3 3" xfId="26601" xr:uid="{1C6373E9-5293-424C-AA44-E33DECF3285C}"/>
    <cellStyle name="Normal 11 2 2 2 2 3 3 3 2" xfId="26602" xr:uid="{620627EB-C17F-4499-A1DD-CFC2BDBB49BF}"/>
    <cellStyle name="Normal 11 2 2 2 2 3 3 3 2 2" xfId="26603" xr:uid="{4FB4D5A9-6790-4DAA-810F-F51AEA9CEFF9}"/>
    <cellStyle name="Normal 11 2 2 2 2 3 3 3 2 2 2" xfId="26604" xr:uid="{6F412B00-DF90-4C89-8F48-93971DEC34CF}"/>
    <cellStyle name="Normal 11 2 2 2 2 3 3 3 2 3" xfId="26605" xr:uid="{3C4622F4-F43F-47E8-B1E0-44AF130A01E1}"/>
    <cellStyle name="Normal 11 2 2 2 2 3 3 3 3" xfId="26606" xr:uid="{489E0E86-0A52-48D1-AC17-126AD3F3EED0}"/>
    <cellStyle name="Normal 11 2 2 2 2 3 3 3 3 2" xfId="26607" xr:uid="{A9F27A97-D2EB-4B98-B1A4-EBFC24A488E8}"/>
    <cellStyle name="Normal 11 2 2 2 2 3 3 3 4" xfId="26608" xr:uid="{E46E65C5-AE3F-4C21-B98D-B2BF2F3073C2}"/>
    <cellStyle name="Normal 11 2 2 2 2 3 3 4" xfId="26609" xr:uid="{A5201B10-3ADE-4237-A355-C195859A64A1}"/>
    <cellStyle name="Normal 11 2 2 2 2 3 3 4 2" xfId="26610" xr:uid="{931E2482-2441-444C-AA5F-FDC70861828A}"/>
    <cellStyle name="Normal 11 2 2 2 2 3 3 4 2 2" xfId="26611" xr:uid="{298A8F91-8A9A-47CE-8A01-615B52F7F59C}"/>
    <cellStyle name="Normal 11 2 2 2 2 3 3 4 3" xfId="26612" xr:uid="{A0603480-8129-43AD-BDD1-7E39E9E26022}"/>
    <cellStyle name="Normal 11 2 2 2 2 3 3 5" xfId="26613" xr:uid="{1ED40352-2939-4C16-B214-CF148FC69A65}"/>
    <cellStyle name="Normal 11 2 2 2 2 3 3 5 2" xfId="26614" xr:uid="{0174C53F-C718-462F-BF67-5DB3980163F0}"/>
    <cellStyle name="Normal 11 2 2 2 2 3 3 6" xfId="26615" xr:uid="{51B42A5D-7AA3-45EF-9C0B-277D5EDDAE8F}"/>
    <cellStyle name="Normal 11 2 2 2 2 3 4" xfId="26616" xr:uid="{BFF8F045-CFF2-41C4-845C-07411E3B4B2C}"/>
    <cellStyle name="Normal 11 2 2 2 2 3 4 2" xfId="26617" xr:uid="{BFEA3F20-1AAC-42B9-B411-F4588684AFDE}"/>
    <cellStyle name="Normal 11 2 2 2 2 3 4 2 2" xfId="26618" xr:uid="{5434F512-1D77-4450-9332-FA2F144692A5}"/>
    <cellStyle name="Normal 11 2 2 2 2 3 4 2 2 2" xfId="26619" xr:uid="{7407C3B8-2811-41C8-9462-F66DC9B0D877}"/>
    <cellStyle name="Normal 11 2 2 2 2 3 4 2 2 2 2" xfId="26620" xr:uid="{AA18A2CA-80D8-4E93-938A-F367B05C188D}"/>
    <cellStyle name="Normal 11 2 2 2 2 3 4 2 2 3" xfId="26621" xr:uid="{CA9BBA49-A36E-49E4-BE8D-451C17AF1F84}"/>
    <cellStyle name="Normal 11 2 2 2 2 3 4 2 3" xfId="26622" xr:uid="{2FF11B80-A552-4E62-BB0E-41815713B5BE}"/>
    <cellStyle name="Normal 11 2 2 2 2 3 4 2 3 2" xfId="26623" xr:uid="{095A9916-0640-425D-941A-1D75D2ABC63E}"/>
    <cellStyle name="Normal 11 2 2 2 2 3 4 2 4" xfId="26624" xr:uid="{C78836C4-6FE5-49B9-8509-E3DD49898C58}"/>
    <cellStyle name="Normal 11 2 2 2 2 3 4 3" xfId="26625" xr:uid="{7066F184-3015-4C6F-87AA-F9DC1DDCAF97}"/>
    <cellStyle name="Normal 11 2 2 2 2 3 4 3 2" xfId="26626" xr:uid="{C77B50AB-17C9-4CBB-81B5-F579F8C2C886}"/>
    <cellStyle name="Normal 11 2 2 2 2 3 4 3 2 2" xfId="26627" xr:uid="{BE530847-9243-4E5C-BB34-B728AD954F50}"/>
    <cellStyle name="Normal 11 2 2 2 2 3 4 3 3" xfId="26628" xr:uid="{9A0AF90D-51D0-4A99-BF22-E1902E2EF80D}"/>
    <cellStyle name="Normal 11 2 2 2 2 3 4 4" xfId="26629" xr:uid="{FF366114-7311-4DEE-AF70-64163C8F4788}"/>
    <cellStyle name="Normal 11 2 2 2 2 3 4 4 2" xfId="26630" xr:uid="{6A991892-26FE-47F2-8C8E-E49D79527966}"/>
    <cellStyle name="Normal 11 2 2 2 2 3 4 5" xfId="26631" xr:uid="{18861BB8-942B-4D8F-A681-731770859CA8}"/>
    <cellStyle name="Normal 11 2 2 2 2 3 5" xfId="26632" xr:uid="{F2AF3FF8-F3F3-4DEC-9E81-3AF9AFCAE2D0}"/>
    <cellStyle name="Normal 11 2 2 2 2 3 5 2" xfId="26633" xr:uid="{2B8F8B2B-27DC-4F7F-A63C-F3F096916E88}"/>
    <cellStyle name="Normal 11 2 2 2 2 3 5 2 2" xfId="26634" xr:uid="{AF47259E-D3E3-409E-A397-4CF41A5FB738}"/>
    <cellStyle name="Normal 11 2 2 2 2 3 5 2 2 2" xfId="26635" xr:uid="{0F76A8A4-5C1C-435E-A52F-6F00673EC79B}"/>
    <cellStyle name="Normal 11 2 2 2 2 3 5 2 3" xfId="26636" xr:uid="{1D23995D-3A60-4616-973C-7CA4DF9CA8BD}"/>
    <cellStyle name="Normal 11 2 2 2 2 3 5 3" xfId="26637" xr:uid="{5F2DC75C-6317-4845-ABD8-A4FB7300F073}"/>
    <cellStyle name="Normal 11 2 2 2 2 3 5 3 2" xfId="26638" xr:uid="{D0DF383F-14A2-425A-9126-82DBCF7549E1}"/>
    <cellStyle name="Normal 11 2 2 2 2 3 5 4" xfId="26639" xr:uid="{FB0D8DDD-5A94-4A72-850E-6DEEE2DF0867}"/>
    <cellStyle name="Normal 11 2 2 2 2 3 6" xfId="26640" xr:uid="{55FC24CC-703D-414A-9842-BB9DDF1B39E5}"/>
    <cellStyle name="Normal 11 2 2 2 2 3 6 2" xfId="26641" xr:uid="{0C3212D7-90CF-429E-B149-7C840FF1F0E6}"/>
    <cellStyle name="Normal 11 2 2 2 2 3 6 2 2" xfId="26642" xr:uid="{DC7AF7AA-5BA0-4542-B21C-CB0A8FA8EFCC}"/>
    <cellStyle name="Normal 11 2 2 2 2 3 6 3" xfId="26643" xr:uid="{92523D12-1340-42BF-8656-384C71E895A8}"/>
    <cellStyle name="Normal 11 2 2 2 2 3 7" xfId="26644" xr:uid="{376F9965-CD99-4599-AD2D-415E28C88C2D}"/>
    <cellStyle name="Normal 11 2 2 2 2 3 7 2" xfId="26645" xr:uid="{C70C7DBE-906E-4CC1-A636-490680A6C3D1}"/>
    <cellStyle name="Normal 11 2 2 2 2 3 8" xfId="26646" xr:uid="{23869A4C-091E-438B-8C70-F4D1FB42E8EF}"/>
    <cellStyle name="Normal 11 2 2 2 2 3 9" xfId="26519" xr:uid="{6B23BB1B-BD16-4938-9938-C039B570C8EF}"/>
    <cellStyle name="Normal 11 2 2 2 2 4" xfId="26647" xr:uid="{5B46CA03-A0EA-4FAF-B102-C9AF89C5741F}"/>
    <cellStyle name="Normal 11 2 2 2 2 4 2" xfId="26648" xr:uid="{D5E45565-F91B-4CDF-9342-640B9032DF6B}"/>
    <cellStyle name="Normal 11 2 2 2 2 4 2 2" xfId="26649" xr:uid="{5ED9A460-4AB4-458C-8C45-1B9AC7CFBE07}"/>
    <cellStyle name="Normal 11 2 2 2 2 4 2 2 2" xfId="26650" xr:uid="{A90BA13C-DAED-4CE3-8156-756941904FB7}"/>
    <cellStyle name="Normal 11 2 2 2 2 4 2 2 2 2" xfId="26651" xr:uid="{90C35DA2-1190-4DAA-8757-E354D936CF21}"/>
    <cellStyle name="Normal 11 2 2 2 2 4 2 2 2 2 2" xfId="26652" xr:uid="{2CE38246-945A-4BB6-9234-B8C44CA065E1}"/>
    <cellStyle name="Normal 11 2 2 2 2 4 2 2 2 2 2 2" xfId="26653" xr:uid="{512E3E15-E91A-4CDF-9C09-F0FECFDA767E}"/>
    <cellStyle name="Normal 11 2 2 2 2 4 2 2 2 2 3" xfId="26654" xr:uid="{293E3C5F-237E-4F84-8428-116FF06E24D4}"/>
    <cellStyle name="Normal 11 2 2 2 2 4 2 2 2 3" xfId="26655" xr:uid="{5D52C90E-6DBE-4F3B-AACB-9FAD7CEE0332}"/>
    <cellStyle name="Normal 11 2 2 2 2 4 2 2 2 3 2" xfId="26656" xr:uid="{C989DB6B-A495-4658-883E-DE287ECCC23A}"/>
    <cellStyle name="Normal 11 2 2 2 2 4 2 2 2 4" xfId="26657" xr:uid="{2F7A8085-96DD-464B-AFB2-9C2FAE0B141D}"/>
    <cellStyle name="Normal 11 2 2 2 2 4 2 2 3" xfId="26658" xr:uid="{B2E453CC-2D9C-4DAB-8508-1F8866AF91CC}"/>
    <cellStyle name="Normal 11 2 2 2 2 4 2 2 3 2" xfId="26659" xr:uid="{F9E92B01-7465-4E7C-A0E7-5B29E8576D5F}"/>
    <cellStyle name="Normal 11 2 2 2 2 4 2 2 3 2 2" xfId="26660" xr:uid="{6367AF7E-9A2D-475A-9BAA-FA9F141F9401}"/>
    <cellStyle name="Normal 11 2 2 2 2 4 2 2 3 3" xfId="26661" xr:uid="{C3D4B615-A852-4C25-8715-5B5554DED66F}"/>
    <cellStyle name="Normal 11 2 2 2 2 4 2 2 4" xfId="26662" xr:uid="{6CE6A7F8-8A68-468E-B703-DF65A55C0C37}"/>
    <cellStyle name="Normal 11 2 2 2 2 4 2 2 4 2" xfId="26663" xr:uid="{819C1C7A-F3D9-454F-8B78-E87629871F3D}"/>
    <cellStyle name="Normal 11 2 2 2 2 4 2 2 5" xfId="26664" xr:uid="{B574532D-AED5-4557-AEB7-CF65B6C1E55C}"/>
    <cellStyle name="Normal 11 2 2 2 2 4 2 3" xfId="26665" xr:uid="{3F498B24-B7F5-4340-ABBF-29468F417734}"/>
    <cellStyle name="Normal 11 2 2 2 2 4 2 3 2" xfId="26666" xr:uid="{E74A56CC-5614-47FB-AD4D-DC5810EA5AAE}"/>
    <cellStyle name="Normal 11 2 2 2 2 4 2 3 2 2" xfId="26667" xr:uid="{9964EE46-4F8B-46A4-8125-C7678989F68D}"/>
    <cellStyle name="Normal 11 2 2 2 2 4 2 3 2 2 2" xfId="26668" xr:uid="{D0D9CD33-E0DD-42E9-B381-1A6D0682F3BE}"/>
    <cellStyle name="Normal 11 2 2 2 2 4 2 3 2 3" xfId="26669" xr:uid="{73956695-A4AD-4C2E-B2F3-01EAEF0B9ADF}"/>
    <cellStyle name="Normal 11 2 2 2 2 4 2 3 3" xfId="26670" xr:uid="{B032F2C6-329D-4605-87DE-592FD2A7AECC}"/>
    <cellStyle name="Normal 11 2 2 2 2 4 2 3 3 2" xfId="26671" xr:uid="{346CA7D2-7467-4D35-A346-6358657B3E32}"/>
    <cellStyle name="Normal 11 2 2 2 2 4 2 3 4" xfId="26672" xr:uid="{C3C6A6A8-6B03-4383-B5BD-326D93A062C0}"/>
    <cellStyle name="Normal 11 2 2 2 2 4 2 4" xfId="26673" xr:uid="{F9C06D3A-DE53-4D40-AC36-9008391A57D9}"/>
    <cellStyle name="Normal 11 2 2 2 2 4 2 4 2" xfId="26674" xr:uid="{13966A1C-F593-44FA-9DF0-39E0EA440A50}"/>
    <cellStyle name="Normal 11 2 2 2 2 4 2 4 2 2" xfId="26675" xr:uid="{F31005C3-8B83-42BA-9DBC-5A714982710F}"/>
    <cellStyle name="Normal 11 2 2 2 2 4 2 4 3" xfId="26676" xr:uid="{27CF2961-0770-469F-A41E-038D988A827F}"/>
    <cellStyle name="Normal 11 2 2 2 2 4 2 5" xfId="26677" xr:uid="{F7D05FDC-586D-48DB-B5B4-496F8AC0733F}"/>
    <cellStyle name="Normal 11 2 2 2 2 4 2 5 2" xfId="26678" xr:uid="{423481F6-8E5A-439E-BE8C-C090E5E2DD6D}"/>
    <cellStyle name="Normal 11 2 2 2 2 4 2 6" xfId="26679" xr:uid="{AFE663AC-7C2E-4220-BC99-CB95B0B621E4}"/>
    <cellStyle name="Normal 11 2 2 2 2 4 3" xfId="26680" xr:uid="{76DC42F6-B2C1-47FF-8ECA-9E9F42CB63FF}"/>
    <cellStyle name="Normal 11 2 2 2 2 4 3 2" xfId="26681" xr:uid="{8ADFB5FA-5B2F-4584-9AA0-B0D7CB52AD2E}"/>
    <cellStyle name="Normal 11 2 2 2 2 4 3 2 2" xfId="26682" xr:uid="{D58A17DF-66FC-4D8D-B86A-62368DCDE955}"/>
    <cellStyle name="Normal 11 2 2 2 2 4 3 2 2 2" xfId="26683" xr:uid="{42A6F891-97C3-4127-966A-E4693F3BA0EC}"/>
    <cellStyle name="Normal 11 2 2 2 2 4 3 2 2 2 2" xfId="26684" xr:uid="{AB84D50E-6C6D-44F9-A45B-7253B0D9EC21}"/>
    <cellStyle name="Normal 11 2 2 2 2 4 3 2 2 3" xfId="26685" xr:uid="{4C69CB6B-83A2-49F1-A802-5235C05D9FAA}"/>
    <cellStyle name="Normal 11 2 2 2 2 4 3 2 3" xfId="26686" xr:uid="{7C74CE59-AF74-4882-BB69-B8125B9E8A95}"/>
    <cellStyle name="Normal 11 2 2 2 2 4 3 2 3 2" xfId="26687" xr:uid="{DEC2E61A-FB4A-4117-BDE2-2A3DE54DE746}"/>
    <cellStyle name="Normal 11 2 2 2 2 4 3 2 4" xfId="26688" xr:uid="{505C9E43-8A55-4073-A792-A693B917B7B1}"/>
    <cellStyle name="Normal 11 2 2 2 2 4 3 3" xfId="26689" xr:uid="{7D73C066-218F-473E-8DC9-4BA5DBEE963B}"/>
    <cellStyle name="Normal 11 2 2 2 2 4 3 3 2" xfId="26690" xr:uid="{896C221E-CEB8-4444-8EAB-7F686D5A8A64}"/>
    <cellStyle name="Normal 11 2 2 2 2 4 3 3 2 2" xfId="26691" xr:uid="{61A2F6F7-9BC6-4BD0-B711-0753DAE85FD6}"/>
    <cellStyle name="Normal 11 2 2 2 2 4 3 3 3" xfId="26692" xr:uid="{0A6AAF13-3F15-4AEB-A28C-219C6EEDE7BC}"/>
    <cellStyle name="Normal 11 2 2 2 2 4 3 4" xfId="26693" xr:uid="{B8F1122E-4561-4452-A338-719BCD80169B}"/>
    <cellStyle name="Normal 11 2 2 2 2 4 3 4 2" xfId="26694" xr:uid="{BF07F8BA-2B83-4C3B-A1A2-664DA61192D9}"/>
    <cellStyle name="Normal 11 2 2 2 2 4 3 5" xfId="26695" xr:uid="{05EE6C8F-C780-4014-82B2-9F03433D9CA1}"/>
    <cellStyle name="Normal 11 2 2 2 2 4 4" xfId="26696" xr:uid="{4478E6B1-ED78-4521-84D7-64803BB914A5}"/>
    <cellStyle name="Normal 11 2 2 2 2 4 4 2" xfId="26697" xr:uid="{70FD1BA7-90BF-40BB-8060-D64A5F78F32B}"/>
    <cellStyle name="Normal 11 2 2 2 2 4 4 2 2" xfId="26698" xr:uid="{6EBF109C-B634-4471-8C42-B49478066E05}"/>
    <cellStyle name="Normal 11 2 2 2 2 4 4 2 2 2" xfId="26699" xr:uid="{15118968-D059-4227-8C38-B8BE145EB155}"/>
    <cellStyle name="Normal 11 2 2 2 2 4 4 2 3" xfId="26700" xr:uid="{63D92116-5D2C-4FD2-A19F-F766D73BE47E}"/>
    <cellStyle name="Normal 11 2 2 2 2 4 4 3" xfId="26701" xr:uid="{65385C44-F814-45FB-BEE6-D90B25C422EF}"/>
    <cellStyle name="Normal 11 2 2 2 2 4 4 3 2" xfId="26702" xr:uid="{1AF8FD64-9618-4273-8B1A-7D58721CCA55}"/>
    <cellStyle name="Normal 11 2 2 2 2 4 4 4" xfId="26703" xr:uid="{DCAD329C-014B-467B-9914-FB1B5781B53D}"/>
    <cellStyle name="Normal 11 2 2 2 2 4 5" xfId="26704" xr:uid="{AC7B4287-3FF6-4759-A268-CB973C3BB069}"/>
    <cellStyle name="Normal 11 2 2 2 2 4 5 2" xfId="26705" xr:uid="{F9650017-8F5E-4223-A120-B5C6783418C5}"/>
    <cellStyle name="Normal 11 2 2 2 2 4 5 2 2" xfId="26706" xr:uid="{4FDE66FB-EF69-41E3-B123-99784E595EE6}"/>
    <cellStyle name="Normal 11 2 2 2 2 4 5 3" xfId="26707" xr:uid="{DA088E7D-76CA-4C0D-BE82-57A61ECE3B03}"/>
    <cellStyle name="Normal 11 2 2 2 2 4 6" xfId="26708" xr:uid="{74A88F8F-B5F1-405B-91EC-6781A32100BB}"/>
    <cellStyle name="Normal 11 2 2 2 2 4 6 2" xfId="26709" xr:uid="{2F2AE091-8A9E-4A50-A141-AF3062D6C6EF}"/>
    <cellStyle name="Normal 11 2 2 2 2 4 7" xfId="26710" xr:uid="{962264E6-DA57-4D30-A0B9-210451C6EA60}"/>
    <cellStyle name="Normal 11 2 2 2 2 5" xfId="26711" xr:uid="{FFD0EA6A-DAC1-43E2-BBBA-86565917D82B}"/>
    <cellStyle name="Normal 11 2 2 2 2 5 2" xfId="26712" xr:uid="{42723E96-C93E-4336-A395-D71CDF7512EB}"/>
    <cellStyle name="Normal 11 2 2 2 2 5 2 2" xfId="26713" xr:uid="{CD0E03DF-4F72-4D54-A043-E484CEB3823F}"/>
    <cellStyle name="Normal 11 2 2 2 2 5 2 2 2" xfId="26714" xr:uid="{EC044C59-6651-44FA-A5C0-07F1D60BEEE1}"/>
    <cellStyle name="Normal 11 2 2 2 2 5 2 2 2 2" xfId="26715" xr:uid="{79E49A3A-08F7-4851-93A1-626464F606F1}"/>
    <cellStyle name="Normal 11 2 2 2 2 5 2 2 2 2 2" xfId="26716" xr:uid="{4321283B-9369-4283-BD88-B29F6C1CCD93}"/>
    <cellStyle name="Normal 11 2 2 2 2 5 2 2 2 3" xfId="26717" xr:uid="{11EB51FE-0CED-45C9-BC95-5FB026D94D28}"/>
    <cellStyle name="Normal 11 2 2 2 2 5 2 2 3" xfId="26718" xr:uid="{FDE02F5E-E742-4384-8ACB-249BC91B96DA}"/>
    <cellStyle name="Normal 11 2 2 2 2 5 2 2 3 2" xfId="26719" xr:uid="{BC29441A-EC23-4F6A-9CAB-9860F2A4D1BB}"/>
    <cellStyle name="Normal 11 2 2 2 2 5 2 2 4" xfId="26720" xr:uid="{F8568365-1DCE-4E66-94E4-A1540E31875F}"/>
    <cellStyle name="Normal 11 2 2 2 2 5 2 3" xfId="26721" xr:uid="{C9AFAD7E-1404-4D1C-A86B-2CC58D59C8DA}"/>
    <cellStyle name="Normal 11 2 2 2 2 5 2 3 2" xfId="26722" xr:uid="{EB612151-3896-4BA3-9683-3260ACBA038C}"/>
    <cellStyle name="Normal 11 2 2 2 2 5 2 3 2 2" xfId="26723" xr:uid="{E1E61401-1A1F-41D6-92D7-197AB552E1E3}"/>
    <cellStyle name="Normal 11 2 2 2 2 5 2 3 3" xfId="26724" xr:uid="{B7E7A5A9-6885-4DD3-8FCA-34941BE36BF0}"/>
    <cellStyle name="Normal 11 2 2 2 2 5 2 4" xfId="26725" xr:uid="{377B46C5-1BA2-43BD-9963-60DDFEDB11BC}"/>
    <cellStyle name="Normal 11 2 2 2 2 5 2 4 2" xfId="26726" xr:uid="{DE8EDA54-43EC-4C87-94A0-172CE6C07A68}"/>
    <cellStyle name="Normal 11 2 2 2 2 5 2 5" xfId="26727" xr:uid="{447045DC-1DFF-4736-B93C-4336B26C0755}"/>
    <cellStyle name="Normal 11 2 2 2 2 5 3" xfId="26728" xr:uid="{EFAD2EA3-6EDA-486A-99A3-71A91FB19FAE}"/>
    <cellStyle name="Normal 11 2 2 2 2 5 3 2" xfId="26729" xr:uid="{844B083D-A84B-4904-838C-225CC36E13C4}"/>
    <cellStyle name="Normal 11 2 2 2 2 5 3 2 2" xfId="26730" xr:uid="{B5A92E68-9739-47A7-81C0-E23185454DB8}"/>
    <cellStyle name="Normal 11 2 2 2 2 5 3 2 2 2" xfId="26731" xr:uid="{8EA5D2FD-C432-4543-96DA-AE1D84585817}"/>
    <cellStyle name="Normal 11 2 2 2 2 5 3 2 3" xfId="26732" xr:uid="{D17E9887-23A6-43F5-B7D6-E0625B2C3FD2}"/>
    <cellStyle name="Normal 11 2 2 2 2 5 3 3" xfId="26733" xr:uid="{B67F4567-C281-4C54-A541-EB56E658661F}"/>
    <cellStyle name="Normal 11 2 2 2 2 5 3 3 2" xfId="26734" xr:uid="{B98E9635-D887-4BA1-A643-87348DE713CF}"/>
    <cellStyle name="Normal 11 2 2 2 2 5 3 4" xfId="26735" xr:uid="{20C12EDB-A619-41E6-9280-DD104650C6E8}"/>
    <cellStyle name="Normal 11 2 2 2 2 5 4" xfId="26736" xr:uid="{595E61B3-EBCE-43E3-9E2C-FD6BEB988E41}"/>
    <cellStyle name="Normal 11 2 2 2 2 5 4 2" xfId="26737" xr:uid="{BBFBBC61-761C-4273-9AFD-08778DD0F7E4}"/>
    <cellStyle name="Normal 11 2 2 2 2 5 4 2 2" xfId="26738" xr:uid="{DAFCB374-6C4F-4B6C-B3AE-7F9CB2EBC581}"/>
    <cellStyle name="Normal 11 2 2 2 2 5 4 3" xfId="26739" xr:uid="{8C7EE4B7-007D-4F70-A570-882AA74867BB}"/>
    <cellStyle name="Normal 11 2 2 2 2 5 5" xfId="26740" xr:uid="{F739F4A0-2172-4B46-9F70-323407CE4B4A}"/>
    <cellStyle name="Normal 11 2 2 2 2 5 5 2" xfId="26741" xr:uid="{7431BABF-8FA4-4056-90E3-900B1BDB400E}"/>
    <cellStyle name="Normal 11 2 2 2 2 5 6" xfId="26742" xr:uid="{67A95F08-0E0F-4364-AE39-3DA0039C502E}"/>
    <cellStyle name="Normal 11 2 2 2 2 6" xfId="26743" xr:uid="{EA008E8A-8A04-46CE-A236-99DCFE37C3F7}"/>
    <cellStyle name="Normal 11 2 2 2 2 6 2" xfId="26744" xr:uid="{9A28A23A-144E-40D0-9122-1EF9452E8E20}"/>
    <cellStyle name="Normal 11 2 2 2 2 6 2 2" xfId="26745" xr:uid="{987F54FA-EB5D-45DB-9241-D82898FBDC6F}"/>
    <cellStyle name="Normal 11 2 2 2 2 6 2 2 2" xfId="26746" xr:uid="{F814FFF4-AC7F-42F1-ACA9-45866E58EEF0}"/>
    <cellStyle name="Normal 11 2 2 2 2 6 2 2 2 2" xfId="26747" xr:uid="{4E392A46-0434-44E7-ABFF-86AB2E4B6878}"/>
    <cellStyle name="Normal 11 2 2 2 2 6 2 2 3" xfId="26748" xr:uid="{859C5CE3-FBA4-4CE8-A37F-CB4CDB09FBB9}"/>
    <cellStyle name="Normal 11 2 2 2 2 6 2 3" xfId="26749" xr:uid="{171D3860-A716-427C-9A16-7FD275464DC8}"/>
    <cellStyle name="Normal 11 2 2 2 2 6 2 3 2" xfId="26750" xr:uid="{0A66AA24-FD92-4C90-9899-76D83E8D312B}"/>
    <cellStyle name="Normal 11 2 2 2 2 6 2 4" xfId="26751" xr:uid="{17602EC4-ECC5-43E5-95C0-0EF3F78AEA38}"/>
    <cellStyle name="Normal 11 2 2 2 2 6 3" xfId="26752" xr:uid="{6E79AC0A-5679-4F8A-9C5A-5B46CDCAFB5E}"/>
    <cellStyle name="Normal 11 2 2 2 2 6 3 2" xfId="26753" xr:uid="{E03B4E10-6BFE-4538-B95C-2CA4D71B8F85}"/>
    <cellStyle name="Normal 11 2 2 2 2 6 3 2 2" xfId="26754" xr:uid="{07AD3CDC-4331-449F-9185-AE25F8D89461}"/>
    <cellStyle name="Normal 11 2 2 2 2 6 3 3" xfId="26755" xr:uid="{8D446ACC-7C66-43A8-A01F-22F4A04356F0}"/>
    <cellStyle name="Normal 11 2 2 2 2 6 4" xfId="26756" xr:uid="{50FDC43A-BBCF-4B6A-9C67-A204F1C77CEC}"/>
    <cellStyle name="Normal 11 2 2 2 2 6 4 2" xfId="26757" xr:uid="{63BBA717-93A0-470A-8B92-F063A5F32B0B}"/>
    <cellStyle name="Normal 11 2 2 2 2 6 5" xfId="26758" xr:uid="{C3E37DF8-1DA4-48D3-BBE4-E0557365C155}"/>
    <cellStyle name="Normal 11 2 2 2 2 7" xfId="26759" xr:uid="{4E2189D6-C88B-41E6-9175-306A15873855}"/>
    <cellStyle name="Normal 11 2 2 2 2 7 2" xfId="26760" xr:uid="{97355E35-C3C4-45A4-8172-824A5DF17743}"/>
    <cellStyle name="Normal 11 2 2 2 2 7 2 2" xfId="26761" xr:uid="{7D06913F-6E57-47B7-8246-7847E9E004BD}"/>
    <cellStyle name="Normal 11 2 2 2 2 7 2 2 2" xfId="26762" xr:uid="{79D8AF7D-6ED7-4B6B-AF0B-C4FDE5DCB989}"/>
    <cellStyle name="Normal 11 2 2 2 2 7 2 3" xfId="26763" xr:uid="{F6BAC17F-D0AA-4B63-B4CD-FCE3085D2DB2}"/>
    <cellStyle name="Normal 11 2 2 2 2 7 3" xfId="26764" xr:uid="{10E1372A-11F5-4B01-8430-7E3B24EBB9C1}"/>
    <cellStyle name="Normal 11 2 2 2 2 7 3 2" xfId="26765" xr:uid="{C451A92A-029F-43D5-BE8D-DD3B2A74869B}"/>
    <cellStyle name="Normal 11 2 2 2 2 7 4" xfId="26766" xr:uid="{3FD94B1D-CAD8-4CC4-98CA-7F6A34DE0B53}"/>
    <cellStyle name="Normal 11 2 2 2 2 8" xfId="26767" xr:uid="{A6E3AC0E-D83E-43D2-9768-77A75CC61FFB}"/>
    <cellStyle name="Normal 11 2 2 2 2 8 2" xfId="26768" xr:uid="{B355D4F7-D65B-47A1-80A9-F367BAE954F5}"/>
    <cellStyle name="Normal 11 2 2 2 2 8 2 2" xfId="26769" xr:uid="{8CA7A6D7-872E-4198-A2BB-25B2D8D2A2EF}"/>
    <cellStyle name="Normal 11 2 2 2 2 8 3" xfId="26770" xr:uid="{A5E4A051-2AF2-4595-93C3-7E249B52F4E4}"/>
    <cellStyle name="Normal 11 2 2 2 2 9" xfId="26771" xr:uid="{764D6050-1E62-4FD5-9991-915EF8B51636}"/>
    <cellStyle name="Normal 11 2 2 2 2 9 2" xfId="26772" xr:uid="{ED17C0E8-2ADF-4935-B540-FECA4F4F1AB8}"/>
    <cellStyle name="Normal 11 2 2 2 3" xfId="248" xr:uid="{53106D3A-697D-4719-9881-121A1ED82C0F}"/>
    <cellStyle name="Normal 11 2 2 2 3 10" xfId="26773" xr:uid="{690BE27E-001D-493A-A529-D7B3B23A2585}"/>
    <cellStyle name="Normal 11 2 2 2 3 11" xfId="576" xr:uid="{E8BF63E9-6E91-4308-9F9C-4B2B54574CB4}"/>
    <cellStyle name="Normal 11 2 2 2 3 2" xfId="353" xr:uid="{30FE347E-4341-4CBD-B90E-76E6B51B640B}"/>
    <cellStyle name="Normal 11 2 2 2 3 2 10" xfId="26774" xr:uid="{4FC9B57F-1D97-4B55-9FCB-9632270A58FD}"/>
    <cellStyle name="Normal 11 2 2 2 3 2 2" xfId="26775" xr:uid="{1E67DC86-EDD9-45AC-BF7F-9BAB91F04B37}"/>
    <cellStyle name="Normal 11 2 2 2 3 2 2 2" xfId="26776" xr:uid="{3C999CEB-652F-4335-BF28-4E28AA115C17}"/>
    <cellStyle name="Normal 11 2 2 2 3 2 2 2 2" xfId="26777" xr:uid="{5ED88B97-89D4-4492-AB86-8CBDA63181A6}"/>
    <cellStyle name="Normal 11 2 2 2 3 2 2 2 2 2" xfId="26778" xr:uid="{EA0077A4-1A81-48C5-8860-CD553B00F183}"/>
    <cellStyle name="Normal 11 2 2 2 3 2 2 2 2 2 2" xfId="26779" xr:uid="{4E485D27-C50D-4F55-AF6C-D79B87CD46DD}"/>
    <cellStyle name="Normal 11 2 2 2 3 2 2 2 2 2 2 2" xfId="26780" xr:uid="{A9C4174F-243A-4809-9598-91FFA6C18520}"/>
    <cellStyle name="Normal 11 2 2 2 3 2 2 2 2 2 2 2 2" xfId="26781" xr:uid="{EF46D627-F63A-40C7-B23D-EC3DB5EF756D}"/>
    <cellStyle name="Normal 11 2 2 2 3 2 2 2 2 2 2 2 2 2" xfId="26782" xr:uid="{F0EEAFE7-DDEF-45E1-B7F2-B2AE294D8657}"/>
    <cellStyle name="Normal 11 2 2 2 3 2 2 2 2 2 2 2 3" xfId="26783" xr:uid="{24763F74-7772-4581-897E-05B66C7E8A63}"/>
    <cellStyle name="Normal 11 2 2 2 3 2 2 2 2 2 2 3" xfId="26784" xr:uid="{39C76F69-51EF-4630-BFA6-AD657E004DC8}"/>
    <cellStyle name="Normal 11 2 2 2 3 2 2 2 2 2 2 3 2" xfId="26785" xr:uid="{BD2953D0-B394-4E88-9BF0-A67B14257811}"/>
    <cellStyle name="Normal 11 2 2 2 3 2 2 2 2 2 2 4" xfId="26786" xr:uid="{83C3E307-E94A-46A8-A0BE-3ED6C01F8C63}"/>
    <cellStyle name="Normal 11 2 2 2 3 2 2 2 2 2 3" xfId="26787" xr:uid="{D5921152-D8C8-4F34-B499-7D5E81B0C064}"/>
    <cellStyle name="Normal 11 2 2 2 3 2 2 2 2 2 3 2" xfId="26788" xr:uid="{048756EA-0B0B-4E20-A950-344F82E74C0D}"/>
    <cellStyle name="Normal 11 2 2 2 3 2 2 2 2 2 3 2 2" xfId="26789" xr:uid="{334CDCFB-52B0-4613-A47B-35C54F1433C7}"/>
    <cellStyle name="Normal 11 2 2 2 3 2 2 2 2 2 3 3" xfId="26790" xr:uid="{2FC860D0-3EF8-4704-B6DC-644D5B3F602A}"/>
    <cellStyle name="Normal 11 2 2 2 3 2 2 2 2 2 4" xfId="26791" xr:uid="{B77324CA-BB89-4D0E-9B48-4751249E665D}"/>
    <cellStyle name="Normal 11 2 2 2 3 2 2 2 2 2 4 2" xfId="26792" xr:uid="{0F9B4C8C-2EF0-4A4F-B283-78654556CDFF}"/>
    <cellStyle name="Normal 11 2 2 2 3 2 2 2 2 2 5" xfId="26793" xr:uid="{A382F01A-7277-48DF-AE8D-CBC7C4EC9FD9}"/>
    <cellStyle name="Normal 11 2 2 2 3 2 2 2 2 3" xfId="26794" xr:uid="{B483148E-6FF1-4A32-99CD-275011C46E62}"/>
    <cellStyle name="Normal 11 2 2 2 3 2 2 2 2 3 2" xfId="26795" xr:uid="{02AA6F23-7CC3-4C2F-ADFC-7709CC3DB528}"/>
    <cellStyle name="Normal 11 2 2 2 3 2 2 2 2 3 2 2" xfId="26796" xr:uid="{AC405E3A-23CB-4F29-A077-7616E6FE1284}"/>
    <cellStyle name="Normal 11 2 2 2 3 2 2 2 2 3 2 2 2" xfId="26797" xr:uid="{C6089C70-3BF9-4EA2-BECC-4BE25EFCED0B}"/>
    <cellStyle name="Normal 11 2 2 2 3 2 2 2 2 3 2 3" xfId="26798" xr:uid="{075B552D-046F-487D-9FB2-70EAACA90E0D}"/>
    <cellStyle name="Normal 11 2 2 2 3 2 2 2 2 3 3" xfId="26799" xr:uid="{8BC36BBC-CADE-43CA-9EF7-014D779612DC}"/>
    <cellStyle name="Normal 11 2 2 2 3 2 2 2 2 3 3 2" xfId="26800" xr:uid="{0367501A-54BA-4A15-A12A-3220CCFD50C5}"/>
    <cellStyle name="Normal 11 2 2 2 3 2 2 2 2 3 4" xfId="26801" xr:uid="{E3206784-48DF-42D7-AF5B-D538A4A3E1DB}"/>
    <cellStyle name="Normal 11 2 2 2 3 2 2 2 2 4" xfId="26802" xr:uid="{BFF9FA2D-D625-4C43-BE5A-2FFC3180294C}"/>
    <cellStyle name="Normal 11 2 2 2 3 2 2 2 2 4 2" xfId="26803" xr:uid="{615B8A6A-0DC6-4E20-90EE-AE59F64B343C}"/>
    <cellStyle name="Normal 11 2 2 2 3 2 2 2 2 4 2 2" xfId="26804" xr:uid="{30907913-83BE-4D4A-8CE7-A730C4BBF79E}"/>
    <cellStyle name="Normal 11 2 2 2 3 2 2 2 2 4 3" xfId="26805" xr:uid="{DE27782A-818D-4188-967A-671D1BD4BF5A}"/>
    <cellStyle name="Normal 11 2 2 2 3 2 2 2 2 5" xfId="26806" xr:uid="{E79438C2-126C-434E-A0DE-31D23074A669}"/>
    <cellStyle name="Normal 11 2 2 2 3 2 2 2 2 5 2" xfId="26807" xr:uid="{EA8A2875-B667-4AE9-892B-C54503719723}"/>
    <cellStyle name="Normal 11 2 2 2 3 2 2 2 2 6" xfId="26808" xr:uid="{375E951F-4515-40C3-9F8C-D2FC657A456B}"/>
    <cellStyle name="Normal 11 2 2 2 3 2 2 2 3" xfId="26809" xr:uid="{CA0CC58D-30D0-4A4C-8E09-CBC5B4D7773D}"/>
    <cellStyle name="Normal 11 2 2 2 3 2 2 2 3 2" xfId="26810" xr:uid="{93E67788-0CC0-43FC-B929-32F060B27E86}"/>
    <cellStyle name="Normal 11 2 2 2 3 2 2 2 3 2 2" xfId="26811" xr:uid="{DCAA2EFA-50C1-4B15-90BE-1D06ACE6C3F7}"/>
    <cellStyle name="Normal 11 2 2 2 3 2 2 2 3 2 2 2" xfId="26812" xr:uid="{D6C75D60-CFF1-424B-817E-6E1D001663C5}"/>
    <cellStyle name="Normal 11 2 2 2 3 2 2 2 3 2 2 2 2" xfId="26813" xr:uid="{AB558AE8-3C7E-445B-82BA-50FC1915E458}"/>
    <cellStyle name="Normal 11 2 2 2 3 2 2 2 3 2 2 3" xfId="26814" xr:uid="{499C4210-2567-4CCE-8FCF-178286207C7F}"/>
    <cellStyle name="Normal 11 2 2 2 3 2 2 2 3 2 3" xfId="26815" xr:uid="{8602074C-9BB0-4B13-A460-E56D7F51B796}"/>
    <cellStyle name="Normal 11 2 2 2 3 2 2 2 3 2 3 2" xfId="26816" xr:uid="{ACFA808B-9C3F-4A6C-B6DB-48C8394B6F5F}"/>
    <cellStyle name="Normal 11 2 2 2 3 2 2 2 3 2 4" xfId="26817" xr:uid="{0F32D947-5AFC-41AB-AB8C-9DDDAEEEC966}"/>
    <cellStyle name="Normal 11 2 2 2 3 2 2 2 3 3" xfId="26818" xr:uid="{CB34D380-439E-4274-964D-2229BB4600BF}"/>
    <cellStyle name="Normal 11 2 2 2 3 2 2 2 3 3 2" xfId="26819" xr:uid="{BEBD848B-5BF3-49A2-8F13-FA53B9FD1BA8}"/>
    <cellStyle name="Normal 11 2 2 2 3 2 2 2 3 3 2 2" xfId="26820" xr:uid="{7F835B52-69D8-4168-834F-30AF1EBC6F45}"/>
    <cellStyle name="Normal 11 2 2 2 3 2 2 2 3 3 3" xfId="26821" xr:uid="{6A59004B-DA9D-42E8-8358-6DC9A01E8708}"/>
    <cellStyle name="Normal 11 2 2 2 3 2 2 2 3 4" xfId="26822" xr:uid="{35C849BF-EDEF-483F-9FCB-8494C853D232}"/>
    <cellStyle name="Normal 11 2 2 2 3 2 2 2 3 4 2" xfId="26823" xr:uid="{7F6BD619-0009-4A4E-B640-815F10AABFFF}"/>
    <cellStyle name="Normal 11 2 2 2 3 2 2 2 3 5" xfId="26824" xr:uid="{4CE35B24-E935-4EB4-A38C-BECFB1CABE62}"/>
    <cellStyle name="Normal 11 2 2 2 3 2 2 2 4" xfId="26825" xr:uid="{1A5FE202-992A-482A-81E3-DCA6844C9556}"/>
    <cellStyle name="Normal 11 2 2 2 3 2 2 2 4 2" xfId="26826" xr:uid="{623B8300-4C1E-43E0-9809-44949682E3DF}"/>
    <cellStyle name="Normal 11 2 2 2 3 2 2 2 4 2 2" xfId="26827" xr:uid="{D1AD46EC-19CE-4A53-A7AF-9920DC23B68C}"/>
    <cellStyle name="Normal 11 2 2 2 3 2 2 2 4 2 2 2" xfId="26828" xr:uid="{E0DD6049-5FD8-47FD-8E24-2C9BD40FCF4C}"/>
    <cellStyle name="Normal 11 2 2 2 3 2 2 2 4 2 3" xfId="26829" xr:uid="{33E34402-5D12-4F7A-9E28-716FA5CD6A8F}"/>
    <cellStyle name="Normal 11 2 2 2 3 2 2 2 4 3" xfId="26830" xr:uid="{F82979E9-BDCA-44DC-9B98-B9840D07228A}"/>
    <cellStyle name="Normal 11 2 2 2 3 2 2 2 4 3 2" xfId="26831" xr:uid="{508C51AF-4825-42DA-BAFA-0F8CEA2A619B}"/>
    <cellStyle name="Normal 11 2 2 2 3 2 2 2 4 4" xfId="26832" xr:uid="{7B283CF4-7483-4CC5-A20B-5D322F17F633}"/>
    <cellStyle name="Normal 11 2 2 2 3 2 2 2 5" xfId="26833" xr:uid="{9E6CC3E0-F36A-4DCA-BD92-04C0AE70339B}"/>
    <cellStyle name="Normal 11 2 2 2 3 2 2 2 5 2" xfId="26834" xr:uid="{A8231A52-D914-4297-9478-41A90472357A}"/>
    <cellStyle name="Normal 11 2 2 2 3 2 2 2 5 2 2" xfId="26835" xr:uid="{0AC133E9-4B03-47EB-B54B-6116425B34B0}"/>
    <cellStyle name="Normal 11 2 2 2 3 2 2 2 5 3" xfId="26836" xr:uid="{B795CA7B-49D5-437A-852B-732AD6C57CC5}"/>
    <cellStyle name="Normal 11 2 2 2 3 2 2 2 6" xfId="26837" xr:uid="{B28AB82B-5D92-4F15-83E7-E23BE27B74E0}"/>
    <cellStyle name="Normal 11 2 2 2 3 2 2 2 6 2" xfId="26838" xr:uid="{D7856817-C5BF-4752-B2E7-F9267A24C0AC}"/>
    <cellStyle name="Normal 11 2 2 2 3 2 2 2 7" xfId="26839" xr:uid="{ABA01C23-D88F-475F-8D0D-1AA1A077438A}"/>
    <cellStyle name="Normal 11 2 2 2 3 2 2 3" xfId="26840" xr:uid="{5BE771C7-C659-40FA-9750-FCD2C9F2022E}"/>
    <cellStyle name="Normal 11 2 2 2 3 2 2 3 2" xfId="26841" xr:uid="{AFDB10F7-CAA3-49C7-B01D-CC6E3CD9D07A}"/>
    <cellStyle name="Normal 11 2 2 2 3 2 2 3 2 2" xfId="26842" xr:uid="{84DD6AD8-3129-4EF6-9260-9ED8F6A77C78}"/>
    <cellStyle name="Normal 11 2 2 2 3 2 2 3 2 2 2" xfId="26843" xr:uid="{58864807-C26C-4BEB-A86A-AEBD46E87B1C}"/>
    <cellStyle name="Normal 11 2 2 2 3 2 2 3 2 2 2 2" xfId="26844" xr:uid="{03160B4A-927D-447A-B3D0-C82863E4F956}"/>
    <cellStyle name="Normal 11 2 2 2 3 2 2 3 2 2 2 2 2" xfId="26845" xr:uid="{26F1A0FC-F161-43AA-A25E-D2D4624EF9ED}"/>
    <cellStyle name="Normal 11 2 2 2 3 2 2 3 2 2 2 3" xfId="26846" xr:uid="{F4DCEF94-BD5F-4A25-BE32-677FF24912C7}"/>
    <cellStyle name="Normal 11 2 2 2 3 2 2 3 2 2 3" xfId="26847" xr:uid="{2019D1A9-F914-423B-A504-B91774C0B829}"/>
    <cellStyle name="Normal 11 2 2 2 3 2 2 3 2 2 3 2" xfId="26848" xr:uid="{EFCAEB39-3B74-40FF-AF10-87CF2F681179}"/>
    <cellStyle name="Normal 11 2 2 2 3 2 2 3 2 2 4" xfId="26849" xr:uid="{8AABC75B-DB42-4EBE-A92B-F171F441EF19}"/>
    <cellStyle name="Normal 11 2 2 2 3 2 2 3 2 3" xfId="26850" xr:uid="{F9AC2881-8010-4B93-8853-075392452C8F}"/>
    <cellStyle name="Normal 11 2 2 2 3 2 2 3 2 3 2" xfId="26851" xr:uid="{4292D5C2-43E2-421D-AF2E-9F7EC1956843}"/>
    <cellStyle name="Normal 11 2 2 2 3 2 2 3 2 3 2 2" xfId="26852" xr:uid="{36D56073-C811-4E17-91AD-0B53AD56FB17}"/>
    <cellStyle name="Normal 11 2 2 2 3 2 2 3 2 3 3" xfId="26853" xr:uid="{F23E8D6C-ABC0-4DEC-BF4C-03C8DE038B4C}"/>
    <cellStyle name="Normal 11 2 2 2 3 2 2 3 2 4" xfId="26854" xr:uid="{65F6C721-5051-442F-860A-28011F797418}"/>
    <cellStyle name="Normal 11 2 2 2 3 2 2 3 2 4 2" xfId="26855" xr:uid="{543A9B8A-F561-4A2D-8ED8-B9D6FFBCE475}"/>
    <cellStyle name="Normal 11 2 2 2 3 2 2 3 2 5" xfId="26856" xr:uid="{099C3922-DA18-47DF-A489-87328A8A14DB}"/>
    <cellStyle name="Normal 11 2 2 2 3 2 2 3 3" xfId="26857" xr:uid="{768E24CD-AF05-4F44-980A-6FBE72A5C835}"/>
    <cellStyle name="Normal 11 2 2 2 3 2 2 3 3 2" xfId="26858" xr:uid="{15180951-ABF4-4C44-8E09-92410AE66CCE}"/>
    <cellStyle name="Normal 11 2 2 2 3 2 2 3 3 2 2" xfId="26859" xr:uid="{D1959DD2-48FD-4AD3-8D11-6AFA7DB95117}"/>
    <cellStyle name="Normal 11 2 2 2 3 2 2 3 3 2 2 2" xfId="26860" xr:uid="{56722938-51CA-475E-ADA6-E9B42F6A0383}"/>
    <cellStyle name="Normal 11 2 2 2 3 2 2 3 3 2 3" xfId="26861" xr:uid="{A7A19596-4EFD-4AF3-87AD-161D12C95B37}"/>
    <cellStyle name="Normal 11 2 2 2 3 2 2 3 3 3" xfId="26862" xr:uid="{58045ECD-BFB6-4D90-9EC9-B1A7FB0864C6}"/>
    <cellStyle name="Normal 11 2 2 2 3 2 2 3 3 3 2" xfId="26863" xr:uid="{93FAE1BA-8B3E-4CB3-9410-EFFA04C05102}"/>
    <cellStyle name="Normal 11 2 2 2 3 2 2 3 3 4" xfId="26864" xr:uid="{24934606-72AE-4613-9923-EAD4FAB7C9EF}"/>
    <cellStyle name="Normal 11 2 2 2 3 2 2 3 4" xfId="26865" xr:uid="{DAD27912-A73F-4AF1-906A-D589A4ACBD58}"/>
    <cellStyle name="Normal 11 2 2 2 3 2 2 3 4 2" xfId="26866" xr:uid="{BA999BEF-6985-4552-9921-B8A444890BB2}"/>
    <cellStyle name="Normal 11 2 2 2 3 2 2 3 4 2 2" xfId="26867" xr:uid="{E07DE9EC-F839-41F3-ABD9-BF00AF72ACB2}"/>
    <cellStyle name="Normal 11 2 2 2 3 2 2 3 4 3" xfId="26868" xr:uid="{42A9B5DC-4E2F-4DC9-9E3F-58B5BADFC456}"/>
    <cellStyle name="Normal 11 2 2 2 3 2 2 3 5" xfId="26869" xr:uid="{B19980B6-1283-4F84-8749-443C63060534}"/>
    <cellStyle name="Normal 11 2 2 2 3 2 2 3 5 2" xfId="26870" xr:uid="{9162F1E2-CE07-4985-B9A2-5CC9415B5A81}"/>
    <cellStyle name="Normal 11 2 2 2 3 2 2 3 6" xfId="26871" xr:uid="{88F081F8-B81B-446D-BD06-9BCD1E51E598}"/>
    <cellStyle name="Normal 11 2 2 2 3 2 2 4" xfId="26872" xr:uid="{5807BCA7-AC28-486B-9D3F-281540871DFE}"/>
    <cellStyle name="Normal 11 2 2 2 3 2 2 4 2" xfId="26873" xr:uid="{80FE5D5D-5CB2-4CCC-84BE-C6203A4FA6E2}"/>
    <cellStyle name="Normal 11 2 2 2 3 2 2 4 2 2" xfId="26874" xr:uid="{1B10060A-23C1-44FE-AC1B-2DB4815127F4}"/>
    <cellStyle name="Normal 11 2 2 2 3 2 2 4 2 2 2" xfId="26875" xr:uid="{4EAAFB16-B388-49E0-BD61-B8AB1B7F0F39}"/>
    <cellStyle name="Normal 11 2 2 2 3 2 2 4 2 2 2 2" xfId="26876" xr:uid="{48FD420F-DCA3-4F8B-A45D-2BCDD1D179BF}"/>
    <cellStyle name="Normal 11 2 2 2 3 2 2 4 2 2 3" xfId="26877" xr:uid="{FFBFA063-4B98-4FE7-B2E9-B60476EA2764}"/>
    <cellStyle name="Normal 11 2 2 2 3 2 2 4 2 3" xfId="26878" xr:uid="{09DE2E48-75BE-4412-99A1-24130B998229}"/>
    <cellStyle name="Normal 11 2 2 2 3 2 2 4 2 3 2" xfId="26879" xr:uid="{0372F911-FFA1-4F80-B527-8206F3700F15}"/>
    <cellStyle name="Normal 11 2 2 2 3 2 2 4 2 4" xfId="26880" xr:uid="{91278ED3-EC0D-4185-8993-E4B6B9B5637C}"/>
    <cellStyle name="Normal 11 2 2 2 3 2 2 4 3" xfId="26881" xr:uid="{01FE65FF-FDB2-493F-9570-D25B5966858C}"/>
    <cellStyle name="Normal 11 2 2 2 3 2 2 4 3 2" xfId="26882" xr:uid="{FF786665-FD00-438F-8E6C-10B8D50BDA13}"/>
    <cellStyle name="Normal 11 2 2 2 3 2 2 4 3 2 2" xfId="26883" xr:uid="{8772DB55-89A3-4A2A-A2ED-EBB31B0C494D}"/>
    <cellStyle name="Normal 11 2 2 2 3 2 2 4 3 3" xfId="26884" xr:uid="{C6ACEB30-DD12-4FC4-9101-685598A7EE78}"/>
    <cellStyle name="Normal 11 2 2 2 3 2 2 4 4" xfId="26885" xr:uid="{F4440D54-AA5D-4005-8D8C-C22E8583A267}"/>
    <cellStyle name="Normal 11 2 2 2 3 2 2 4 4 2" xfId="26886" xr:uid="{94D4C7E2-167F-469E-9731-615AFA4713CD}"/>
    <cellStyle name="Normal 11 2 2 2 3 2 2 4 5" xfId="26887" xr:uid="{6ECE4E29-7B24-4EF0-9C4B-1340365C5F95}"/>
    <cellStyle name="Normal 11 2 2 2 3 2 2 5" xfId="26888" xr:uid="{9C760B16-06ED-49C8-A64D-DFE7FAB58E6C}"/>
    <cellStyle name="Normal 11 2 2 2 3 2 2 5 2" xfId="26889" xr:uid="{E37C889C-FC84-4367-AD6B-A4358E61B105}"/>
    <cellStyle name="Normal 11 2 2 2 3 2 2 5 2 2" xfId="26890" xr:uid="{C227BA1D-2B5B-4ECC-9C44-1753B4A7BB32}"/>
    <cellStyle name="Normal 11 2 2 2 3 2 2 5 2 2 2" xfId="26891" xr:uid="{5DA47603-43C3-44CA-8E01-8E0B0962F6B3}"/>
    <cellStyle name="Normal 11 2 2 2 3 2 2 5 2 3" xfId="26892" xr:uid="{BCEEA4B0-A53B-4E63-A7F9-3F22F3DDF390}"/>
    <cellStyle name="Normal 11 2 2 2 3 2 2 5 3" xfId="26893" xr:uid="{09672F2B-5E18-4623-AC34-E5C07EC411FA}"/>
    <cellStyle name="Normal 11 2 2 2 3 2 2 5 3 2" xfId="26894" xr:uid="{A1F4FA47-6B3B-46A0-9279-A451B4BB4740}"/>
    <cellStyle name="Normal 11 2 2 2 3 2 2 5 4" xfId="26895" xr:uid="{C0716FF2-E02E-419A-AE39-81139BA062FB}"/>
    <cellStyle name="Normal 11 2 2 2 3 2 2 6" xfId="26896" xr:uid="{07EB87AB-DEA9-4B05-AB37-4F90C6B10FB0}"/>
    <cellStyle name="Normal 11 2 2 2 3 2 2 6 2" xfId="26897" xr:uid="{2CEE2D5C-C961-49F1-B1F9-C70F384BF345}"/>
    <cellStyle name="Normal 11 2 2 2 3 2 2 6 2 2" xfId="26898" xr:uid="{897A8FE8-15FD-441E-8B57-519532C8E382}"/>
    <cellStyle name="Normal 11 2 2 2 3 2 2 6 3" xfId="26899" xr:uid="{4A889679-B529-4700-A059-E10F26781D90}"/>
    <cellStyle name="Normal 11 2 2 2 3 2 2 7" xfId="26900" xr:uid="{D92AEDB9-D305-448F-8505-2DA1EADD4A55}"/>
    <cellStyle name="Normal 11 2 2 2 3 2 2 7 2" xfId="26901" xr:uid="{1D862B34-020F-4447-9967-46D76B545374}"/>
    <cellStyle name="Normal 11 2 2 2 3 2 2 8" xfId="26902" xr:uid="{876B806E-9836-4362-AC2C-AFCC2BF76112}"/>
    <cellStyle name="Normal 11 2 2 2 3 2 3" xfId="26903" xr:uid="{15461181-CD9D-4703-9541-6F66DE66D80B}"/>
    <cellStyle name="Normal 11 2 2 2 3 2 3 2" xfId="26904" xr:uid="{ADB734FA-0AFA-42FE-8D83-E506FE784CA6}"/>
    <cellStyle name="Normal 11 2 2 2 3 2 3 2 2" xfId="26905" xr:uid="{DC926B60-D870-49D7-8CBE-24771996487C}"/>
    <cellStyle name="Normal 11 2 2 2 3 2 3 2 2 2" xfId="26906" xr:uid="{0774D4F0-BC4B-480F-A5B8-8C96CC3FC6C6}"/>
    <cellStyle name="Normal 11 2 2 2 3 2 3 2 2 2 2" xfId="26907" xr:uid="{3E2DDDD7-F82F-4DFA-9671-6033ED3C9D83}"/>
    <cellStyle name="Normal 11 2 2 2 3 2 3 2 2 2 2 2" xfId="26908" xr:uid="{EC579167-3AA1-4749-9636-2AE6640CAE9C}"/>
    <cellStyle name="Normal 11 2 2 2 3 2 3 2 2 2 2 2 2" xfId="26909" xr:uid="{9E2464C6-1840-45D4-BDCC-77D69AEA4991}"/>
    <cellStyle name="Normal 11 2 2 2 3 2 3 2 2 2 2 3" xfId="26910" xr:uid="{F4E68983-AC41-4A96-A604-F2426835281E}"/>
    <cellStyle name="Normal 11 2 2 2 3 2 3 2 2 2 3" xfId="26911" xr:uid="{F175630B-5048-4C9F-BAD7-0C06CCE80930}"/>
    <cellStyle name="Normal 11 2 2 2 3 2 3 2 2 2 3 2" xfId="26912" xr:uid="{E2E521C1-AB8E-4B86-A310-B0608CBDD457}"/>
    <cellStyle name="Normal 11 2 2 2 3 2 3 2 2 2 4" xfId="26913" xr:uid="{7A5550FD-D9E1-441E-B7B1-4C9E1BB48B7E}"/>
    <cellStyle name="Normal 11 2 2 2 3 2 3 2 2 3" xfId="26914" xr:uid="{65074D21-758E-4054-893C-695817D6C1FE}"/>
    <cellStyle name="Normal 11 2 2 2 3 2 3 2 2 3 2" xfId="26915" xr:uid="{B96540B4-BD3F-4EF0-A30E-BDE0FC452F12}"/>
    <cellStyle name="Normal 11 2 2 2 3 2 3 2 2 3 2 2" xfId="26916" xr:uid="{9CAFACE3-C49D-4C62-A426-AEE2720D11F9}"/>
    <cellStyle name="Normal 11 2 2 2 3 2 3 2 2 3 3" xfId="26917" xr:uid="{3A942058-EFC0-46EA-88AD-B285094513FF}"/>
    <cellStyle name="Normal 11 2 2 2 3 2 3 2 2 4" xfId="26918" xr:uid="{3810E46C-1DE4-4973-AA8E-CDA79B2051DB}"/>
    <cellStyle name="Normal 11 2 2 2 3 2 3 2 2 4 2" xfId="26919" xr:uid="{A63032E3-D59F-4674-BF80-D0890588BE42}"/>
    <cellStyle name="Normal 11 2 2 2 3 2 3 2 2 5" xfId="26920" xr:uid="{63E9D15C-6578-4612-B234-70A8F995D204}"/>
    <cellStyle name="Normal 11 2 2 2 3 2 3 2 3" xfId="26921" xr:uid="{D794DD8F-D84F-4DB6-9725-0488C84BD571}"/>
    <cellStyle name="Normal 11 2 2 2 3 2 3 2 3 2" xfId="26922" xr:uid="{4EA1390F-02D7-40AC-B36A-AB0232D0085B}"/>
    <cellStyle name="Normal 11 2 2 2 3 2 3 2 3 2 2" xfId="26923" xr:uid="{5339BA92-2910-42EA-A212-6084192BD1FD}"/>
    <cellStyle name="Normal 11 2 2 2 3 2 3 2 3 2 2 2" xfId="26924" xr:uid="{B2193017-DC68-4244-B684-34CD136A017F}"/>
    <cellStyle name="Normal 11 2 2 2 3 2 3 2 3 2 3" xfId="26925" xr:uid="{DBF130EA-8252-4E8D-AC2E-A1E21DABC7FB}"/>
    <cellStyle name="Normal 11 2 2 2 3 2 3 2 3 3" xfId="26926" xr:uid="{2B0CD3D0-6EB9-4820-910E-28CC615FD86E}"/>
    <cellStyle name="Normal 11 2 2 2 3 2 3 2 3 3 2" xfId="26927" xr:uid="{97ACE0BD-658A-4901-BB38-1046F61A52C9}"/>
    <cellStyle name="Normal 11 2 2 2 3 2 3 2 3 4" xfId="26928" xr:uid="{B1C617A2-7016-4430-B31C-257908F6D2DE}"/>
    <cellStyle name="Normal 11 2 2 2 3 2 3 2 4" xfId="26929" xr:uid="{EB441319-DC54-4F12-A625-2BB00B8D7555}"/>
    <cellStyle name="Normal 11 2 2 2 3 2 3 2 4 2" xfId="26930" xr:uid="{770C4222-F0A8-4C39-9728-7E72EBBB7D99}"/>
    <cellStyle name="Normal 11 2 2 2 3 2 3 2 4 2 2" xfId="26931" xr:uid="{8FF26E16-0B35-41D3-9378-9EEFB45B545C}"/>
    <cellStyle name="Normal 11 2 2 2 3 2 3 2 4 3" xfId="26932" xr:uid="{743754C7-D73C-45C3-8D8A-4CF403A75DA4}"/>
    <cellStyle name="Normal 11 2 2 2 3 2 3 2 5" xfId="26933" xr:uid="{4D056F4E-06D1-46AE-A055-9E7357BFDC69}"/>
    <cellStyle name="Normal 11 2 2 2 3 2 3 2 5 2" xfId="26934" xr:uid="{B70F5347-DB2A-448F-8727-73B2A74EBAB9}"/>
    <cellStyle name="Normal 11 2 2 2 3 2 3 2 6" xfId="26935" xr:uid="{9002B4BE-10CF-423C-8B2E-2788F05917A9}"/>
    <cellStyle name="Normal 11 2 2 2 3 2 3 3" xfId="26936" xr:uid="{6F4403D8-320E-49FC-B58B-89B73EC8E5C0}"/>
    <cellStyle name="Normal 11 2 2 2 3 2 3 3 2" xfId="26937" xr:uid="{727B78F1-862A-4008-89C4-419BF87C12D0}"/>
    <cellStyle name="Normal 11 2 2 2 3 2 3 3 2 2" xfId="26938" xr:uid="{654B90BA-5370-4A34-A711-143DF1B26F9E}"/>
    <cellStyle name="Normal 11 2 2 2 3 2 3 3 2 2 2" xfId="26939" xr:uid="{8F0B43F2-3356-43A7-9484-14F1570CC99F}"/>
    <cellStyle name="Normal 11 2 2 2 3 2 3 3 2 2 2 2" xfId="26940" xr:uid="{7767073D-AB76-4B42-A484-3DA962E5899A}"/>
    <cellStyle name="Normal 11 2 2 2 3 2 3 3 2 2 3" xfId="26941" xr:uid="{05878FB6-9FE2-4E14-9ED0-CE074B8444F2}"/>
    <cellStyle name="Normal 11 2 2 2 3 2 3 3 2 3" xfId="26942" xr:uid="{57E85D75-3006-4538-96E3-5425EF5C1BFA}"/>
    <cellStyle name="Normal 11 2 2 2 3 2 3 3 2 3 2" xfId="26943" xr:uid="{4A877D7C-BD2F-4868-91F4-68D44D2C712C}"/>
    <cellStyle name="Normal 11 2 2 2 3 2 3 3 2 4" xfId="26944" xr:uid="{C03E370D-0CEA-4700-A333-876570D7C457}"/>
    <cellStyle name="Normal 11 2 2 2 3 2 3 3 3" xfId="26945" xr:uid="{B3F7E0F2-3C25-435D-9D02-B5C71B0FBEC5}"/>
    <cellStyle name="Normal 11 2 2 2 3 2 3 3 3 2" xfId="26946" xr:uid="{8A973631-BA4E-44C7-B88C-784A2D978473}"/>
    <cellStyle name="Normal 11 2 2 2 3 2 3 3 3 2 2" xfId="26947" xr:uid="{4917452C-98EE-40AB-B1C3-9F55CE95AC87}"/>
    <cellStyle name="Normal 11 2 2 2 3 2 3 3 3 3" xfId="26948" xr:uid="{83B38DF1-4F7D-4F91-AD8B-7E9ECC071EC6}"/>
    <cellStyle name="Normal 11 2 2 2 3 2 3 3 4" xfId="26949" xr:uid="{CA102AB0-15AD-4FF7-9937-D00803423D97}"/>
    <cellStyle name="Normal 11 2 2 2 3 2 3 3 4 2" xfId="26950" xr:uid="{8A1D44D6-EE83-4882-917F-D82DD4103BB9}"/>
    <cellStyle name="Normal 11 2 2 2 3 2 3 3 5" xfId="26951" xr:uid="{BCFB6D6C-07B0-4AB5-94F9-022BE05AA9D5}"/>
    <cellStyle name="Normal 11 2 2 2 3 2 3 4" xfId="26952" xr:uid="{053E6CF2-78CB-4F63-85F4-1A0EAF5C5583}"/>
    <cellStyle name="Normal 11 2 2 2 3 2 3 4 2" xfId="26953" xr:uid="{17332BBC-7FF7-4E6B-AC7F-1F373E9C4753}"/>
    <cellStyle name="Normal 11 2 2 2 3 2 3 4 2 2" xfId="26954" xr:uid="{C40FDA69-32C1-4B40-A0F5-C6D3EF39712D}"/>
    <cellStyle name="Normal 11 2 2 2 3 2 3 4 2 2 2" xfId="26955" xr:uid="{2E4DB457-A946-4186-AA7F-96A0C2C58615}"/>
    <cellStyle name="Normal 11 2 2 2 3 2 3 4 2 3" xfId="26956" xr:uid="{E413BEAC-C475-44ED-B2D9-B9487E1F23E4}"/>
    <cellStyle name="Normal 11 2 2 2 3 2 3 4 3" xfId="26957" xr:uid="{6E33D81F-8653-43DA-8B0B-86C8CF0A0BA9}"/>
    <cellStyle name="Normal 11 2 2 2 3 2 3 4 3 2" xfId="26958" xr:uid="{13BCC600-7B79-4DA9-A62F-4EB756EB5ED7}"/>
    <cellStyle name="Normal 11 2 2 2 3 2 3 4 4" xfId="26959" xr:uid="{7DD9F64C-6E82-4A62-B724-6924EB503028}"/>
    <cellStyle name="Normal 11 2 2 2 3 2 3 5" xfId="26960" xr:uid="{194FF361-2D87-4403-93D8-44AE03C1BA6F}"/>
    <cellStyle name="Normal 11 2 2 2 3 2 3 5 2" xfId="26961" xr:uid="{82F4A8DB-2C57-41D0-8C58-A9EF67B0BE3C}"/>
    <cellStyle name="Normal 11 2 2 2 3 2 3 5 2 2" xfId="26962" xr:uid="{8722263E-D0B6-41BC-A5CB-4976E8A45DE9}"/>
    <cellStyle name="Normal 11 2 2 2 3 2 3 5 3" xfId="26963" xr:uid="{27EA166A-F540-4DE4-9885-ED81A5FDD17D}"/>
    <cellStyle name="Normal 11 2 2 2 3 2 3 6" xfId="26964" xr:uid="{09A2E2DA-6B1B-4250-A30B-28FE91B828BB}"/>
    <cellStyle name="Normal 11 2 2 2 3 2 3 6 2" xfId="26965" xr:uid="{753148A8-011C-4022-832C-C87A0EF47E80}"/>
    <cellStyle name="Normal 11 2 2 2 3 2 3 7" xfId="26966" xr:uid="{40FE8F84-43EE-41E6-9CA0-DA3381259840}"/>
    <cellStyle name="Normal 11 2 2 2 3 2 4" xfId="26967" xr:uid="{F14EF7FE-DCCC-4EC8-AF07-9E766D0BD9D0}"/>
    <cellStyle name="Normal 11 2 2 2 3 2 4 2" xfId="26968" xr:uid="{C2B8DE87-7B76-45EB-96AC-CE924907ABBF}"/>
    <cellStyle name="Normal 11 2 2 2 3 2 4 2 2" xfId="26969" xr:uid="{384633BC-310A-48C5-B471-6796EB34EE42}"/>
    <cellStyle name="Normal 11 2 2 2 3 2 4 2 2 2" xfId="26970" xr:uid="{3C7A7F7D-DB31-4004-B9A3-1DA8A34A646F}"/>
    <cellStyle name="Normal 11 2 2 2 3 2 4 2 2 2 2" xfId="26971" xr:uid="{811176A6-E7F2-45E0-8D59-28C0196F87A6}"/>
    <cellStyle name="Normal 11 2 2 2 3 2 4 2 2 2 2 2" xfId="26972" xr:uid="{DBA4B371-B909-4974-88C1-9D84942DF08B}"/>
    <cellStyle name="Normal 11 2 2 2 3 2 4 2 2 2 3" xfId="26973" xr:uid="{28034E3D-5117-4557-87F7-45E0AECCBBB2}"/>
    <cellStyle name="Normal 11 2 2 2 3 2 4 2 2 3" xfId="26974" xr:uid="{1EB21833-2C7C-44D9-8312-F598622B2062}"/>
    <cellStyle name="Normal 11 2 2 2 3 2 4 2 2 3 2" xfId="26975" xr:uid="{96691FDD-F2AE-461A-BCCC-46B506E8F971}"/>
    <cellStyle name="Normal 11 2 2 2 3 2 4 2 2 4" xfId="26976" xr:uid="{7C9E9806-3195-4983-B404-CB9D1F5110C4}"/>
    <cellStyle name="Normal 11 2 2 2 3 2 4 2 3" xfId="26977" xr:uid="{800571A3-737C-42C2-A90F-B35750593F1C}"/>
    <cellStyle name="Normal 11 2 2 2 3 2 4 2 3 2" xfId="26978" xr:uid="{0B4C08CB-9698-4BFE-B4CA-3AE56AADEB38}"/>
    <cellStyle name="Normal 11 2 2 2 3 2 4 2 3 2 2" xfId="26979" xr:uid="{10BA5FEB-8031-4B12-92D0-487810496516}"/>
    <cellStyle name="Normal 11 2 2 2 3 2 4 2 3 3" xfId="26980" xr:uid="{1F01A57D-B286-496A-B4C3-5D1956B5FB15}"/>
    <cellStyle name="Normal 11 2 2 2 3 2 4 2 4" xfId="26981" xr:uid="{E4E84378-A35A-4822-8039-07DB55BAA2BC}"/>
    <cellStyle name="Normal 11 2 2 2 3 2 4 2 4 2" xfId="26982" xr:uid="{D2A68F12-082F-42FE-8F01-5638F2BEC408}"/>
    <cellStyle name="Normal 11 2 2 2 3 2 4 2 5" xfId="26983" xr:uid="{0122AFD1-AD9B-4CA6-B084-44395CCB065E}"/>
    <cellStyle name="Normal 11 2 2 2 3 2 4 3" xfId="26984" xr:uid="{469F6092-76B1-40D3-817B-85E01771BE2A}"/>
    <cellStyle name="Normal 11 2 2 2 3 2 4 3 2" xfId="26985" xr:uid="{3C228907-DF3E-4C3D-84A3-BD0448D95BD4}"/>
    <cellStyle name="Normal 11 2 2 2 3 2 4 3 2 2" xfId="26986" xr:uid="{0AC94157-507D-4A3E-B9E1-E10232326337}"/>
    <cellStyle name="Normal 11 2 2 2 3 2 4 3 2 2 2" xfId="26987" xr:uid="{4077D055-A844-401A-AC0E-E9CC7BEAD0B0}"/>
    <cellStyle name="Normal 11 2 2 2 3 2 4 3 2 3" xfId="26988" xr:uid="{2C82F96E-FDF6-404D-8AFD-CC422AF8826E}"/>
    <cellStyle name="Normal 11 2 2 2 3 2 4 3 3" xfId="26989" xr:uid="{35DD5199-0837-42C7-95A6-758E07010039}"/>
    <cellStyle name="Normal 11 2 2 2 3 2 4 3 3 2" xfId="26990" xr:uid="{E0565E6D-325E-458B-BD08-4DA02655F218}"/>
    <cellStyle name="Normal 11 2 2 2 3 2 4 3 4" xfId="26991" xr:uid="{C417A745-0F6B-4CAC-8948-7EF077025EC6}"/>
    <cellStyle name="Normal 11 2 2 2 3 2 4 4" xfId="26992" xr:uid="{113A80E7-1A5F-41A7-949E-A7710305BD63}"/>
    <cellStyle name="Normal 11 2 2 2 3 2 4 4 2" xfId="26993" xr:uid="{38644ADB-A5CD-46DB-801B-1B4041569F38}"/>
    <cellStyle name="Normal 11 2 2 2 3 2 4 4 2 2" xfId="26994" xr:uid="{125A9DDB-E88F-4AD8-B002-19FE0FF897A3}"/>
    <cellStyle name="Normal 11 2 2 2 3 2 4 4 3" xfId="26995" xr:uid="{E4836A5E-4B7B-4BA2-A75A-8BD53E401D5E}"/>
    <cellStyle name="Normal 11 2 2 2 3 2 4 5" xfId="26996" xr:uid="{4ED6CDDD-664D-4F33-A26E-B686FA7774B9}"/>
    <cellStyle name="Normal 11 2 2 2 3 2 4 5 2" xfId="26997" xr:uid="{BABCF958-F3B1-4D76-90FF-811E0F4B337E}"/>
    <cellStyle name="Normal 11 2 2 2 3 2 4 6" xfId="26998" xr:uid="{897F2C56-E374-4870-9DD9-54E73FBC5E0E}"/>
    <cellStyle name="Normal 11 2 2 2 3 2 5" xfId="26999" xr:uid="{46B6C61D-AB68-486A-8486-AA42D138CA8F}"/>
    <cellStyle name="Normal 11 2 2 2 3 2 5 2" xfId="27000" xr:uid="{11907E02-1AA6-48DE-8863-8637554C99E5}"/>
    <cellStyle name="Normal 11 2 2 2 3 2 5 2 2" xfId="27001" xr:uid="{75312FEE-E05A-44C9-B144-400F2C4474F1}"/>
    <cellStyle name="Normal 11 2 2 2 3 2 5 2 2 2" xfId="27002" xr:uid="{48041520-799C-49AB-B4DE-A5BF49D27E70}"/>
    <cellStyle name="Normal 11 2 2 2 3 2 5 2 2 2 2" xfId="27003" xr:uid="{0579DE6F-FEB8-48DD-A1B3-2F0620F57E57}"/>
    <cellStyle name="Normal 11 2 2 2 3 2 5 2 2 3" xfId="27004" xr:uid="{5D321702-11CD-4296-A2F7-A956F7EBB9AA}"/>
    <cellStyle name="Normal 11 2 2 2 3 2 5 2 3" xfId="27005" xr:uid="{1567BE6C-283A-44AF-9B48-1702D17D1253}"/>
    <cellStyle name="Normal 11 2 2 2 3 2 5 2 3 2" xfId="27006" xr:uid="{E30CFB5A-7571-495D-B284-B099D1248A7E}"/>
    <cellStyle name="Normal 11 2 2 2 3 2 5 2 4" xfId="27007" xr:uid="{605ABA57-EA1A-433E-9427-98D8CC513359}"/>
    <cellStyle name="Normal 11 2 2 2 3 2 5 3" xfId="27008" xr:uid="{04270C62-00BB-4A4B-A61D-E0D314F68406}"/>
    <cellStyle name="Normal 11 2 2 2 3 2 5 3 2" xfId="27009" xr:uid="{10D18D2C-C16E-4749-B7D2-3E1214713BC1}"/>
    <cellStyle name="Normal 11 2 2 2 3 2 5 3 2 2" xfId="27010" xr:uid="{51502362-76F9-4488-A0BA-626FD07CF8C4}"/>
    <cellStyle name="Normal 11 2 2 2 3 2 5 3 3" xfId="27011" xr:uid="{CD2F29AA-1C89-4A85-ACCF-6006C55DE5F4}"/>
    <cellStyle name="Normal 11 2 2 2 3 2 5 4" xfId="27012" xr:uid="{B7E87FF8-DDFE-4AD4-80C4-7568ABA923CD}"/>
    <cellStyle name="Normal 11 2 2 2 3 2 5 4 2" xfId="27013" xr:uid="{C0E583CA-EE68-45B4-B4B4-6808AE2AF39E}"/>
    <cellStyle name="Normal 11 2 2 2 3 2 5 5" xfId="27014" xr:uid="{DA52CFA1-605D-41D7-BFED-A3A2F942DCAB}"/>
    <cellStyle name="Normal 11 2 2 2 3 2 6" xfId="27015" xr:uid="{50C0EA84-257B-460A-B53A-499BA1B96800}"/>
    <cellStyle name="Normal 11 2 2 2 3 2 6 2" xfId="27016" xr:uid="{5251F9C1-C36E-4239-92DD-362A76C8ABD0}"/>
    <cellStyle name="Normal 11 2 2 2 3 2 6 2 2" xfId="27017" xr:uid="{EF2C93AC-FE39-4A35-8448-83EF1ADCF638}"/>
    <cellStyle name="Normal 11 2 2 2 3 2 6 2 2 2" xfId="27018" xr:uid="{8C3EEE93-4AD6-43EE-8EC4-11EDBE883065}"/>
    <cellStyle name="Normal 11 2 2 2 3 2 6 2 3" xfId="27019" xr:uid="{A957D554-4BB9-40F5-902E-7C3934AB2350}"/>
    <cellStyle name="Normal 11 2 2 2 3 2 6 3" xfId="27020" xr:uid="{B5B33825-799C-4709-87DD-1CF0C1063958}"/>
    <cellStyle name="Normal 11 2 2 2 3 2 6 3 2" xfId="27021" xr:uid="{AE875FA1-B7B9-4D8D-B3D6-1EC0F80E0FE8}"/>
    <cellStyle name="Normal 11 2 2 2 3 2 6 4" xfId="27022" xr:uid="{191186C6-D8F6-455D-8C1A-09E05857A17C}"/>
    <cellStyle name="Normal 11 2 2 2 3 2 7" xfId="27023" xr:uid="{C1AE513E-AF10-44AF-AD2E-5AA715AA2A9F}"/>
    <cellStyle name="Normal 11 2 2 2 3 2 7 2" xfId="27024" xr:uid="{95141143-CAFE-46BF-9D84-F60A023C86A8}"/>
    <cellStyle name="Normal 11 2 2 2 3 2 7 2 2" xfId="27025" xr:uid="{743007F6-5CE8-4B98-ADA0-737943C0CDCF}"/>
    <cellStyle name="Normal 11 2 2 2 3 2 7 3" xfId="27026" xr:uid="{CFB869F7-9541-4115-859E-FBEC59A19CA2}"/>
    <cellStyle name="Normal 11 2 2 2 3 2 8" xfId="27027" xr:uid="{856E0972-63A5-4F4C-9D38-5B855CAAE1ED}"/>
    <cellStyle name="Normal 11 2 2 2 3 2 8 2" xfId="27028" xr:uid="{4EE07D14-159D-4153-BF0C-D04ABCF02AD4}"/>
    <cellStyle name="Normal 11 2 2 2 3 2 9" xfId="27029" xr:uid="{B7B793F8-8915-45E8-91F9-A0113EF338ED}"/>
    <cellStyle name="Normal 11 2 2 2 3 3" xfId="483" xr:uid="{5F4E1C78-BD97-40CD-9ECE-C672B723753C}"/>
    <cellStyle name="Normal 11 2 2 2 3 3 2" xfId="27031" xr:uid="{CC02D1B0-E0F0-4ECB-8673-660B5BAA5002}"/>
    <cellStyle name="Normal 11 2 2 2 3 3 2 2" xfId="27032" xr:uid="{C8CBE668-07D7-436C-B34D-A1DAE57A8346}"/>
    <cellStyle name="Normal 11 2 2 2 3 3 2 2 2" xfId="27033" xr:uid="{EA4FEC79-9A0F-494B-B3BA-7483C967C825}"/>
    <cellStyle name="Normal 11 2 2 2 3 3 2 2 2 2" xfId="27034" xr:uid="{4B3D805F-E66E-4C4E-91C7-A392846120A8}"/>
    <cellStyle name="Normal 11 2 2 2 3 3 2 2 2 2 2" xfId="27035" xr:uid="{6569E6D1-01AC-44E7-A501-C76ED08E2475}"/>
    <cellStyle name="Normal 11 2 2 2 3 3 2 2 2 2 2 2" xfId="27036" xr:uid="{69456679-6EBE-42EE-B7CA-EC23E96035B6}"/>
    <cellStyle name="Normal 11 2 2 2 3 3 2 2 2 2 2 2 2" xfId="27037" xr:uid="{A6FE642B-B660-45B2-ADD0-E2330F579AF3}"/>
    <cellStyle name="Normal 11 2 2 2 3 3 2 2 2 2 2 3" xfId="27038" xr:uid="{DE999540-8E37-4136-9933-E5FF169462C6}"/>
    <cellStyle name="Normal 11 2 2 2 3 3 2 2 2 2 3" xfId="27039" xr:uid="{09A0EBED-CCFD-4626-A898-BD8877D11A76}"/>
    <cellStyle name="Normal 11 2 2 2 3 3 2 2 2 2 3 2" xfId="27040" xr:uid="{DC88A057-56B2-453F-89F9-642448E97035}"/>
    <cellStyle name="Normal 11 2 2 2 3 3 2 2 2 2 4" xfId="27041" xr:uid="{805B48E7-8B21-41B6-9C87-32A5E78C9F25}"/>
    <cellStyle name="Normal 11 2 2 2 3 3 2 2 2 3" xfId="27042" xr:uid="{03512F71-9A20-40AD-B70B-6FE66BDFB30D}"/>
    <cellStyle name="Normal 11 2 2 2 3 3 2 2 2 3 2" xfId="27043" xr:uid="{B025EE7F-4D5C-43D1-964F-8CC81546D267}"/>
    <cellStyle name="Normal 11 2 2 2 3 3 2 2 2 3 2 2" xfId="27044" xr:uid="{F890AE3F-40C8-4399-A7E6-58B0E51870ED}"/>
    <cellStyle name="Normal 11 2 2 2 3 3 2 2 2 3 3" xfId="27045" xr:uid="{C181A96E-690E-4B53-A24D-A0E036BA896F}"/>
    <cellStyle name="Normal 11 2 2 2 3 3 2 2 2 4" xfId="27046" xr:uid="{C3E9B286-5347-4F92-A551-7959BC631901}"/>
    <cellStyle name="Normal 11 2 2 2 3 3 2 2 2 4 2" xfId="27047" xr:uid="{204A4A7C-0515-4934-9045-EDA88C10933D}"/>
    <cellStyle name="Normal 11 2 2 2 3 3 2 2 2 5" xfId="27048" xr:uid="{6EF6C752-EB21-44A7-90FD-E3AEA515B56E}"/>
    <cellStyle name="Normal 11 2 2 2 3 3 2 2 3" xfId="27049" xr:uid="{0A6573A1-7A92-47DA-86BB-A3035FE8C6D5}"/>
    <cellStyle name="Normal 11 2 2 2 3 3 2 2 3 2" xfId="27050" xr:uid="{1C27FB20-8F6E-4E8A-B051-8B5432BEEE6F}"/>
    <cellStyle name="Normal 11 2 2 2 3 3 2 2 3 2 2" xfId="27051" xr:uid="{042B729E-BA00-435B-A98B-A9970A3D4E94}"/>
    <cellStyle name="Normal 11 2 2 2 3 3 2 2 3 2 2 2" xfId="27052" xr:uid="{A013AE0F-853D-4FD8-B8CD-6B2E9D76B295}"/>
    <cellStyle name="Normal 11 2 2 2 3 3 2 2 3 2 3" xfId="27053" xr:uid="{E398575E-7E7A-4B56-97B5-309BDD368DB2}"/>
    <cellStyle name="Normal 11 2 2 2 3 3 2 2 3 3" xfId="27054" xr:uid="{2607D697-9077-4545-951A-E4836AD8BCE0}"/>
    <cellStyle name="Normal 11 2 2 2 3 3 2 2 3 3 2" xfId="27055" xr:uid="{B7F0516F-9396-4AFD-9051-26033C9F27B5}"/>
    <cellStyle name="Normal 11 2 2 2 3 3 2 2 3 4" xfId="27056" xr:uid="{06AB952C-1DD8-4FBD-AB81-5E906FF2A2C4}"/>
    <cellStyle name="Normal 11 2 2 2 3 3 2 2 4" xfId="27057" xr:uid="{E61BB20A-FAB4-42C4-9284-BEC92040BB0E}"/>
    <cellStyle name="Normal 11 2 2 2 3 3 2 2 4 2" xfId="27058" xr:uid="{BA551BB1-BC7A-4660-867F-85A4F29E6BC5}"/>
    <cellStyle name="Normal 11 2 2 2 3 3 2 2 4 2 2" xfId="27059" xr:uid="{75139123-CD8A-4DB7-9707-FD2EC48248FB}"/>
    <cellStyle name="Normal 11 2 2 2 3 3 2 2 4 3" xfId="27060" xr:uid="{57A1B5EE-E43B-4066-8865-2FA362EE9387}"/>
    <cellStyle name="Normal 11 2 2 2 3 3 2 2 5" xfId="27061" xr:uid="{961CC686-9099-4A1D-A3D3-A84881FCE58A}"/>
    <cellStyle name="Normal 11 2 2 2 3 3 2 2 5 2" xfId="27062" xr:uid="{F0386B81-359C-43CF-B35E-95EB8776DF72}"/>
    <cellStyle name="Normal 11 2 2 2 3 3 2 2 6" xfId="27063" xr:uid="{ED680D98-EDBB-4784-8E90-7BFAA75B3800}"/>
    <cellStyle name="Normal 11 2 2 2 3 3 2 3" xfId="27064" xr:uid="{7F23496A-CEAE-4F43-BA84-B9A440865097}"/>
    <cellStyle name="Normal 11 2 2 2 3 3 2 3 2" xfId="27065" xr:uid="{06B1B26B-ACD1-4751-B02C-A66B193C65F9}"/>
    <cellStyle name="Normal 11 2 2 2 3 3 2 3 2 2" xfId="27066" xr:uid="{4B6D7A90-FA44-4464-8861-E35945D6D390}"/>
    <cellStyle name="Normal 11 2 2 2 3 3 2 3 2 2 2" xfId="27067" xr:uid="{7DEF1810-3350-4B54-9D1D-05238416B70A}"/>
    <cellStyle name="Normal 11 2 2 2 3 3 2 3 2 2 2 2" xfId="27068" xr:uid="{D3F3ABE1-962F-424D-A6D3-B937B805C7AC}"/>
    <cellStyle name="Normal 11 2 2 2 3 3 2 3 2 2 3" xfId="27069" xr:uid="{EB102AE8-6B02-4C68-9C06-54E283FC9E29}"/>
    <cellStyle name="Normal 11 2 2 2 3 3 2 3 2 3" xfId="27070" xr:uid="{23BF9322-1AD2-435B-A7D6-B6C100738450}"/>
    <cellStyle name="Normal 11 2 2 2 3 3 2 3 2 3 2" xfId="27071" xr:uid="{543CEE7B-52E2-4E67-BFFA-21BAA8C493BA}"/>
    <cellStyle name="Normal 11 2 2 2 3 3 2 3 2 4" xfId="27072" xr:uid="{204BEEAA-2F16-4518-82B7-8B85E50C6916}"/>
    <cellStyle name="Normal 11 2 2 2 3 3 2 3 3" xfId="27073" xr:uid="{F9B7192E-8FF7-4787-B173-A6D59BDA9DF2}"/>
    <cellStyle name="Normal 11 2 2 2 3 3 2 3 3 2" xfId="27074" xr:uid="{19B32929-A362-466A-9990-03357BAD9935}"/>
    <cellStyle name="Normal 11 2 2 2 3 3 2 3 3 2 2" xfId="27075" xr:uid="{60E984DF-BECF-4F0C-813A-101D6B526EC1}"/>
    <cellStyle name="Normal 11 2 2 2 3 3 2 3 3 3" xfId="27076" xr:uid="{C43BE19C-0840-4A51-A779-A15EA702C745}"/>
    <cellStyle name="Normal 11 2 2 2 3 3 2 3 4" xfId="27077" xr:uid="{6CE1B32A-7C64-46D8-90AD-9AF3514D2E55}"/>
    <cellStyle name="Normal 11 2 2 2 3 3 2 3 4 2" xfId="27078" xr:uid="{4C33818F-75A7-487C-A56B-1B2F89FB1776}"/>
    <cellStyle name="Normal 11 2 2 2 3 3 2 3 5" xfId="27079" xr:uid="{74567DE4-0BD6-4AA1-A41F-B6A847B4A41B}"/>
    <cellStyle name="Normal 11 2 2 2 3 3 2 4" xfId="27080" xr:uid="{190CD069-B7C5-490F-89EA-455E7D60F447}"/>
    <cellStyle name="Normal 11 2 2 2 3 3 2 4 2" xfId="27081" xr:uid="{DBDBC735-1BE7-46BA-AFCF-7E9F9B00D8FA}"/>
    <cellStyle name="Normal 11 2 2 2 3 3 2 4 2 2" xfId="27082" xr:uid="{D9AE4F9C-6126-49F6-A6F0-B0D838F1BCAE}"/>
    <cellStyle name="Normal 11 2 2 2 3 3 2 4 2 2 2" xfId="27083" xr:uid="{3677DD19-2FD7-499D-A652-ACF6AD981AF2}"/>
    <cellStyle name="Normal 11 2 2 2 3 3 2 4 2 3" xfId="27084" xr:uid="{29671356-6CFC-42D8-BA0B-042448B0F06F}"/>
    <cellStyle name="Normal 11 2 2 2 3 3 2 4 3" xfId="27085" xr:uid="{DC11CFB1-64CC-4709-A140-CEDB63C1E964}"/>
    <cellStyle name="Normal 11 2 2 2 3 3 2 4 3 2" xfId="27086" xr:uid="{801329AF-B374-4970-ABCB-910667A40DF3}"/>
    <cellStyle name="Normal 11 2 2 2 3 3 2 4 4" xfId="27087" xr:uid="{D81D8220-BC96-4A25-8A5A-F88A7ADDA682}"/>
    <cellStyle name="Normal 11 2 2 2 3 3 2 5" xfId="27088" xr:uid="{DAEBB98F-784E-4E13-9795-C47B28458C60}"/>
    <cellStyle name="Normal 11 2 2 2 3 3 2 5 2" xfId="27089" xr:uid="{52B15FFC-E096-4608-9F3E-F18B003AF18A}"/>
    <cellStyle name="Normal 11 2 2 2 3 3 2 5 2 2" xfId="27090" xr:uid="{2EC1B4F1-AF89-495E-BF15-ED8FE006B730}"/>
    <cellStyle name="Normal 11 2 2 2 3 3 2 5 3" xfId="27091" xr:uid="{D10E7F9F-7592-42E2-96BC-7D241203CD29}"/>
    <cellStyle name="Normal 11 2 2 2 3 3 2 6" xfId="27092" xr:uid="{B0D2BF54-B935-448D-A727-82604EA5CC03}"/>
    <cellStyle name="Normal 11 2 2 2 3 3 2 6 2" xfId="27093" xr:uid="{54B8AE7F-21E6-43C6-9442-18B16F4C1D13}"/>
    <cellStyle name="Normal 11 2 2 2 3 3 2 7" xfId="27094" xr:uid="{41B903F0-0A84-4332-B7DD-2A5FC31F8252}"/>
    <cellStyle name="Normal 11 2 2 2 3 3 3" xfId="27095" xr:uid="{E93CFC51-F162-46BE-A378-07B0CE205BB1}"/>
    <cellStyle name="Normal 11 2 2 2 3 3 3 2" xfId="27096" xr:uid="{F89D65AC-49B9-479F-9737-1E104A0BA918}"/>
    <cellStyle name="Normal 11 2 2 2 3 3 3 2 2" xfId="27097" xr:uid="{957D2FEF-55B1-4069-83DE-0BB5511D5F2A}"/>
    <cellStyle name="Normal 11 2 2 2 3 3 3 2 2 2" xfId="27098" xr:uid="{7253B5BE-AB78-4E9E-AA26-16ED4E231DCA}"/>
    <cellStyle name="Normal 11 2 2 2 3 3 3 2 2 2 2" xfId="27099" xr:uid="{25439469-40BA-4F1F-8436-D455A3DAAE3F}"/>
    <cellStyle name="Normal 11 2 2 2 3 3 3 2 2 2 2 2" xfId="27100" xr:uid="{542D55E9-A148-4B14-A7DB-E4194FDAE3C2}"/>
    <cellStyle name="Normal 11 2 2 2 3 3 3 2 2 2 3" xfId="27101" xr:uid="{F2F3E44F-7B8D-4374-BB54-78B4062C0250}"/>
    <cellStyle name="Normal 11 2 2 2 3 3 3 2 2 3" xfId="27102" xr:uid="{AB3C3F02-158A-4BFF-ACDA-E9ABB831EC40}"/>
    <cellStyle name="Normal 11 2 2 2 3 3 3 2 2 3 2" xfId="27103" xr:uid="{41D88646-ECFE-468C-9A3F-0AF69D5AF5D7}"/>
    <cellStyle name="Normal 11 2 2 2 3 3 3 2 2 4" xfId="27104" xr:uid="{C4EEF7AF-553E-4255-B5E8-FF9AFC94D7DD}"/>
    <cellStyle name="Normal 11 2 2 2 3 3 3 2 3" xfId="27105" xr:uid="{834DA904-9BB3-41D0-B8D8-C550B413DDBF}"/>
    <cellStyle name="Normal 11 2 2 2 3 3 3 2 3 2" xfId="27106" xr:uid="{6FE3FBA8-5769-4D0B-A935-425D931C508D}"/>
    <cellStyle name="Normal 11 2 2 2 3 3 3 2 3 2 2" xfId="27107" xr:uid="{AB6E2E11-D84D-416A-AFAC-6089C009A88C}"/>
    <cellStyle name="Normal 11 2 2 2 3 3 3 2 3 3" xfId="27108" xr:uid="{A35E8F48-608E-45B6-9218-6CE8D3579996}"/>
    <cellStyle name="Normal 11 2 2 2 3 3 3 2 4" xfId="27109" xr:uid="{0E392788-006A-49D4-92BA-49785A393C41}"/>
    <cellStyle name="Normal 11 2 2 2 3 3 3 2 4 2" xfId="27110" xr:uid="{D399EC8E-10E0-4210-B88A-3A97195A1DB6}"/>
    <cellStyle name="Normal 11 2 2 2 3 3 3 2 5" xfId="27111" xr:uid="{948BF904-7AA1-4699-ABD2-362A845E804A}"/>
    <cellStyle name="Normal 11 2 2 2 3 3 3 3" xfId="27112" xr:uid="{44B75D2A-74C8-426D-BC77-8FF5D322C140}"/>
    <cellStyle name="Normal 11 2 2 2 3 3 3 3 2" xfId="27113" xr:uid="{21A87BF6-4BEC-4895-9F2E-EEE014D9389B}"/>
    <cellStyle name="Normal 11 2 2 2 3 3 3 3 2 2" xfId="27114" xr:uid="{768D0D8F-BF13-4515-8043-55836C5395F9}"/>
    <cellStyle name="Normal 11 2 2 2 3 3 3 3 2 2 2" xfId="27115" xr:uid="{5D21DD48-E6BB-417A-8043-E5CB938D9FDF}"/>
    <cellStyle name="Normal 11 2 2 2 3 3 3 3 2 3" xfId="27116" xr:uid="{AC9FFA82-8312-4457-91C6-A740C77E31AF}"/>
    <cellStyle name="Normal 11 2 2 2 3 3 3 3 3" xfId="27117" xr:uid="{E6904FD6-6BDB-4983-AB45-DBE4787A79FD}"/>
    <cellStyle name="Normal 11 2 2 2 3 3 3 3 3 2" xfId="27118" xr:uid="{E3256C67-81DA-42BB-BD55-10989A9D206B}"/>
    <cellStyle name="Normal 11 2 2 2 3 3 3 3 4" xfId="27119" xr:uid="{16DA5A1D-B2AF-43D9-851D-8C067DA3178C}"/>
    <cellStyle name="Normal 11 2 2 2 3 3 3 4" xfId="27120" xr:uid="{990500F7-BF77-4568-84E8-109FCEEA1425}"/>
    <cellStyle name="Normal 11 2 2 2 3 3 3 4 2" xfId="27121" xr:uid="{5CFDACBF-5905-47C1-A33C-1525F677ABD3}"/>
    <cellStyle name="Normal 11 2 2 2 3 3 3 4 2 2" xfId="27122" xr:uid="{B83DF19B-07D0-4648-A6B9-909AB849198B}"/>
    <cellStyle name="Normal 11 2 2 2 3 3 3 4 3" xfId="27123" xr:uid="{3BF34912-F061-46FB-8669-3FFE18208821}"/>
    <cellStyle name="Normal 11 2 2 2 3 3 3 5" xfId="27124" xr:uid="{32F1F691-1CCF-45A1-A9C3-6CB971345884}"/>
    <cellStyle name="Normal 11 2 2 2 3 3 3 5 2" xfId="27125" xr:uid="{4809FEAD-C499-4879-8DAE-827DF0706B3C}"/>
    <cellStyle name="Normal 11 2 2 2 3 3 3 6" xfId="27126" xr:uid="{02165786-89A5-43D0-8EF8-508E158B3C31}"/>
    <cellStyle name="Normal 11 2 2 2 3 3 4" xfId="27127" xr:uid="{37E9DB3A-B848-4FA3-A5B7-276A4BC566BA}"/>
    <cellStyle name="Normal 11 2 2 2 3 3 4 2" xfId="27128" xr:uid="{AE8E7B10-C42C-4E98-858B-6F0D5EC25880}"/>
    <cellStyle name="Normal 11 2 2 2 3 3 4 2 2" xfId="27129" xr:uid="{9B97518A-58CC-4F8B-B306-27BB09364497}"/>
    <cellStyle name="Normal 11 2 2 2 3 3 4 2 2 2" xfId="27130" xr:uid="{7E078D32-DDE7-46EA-974E-0662C379E746}"/>
    <cellStyle name="Normal 11 2 2 2 3 3 4 2 2 2 2" xfId="27131" xr:uid="{82A9437A-4DB0-4A07-818B-A57F9B09EBBF}"/>
    <cellStyle name="Normal 11 2 2 2 3 3 4 2 2 3" xfId="27132" xr:uid="{1DDA0F85-9FB4-4349-9832-DA8B75E0C46A}"/>
    <cellStyle name="Normal 11 2 2 2 3 3 4 2 3" xfId="27133" xr:uid="{6EED9C20-42A7-4866-987A-3D1A7E7D0A26}"/>
    <cellStyle name="Normal 11 2 2 2 3 3 4 2 3 2" xfId="27134" xr:uid="{C4CB3F62-467C-44D6-A9D2-51A689893B4F}"/>
    <cellStyle name="Normal 11 2 2 2 3 3 4 2 4" xfId="27135" xr:uid="{B2F2BA0B-1B43-4651-B881-1F254B844426}"/>
    <cellStyle name="Normal 11 2 2 2 3 3 4 3" xfId="27136" xr:uid="{3EDDE816-3FE0-4BCE-991F-457871AC899A}"/>
    <cellStyle name="Normal 11 2 2 2 3 3 4 3 2" xfId="27137" xr:uid="{0C7A5482-1E7B-47A6-8BEF-6DAD473C9CC3}"/>
    <cellStyle name="Normal 11 2 2 2 3 3 4 3 2 2" xfId="27138" xr:uid="{CAB28E8E-AF60-4AAF-868B-76FAE136041E}"/>
    <cellStyle name="Normal 11 2 2 2 3 3 4 3 3" xfId="27139" xr:uid="{4857A029-A3EC-4B23-A975-AB51E19E3380}"/>
    <cellStyle name="Normal 11 2 2 2 3 3 4 4" xfId="27140" xr:uid="{B50DAA2B-DF01-46F9-927D-00CCBAAF9993}"/>
    <cellStyle name="Normal 11 2 2 2 3 3 4 4 2" xfId="27141" xr:uid="{433A5DD0-A741-4E82-A48B-436DA2B5C4D9}"/>
    <cellStyle name="Normal 11 2 2 2 3 3 4 5" xfId="27142" xr:uid="{04E33BF4-47BD-4833-9C8F-B518F364A3FF}"/>
    <cellStyle name="Normal 11 2 2 2 3 3 5" xfId="27143" xr:uid="{77002164-886F-4A5A-9ECB-401C2CD76222}"/>
    <cellStyle name="Normal 11 2 2 2 3 3 5 2" xfId="27144" xr:uid="{722B8954-6E0F-400D-86C1-1255ED5E75B9}"/>
    <cellStyle name="Normal 11 2 2 2 3 3 5 2 2" xfId="27145" xr:uid="{8301A518-4361-4902-80E2-F3DCAD106636}"/>
    <cellStyle name="Normal 11 2 2 2 3 3 5 2 2 2" xfId="27146" xr:uid="{E964E821-1334-4FF3-B521-9175B14F0432}"/>
    <cellStyle name="Normal 11 2 2 2 3 3 5 2 3" xfId="27147" xr:uid="{B9F43DFE-5157-49D3-8A0F-17A906252773}"/>
    <cellStyle name="Normal 11 2 2 2 3 3 5 3" xfId="27148" xr:uid="{8036A580-80D8-4224-83E6-82F7A03AC0CB}"/>
    <cellStyle name="Normal 11 2 2 2 3 3 5 3 2" xfId="27149" xr:uid="{21269674-5DD8-4024-84B0-399C00E75F77}"/>
    <cellStyle name="Normal 11 2 2 2 3 3 5 4" xfId="27150" xr:uid="{8C17463C-E932-4B48-8626-AE42C71A924B}"/>
    <cellStyle name="Normal 11 2 2 2 3 3 6" xfId="27151" xr:uid="{8E666656-E030-437A-98B5-F87AB6848D05}"/>
    <cellStyle name="Normal 11 2 2 2 3 3 6 2" xfId="27152" xr:uid="{A3D668AA-BFA1-4099-9B2A-CB5C16927860}"/>
    <cellStyle name="Normal 11 2 2 2 3 3 6 2 2" xfId="27153" xr:uid="{A0F5D150-11E3-4837-BBAB-EF521AC50C7F}"/>
    <cellStyle name="Normal 11 2 2 2 3 3 6 3" xfId="27154" xr:uid="{03F8F81D-7904-4991-B416-9E605FA58AF3}"/>
    <cellStyle name="Normal 11 2 2 2 3 3 7" xfId="27155" xr:uid="{C3C0C8BD-8C1C-4682-B961-CC860F0F2CBB}"/>
    <cellStyle name="Normal 11 2 2 2 3 3 7 2" xfId="27156" xr:uid="{B09C1389-6F37-4ABC-B221-F7BE34950FF9}"/>
    <cellStyle name="Normal 11 2 2 2 3 3 8" xfId="27157" xr:uid="{3E4AF056-1FF2-442D-A000-3EA9E5D22CB8}"/>
    <cellStyle name="Normal 11 2 2 2 3 3 9" xfId="27030" xr:uid="{8E9865A3-B877-4AAA-B6BE-3595EE77D44D}"/>
    <cellStyle name="Normal 11 2 2 2 3 4" xfId="27158" xr:uid="{64E30D6D-47CA-43BB-A939-B4E3519FD8AD}"/>
    <cellStyle name="Normal 11 2 2 2 3 4 2" xfId="27159" xr:uid="{D9BB1658-505B-4EDD-BA42-5CAE4FAE9F45}"/>
    <cellStyle name="Normal 11 2 2 2 3 4 2 2" xfId="27160" xr:uid="{CA8AF9F1-7D8D-4C76-945E-8DCCB9CEB692}"/>
    <cellStyle name="Normal 11 2 2 2 3 4 2 2 2" xfId="27161" xr:uid="{BBB5E3A8-7745-444A-8EF0-9BEDA750DA4E}"/>
    <cellStyle name="Normal 11 2 2 2 3 4 2 2 2 2" xfId="27162" xr:uid="{F976E787-E143-4C49-B052-DF796A04F091}"/>
    <cellStyle name="Normal 11 2 2 2 3 4 2 2 2 2 2" xfId="27163" xr:uid="{89072AF4-18F8-4044-BFCD-5AE012BB712E}"/>
    <cellStyle name="Normal 11 2 2 2 3 4 2 2 2 2 2 2" xfId="27164" xr:uid="{924C5B11-50EF-4155-BDAB-606B696D5088}"/>
    <cellStyle name="Normal 11 2 2 2 3 4 2 2 2 2 3" xfId="27165" xr:uid="{E8B775A7-0164-4971-BAA8-2ABF89A02959}"/>
    <cellStyle name="Normal 11 2 2 2 3 4 2 2 2 3" xfId="27166" xr:uid="{3008A3A0-083C-415B-B26B-B26145BADB8A}"/>
    <cellStyle name="Normal 11 2 2 2 3 4 2 2 2 3 2" xfId="27167" xr:uid="{ACC3E88F-1C19-47E1-A090-6B3EE22D0E15}"/>
    <cellStyle name="Normal 11 2 2 2 3 4 2 2 2 4" xfId="27168" xr:uid="{FA6E1862-1384-4955-A917-0BDD7275EFEE}"/>
    <cellStyle name="Normal 11 2 2 2 3 4 2 2 3" xfId="27169" xr:uid="{8DC09A48-065F-4395-866D-52312A7C4A61}"/>
    <cellStyle name="Normal 11 2 2 2 3 4 2 2 3 2" xfId="27170" xr:uid="{643A79B4-9A64-49E7-8E40-2B1FB81F3899}"/>
    <cellStyle name="Normal 11 2 2 2 3 4 2 2 3 2 2" xfId="27171" xr:uid="{AAD2ED76-7D09-424F-A9DE-4D128FF5DF43}"/>
    <cellStyle name="Normal 11 2 2 2 3 4 2 2 3 3" xfId="27172" xr:uid="{B904B033-8C94-421F-9077-A59ECDAA2256}"/>
    <cellStyle name="Normal 11 2 2 2 3 4 2 2 4" xfId="27173" xr:uid="{8AAA3D98-C09A-4E8F-A84E-4B8DFB5E789B}"/>
    <cellStyle name="Normal 11 2 2 2 3 4 2 2 4 2" xfId="27174" xr:uid="{701BA486-B7A7-41BC-A260-B36F5701680D}"/>
    <cellStyle name="Normal 11 2 2 2 3 4 2 2 5" xfId="27175" xr:uid="{F782E3B9-EB21-474A-9798-296D06201B03}"/>
    <cellStyle name="Normal 11 2 2 2 3 4 2 3" xfId="27176" xr:uid="{F96561D9-CDDD-4E25-B3E8-BF0A8E0B2048}"/>
    <cellStyle name="Normal 11 2 2 2 3 4 2 3 2" xfId="27177" xr:uid="{AD878D69-DC04-4355-A36E-517969ED1ED9}"/>
    <cellStyle name="Normal 11 2 2 2 3 4 2 3 2 2" xfId="27178" xr:uid="{03F83757-A24C-49D2-B3F4-558B274D2F04}"/>
    <cellStyle name="Normal 11 2 2 2 3 4 2 3 2 2 2" xfId="27179" xr:uid="{B19F4880-5725-4838-BEBD-046ADA62648B}"/>
    <cellStyle name="Normal 11 2 2 2 3 4 2 3 2 3" xfId="27180" xr:uid="{DB0F7A3F-495E-4B15-B0F1-E281E2C381E6}"/>
    <cellStyle name="Normal 11 2 2 2 3 4 2 3 3" xfId="27181" xr:uid="{93356061-3CEF-46A1-A7FC-29848C490D1C}"/>
    <cellStyle name="Normal 11 2 2 2 3 4 2 3 3 2" xfId="27182" xr:uid="{44201089-1047-4D9F-B6E0-27988EEA410D}"/>
    <cellStyle name="Normal 11 2 2 2 3 4 2 3 4" xfId="27183" xr:uid="{2D9FBD46-7A1D-4D59-B065-090AB65CA7D4}"/>
    <cellStyle name="Normal 11 2 2 2 3 4 2 4" xfId="27184" xr:uid="{B423194A-00A6-486B-9375-AA66F4961477}"/>
    <cellStyle name="Normal 11 2 2 2 3 4 2 4 2" xfId="27185" xr:uid="{CE84F1B8-6D92-40A5-B56F-D811695AC3C4}"/>
    <cellStyle name="Normal 11 2 2 2 3 4 2 4 2 2" xfId="27186" xr:uid="{48A5E6B5-5D9A-42E2-90C9-F8B0C6F3AF30}"/>
    <cellStyle name="Normal 11 2 2 2 3 4 2 4 3" xfId="27187" xr:uid="{2FEF6A0B-A40D-4616-9C44-8E6B97CB0118}"/>
    <cellStyle name="Normal 11 2 2 2 3 4 2 5" xfId="27188" xr:uid="{ED35076A-1D59-43EB-BA01-E054A71B9F7B}"/>
    <cellStyle name="Normal 11 2 2 2 3 4 2 5 2" xfId="27189" xr:uid="{58626048-1B11-4FD2-B9F6-04AB26205F3C}"/>
    <cellStyle name="Normal 11 2 2 2 3 4 2 6" xfId="27190" xr:uid="{95961BD6-CE0C-4698-A803-A5FABED1620B}"/>
    <cellStyle name="Normal 11 2 2 2 3 4 3" xfId="27191" xr:uid="{A1BF50B9-D613-4FF0-A8E5-4E7807C73F0A}"/>
    <cellStyle name="Normal 11 2 2 2 3 4 3 2" xfId="27192" xr:uid="{8C8EA370-067D-4C46-A7A0-31CFC4E7C8EA}"/>
    <cellStyle name="Normal 11 2 2 2 3 4 3 2 2" xfId="27193" xr:uid="{5C2D2E45-EB45-434C-B4FC-9D20B45F70FD}"/>
    <cellStyle name="Normal 11 2 2 2 3 4 3 2 2 2" xfId="27194" xr:uid="{31D75715-D521-4CE9-9D35-710740C46900}"/>
    <cellStyle name="Normal 11 2 2 2 3 4 3 2 2 2 2" xfId="27195" xr:uid="{80E316F3-7505-4859-98F9-898B07FEDABF}"/>
    <cellStyle name="Normal 11 2 2 2 3 4 3 2 2 3" xfId="27196" xr:uid="{A3D56BFE-2715-4E8C-834F-F13EB2740CCD}"/>
    <cellStyle name="Normal 11 2 2 2 3 4 3 2 3" xfId="27197" xr:uid="{F7EC74C2-483A-4635-99BB-3E869258FFB1}"/>
    <cellStyle name="Normal 11 2 2 2 3 4 3 2 3 2" xfId="27198" xr:uid="{C72B3330-800E-41C3-ADBE-F20BE6C14B77}"/>
    <cellStyle name="Normal 11 2 2 2 3 4 3 2 4" xfId="27199" xr:uid="{227A914B-5B70-4E73-8C6B-64495746E307}"/>
    <cellStyle name="Normal 11 2 2 2 3 4 3 3" xfId="27200" xr:uid="{24DA60A0-1579-4D98-ADBD-FCC9BA074DA9}"/>
    <cellStyle name="Normal 11 2 2 2 3 4 3 3 2" xfId="27201" xr:uid="{4D3B7129-51DD-415F-9F0E-D114713C6F35}"/>
    <cellStyle name="Normal 11 2 2 2 3 4 3 3 2 2" xfId="27202" xr:uid="{73BA5A8F-D87D-4810-BC53-CA0F2FE7379D}"/>
    <cellStyle name="Normal 11 2 2 2 3 4 3 3 3" xfId="27203" xr:uid="{578DDF82-9206-4249-A518-CAC2EBEDC3D9}"/>
    <cellStyle name="Normal 11 2 2 2 3 4 3 4" xfId="27204" xr:uid="{7B3F7068-4B58-443C-BE8F-AF72442298D0}"/>
    <cellStyle name="Normal 11 2 2 2 3 4 3 4 2" xfId="27205" xr:uid="{4B01BA70-A5D8-4D01-AAB4-B1E11E847EFC}"/>
    <cellStyle name="Normal 11 2 2 2 3 4 3 5" xfId="27206" xr:uid="{25059204-BE88-4F83-A924-4BA6D35B084A}"/>
    <cellStyle name="Normal 11 2 2 2 3 4 4" xfId="27207" xr:uid="{F71AEE86-9FE5-48C1-BCF7-05069AEE6DC0}"/>
    <cellStyle name="Normal 11 2 2 2 3 4 4 2" xfId="27208" xr:uid="{8CBA55B4-D51A-4605-ADE5-E701F7DA80C7}"/>
    <cellStyle name="Normal 11 2 2 2 3 4 4 2 2" xfId="27209" xr:uid="{922F6C5C-DD8C-41F2-8D7F-E42AFA2CF7A1}"/>
    <cellStyle name="Normal 11 2 2 2 3 4 4 2 2 2" xfId="27210" xr:uid="{5F4B34F5-57ED-4F7E-8B28-A4DF830AD1EA}"/>
    <cellStyle name="Normal 11 2 2 2 3 4 4 2 3" xfId="27211" xr:uid="{152F7AE7-667E-4DBC-8ACA-E320C4954114}"/>
    <cellStyle name="Normal 11 2 2 2 3 4 4 3" xfId="27212" xr:uid="{ABC31067-5A8E-4DE5-A3AF-6A49264061C0}"/>
    <cellStyle name="Normal 11 2 2 2 3 4 4 3 2" xfId="27213" xr:uid="{87B19293-0617-4A52-A642-27CFF055A22C}"/>
    <cellStyle name="Normal 11 2 2 2 3 4 4 4" xfId="27214" xr:uid="{91EE89CC-584C-4393-8D12-1F1DE127E389}"/>
    <cellStyle name="Normal 11 2 2 2 3 4 5" xfId="27215" xr:uid="{9152F51D-D58F-46A9-A5E2-A955761400D4}"/>
    <cellStyle name="Normal 11 2 2 2 3 4 5 2" xfId="27216" xr:uid="{8D3BEF25-DFC7-482A-97E1-66DDBCA0481A}"/>
    <cellStyle name="Normal 11 2 2 2 3 4 5 2 2" xfId="27217" xr:uid="{23D530AF-3193-4E96-8597-79E680B218C6}"/>
    <cellStyle name="Normal 11 2 2 2 3 4 5 3" xfId="27218" xr:uid="{A6A1954F-5837-43A8-BA48-E273FF3E4792}"/>
    <cellStyle name="Normal 11 2 2 2 3 4 6" xfId="27219" xr:uid="{8776328C-9BD0-4B5F-8A97-5A8676CAD3F7}"/>
    <cellStyle name="Normal 11 2 2 2 3 4 6 2" xfId="27220" xr:uid="{0706CE5C-A98B-40A3-8A45-3480C405610B}"/>
    <cellStyle name="Normal 11 2 2 2 3 4 7" xfId="27221" xr:uid="{FE289839-62B3-42FB-9C74-678AA830EB93}"/>
    <cellStyle name="Normal 11 2 2 2 3 5" xfId="27222" xr:uid="{B5575845-03E6-4291-8A92-3FB96A5284FD}"/>
    <cellStyle name="Normal 11 2 2 2 3 5 2" xfId="27223" xr:uid="{5BEE1F5C-4C59-4F54-A5F3-427BA245AD63}"/>
    <cellStyle name="Normal 11 2 2 2 3 5 2 2" xfId="27224" xr:uid="{93B840D8-FDA6-4AED-85B3-2F93C63C5121}"/>
    <cellStyle name="Normal 11 2 2 2 3 5 2 2 2" xfId="27225" xr:uid="{609E1787-A36B-4B08-8D44-192F24D21240}"/>
    <cellStyle name="Normal 11 2 2 2 3 5 2 2 2 2" xfId="27226" xr:uid="{1BBB6BD6-F7A6-40BC-8E8E-BAFC35D7E01E}"/>
    <cellStyle name="Normal 11 2 2 2 3 5 2 2 2 2 2" xfId="27227" xr:uid="{8074CADA-6653-47C4-9C8E-D14F9380B4E9}"/>
    <cellStyle name="Normal 11 2 2 2 3 5 2 2 2 3" xfId="27228" xr:uid="{D6AC57D0-C472-4684-8DED-85EA5B8ECF0F}"/>
    <cellStyle name="Normal 11 2 2 2 3 5 2 2 3" xfId="27229" xr:uid="{701FC1A9-1FB3-4A95-8DFD-3594E9708F65}"/>
    <cellStyle name="Normal 11 2 2 2 3 5 2 2 3 2" xfId="27230" xr:uid="{98A7823A-65CC-4318-93FC-1B45076C37B3}"/>
    <cellStyle name="Normal 11 2 2 2 3 5 2 2 4" xfId="27231" xr:uid="{39107563-416B-4732-A50C-ECC01075E279}"/>
    <cellStyle name="Normal 11 2 2 2 3 5 2 3" xfId="27232" xr:uid="{D4F6E6FB-500D-44B2-A932-B9A00E51E61C}"/>
    <cellStyle name="Normal 11 2 2 2 3 5 2 3 2" xfId="27233" xr:uid="{E36E2E0E-6959-427F-B5BC-F7A0FED7AEBC}"/>
    <cellStyle name="Normal 11 2 2 2 3 5 2 3 2 2" xfId="27234" xr:uid="{4F456B75-F9BF-408E-963B-9251A65DF5D7}"/>
    <cellStyle name="Normal 11 2 2 2 3 5 2 3 3" xfId="27235" xr:uid="{8A37CFC0-6929-4434-BD56-61B4F527D3D5}"/>
    <cellStyle name="Normal 11 2 2 2 3 5 2 4" xfId="27236" xr:uid="{8298195C-573A-4AAD-8921-59962C0C74BB}"/>
    <cellStyle name="Normal 11 2 2 2 3 5 2 4 2" xfId="27237" xr:uid="{02BBBC65-2216-4FDD-95CA-38947AA6DF7F}"/>
    <cellStyle name="Normal 11 2 2 2 3 5 2 5" xfId="27238" xr:uid="{CCAC28F8-E5FF-4A0A-9255-5552332BBF35}"/>
    <cellStyle name="Normal 11 2 2 2 3 5 3" xfId="27239" xr:uid="{03FA71E5-FC07-4DD2-88C2-6951F2E3BABF}"/>
    <cellStyle name="Normal 11 2 2 2 3 5 3 2" xfId="27240" xr:uid="{B746DF1D-432B-478E-BC2F-2757D0AD1A23}"/>
    <cellStyle name="Normal 11 2 2 2 3 5 3 2 2" xfId="27241" xr:uid="{87F86FF2-FF78-4E85-9D35-A9CAD995BB0A}"/>
    <cellStyle name="Normal 11 2 2 2 3 5 3 2 2 2" xfId="27242" xr:uid="{426F4DFE-3A6F-4D83-9BD7-778506AE8747}"/>
    <cellStyle name="Normal 11 2 2 2 3 5 3 2 3" xfId="27243" xr:uid="{4BB9A1DB-3F73-4C3A-B6F1-3234CEE5ADB5}"/>
    <cellStyle name="Normal 11 2 2 2 3 5 3 3" xfId="27244" xr:uid="{4E7DBB6E-A52F-4D8B-8070-E758EE2B796D}"/>
    <cellStyle name="Normal 11 2 2 2 3 5 3 3 2" xfId="27245" xr:uid="{3996608D-D721-4D62-94B9-CAD6E2FFDD72}"/>
    <cellStyle name="Normal 11 2 2 2 3 5 3 4" xfId="27246" xr:uid="{C33775EF-8A7C-458E-966C-148284D983C2}"/>
    <cellStyle name="Normal 11 2 2 2 3 5 4" xfId="27247" xr:uid="{61C630C0-201A-4C6E-9A79-DC3A7CAF3BBF}"/>
    <cellStyle name="Normal 11 2 2 2 3 5 4 2" xfId="27248" xr:uid="{B08D95F3-4710-4CFC-AF3F-B34632EA7082}"/>
    <cellStyle name="Normal 11 2 2 2 3 5 4 2 2" xfId="27249" xr:uid="{1F53CD2C-7252-4F9D-94CB-9B8391C520C6}"/>
    <cellStyle name="Normal 11 2 2 2 3 5 4 3" xfId="27250" xr:uid="{B5AA2633-B6E2-4F87-8B89-3E5CAB569FA0}"/>
    <cellStyle name="Normal 11 2 2 2 3 5 5" xfId="27251" xr:uid="{910E389B-9FD6-4D2D-BA26-2DCACC47F90A}"/>
    <cellStyle name="Normal 11 2 2 2 3 5 5 2" xfId="27252" xr:uid="{7354A1D0-F0AA-4340-BE8C-6A96F061144D}"/>
    <cellStyle name="Normal 11 2 2 2 3 5 6" xfId="27253" xr:uid="{BCA82C71-5F4E-48F1-A4F3-CBE8E3004D21}"/>
    <cellStyle name="Normal 11 2 2 2 3 6" xfId="27254" xr:uid="{E7F64E88-1495-4E10-B0F8-EF980DCEFEAE}"/>
    <cellStyle name="Normal 11 2 2 2 3 6 2" xfId="27255" xr:uid="{1D13A533-36A6-48C9-A80D-3B396CA11035}"/>
    <cellStyle name="Normal 11 2 2 2 3 6 2 2" xfId="27256" xr:uid="{6826C82B-7E28-4883-9674-386997DACE94}"/>
    <cellStyle name="Normal 11 2 2 2 3 6 2 2 2" xfId="27257" xr:uid="{2F00094D-2BEB-492A-8DF7-48407CAB3D8F}"/>
    <cellStyle name="Normal 11 2 2 2 3 6 2 2 2 2" xfId="27258" xr:uid="{B0B1E659-9E6B-45F3-976D-0E911F8A3C88}"/>
    <cellStyle name="Normal 11 2 2 2 3 6 2 2 3" xfId="27259" xr:uid="{71BACCE0-2B85-4BC6-B47D-C46FD75EBF6F}"/>
    <cellStyle name="Normal 11 2 2 2 3 6 2 3" xfId="27260" xr:uid="{4CD7CE54-12A6-4E31-8885-625926F9F6D9}"/>
    <cellStyle name="Normal 11 2 2 2 3 6 2 3 2" xfId="27261" xr:uid="{B7A28075-DDC2-45E9-9843-B51438880D1D}"/>
    <cellStyle name="Normal 11 2 2 2 3 6 2 4" xfId="27262" xr:uid="{C607FA32-07C0-4F20-A449-0A1D24389FAA}"/>
    <cellStyle name="Normal 11 2 2 2 3 6 3" xfId="27263" xr:uid="{121F5D97-2DDC-4C69-A0DC-F3DE9F642122}"/>
    <cellStyle name="Normal 11 2 2 2 3 6 3 2" xfId="27264" xr:uid="{CD705264-15FC-46DD-9A8F-2AF664794F5E}"/>
    <cellStyle name="Normal 11 2 2 2 3 6 3 2 2" xfId="27265" xr:uid="{66982C93-06B5-4925-95C9-EF41B44F4C4F}"/>
    <cellStyle name="Normal 11 2 2 2 3 6 3 3" xfId="27266" xr:uid="{C5369038-0DA6-4437-B870-8BF478158CEF}"/>
    <cellStyle name="Normal 11 2 2 2 3 6 4" xfId="27267" xr:uid="{E216AFA6-5346-4552-97F8-69D7E5DF5E12}"/>
    <cellStyle name="Normal 11 2 2 2 3 6 4 2" xfId="27268" xr:uid="{77924CC7-DE87-4315-9B21-92EAAF7E532E}"/>
    <cellStyle name="Normal 11 2 2 2 3 6 5" xfId="27269" xr:uid="{EE2FD72F-0B29-4C26-B6C1-4716FD504543}"/>
    <cellStyle name="Normal 11 2 2 2 3 7" xfId="27270" xr:uid="{66C7429D-CE76-42B7-B80C-7351AAE90EC2}"/>
    <cellStyle name="Normal 11 2 2 2 3 7 2" xfId="27271" xr:uid="{FCB42F7E-E4EE-4513-BA66-F3BE72482E0E}"/>
    <cellStyle name="Normal 11 2 2 2 3 7 2 2" xfId="27272" xr:uid="{FE6E8078-38FA-4086-8223-CB6FB676D6ED}"/>
    <cellStyle name="Normal 11 2 2 2 3 7 2 2 2" xfId="27273" xr:uid="{7E128A29-7622-4180-9290-7C4CEE92CA68}"/>
    <cellStyle name="Normal 11 2 2 2 3 7 2 3" xfId="27274" xr:uid="{E7F060BF-FD26-4060-9B7D-214C522C775B}"/>
    <cellStyle name="Normal 11 2 2 2 3 7 3" xfId="27275" xr:uid="{8C6969DF-BAAB-4FE7-B1BE-4F9635217340}"/>
    <cellStyle name="Normal 11 2 2 2 3 7 3 2" xfId="27276" xr:uid="{30B46D38-9ADF-4F2C-B2D7-80865F9E2976}"/>
    <cellStyle name="Normal 11 2 2 2 3 7 4" xfId="27277" xr:uid="{443E6BA5-7E7E-4301-889B-90F8C59591C8}"/>
    <cellStyle name="Normal 11 2 2 2 3 8" xfId="27278" xr:uid="{8DA13308-B056-40AD-B351-C5A903907E3D}"/>
    <cellStyle name="Normal 11 2 2 2 3 8 2" xfId="27279" xr:uid="{8FC0BC40-D30D-4429-9F0A-C4261934B5F2}"/>
    <cellStyle name="Normal 11 2 2 2 3 8 2 2" xfId="27280" xr:uid="{0944B2A0-870F-4995-B63C-3CBFB0F09ECC}"/>
    <cellStyle name="Normal 11 2 2 2 3 8 3" xfId="27281" xr:uid="{1B4B820C-249E-4594-9959-7EF97136849B}"/>
    <cellStyle name="Normal 11 2 2 2 3 9" xfId="27282" xr:uid="{50C2998B-CC4A-4197-B300-FA021DB8E022}"/>
    <cellStyle name="Normal 11 2 2 2 3 9 2" xfId="27283" xr:uid="{143D4E0F-1D82-42F5-B24D-1F5B896BE3F9}"/>
    <cellStyle name="Normal 11 2 2 2 4" xfId="264" xr:uid="{840705FF-5975-4E73-8A81-B023F8BA454D}"/>
    <cellStyle name="Normal 11 2 2 2 4 10" xfId="27284" xr:uid="{6F0B7236-EADD-44BD-8459-65CDE798C1D5}"/>
    <cellStyle name="Normal 11 2 2 2 4 11" xfId="577" xr:uid="{F39F47C1-0150-4EAD-A0D1-A5B961B9425A}"/>
    <cellStyle name="Normal 11 2 2 2 4 2" xfId="354" xr:uid="{82FFA23F-5361-4651-B2F6-8D3C651B9BA2}"/>
    <cellStyle name="Normal 11 2 2 2 4 2 10" xfId="27285" xr:uid="{DD65A252-BC72-4D0C-A805-37EA4FB0F803}"/>
    <cellStyle name="Normal 11 2 2 2 4 2 2" xfId="27286" xr:uid="{15B18EA4-6420-46CA-A93E-1B3AD32A2AB2}"/>
    <cellStyle name="Normal 11 2 2 2 4 2 2 2" xfId="27287" xr:uid="{15ABAB8F-0006-4718-9888-32606CD7BC6B}"/>
    <cellStyle name="Normal 11 2 2 2 4 2 2 2 2" xfId="27288" xr:uid="{4979737D-04D6-43FF-8F13-B300DD45080C}"/>
    <cellStyle name="Normal 11 2 2 2 4 2 2 2 2 2" xfId="27289" xr:uid="{F62ACDCB-71FC-466D-9D83-97F505498A20}"/>
    <cellStyle name="Normal 11 2 2 2 4 2 2 2 2 2 2" xfId="27290" xr:uid="{D4696176-B008-4E0C-BCD9-DC8FAA1AF9BC}"/>
    <cellStyle name="Normal 11 2 2 2 4 2 2 2 2 2 2 2" xfId="27291" xr:uid="{E0B72281-B308-4514-A869-484C0A7C622F}"/>
    <cellStyle name="Normal 11 2 2 2 4 2 2 2 2 2 2 2 2" xfId="27292" xr:uid="{38ACE84B-3584-4FA9-AC26-3C210E687BAE}"/>
    <cellStyle name="Normal 11 2 2 2 4 2 2 2 2 2 2 2 2 2" xfId="27293" xr:uid="{EFD97E45-E2EB-4972-951D-15C90E8C8947}"/>
    <cellStyle name="Normal 11 2 2 2 4 2 2 2 2 2 2 2 3" xfId="27294" xr:uid="{6C97F1E9-5A75-421B-8ACA-DBD03261D65A}"/>
    <cellStyle name="Normal 11 2 2 2 4 2 2 2 2 2 2 3" xfId="27295" xr:uid="{E69CF705-7BC8-4C27-ABA5-8D7CB80C611E}"/>
    <cellStyle name="Normal 11 2 2 2 4 2 2 2 2 2 2 3 2" xfId="27296" xr:uid="{E227487C-66EE-4B56-A59A-BEC6A3416722}"/>
    <cellStyle name="Normal 11 2 2 2 4 2 2 2 2 2 2 4" xfId="27297" xr:uid="{BB17C37B-B9A2-491D-88D8-0C9B1A6540D7}"/>
    <cellStyle name="Normal 11 2 2 2 4 2 2 2 2 2 3" xfId="27298" xr:uid="{8A9A3EBA-4317-49EF-AB38-B00B6A459081}"/>
    <cellStyle name="Normal 11 2 2 2 4 2 2 2 2 2 3 2" xfId="27299" xr:uid="{082B9905-1C9E-47B9-BC4D-66B7B1266D2F}"/>
    <cellStyle name="Normal 11 2 2 2 4 2 2 2 2 2 3 2 2" xfId="27300" xr:uid="{61B07BD8-0DFE-4365-83A6-D3707CBA9F66}"/>
    <cellStyle name="Normal 11 2 2 2 4 2 2 2 2 2 3 3" xfId="27301" xr:uid="{F5FC5DAE-B743-4A25-A1EA-48C9B49B1F0E}"/>
    <cellStyle name="Normal 11 2 2 2 4 2 2 2 2 2 4" xfId="27302" xr:uid="{1439D545-DD61-48C1-A9A7-0B52E576F657}"/>
    <cellStyle name="Normal 11 2 2 2 4 2 2 2 2 2 4 2" xfId="27303" xr:uid="{012C3991-D2E3-4AC4-A0BE-49CE587D17BF}"/>
    <cellStyle name="Normal 11 2 2 2 4 2 2 2 2 2 5" xfId="27304" xr:uid="{64E97F39-C397-484B-88A8-2BF59ED4641D}"/>
    <cellStyle name="Normal 11 2 2 2 4 2 2 2 2 3" xfId="27305" xr:uid="{8F4880B6-29E4-49A5-A128-F370E94C55D0}"/>
    <cellStyle name="Normal 11 2 2 2 4 2 2 2 2 3 2" xfId="27306" xr:uid="{3F247131-1101-42CC-9001-8EE71BC7E7AA}"/>
    <cellStyle name="Normal 11 2 2 2 4 2 2 2 2 3 2 2" xfId="27307" xr:uid="{938CE028-C187-4B40-A81B-5ADAB64EC8DF}"/>
    <cellStyle name="Normal 11 2 2 2 4 2 2 2 2 3 2 2 2" xfId="27308" xr:uid="{E58F35D1-0239-4332-972D-2B980410417D}"/>
    <cellStyle name="Normal 11 2 2 2 4 2 2 2 2 3 2 3" xfId="27309" xr:uid="{5B8F76A7-9A0F-431D-92DC-AA3118D6FBB2}"/>
    <cellStyle name="Normal 11 2 2 2 4 2 2 2 2 3 3" xfId="27310" xr:uid="{2289F661-5D57-4F8E-887F-70F4F711C1CD}"/>
    <cellStyle name="Normal 11 2 2 2 4 2 2 2 2 3 3 2" xfId="27311" xr:uid="{93F88DD3-25D8-4FBF-AC58-26A3B237EC89}"/>
    <cellStyle name="Normal 11 2 2 2 4 2 2 2 2 3 4" xfId="27312" xr:uid="{1C97CE6A-F023-44B5-8231-B0518763F4F2}"/>
    <cellStyle name="Normal 11 2 2 2 4 2 2 2 2 4" xfId="27313" xr:uid="{C5E00B9A-4490-4DC1-9235-B42016F6FDCD}"/>
    <cellStyle name="Normal 11 2 2 2 4 2 2 2 2 4 2" xfId="27314" xr:uid="{15788362-B5FD-410D-98E5-A26B4F14C2D5}"/>
    <cellStyle name="Normal 11 2 2 2 4 2 2 2 2 4 2 2" xfId="27315" xr:uid="{663FA821-1306-4897-8989-2FDA0D6BDA04}"/>
    <cellStyle name="Normal 11 2 2 2 4 2 2 2 2 4 3" xfId="27316" xr:uid="{A1277993-FFFE-4E7D-A668-1DB62415121E}"/>
    <cellStyle name="Normal 11 2 2 2 4 2 2 2 2 5" xfId="27317" xr:uid="{B464AEB3-0D28-4713-9D07-F60F26AD3A08}"/>
    <cellStyle name="Normal 11 2 2 2 4 2 2 2 2 5 2" xfId="27318" xr:uid="{C0197C78-1230-4AD8-91F4-D32A018CA0A1}"/>
    <cellStyle name="Normal 11 2 2 2 4 2 2 2 2 6" xfId="27319" xr:uid="{AC7E2718-CC39-4D21-B928-5F354237D338}"/>
    <cellStyle name="Normal 11 2 2 2 4 2 2 2 3" xfId="27320" xr:uid="{2D2EEEF2-4C75-4F46-8D88-831E72914EB0}"/>
    <cellStyle name="Normal 11 2 2 2 4 2 2 2 3 2" xfId="27321" xr:uid="{57FE9F2A-689C-4D54-87BC-27FD1CF78D14}"/>
    <cellStyle name="Normal 11 2 2 2 4 2 2 2 3 2 2" xfId="27322" xr:uid="{DF4FA022-2AA1-4FD8-B97E-37AFD90F6ACC}"/>
    <cellStyle name="Normal 11 2 2 2 4 2 2 2 3 2 2 2" xfId="27323" xr:uid="{042DEAA1-4DA7-4862-BA6C-C0CB724EEA9D}"/>
    <cellStyle name="Normal 11 2 2 2 4 2 2 2 3 2 2 2 2" xfId="27324" xr:uid="{E7DB7772-19E9-4ECA-88D0-2A8ADD3B4545}"/>
    <cellStyle name="Normal 11 2 2 2 4 2 2 2 3 2 2 3" xfId="27325" xr:uid="{D2A8D7E4-C02E-4C11-8DDA-87505D876654}"/>
    <cellStyle name="Normal 11 2 2 2 4 2 2 2 3 2 3" xfId="27326" xr:uid="{B8DF776A-E7D5-4E8B-A1F6-12A88BBC2990}"/>
    <cellStyle name="Normal 11 2 2 2 4 2 2 2 3 2 3 2" xfId="27327" xr:uid="{E27DEE33-C58B-46F6-89F7-8C5D05D79AD5}"/>
    <cellStyle name="Normal 11 2 2 2 4 2 2 2 3 2 4" xfId="27328" xr:uid="{99FC719E-1665-480C-86EB-51B07E23C2FD}"/>
    <cellStyle name="Normal 11 2 2 2 4 2 2 2 3 3" xfId="27329" xr:uid="{C1C8978B-2F42-4361-9796-0F328609F683}"/>
    <cellStyle name="Normal 11 2 2 2 4 2 2 2 3 3 2" xfId="27330" xr:uid="{B7A4E639-B09A-4E44-891F-6A608FB13E23}"/>
    <cellStyle name="Normal 11 2 2 2 4 2 2 2 3 3 2 2" xfId="27331" xr:uid="{A037ECD0-F509-4E06-A262-49EE80668762}"/>
    <cellStyle name="Normal 11 2 2 2 4 2 2 2 3 3 3" xfId="27332" xr:uid="{0B1224D7-C6CF-4CF2-BC7B-8A8E374D1EB0}"/>
    <cellStyle name="Normal 11 2 2 2 4 2 2 2 3 4" xfId="27333" xr:uid="{3FF80595-9CFE-4ADC-A9D7-80B51C82414C}"/>
    <cellStyle name="Normal 11 2 2 2 4 2 2 2 3 4 2" xfId="27334" xr:uid="{7E13407E-8DC8-4B51-A980-45896D330A25}"/>
    <cellStyle name="Normal 11 2 2 2 4 2 2 2 3 5" xfId="27335" xr:uid="{10984402-54A9-47D0-A00D-FC3E550A11ED}"/>
    <cellStyle name="Normal 11 2 2 2 4 2 2 2 4" xfId="27336" xr:uid="{7F173678-6522-46A2-95F2-9B8118E81BCA}"/>
    <cellStyle name="Normal 11 2 2 2 4 2 2 2 4 2" xfId="27337" xr:uid="{608A5643-A205-4587-B1BD-051AC9CFDB54}"/>
    <cellStyle name="Normal 11 2 2 2 4 2 2 2 4 2 2" xfId="27338" xr:uid="{CB9FE68D-F78D-4659-B44B-EFA75FBCC67D}"/>
    <cellStyle name="Normal 11 2 2 2 4 2 2 2 4 2 2 2" xfId="27339" xr:uid="{B97D9292-8E42-4990-A796-D2CD0EC38E6A}"/>
    <cellStyle name="Normal 11 2 2 2 4 2 2 2 4 2 3" xfId="27340" xr:uid="{DBDBAC31-D763-4E00-ADCA-55584CBF297C}"/>
    <cellStyle name="Normal 11 2 2 2 4 2 2 2 4 3" xfId="27341" xr:uid="{4A17BD7D-0C9F-41D5-9A30-32AB71479455}"/>
    <cellStyle name="Normal 11 2 2 2 4 2 2 2 4 3 2" xfId="27342" xr:uid="{1833F7C3-2A15-4531-B73E-AC0A6E699E9E}"/>
    <cellStyle name="Normal 11 2 2 2 4 2 2 2 4 4" xfId="27343" xr:uid="{F2CD40EB-EE08-4CDB-AE31-7D367B5055FD}"/>
    <cellStyle name="Normal 11 2 2 2 4 2 2 2 5" xfId="27344" xr:uid="{6D87EA93-C015-480B-9AD9-B417BE447086}"/>
    <cellStyle name="Normal 11 2 2 2 4 2 2 2 5 2" xfId="27345" xr:uid="{47B06519-E437-4A35-8E5D-6597DDACA170}"/>
    <cellStyle name="Normal 11 2 2 2 4 2 2 2 5 2 2" xfId="27346" xr:uid="{6101DE81-03A5-44B0-AE6F-FDF83A198CB3}"/>
    <cellStyle name="Normal 11 2 2 2 4 2 2 2 5 3" xfId="27347" xr:uid="{4307A904-31E5-4792-AE0F-1E1FA174D854}"/>
    <cellStyle name="Normal 11 2 2 2 4 2 2 2 6" xfId="27348" xr:uid="{8299A736-48E2-49A6-9DFE-3D3026D74AE2}"/>
    <cellStyle name="Normal 11 2 2 2 4 2 2 2 6 2" xfId="27349" xr:uid="{EB1F4BB1-6C7F-4CB9-8125-FCEAC13AE2B2}"/>
    <cellStyle name="Normal 11 2 2 2 4 2 2 2 7" xfId="27350" xr:uid="{2054ACFF-1513-4E43-B5EB-5195C1F99A65}"/>
    <cellStyle name="Normal 11 2 2 2 4 2 2 3" xfId="27351" xr:uid="{07F36CD0-1461-4F67-AA83-DCC293363B9E}"/>
    <cellStyle name="Normal 11 2 2 2 4 2 2 3 2" xfId="27352" xr:uid="{2134C7D6-B515-4DAC-A6FB-DA53E785D2C6}"/>
    <cellStyle name="Normal 11 2 2 2 4 2 2 3 2 2" xfId="27353" xr:uid="{1652DE1A-DA3C-4E12-AFA5-A79B4B1E727E}"/>
    <cellStyle name="Normal 11 2 2 2 4 2 2 3 2 2 2" xfId="27354" xr:uid="{C5E15493-96F8-4D3E-8A1C-D920817B5B7C}"/>
    <cellStyle name="Normal 11 2 2 2 4 2 2 3 2 2 2 2" xfId="27355" xr:uid="{CFBD5DDA-B82B-4AEB-BFD1-DFE4437A1A24}"/>
    <cellStyle name="Normal 11 2 2 2 4 2 2 3 2 2 2 2 2" xfId="27356" xr:uid="{992416B9-72ED-4A3C-9B37-95DABDA59BCC}"/>
    <cellStyle name="Normal 11 2 2 2 4 2 2 3 2 2 2 3" xfId="27357" xr:uid="{B52EE1C1-C64F-4320-8972-BD7A508C3467}"/>
    <cellStyle name="Normal 11 2 2 2 4 2 2 3 2 2 3" xfId="27358" xr:uid="{120F73EC-C5B2-4528-8378-3F81D9254CAF}"/>
    <cellStyle name="Normal 11 2 2 2 4 2 2 3 2 2 3 2" xfId="27359" xr:uid="{C864C8BB-A1D0-403C-AA54-63838576F0BD}"/>
    <cellStyle name="Normal 11 2 2 2 4 2 2 3 2 2 4" xfId="27360" xr:uid="{B8E3A856-6D72-41F8-9D4C-0A144A8A095B}"/>
    <cellStyle name="Normal 11 2 2 2 4 2 2 3 2 3" xfId="27361" xr:uid="{10199E8F-3C71-465F-8836-A5508F2A3945}"/>
    <cellStyle name="Normal 11 2 2 2 4 2 2 3 2 3 2" xfId="27362" xr:uid="{D6A18820-5240-4B1B-A371-DD7788CED7DC}"/>
    <cellStyle name="Normal 11 2 2 2 4 2 2 3 2 3 2 2" xfId="27363" xr:uid="{6CEDABE8-FF60-4526-9CC5-DE5CB0A53C43}"/>
    <cellStyle name="Normal 11 2 2 2 4 2 2 3 2 3 3" xfId="27364" xr:uid="{BF6C375C-747E-4883-B7B1-2423FFB5869E}"/>
    <cellStyle name="Normal 11 2 2 2 4 2 2 3 2 4" xfId="27365" xr:uid="{0BFE1255-40C8-4DE7-AFBC-CA6F1B227154}"/>
    <cellStyle name="Normal 11 2 2 2 4 2 2 3 2 4 2" xfId="27366" xr:uid="{0C5B1BC2-9AC3-4851-B41B-307EC4C55661}"/>
    <cellStyle name="Normal 11 2 2 2 4 2 2 3 2 5" xfId="27367" xr:uid="{5422693E-F5F5-4B6F-B2DD-47218D6A7F5F}"/>
    <cellStyle name="Normal 11 2 2 2 4 2 2 3 3" xfId="27368" xr:uid="{37C547D5-2631-4AF6-B9EC-457AAC1C191E}"/>
    <cellStyle name="Normal 11 2 2 2 4 2 2 3 3 2" xfId="27369" xr:uid="{9D6A809D-8F55-43DD-9B3D-60DBF0D9E520}"/>
    <cellStyle name="Normal 11 2 2 2 4 2 2 3 3 2 2" xfId="27370" xr:uid="{4658A41B-80A5-4610-8EAE-B03D147A4F64}"/>
    <cellStyle name="Normal 11 2 2 2 4 2 2 3 3 2 2 2" xfId="27371" xr:uid="{44524003-6731-44C9-88BB-C1CE1772F76D}"/>
    <cellStyle name="Normal 11 2 2 2 4 2 2 3 3 2 3" xfId="27372" xr:uid="{B821E732-49F3-4AE6-9CF0-3ED0415599D3}"/>
    <cellStyle name="Normal 11 2 2 2 4 2 2 3 3 3" xfId="27373" xr:uid="{181E9C5E-7494-4BFB-8AF6-7DB8BC924487}"/>
    <cellStyle name="Normal 11 2 2 2 4 2 2 3 3 3 2" xfId="27374" xr:uid="{E967B8A4-575B-4279-96FC-85592D01E13C}"/>
    <cellStyle name="Normal 11 2 2 2 4 2 2 3 3 4" xfId="27375" xr:uid="{76B73753-9BFD-46E6-9515-8CB12952D05A}"/>
    <cellStyle name="Normal 11 2 2 2 4 2 2 3 4" xfId="27376" xr:uid="{A36DDB2A-897F-4ABA-B244-349A5D2A8F4B}"/>
    <cellStyle name="Normal 11 2 2 2 4 2 2 3 4 2" xfId="27377" xr:uid="{23A6C364-FE31-4318-8E7F-3FD10653D6D6}"/>
    <cellStyle name="Normal 11 2 2 2 4 2 2 3 4 2 2" xfId="27378" xr:uid="{E730A836-95C6-4A47-AE4A-EEF8BC865F12}"/>
    <cellStyle name="Normal 11 2 2 2 4 2 2 3 4 3" xfId="27379" xr:uid="{CAC045B8-CA93-42D8-8CF5-27DA050A365B}"/>
    <cellStyle name="Normal 11 2 2 2 4 2 2 3 5" xfId="27380" xr:uid="{901F6304-0EEE-4A0E-8140-A26F3B61678A}"/>
    <cellStyle name="Normal 11 2 2 2 4 2 2 3 5 2" xfId="27381" xr:uid="{428FF71C-7906-499B-9271-900419BF3A4E}"/>
    <cellStyle name="Normal 11 2 2 2 4 2 2 3 6" xfId="27382" xr:uid="{916748D5-D465-4054-8B48-59D8D356E52B}"/>
    <cellStyle name="Normal 11 2 2 2 4 2 2 4" xfId="27383" xr:uid="{88BFBFFB-E752-493E-9A6E-FA2A4EFF442F}"/>
    <cellStyle name="Normal 11 2 2 2 4 2 2 4 2" xfId="27384" xr:uid="{062B5FCC-7B53-4DEA-9F3B-B3AE27A5D1AC}"/>
    <cellStyle name="Normal 11 2 2 2 4 2 2 4 2 2" xfId="27385" xr:uid="{90CC5F0C-632A-40B8-91E2-4925F9FF737C}"/>
    <cellStyle name="Normal 11 2 2 2 4 2 2 4 2 2 2" xfId="27386" xr:uid="{3394F355-F421-4402-8358-0F1BDA24E47B}"/>
    <cellStyle name="Normal 11 2 2 2 4 2 2 4 2 2 2 2" xfId="27387" xr:uid="{7F18D0AE-1018-484F-903B-055157FB44D4}"/>
    <cellStyle name="Normal 11 2 2 2 4 2 2 4 2 2 3" xfId="27388" xr:uid="{2A2A7C06-276C-4B5F-AFA1-5CF929AEAC35}"/>
    <cellStyle name="Normal 11 2 2 2 4 2 2 4 2 3" xfId="27389" xr:uid="{43E8862E-8ADC-4226-9D2C-674E95C24828}"/>
    <cellStyle name="Normal 11 2 2 2 4 2 2 4 2 3 2" xfId="27390" xr:uid="{1E2E6920-6F09-4FDA-82E4-61ADB5A5D30A}"/>
    <cellStyle name="Normal 11 2 2 2 4 2 2 4 2 4" xfId="27391" xr:uid="{69415B6A-9641-4A4E-A94B-446D8324A468}"/>
    <cellStyle name="Normal 11 2 2 2 4 2 2 4 3" xfId="27392" xr:uid="{0175F128-BAA6-49C2-AABE-A926E60BCF1B}"/>
    <cellStyle name="Normal 11 2 2 2 4 2 2 4 3 2" xfId="27393" xr:uid="{BFE6DCBF-5920-46CE-85B0-CECAD1D082B4}"/>
    <cellStyle name="Normal 11 2 2 2 4 2 2 4 3 2 2" xfId="27394" xr:uid="{6A95275B-54BC-4FED-A8E0-1A616D835029}"/>
    <cellStyle name="Normal 11 2 2 2 4 2 2 4 3 3" xfId="27395" xr:uid="{BA893604-EAC6-43F4-AF88-5C2DE9C9EEA0}"/>
    <cellStyle name="Normal 11 2 2 2 4 2 2 4 4" xfId="27396" xr:uid="{E7405829-12A7-464A-8E53-ED582A66ED97}"/>
    <cellStyle name="Normal 11 2 2 2 4 2 2 4 4 2" xfId="27397" xr:uid="{D643CCDD-F2B6-4634-A821-A9E3BE22F458}"/>
    <cellStyle name="Normal 11 2 2 2 4 2 2 4 5" xfId="27398" xr:uid="{EF8C8B5A-6255-4E14-BFF1-A4578E8C1576}"/>
    <cellStyle name="Normal 11 2 2 2 4 2 2 5" xfId="27399" xr:uid="{088F7E04-1ED9-43E5-ADC3-8AB6A2C9EA9F}"/>
    <cellStyle name="Normal 11 2 2 2 4 2 2 5 2" xfId="27400" xr:uid="{4EA7F744-430E-49B7-8FE2-0BA8E9073D15}"/>
    <cellStyle name="Normal 11 2 2 2 4 2 2 5 2 2" xfId="27401" xr:uid="{F4E00F64-CE5E-463C-8D85-66BFC70779CE}"/>
    <cellStyle name="Normal 11 2 2 2 4 2 2 5 2 2 2" xfId="27402" xr:uid="{A51F97BE-93ED-49B5-AB21-029CC7CD220C}"/>
    <cellStyle name="Normal 11 2 2 2 4 2 2 5 2 3" xfId="27403" xr:uid="{B0BFC69A-8EE0-4531-838D-DDB54E986E0B}"/>
    <cellStyle name="Normal 11 2 2 2 4 2 2 5 3" xfId="27404" xr:uid="{20B3BAB7-0590-4057-87BC-6094CEF253BE}"/>
    <cellStyle name="Normal 11 2 2 2 4 2 2 5 3 2" xfId="27405" xr:uid="{E956F232-1273-43E3-8F53-99639751B62C}"/>
    <cellStyle name="Normal 11 2 2 2 4 2 2 5 4" xfId="27406" xr:uid="{65C2CC1E-7B80-4996-BC6F-6BCA4E549C0B}"/>
    <cellStyle name="Normal 11 2 2 2 4 2 2 6" xfId="27407" xr:uid="{003E94A3-D2E6-401C-B792-13A56F2F5F53}"/>
    <cellStyle name="Normal 11 2 2 2 4 2 2 6 2" xfId="27408" xr:uid="{EFF27096-7F14-4256-AD4A-7638CC13EE71}"/>
    <cellStyle name="Normal 11 2 2 2 4 2 2 6 2 2" xfId="27409" xr:uid="{7A1F727A-CCE6-47FF-A14A-30110F35C377}"/>
    <cellStyle name="Normal 11 2 2 2 4 2 2 6 3" xfId="27410" xr:uid="{22C18CDD-DADF-470C-A784-A4F35EFD76E6}"/>
    <cellStyle name="Normal 11 2 2 2 4 2 2 7" xfId="27411" xr:uid="{3458B5DA-DD92-4F6B-AFAE-48E3E0F36E20}"/>
    <cellStyle name="Normal 11 2 2 2 4 2 2 7 2" xfId="27412" xr:uid="{4EFFD577-BE3D-442E-AFC9-0AB129F9C195}"/>
    <cellStyle name="Normal 11 2 2 2 4 2 2 8" xfId="27413" xr:uid="{A8668F89-E8D2-41A1-8790-6BD5E1978AFD}"/>
    <cellStyle name="Normal 11 2 2 2 4 2 3" xfId="27414" xr:uid="{0D57002D-083A-44CA-B3BC-84E1124E0E0C}"/>
    <cellStyle name="Normal 11 2 2 2 4 2 3 2" xfId="27415" xr:uid="{EB9CC712-1799-4339-8E7E-58D2E22347C2}"/>
    <cellStyle name="Normal 11 2 2 2 4 2 3 2 2" xfId="27416" xr:uid="{05B1116A-C5FA-48BF-830E-5712C1183231}"/>
    <cellStyle name="Normal 11 2 2 2 4 2 3 2 2 2" xfId="27417" xr:uid="{596FDD66-BBD0-490E-8493-7D2CAD6ADC25}"/>
    <cellStyle name="Normal 11 2 2 2 4 2 3 2 2 2 2" xfId="27418" xr:uid="{0BAD236D-DA58-480E-AEF5-1A1D09CF6C25}"/>
    <cellStyle name="Normal 11 2 2 2 4 2 3 2 2 2 2 2" xfId="27419" xr:uid="{41CD1D07-AFDA-4BED-839F-98B0AEFDB8DC}"/>
    <cellStyle name="Normal 11 2 2 2 4 2 3 2 2 2 2 2 2" xfId="27420" xr:uid="{23669757-32DF-47CA-B2B5-90B536CDB7B2}"/>
    <cellStyle name="Normal 11 2 2 2 4 2 3 2 2 2 2 3" xfId="27421" xr:uid="{20884FFF-FC4D-48B2-BA6D-31652DBDD784}"/>
    <cellStyle name="Normal 11 2 2 2 4 2 3 2 2 2 3" xfId="27422" xr:uid="{803AACD3-273F-4201-BAFF-5E969D5C7CDA}"/>
    <cellStyle name="Normal 11 2 2 2 4 2 3 2 2 2 3 2" xfId="27423" xr:uid="{0DA03AC4-87E9-49AA-9F4A-04C8693C2990}"/>
    <cellStyle name="Normal 11 2 2 2 4 2 3 2 2 2 4" xfId="27424" xr:uid="{4AC6780B-29B2-4E1A-8B3B-42DAB8E63311}"/>
    <cellStyle name="Normal 11 2 2 2 4 2 3 2 2 3" xfId="27425" xr:uid="{68414F41-288B-4DC5-940D-2E7239BBE3EE}"/>
    <cellStyle name="Normal 11 2 2 2 4 2 3 2 2 3 2" xfId="27426" xr:uid="{1540D6F6-52CD-43FC-B020-A41944D0B3CB}"/>
    <cellStyle name="Normal 11 2 2 2 4 2 3 2 2 3 2 2" xfId="27427" xr:uid="{22D53434-8B34-423F-9C4A-29BADE5E95FB}"/>
    <cellStyle name="Normal 11 2 2 2 4 2 3 2 2 3 3" xfId="27428" xr:uid="{C1C97F6C-A4BF-4070-8401-2465ABFB97FF}"/>
    <cellStyle name="Normal 11 2 2 2 4 2 3 2 2 4" xfId="27429" xr:uid="{9C1168E1-6A0A-43AA-ABC9-947777C42EFA}"/>
    <cellStyle name="Normal 11 2 2 2 4 2 3 2 2 4 2" xfId="27430" xr:uid="{1193B49B-FDC6-4869-95C5-139A18B694AF}"/>
    <cellStyle name="Normal 11 2 2 2 4 2 3 2 2 5" xfId="27431" xr:uid="{07D14E1A-F77B-49E8-906F-F79543598AEA}"/>
    <cellStyle name="Normal 11 2 2 2 4 2 3 2 3" xfId="27432" xr:uid="{7E4895E7-A7C7-4EAD-BC76-82A08DC51496}"/>
    <cellStyle name="Normal 11 2 2 2 4 2 3 2 3 2" xfId="27433" xr:uid="{F57814DA-7552-4606-937D-91D7579D95A6}"/>
    <cellStyle name="Normal 11 2 2 2 4 2 3 2 3 2 2" xfId="27434" xr:uid="{F8090515-BD00-4386-B4B2-A337300F4387}"/>
    <cellStyle name="Normal 11 2 2 2 4 2 3 2 3 2 2 2" xfId="27435" xr:uid="{E06A9AFE-EEF3-44BD-8816-AFF11A87D544}"/>
    <cellStyle name="Normal 11 2 2 2 4 2 3 2 3 2 3" xfId="27436" xr:uid="{812B27B4-99C3-4AA6-B3EF-9A82B0DD76CD}"/>
    <cellStyle name="Normal 11 2 2 2 4 2 3 2 3 3" xfId="27437" xr:uid="{DD277D42-D4AD-486F-AC1C-92792F2FBC9D}"/>
    <cellStyle name="Normal 11 2 2 2 4 2 3 2 3 3 2" xfId="27438" xr:uid="{9593FDA7-2A6C-4CCA-8BA4-02546B32AEF6}"/>
    <cellStyle name="Normal 11 2 2 2 4 2 3 2 3 4" xfId="27439" xr:uid="{C6209E6F-BBD7-401A-9759-043FFA714BB2}"/>
    <cellStyle name="Normal 11 2 2 2 4 2 3 2 4" xfId="27440" xr:uid="{B3E3AA02-B0AC-4F16-AA40-A365D6D147AE}"/>
    <cellStyle name="Normal 11 2 2 2 4 2 3 2 4 2" xfId="27441" xr:uid="{98281B81-2639-4B51-8105-31B5D787AE27}"/>
    <cellStyle name="Normal 11 2 2 2 4 2 3 2 4 2 2" xfId="27442" xr:uid="{4ACEBD8C-6599-41D3-922A-B22AA7C84B25}"/>
    <cellStyle name="Normal 11 2 2 2 4 2 3 2 4 3" xfId="27443" xr:uid="{946F942C-73C8-4B37-954C-3001FA82F13E}"/>
    <cellStyle name="Normal 11 2 2 2 4 2 3 2 5" xfId="27444" xr:uid="{A40D57A3-ECD4-4A2F-A6C8-C8B5CA7D814D}"/>
    <cellStyle name="Normal 11 2 2 2 4 2 3 2 5 2" xfId="27445" xr:uid="{2228EC06-97DC-4439-83E2-2AE20D0D1D68}"/>
    <cellStyle name="Normal 11 2 2 2 4 2 3 2 6" xfId="27446" xr:uid="{12A4125F-2049-456D-BBEA-D7A75E5B95FF}"/>
    <cellStyle name="Normal 11 2 2 2 4 2 3 3" xfId="27447" xr:uid="{415D0CD7-2D66-4035-ABFC-AB7FED23274E}"/>
    <cellStyle name="Normal 11 2 2 2 4 2 3 3 2" xfId="27448" xr:uid="{9A4D0D27-B515-431B-AB2A-EDDB84E53544}"/>
    <cellStyle name="Normal 11 2 2 2 4 2 3 3 2 2" xfId="27449" xr:uid="{04C03CE5-EA7B-4E95-AEDD-C87DAE3F6A5A}"/>
    <cellStyle name="Normal 11 2 2 2 4 2 3 3 2 2 2" xfId="27450" xr:uid="{275A7EE2-6C32-4DB1-84F6-5BE39D4B551A}"/>
    <cellStyle name="Normal 11 2 2 2 4 2 3 3 2 2 2 2" xfId="27451" xr:uid="{8788EA68-B4EB-46E6-891F-EB5E12C00C2E}"/>
    <cellStyle name="Normal 11 2 2 2 4 2 3 3 2 2 3" xfId="27452" xr:uid="{EBD96D6B-37A9-4DFC-B009-236CE2E338D1}"/>
    <cellStyle name="Normal 11 2 2 2 4 2 3 3 2 3" xfId="27453" xr:uid="{2632C553-21E4-498F-B0EB-BBB2F521954D}"/>
    <cellStyle name="Normal 11 2 2 2 4 2 3 3 2 3 2" xfId="27454" xr:uid="{1CB3639E-9B21-4372-BFA5-B3D5D461AA7B}"/>
    <cellStyle name="Normal 11 2 2 2 4 2 3 3 2 4" xfId="27455" xr:uid="{63672267-D4D9-4734-8665-623DDACB8AA8}"/>
    <cellStyle name="Normal 11 2 2 2 4 2 3 3 3" xfId="27456" xr:uid="{0A503FEF-98E1-4D63-87B3-D93732112AB5}"/>
    <cellStyle name="Normal 11 2 2 2 4 2 3 3 3 2" xfId="27457" xr:uid="{39AE6099-039D-4E2D-8BFA-8577CDA2F685}"/>
    <cellStyle name="Normal 11 2 2 2 4 2 3 3 3 2 2" xfId="27458" xr:uid="{4722E99B-4179-4D18-9B98-A0DD2B9290E9}"/>
    <cellStyle name="Normal 11 2 2 2 4 2 3 3 3 3" xfId="27459" xr:uid="{D726BEE0-7674-44F2-9DED-50CD9149AA79}"/>
    <cellStyle name="Normal 11 2 2 2 4 2 3 3 4" xfId="27460" xr:uid="{D024896F-5770-4417-AE16-62E4EBD9346D}"/>
    <cellStyle name="Normal 11 2 2 2 4 2 3 3 4 2" xfId="27461" xr:uid="{D9D9B307-BF2B-41EC-B7CA-DB4573C47749}"/>
    <cellStyle name="Normal 11 2 2 2 4 2 3 3 5" xfId="27462" xr:uid="{804B24FD-E766-4EC8-9A20-1E51C912A0F5}"/>
    <cellStyle name="Normal 11 2 2 2 4 2 3 4" xfId="27463" xr:uid="{571273FC-56F5-49F7-A3D7-CAF5CA90B415}"/>
    <cellStyle name="Normal 11 2 2 2 4 2 3 4 2" xfId="27464" xr:uid="{65860983-DE07-4C28-A954-BEF1B01FE441}"/>
    <cellStyle name="Normal 11 2 2 2 4 2 3 4 2 2" xfId="27465" xr:uid="{69E105FB-4FB0-4436-BC4D-A995EC3AC803}"/>
    <cellStyle name="Normal 11 2 2 2 4 2 3 4 2 2 2" xfId="27466" xr:uid="{BD968300-4EBD-4813-A96A-91B946ACF325}"/>
    <cellStyle name="Normal 11 2 2 2 4 2 3 4 2 3" xfId="27467" xr:uid="{F28975D8-A702-44F0-A420-55D12EE28ABE}"/>
    <cellStyle name="Normal 11 2 2 2 4 2 3 4 3" xfId="27468" xr:uid="{4ECE2E79-3F71-45D9-AE2B-0970FD300624}"/>
    <cellStyle name="Normal 11 2 2 2 4 2 3 4 3 2" xfId="27469" xr:uid="{BA9BDEFE-E86C-427E-9C2E-ACEEB6F4E8C7}"/>
    <cellStyle name="Normal 11 2 2 2 4 2 3 4 4" xfId="27470" xr:uid="{F694FFA7-64F6-4D81-B601-6450F936B880}"/>
    <cellStyle name="Normal 11 2 2 2 4 2 3 5" xfId="27471" xr:uid="{50670091-E4C3-4309-8D81-74CD0608B49F}"/>
    <cellStyle name="Normal 11 2 2 2 4 2 3 5 2" xfId="27472" xr:uid="{214CAC21-E9DF-4461-9F85-444BF20D55D6}"/>
    <cellStyle name="Normal 11 2 2 2 4 2 3 5 2 2" xfId="27473" xr:uid="{87D9B8A2-5094-4B1C-871E-6D4C5B10E760}"/>
    <cellStyle name="Normal 11 2 2 2 4 2 3 5 3" xfId="27474" xr:uid="{8ACFD518-828A-49C1-B321-DE9E137EEF9D}"/>
    <cellStyle name="Normal 11 2 2 2 4 2 3 6" xfId="27475" xr:uid="{4E606031-CB76-4884-838D-2D175BE746F6}"/>
    <cellStyle name="Normal 11 2 2 2 4 2 3 6 2" xfId="27476" xr:uid="{4771109F-DD78-4EF6-BF3B-196AB26CF51A}"/>
    <cellStyle name="Normal 11 2 2 2 4 2 3 7" xfId="27477" xr:uid="{C93F9D7F-71D1-4B21-B81B-26CBA9EC772C}"/>
    <cellStyle name="Normal 11 2 2 2 4 2 4" xfId="27478" xr:uid="{2DBC416B-AFC1-462B-BD66-62D9B6BEBEA8}"/>
    <cellStyle name="Normal 11 2 2 2 4 2 4 2" xfId="27479" xr:uid="{0F1E2D36-3484-4C08-8350-934FD1E6660E}"/>
    <cellStyle name="Normal 11 2 2 2 4 2 4 2 2" xfId="27480" xr:uid="{6E01739B-BCE5-451D-8BDE-04D35B59FCDA}"/>
    <cellStyle name="Normal 11 2 2 2 4 2 4 2 2 2" xfId="27481" xr:uid="{5F029B67-C703-482C-A906-F74D0521F40C}"/>
    <cellStyle name="Normal 11 2 2 2 4 2 4 2 2 2 2" xfId="27482" xr:uid="{822538F8-5812-4C4B-904A-4F7594F92BBD}"/>
    <cellStyle name="Normal 11 2 2 2 4 2 4 2 2 2 2 2" xfId="27483" xr:uid="{C977F3F3-A33C-4CD5-8CBE-AE033269C69C}"/>
    <cellStyle name="Normal 11 2 2 2 4 2 4 2 2 2 3" xfId="27484" xr:uid="{C808E57F-D7F6-4762-BA25-79F548814AE1}"/>
    <cellStyle name="Normal 11 2 2 2 4 2 4 2 2 3" xfId="27485" xr:uid="{00D5CDE2-AF08-402B-920B-CBE810955538}"/>
    <cellStyle name="Normal 11 2 2 2 4 2 4 2 2 3 2" xfId="27486" xr:uid="{00F264D7-07F2-4FB5-9141-BC15EEBE6804}"/>
    <cellStyle name="Normal 11 2 2 2 4 2 4 2 2 4" xfId="27487" xr:uid="{6A0B5B11-762A-4628-A3C3-727E262471BF}"/>
    <cellStyle name="Normal 11 2 2 2 4 2 4 2 3" xfId="27488" xr:uid="{5861876F-4138-4899-AF99-8EC5527CB18D}"/>
    <cellStyle name="Normal 11 2 2 2 4 2 4 2 3 2" xfId="27489" xr:uid="{D147BF67-4F72-4AA9-B8B0-D80DCC8C8DEF}"/>
    <cellStyle name="Normal 11 2 2 2 4 2 4 2 3 2 2" xfId="27490" xr:uid="{85C86582-537B-4741-820B-2813C33804E2}"/>
    <cellStyle name="Normal 11 2 2 2 4 2 4 2 3 3" xfId="27491" xr:uid="{A58C6D1C-74CB-4379-AB8B-BCF6C208EE4E}"/>
    <cellStyle name="Normal 11 2 2 2 4 2 4 2 4" xfId="27492" xr:uid="{D67B1362-BF89-4CED-A1A0-6AD9C7DE7EB9}"/>
    <cellStyle name="Normal 11 2 2 2 4 2 4 2 4 2" xfId="27493" xr:uid="{A8572F17-9491-4DD7-AA1D-B30B3BEC3217}"/>
    <cellStyle name="Normal 11 2 2 2 4 2 4 2 5" xfId="27494" xr:uid="{83CE49FC-13B1-4CC0-86C9-197D73C25901}"/>
    <cellStyle name="Normal 11 2 2 2 4 2 4 3" xfId="27495" xr:uid="{C66DAE81-B4DF-41D0-A07C-639360360835}"/>
    <cellStyle name="Normal 11 2 2 2 4 2 4 3 2" xfId="27496" xr:uid="{1B910753-7335-45FB-892E-D85C872F77F7}"/>
    <cellStyle name="Normal 11 2 2 2 4 2 4 3 2 2" xfId="27497" xr:uid="{5498DDA6-DA61-4009-A486-87D08CE5BFCD}"/>
    <cellStyle name="Normal 11 2 2 2 4 2 4 3 2 2 2" xfId="27498" xr:uid="{3DC7C9A7-5ED6-429F-8839-757056FA8BBE}"/>
    <cellStyle name="Normal 11 2 2 2 4 2 4 3 2 3" xfId="27499" xr:uid="{81B0A211-1A89-4D1A-A840-B1E54F4C63C7}"/>
    <cellStyle name="Normal 11 2 2 2 4 2 4 3 3" xfId="27500" xr:uid="{277DADF5-F3D7-4297-8628-5D36D64E60AF}"/>
    <cellStyle name="Normal 11 2 2 2 4 2 4 3 3 2" xfId="27501" xr:uid="{D068D926-6C1E-4E14-B513-1D887C4C012B}"/>
    <cellStyle name="Normal 11 2 2 2 4 2 4 3 4" xfId="27502" xr:uid="{AB8F4BED-7773-4996-A777-11B2FFEF385D}"/>
    <cellStyle name="Normal 11 2 2 2 4 2 4 4" xfId="27503" xr:uid="{E068406F-7F6C-4033-81C7-B2F993A03FAF}"/>
    <cellStyle name="Normal 11 2 2 2 4 2 4 4 2" xfId="27504" xr:uid="{0566DC01-73DC-4342-9564-330CBDEAB1A5}"/>
    <cellStyle name="Normal 11 2 2 2 4 2 4 4 2 2" xfId="27505" xr:uid="{C909DABE-9395-4657-AB61-33B79A11CA63}"/>
    <cellStyle name="Normal 11 2 2 2 4 2 4 4 3" xfId="27506" xr:uid="{1C97551D-2273-444A-A224-81B308948F9C}"/>
    <cellStyle name="Normal 11 2 2 2 4 2 4 5" xfId="27507" xr:uid="{4B57F588-6519-4442-AA1C-96D86C09C91B}"/>
    <cellStyle name="Normal 11 2 2 2 4 2 4 5 2" xfId="27508" xr:uid="{E0592E14-6DB7-4291-993D-B084DF3FED8C}"/>
    <cellStyle name="Normal 11 2 2 2 4 2 4 6" xfId="27509" xr:uid="{B2EA95D6-437F-4752-861B-BB6BAE296986}"/>
    <cellStyle name="Normal 11 2 2 2 4 2 5" xfId="27510" xr:uid="{2EB15AA0-7A70-49A4-B06F-CE471F61B163}"/>
    <cellStyle name="Normal 11 2 2 2 4 2 5 2" xfId="27511" xr:uid="{69A63116-7390-4CBE-AAA8-97E7137565D9}"/>
    <cellStyle name="Normal 11 2 2 2 4 2 5 2 2" xfId="27512" xr:uid="{8A9EBA30-9E7D-4E2F-BC1D-3AE81EB8A53B}"/>
    <cellStyle name="Normal 11 2 2 2 4 2 5 2 2 2" xfId="27513" xr:uid="{71CE7CF0-7024-4F80-A3C9-CBA229EA634C}"/>
    <cellStyle name="Normal 11 2 2 2 4 2 5 2 2 2 2" xfId="27514" xr:uid="{F6D2B5DE-9F59-4777-90B3-8780D6F1BC47}"/>
    <cellStyle name="Normal 11 2 2 2 4 2 5 2 2 3" xfId="27515" xr:uid="{11470382-C70D-41F6-B237-C2216A21A30A}"/>
    <cellStyle name="Normal 11 2 2 2 4 2 5 2 3" xfId="27516" xr:uid="{6CB83064-572F-446A-B636-255B8678F65D}"/>
    <cellStyle name="Normal 11 2 2 2 4 2 5 2 3 2" xfId="27517" xr:uid="{2FE1A492-D6BE-437C-8674-6CC0E67AAD98}"/>
    <cellStyle name="Normal 11 2 2 2 4 2 5 2 4" xfId="27518" xr:uid="{DD268E0A-43B8-4C13-A747-7027FCC286A4}"/>
    <cellStyle name="Normal 11 2 2 2 4 2 5 3" xfId="27519" xr:uid="{00DDAA5B-1291-4371-9261-C6CF40F2F523}"/>
    <cellStyle name="Normal 11 2 2 2 4 2 5 3 2" xfId="27520" xr:uid="{7E0978CB-C1BF-418D-A73A-2AA0EEB001CB}"/>
    <cellStyle name="Normal 11 2 2 2 4 2 5 3 2 2" xfId="27521" xr:uid="{83117B8C-7C0A-45D4-A87A-EDF4A064D464}"/>
    <cellStyle name="Normal 11 2 2 2 4 2 5 3 3" xfId="27522" xr:uid="{F3F7C510-A64A-449C-B447-9C67F3A42786}"/>
    <cellStyle name="Normal 11 2 2 2 4 2 5 4" xfId="27523" xr:uid="{F4E38163-3EC8-46E5-9F84-D72961CD2588}"/>
    <cellStyle name="Normal 11 2 2 2 4 2 5 4 2" xfId="27524" xr:uid="{53BB9F53-77B3-4453-94F5-6BDA7D5FC88C}"/>
    <cellStyle name="Normal 11 2 2 2 4 2 5 5" xfId="27525" xr:uid="{E445914F-8297-4818-A59C-22C8CE560A70}"/>
    <cellStyle name="Normal 11 2 2 2 4 2 6" xfId="27526" xr:uid="{0EFE4AEB-C330-4B0B-8187-79F9639411D6}"/>
    <cellStyle name="Normal 11 2 2 2 4 2 6 2" xfId="27527" xr:uid="{7992CBC6-F43C-4AB7-A43D-35DDE5F7329A}"/>
    <cellStyle name="Normal 11 2 2 2 4 2 6 2 2" xfId="27528" xr:uid="{C8EA157A-164F-431B-9E5C-0574B1D96CF4}"/>
    <cellStyle name="Normal 11 2 2 2 4 2 6 2 2 2" xfId="27529" xr:uid="{5856AD48-EE95-48D1-ADF8-D92E5950F15F}"/>
    <cellStyle name="Normal 11 2 2 2 4 2 6 2 3" xfId="27530" xr:uid="{59B9B5E1-7B90-4C2E-ADFB-6127B3383C7A}"/>
    <cellStyle name="Normal 11 2 2 2 4 2 6 3" xfId="27531" xr:uid="{C017FC5A-446C-4DAD-8BBA-D49DBB0D9034}"/>
    <cellStyle name="Normal 11 2 2 2 4 2 6 3 2" xfId="27532" xr:uid="{663F7D33-881F-4CB0-9FAD-07F65C8B2257}"/>
    <cellStyle name="Normal 11 2 2 2 4 2 6 4" xfId="27533" xr:uid="{ABDC9432-183B-4AB1-A7DD-1EA72C137A79}"/>
    <cellStyle name="Normal 11 2 2 2 4 2 7" xfId="27534" xr:uid="{796F7A1D-071C-464F-AD97-95F105214202}"/>
    <cellStyle name="Normal 11 2 2 2 4 2 7 2" xfId="27535" xr:uid="{A66FBF0C-808F-46F5-AA45-FF7628AB91F7}"/>
    <cellStyle name="Normal 11 2 2 2 4 2 7 2 2" xfId="27536" xr:uid="{37B389B0-9B66-437D-BF1C-DA635C1B931D}"/>
    <cellStyle name="Normal 11 2 2 2 4 2 7 3" xfId="27537" xr:uid="{8213641F-8C0C-407E-B24D-4A48165DF759}"/>
    <cellStyle name="Normal 11 2 2 2 4 2 8" xfId="27538" xr:uid="{334F55D3-9577-4F06-B232-AF73FCC3F751}"/>
    <cellStyle name="Normal 11 2 2 2 4 2 8 2" xfId="27539" xr:uid="{C97843F4-E3EB-478D-B60A-58456B6DF13B}"/>
    <cellStyle name="Normal 11 2 2 2 4 2 9" xfId="27540" xr:uid="{AFDD3151-CA54-4D47-8675-F9739A8FC276}"/>
    <cellStyle name="Normal 11 2 2 2 4 3" xfId="499" xr:uid="{5E9CC735-2165-49FD-A0D4-2C196E2FC9F5}"/>
    <cellStyle name="Normal 11 2 2 2 4 3 2" xfId="27542" xr:uid="{61364CC4-A8AE-46FC-8F67-E5291D5E98C8}"/>
    <cellStyle name="Normal 11 2 2 2 4 3 2 2" xfId="27543" xr:uid="{DCE010FD-8022-44BA-81CC-C661538D71E2}"/>
    <cellStyle name="Normal 11 2 2 2 4 3 2 2 2" xfId="27544" xr:uid="{25D1B9EB-5A79-4652-B946-72D11186E19F}"/>
    <cellStyle name="Normal 11 2 2 2 4 3 2 2 2 2" xfId="27545" xr:uid="{32EFDC1F-3209-44F5-A64E-6A182CB64B09}"/>
    <cellStyle name="Normal 11 2 2 2 4 3 2 2 2 2 2" xfId="27546" xr:uid="{7C507289-6233-41BD-9D1C-1A47FC9EF1A7}"/>
    <cellStyle name="Normal 11 2 2 2 4 3 2 2 2 2 2 2" xfId="27547" xr:uid="{ADA0ACB5-EE4A-467E-8BE4-A56C562C094A}"/>
    <cellStyle name="Normal 11 2 2 2 4 3 2 2 2 2 2 2 2" xfId="27548" xr:uid="{9FC0195C-F663-4C4D-A815-733D44D219CD}"/>
    <cellStyle name="Normal 11 2 2 2 4 3 2 2 2 2 2 3" xfId="27549" xr:uid="{095B521A-B232-49BB-A471-BC912C51A581}"/>
    <cellStyle name="Normal 11 2 2 2 4 3 2 2 2 2 3" xfId="27550" xr:uid="{68531076-865C-4667-B4A5-D2478531EA5A}"/>
    <cellStyle name="Normal 11 2 2 2 4 3 2 2 2 2 3 2" xfId="27551" xr:uid="{E1FBCCAC-B491-41ED-BF86-008CB574AA62}"/>
    <cellStyle name="Normal 11 2 2 2 4 3 2 2 2 2 4" xfId="27552" xr:uid="{06211FEA-04C7-4640-9D66-1A349965D663}"/>
    <cellStyle name="Normal 11 2 2 2 4 3 2 2 2 3" xfId="27553" xr:uid="{4AE620DF-7FBD-41AC-9C88-B90B60A3AC84}"/>
    <cellStyle name="Normal 11 2 2 2 4 3 2 2 2 3 2" xfId="27554" xr:uid="{298F9B70-013F-41AB-A9AD-B1E917147AEE}"/>
    <cellStyle name="Normal 11 2 2 2 4 3 2 2 2 3 2 2" xfId="27555" xr:uid="{67C65A17-58DC-426D-8044-C031BD025725}"/>
    <cellStyle name="Normal 11 2 2 2 4 3 2 2 2 3 3" xfId="27556" xr:uid="{3F20ACF3-9DCE-4688-8CE2-AB029C063543}"/>
    <cellStyle name="Normal 11 2 2 2 4 3 2 2 2 4" xfId="27557" xr:uid="{5F0C50DB-B361-4C41-80D7-195D2D5E2831}"/>
    <cellStyle name="Normal 11 2 2 2 4 3 2 2 2 4 2" xfId="27558" xr:uid="{7E482946-3AF9-4B97-98CC-C66A18088E59}"/>
    <cellStyle name="Normal 11 2 2 2 4 3 2 2 2 5" xfId="27559" xr:uid="{46A581FE-DB68-4ED9-9120-19D5A5A47058}"/>
    <cellStyle name="Normal 11 2 2 2 4 3 2 2 3" xfId="27560" xr:uid="{A8166E3D-7A6C-4D5D-A4D1-56EE9481EB64}"/>
    <cellStyle name="Normal 11 2 2 2 4 3 2 2 3 2" xfId="27561" xr:uid="{127582C5-FB55-46F5-A3F7-672CF55C758A}"/>
    <cellStyle name="Normal 11 2 2 2 4 3 2 2 3 2 2" xfId="27562" xr:uid="{FB74C8A1-B008-46DA-8A90-DA306B14D076}"/>
    <cellStyle name="Normal 11 2 2 2 4 3 2 2 3 2 2 2" xfId="27563" xr:uid="{33021387-C605-4E56-8B0E-A407533E7641}"/>
    <cellStyle name="Normal 11 2 2 2 4 3 2 2 3 2 3" xfId="27564" xr:uid="{456730BF-2A60-4386-BA10-4DC194AF8F2F}"/>
    <cellStyle name="Normal 11 2 2 2 4 3 2 2 3 3" xfId="27565" xr:uid="{92D5148C-B584-4A59-B0D5-10C48646712B}"/>
    <cellStyle name="Normal 11 2 2 2 4 3 2 2 3 3 2" xfId="27566" xr:uid="{CE816979-01D7-468F-9437-5EF61AEDD23D}"/>
    <cellStyle name="Normal 11 2 2 2 4 3 2 2 3 4" xfId="27567" xr:uid="{22825F97-1198-48DD-A704-DBCF74A97D83}"/>
    <cellStyle name="Normal 11 2 2 2 4 3 2 2 4" xfId="27568" xr:uid="{167E566C-1D6E-44CA-83ED-0CF0D11FDBE1}"/>
    <cellStyle name="Normal 11 2 2 2 4 3 2 2 4 2" xfId="27569" xr:uid="{4F7B26A4-BCBE-4BEA-BC59-E882CECD78AA}"/>
    <cellStyle name="Normal 11 2 2 2 4 3 2 2 4 2 2" xfId="27570" xr:uid="{65C0DB93-75B9-46E4-9397-61C0987D5EE4}"/>
    <cellStyle name="Normal 11 2 2 2 4 3 2 2 4 3" xfId="27571" xr:uid="{4107B49C-4553-4CCC-9D30-1E01B32759A6}"/>
    <cellStyle name="Normal 11 2 2 2 4 3 2 2 5" xfId="27572" xr:uid="{43306C01-3866-46C7-8626-05B0874CB731}"/>
    <cellStyle name="Normal 11 2 2 2 4 3 2 2 5 2" xfId="27573" xr:uid="{60E64B7B-045B-4AA4-9D69-98A1EACC1131}"/>
    <cellStyle name="Normal 11 2 2 2 4 3 2 2 6" xfId="27574" xr:uid="{55F0EB60-B2D2-4A9C-A6AC-3A9A819BD8B1}"/>
    <cellStyle name="Normal 11 2 2 2 4 3 2 3" xfId="27575" xr:uid="{C0205E63-42F0-4330-A16C-245AF037C921}"/>
    <cellStyle name="Normal 11 2 2 2 4 3 2 3 2" xfId="27576" xr:uid="{86AD74CD-AFF4-4C30-B3B4-F842ABA40272}"/>
    <cellStyle name="Normal 11 2 2 2 4 3 2 3 2 2" xfId="27577" xr:uid="{8CBF91DD-EF66-4809-B4A9-28F8179689AC}"/>
    <cellStyle name="Normal 11 2 2 2 4 3 2 3 2 2 2" xfId="27578" xr:uid="{A284BC99-3824-4FA2-BCC3-849E961D0B83}"/>
    <cellStyle name="Normal 11 2 2 2 4 3 2 3 2 2 2 2" xfId="27579" xr:uid="{D73CA578-27AE-42C9-B5D5-0F9A24CE965D}"/>
    <cellStyle name="Normal 11 2 2 2 4 3 2 3 2 2 3" xfId="27580" xr:uid="{D8EF8290-923C-4032-B491-1EA0F8F6476C}"/>
    <cellStyle name="Normal 11 2 2 2 4 3 2 3 2 3" xfId="27581" xr:uid="{99A75ABC-4288-422C-895E-1D0A50F23290}"/>
    <cellStyle name="Normal 11 2 2 2 4 3 2 3 2 3 2" xfId="27582" xr:uid="{C3211C72-50B8-4805-8F64-CC477BB67528}"/>
    <cellStyle name="Normal 11 2 2 2 4 3 2 3 2 4" xfId="27583" xr:uid="{A6870F6B-0F68-4B4F-B431-F14DCE192177}"/>
    <cellStyle name="Normal 11 2 2 2 4 3 2 3 3" xfId="27584" xr:uid="{4AA1D9DA-2DB6-4E90-B7DA-D444350E1AB7}"/>
    <cellStyle name="Normal 11 2 2 2 4 3 2 3 3 2" xfId="27585" xr:uid="{C0A4C5AA-F907-4BA9-A9BF-32CC6683AA23}"/>
    <cellStyle name="Normal 11 2 2 2 4 3 2 3 3 2 2" xfId="27586" xr:uid="{6B3E28F3-D970-49FB-8472-E8813389D49A}"/>
    <cellStyle name="Normal 11 2 2 2 4 3 2 3 3 3" xfId="27587" xr:uid="{D7E0F3E3-6445-4202-8283-263E2CA9560E}"/>
    <cellStyle name="Normal 11 2 2 2 4 3 2 3 4" xfId="27588" xr:uid="{DB3108A2-46EE-4ECD-8CDC-70699FC7E514}"/>
    <cellStyle name="Normal 11 2 2 2 4 3 2 3 4 2" xfId="27589" xr:uid="{D13D1614-56D0-4312-9AE5-9C0EC6AAAE18}"/>
    <cellStyle name="Normal 11 2 2 2 4 3 2 3 5" xfId="27590" xr:uid="{A5C7584F-5A31-45C6-B3D0-2A57602ADF79}"/>
    <cellStyle name="Normal 11 2 2 2 4 3 2 4" xfId="27591" xr:uid="{9C49189C-AE7F-440E-ACDF-FB9F3C721B66}"/>
    <cellStyle name="Normal 11 2 2 2 4 3 2 4 2" xfId="27592" xr:uid="{7DBBC884-BD61-4D5E-B788-7403226E253A}"/>
    <cellStyle name="Normal 11 2 2 2 4 3 2 4 2 2" xfId="27593" xr:uid="{237E2695-5D02-479B-8BC1-A9B93FF730F0}"/>
    <cellStyle name="Normal 11 2 2 2 4 3 2 4 2 2 2" xfId="27594" xr:uid="{52A7ABFA-26CA-40F1-9C1A-50BE24AA83A1}"/>
    <cellStyle name="Normal 11 2 2 2 4 3 2 4 2 3" xfId="27595" xr:uid="{3881BE07-3258-4618-861D-192E372C2897}"/>
    <cellStyle name="Normal 11 2 2 2 4 3 2 4 3" xfId="27596" xr:uid="{3F85488B-028B-4435-A20D-7F8A111CD337}"/>
    <cellStyle name="Normal 11 2 2 2 4 3 2 4 3 2" xfId="27597" xr:uid="{B6618EC4-085F-4BFE-9B44-C15631037DF2}"/>
    <cellStyle name="Normal 11 2 2 2 4 3 2 4 4" xfId="27598" xr:uid="{25582DEF-D241-4231-8D13-B3F46F2CDA60}"/>
    <cellStyle name="Normal 11 2 2 2 4 3 2 5" xfId="27599" xr:uid="{E3A09D2D-E553-4A2B-979F-71FF296021A3}"/>
    <cellStyle name="Normal 11 2 2 2 4 3 2 5 2" xfId="27600" xr:uid="{3DC101A5-4780-4793-B6B5-9B96A629CA12}"/>
    <cellStyle name="Normal 11 2 2 2 4 3 2 5 2 2" xfId="27601" xr:uid="{F773FC25-A05A-4D9C-85CF-7214C49FB309}"/>
    <cellStyle name="Normal 11 2 2 2 4 3 2 5 3" xfId="27602" xr:uid="{3099FDA2-FA81-4942-B44F-0181BE6011B1}"/>
    <cellStyle name="Normal 11 2 2 2 4 3 2 6" xfId="27603" xr:uid="{F486AEA1-B232-4F3F-8C7A-366C24782868}"/>
    <cellStyle name="Normal 11 2 2 2 4 3 2 6 2" xfId="27604" xr:uid="{5FBEC672-5B1F-45C0-8B2A-5C90C92C091A}"/>
    <cellStyle name="Normal 11 2 2 2 4 3 2 7" xfId="27605" xr:uid="{CEDCA1BB-B0CD-444C-90E4-16914A1BAF19}"/>
    <cellStyle name="Normal 11 2 2 2 4 3 3" xfId="27606" xr:uid="{A5D04812-FA68-4B0B-9EB8-EB2324F17F29}"/>
    <cellStyle name="Normal 11 2 2 2 4 3 3 2" xfId="27607" xr:uid="{F3F16DC5-91D3-4310-9FEB-8E7A85069EE4}"/>
    <cellStyle name="Normal 11 2 2 2 4 3 3 2 2" xfId="27608" xr:uid="{A1550C3D-4E89-41A8-B04E-7F5DE71B0393}"/>
    <cellStyle name="Normal 11 2 2 2 4 3 3 2 2 2" xfId="27609" xr:uid="{A5C5F7CE-0194-46ED-B712-1EBA84338D04}"/>
    <cellStyle name="Normal 11 2 2 2 4 3 3 2 2 2 2" xfId="27610" xr:uid="{E4FA30C1-B043-41ED-B2D8-A750CEA55267}"/>
    <cellStyle name="Normal 11 2 2 2 4 3 3 2 2 2 2 2" xfId="27611" xr:uid="{EAC2D101-8246-4E61-BA5C-4E0285A1E993}"/>
    <cellStyle name="Normal 11 2 2 2 4 3 3 2 2 2 3" xfId="27612" xr:uid="{22EC4211-5255-48D9-8D71-14B64972C1B6}"/>
    <cellStyle name="Normal 11 2 2 2 4 3 3 2 2 3" xfId="27613" xr:uid="{382AFECF-14BC-4536-9094-15C3D40BA0C1}"/>
    <cellStyle name="Normal 11 2 2 2 4 3 3 2 2 3 2" xfId="27614" xr:uid="{B0933304-7306-4A77-8A6D-9A240CB89189}"/>
    <cellStyle name="Normal 11 2 2 2 4 3 3 2 2 4" xfId="27615" xr:uid="{01FA1D01-5648-4824-B6D2-87B2620896EA}"/>
    <cellStyle name="Normal 11 2 2 2 4 3 3 2 3" xfId="27616" xr:uid="{5989F804-1024-4AEA-961B-E896E2B36303}"/>
    <cellStyle name="Normal 11 2 2 2 4 3 3 2 3 2" xfId="27617" xr:uid="{25508A15-352D-4459-80D8-CE18A1EBD7BD}"/>
    <cellStyle name="Normal 11 2 2 2 4 3 3 2 3 2 2" xfId="27618" xr:uid="{DACA238E-2045-49A3-B8E4-044496585437}"/>
    <cellStyle name="Normal 11 2 2 2 4 3 3 2 3 3" xfId="27619" xr:uid="{60341431-A1F1-4BEA-9782-F98309804FE4}"/>
    <cellStyle name="Normal 11 2 2 2 4 3 3 2 4" xfId="27620" xr:uid="{493A2451-3678-4DA3-88D2-CDB48EBE50EF}"/>
    <cellStyle name="Normal 11 2 2 2 4 3 3 2 4 2" xfId="27621" xr:uid="{73B4937E-364E-4F99-A6C9-90BD4B7E27A3}"/>
    <cellStyle name="Normal 11 2 2 2 4 3 3 2 5" xfId="27622" xr:uid="{78EA5302-FA1C-41F9-9C47-024060EC494B}"/>
    <cellStyle name="Normal 11 2 2 2 4 3 3 3" xfId="27623" xr:uid="{78080241-B968-4E82-8D1C-CDE14B9EF450}"/>
    <cellStyle name="Normal 11 2 2 2 4 3 3 3 2" xfId="27624" xr:uid="{53760F72-DA98-40CA-ABDC-A6A73FA06CC2}"/>
    <cellStyle name="Normal 11 2 2 2 4 3 3 3 2 2" xfId="27625" xr:uid="{9190FD10-DD8F-45F0-8BE2-B3B33E591979}"/>
    <cellStyle name="Normal 11 2 2 2 4 3 3 3 2 2 2" xfId="27626" xr:uid="{E351CA56-A753-421B-8FC3-CD8EE7BA238A}"/>
    <cellStyle name="Normal 11 2 2 2 4 3 3 3 2 3" xfId="27627" xr:uid="{6475EBF0-053C-4130-A807-437A75BCD2A9}"/>
    <cellStyle name="Normal 11 2 2 2 4 3 3 3 3" xfId="27628" xr:uid="{CF545D95-397B-4214-967B-10BA636B40FC}"/>
    <cellStyle name="Normal 11 2 2 2 4 3 3 3 3 2" xfId="27629" xr:uid="{AB827C21-0AD3-43FE-B1A7-FDE1D902C4EB}"/>
    <cellStyle name="Normal 11 2 2 2 4 3 3 3 4" xfId="27630" xr:uid="{0E3B96A3-6E9B-42A3-B433-267BD57D59D8}"/>
    <cellStyle name="Normal 11 2 2 2 4 3 3 4" xfId="27631" xr:uid="{032DB179-856B-4C46-8772-6A641392B353}"/>
    <cellStyle name="Normal 11 2 2 2 4 3 3 4 2" xfId="27632" xr:uid="{63A13686-ABD0-4F1F-AA3A-288DF0546314}"/>
    <cellStyle name="Normal 11 2 2 2 4 3 3 4 2 2" xfId="27633" xr:uid="{48917A6F-95C1-4994-99DB-6F36969D64B1}"/>
    <cellStyle name="Normal 11 2 2 2 4 3 3 4 3" xfId="27634" xr:uid="{6A72B1D2-F686-4CDF-AB1E-9288BAE0C65D}"/>
    <cellStyle name="Normal 11 2 2 2 4 3 3 5" xfId="27635" xr:uid="{8E32EBF1-33D4-403A-BC45-3A9F7FE0333A}"/>
    <cellStyle name="Normal 11 2 2 2 4 3 3 5 2" xfId="27636" xr:uid="{F77BB2F2-DBD7-4078-A76D-3257C356AB6B}"/>
    <cellStyle name="Normal 11 2 2 2 4 3 3 6" xfId="27637" xr:uid="{195233B1-5495-4E78-8C1F-20782DE3E8C1}"/>
    <cellStyle name="Normal 11 2 2 2 4 3 4" xfId="27638" xr:uid="{9D453398-FF03-4E5D-9CA6-32FC2B162FAF}"/>
    <cellStyle name="Normal 11 2 2 2 4 3 4 2" xfId="27639" xr:uid="{B12EAAEE-B327-49BD-A1E6-24CF38CD7344}"/>
    <cellStyle name="Normal 11 2 2 2 4 3 4 2 2" xfId="27640" xr:uid="{558CABE3-F271-46B4-9D26-BA2DFFDF37D3}"/>
    <cellStyle name="Normal 11 2 2 2 4 3 4 2 2 2" xfId="27641" xr:uid="{15647ECE-EBD0-4929-A338-BA9E16588532}"/>
    <cellStyle name="Normal 11 2 2 2 4 3 4 2 2 2 2" xfId="27642" xr:uid="{ACFB5305-1904-4899-A22A-62D90DA7B318}"/>
    <cellStyle name="Normal 11 2 2 2 4 3 4 2 2 3" xfId="27643" xr:uid="{72B90A66-DFDB-44FB-8D9B-97FBB09376AE}"/>
    <cellStyle name="Normal 11 2 2 2 4 3 4 2 3" xfId="27644" xr:uid="{CA05BC8F-6CC4-4054-8463-F4684D06F8BF}"/>
    <cellStyle name="Normal 11 2 2 2 4 3 4 2 3 2" xfId="27645" xr:uid="{CB05B18A-4167-4024-885A-F489385B81C7}"/>
    <cellStyle name="Normal 11 2 2 2 4 3 4 2 4" xfId="27646" xr:uid="{CEA0540C-EF91-44C7-A8E8-3E398202652F}"/>
    <cellStyle name="Normal 11 2 2 2 4 3 4 3" xfId="27647" xr:uid="{BAD2A500-6A15-43AA-8F88-6944D7D42454}"/>
    <cellStyle name="Normal 11 2 2 2 4 3 4 3 2" xfId="27648" xr:uid="{CD7B6400-BC29-479F-B051-38A8B5BE70E3}"/>
    <cellStyle name="Normal 11 2 2 2 4 3 4 3 2 2" xfId="27649" xr:uid="{B1129C9E-FC25-4184-A296-8E7A530BCEC4}"/>
    <cellStyle name="Normal 11 2 2 2 4 3 4 3 3" xfId="27650" xr:uid="{3CB05644-AFAE-4BE5-8DE8-EA23108F7640}"/>
    <cellStyle name="Normal 11 2 2 2 4 3 4 4" xfId="27651" xr:uid="{1604C07F-0DD3-4724-9DBB-CB897F92E490}"/>
    <cellStyle name="Normal 11 2 2 2 4 3 4 4 2" xfId="27652" xr:uid="{06B8E49D-A6E0-461C-A36C-B8922738AAB8}"/>
    <cellStyle name="Normal 11 2 2 2 4 3 4 5" xfId="27653" xr:uid="{FA94F441-7CC6-4393-9023-AB6E401EC890}"/>
    <cellStyle name="Normal 11 2 2 2 4 3 5" xfId="27654" xr:uid="{3DF14BBA-B93B-4110-9430-F64B1FA888F4}"/>
    <cellStyle name="Normal 11 2 2 2 4 3 5 2" xfId="27655" xr:uid="{7CF0A2F4-199B-4668-9F61-6FFAD8457229}"/>
    <cellStyle name="Normal 11 2 2 2 4 3 5 2 2" xfId="27656" xr:uid="{0CC9972C-F054-4E1C-98A7-0FFA15ED4411}"/>
    <cellStyle name="Normal 11 2 2 2 4 3 5 2 2 2" xfId="27657" xr:uid="{371400D1-4475-4839-8E29-A8DD1C358755}"/>
    <cellStyle name="Normal 11 2 2 2 4 3 5 2 3" xfId="27658" xr:uid="{D7BDAE0E-9383-4A47-BEDC-A6997AE2FBFA}"/>
    <cellStyle name="Normal 11 2 2 2 4 3 5 3" xfId="27659" xr:uid="{AD746801-77B1-417F-85AF-42C10B2611D1}"/>
    <cellStyle name="Normal 11 2 2 2 4 3 5 3 2" xfId="27660" xr:uid="{EE28B1F4-B611-4349-A607-FD5456CE88A9}"/>
    <cellStyle name="Normal 11 2 2 2 4 3 5 4" xfId="27661" xr:uid="{5C1BCEC6-5197-44F8-B45F-89EABEA02331}"/>
    <cellStyle name="Normal 11 2 2 2 4 3 6" xfId="27662" xr:uid="{F2D24139-2B9E-4B4D-991D-0CCCFA01D8AE}"/>
    <cellStyle name="Normal 11 2 2 2 4 3 6 2" xfId="27663" xr:uid="{33BAA7B7-6373-49E8-A56A-9E5879FA4666}"/>
    <cellStyle name="Normal 11 2 2 2 4 3 6 2 2" xfId="27664" xr:uid="{D36EBD31-9A0A-4D88-83D3-ABB7FEF9DB7E}"/>
    <cellStyle name="Normal 11 2 2 2 4 3 6 3" xfId="27665" xr:uid="{3C2BDDBC-6398-4B6F-8F9E-5E9FEAE15B1F}"/>
    <cellStyle name="Normal 11 2 2 2 4 3 7" xfId="27666" xr:uid="{86767667-6BA7-429F-8EAB-3F23F313DF4F}"/>
    <cellStyle name="Normal 11 2 2 2 4 3 7 2" xfId="27667" xr:uid="{6CC4CDA4-4A75-4C05-9F77-8DA57D8E75B5}"/>
    <cellStyle name="Normal 11 2 2 2 4 3 8" xfId="27668" xr:uid="{44E2F1DA-679D-4DFA-B9EF-40FFA2BC1117}"/>
    <cellStyle name="Normal 11 2 2 2 4 3 9" xfId="27541" xr:uid="{50DDDBB8-94B6-457F-8EC7-4658F851B766}"/>
    <cellStyle name="Normal 11 2 2 2 4 4" xfId="27669" xr:uid="{8A40CE9F-C5DC-4B9C-AD06-7C911BB90302}"/>
    <cellStyle name="Normal 11 2 2 2 4 4 2" xfId="27670" xr:uid="{1BE971D6-7FE4-491D-B1EA-1DDFA68C10AD}"/>
    <cellStyle name="Normal 11 2 2 2 4 4 2 2" xfId="27671" xr:uid="{8450D6DE-559F-4506-863D-F61709BDB933}"/>
    <cellStyle name="Normal 11 2 2 2 4 4 2 2 2" xfId="27672" xr:uid="{FB02E6EE-F2D0-4C63-8404-E6895C6BAF2F}"/>
    <cellStyle name="Normal 11 2 2 2 4 4 2 2 2 2" xfId="27673" xr:uid="{E8E9BFEF-D615-4E0A-9225-3EAC64871CB0}"/>
    <cellStyle name="Normal 11 2 2 2 4 4 2 2 2 2 2" xfId="27674" xr:uid="{D0C8533F-878E-4D20-BCEE-7B62C2FF8AA6}"/>
    <cellStyle name="Normal 11 2 2 2 4 4 2 2 2 2 2 2" xfId="27675" xr:uid="{96CCBDE5-A626-42E3-A450-4E6784ED2EB9}"/>
    <cellStyle name="Normal 11 2 2 2 4 4 2 2 2 2 3" xfId="27676" xr:uid="{C524C71A-D859-43C9-9D4C-E019F0F56CAA}"/>
    <cellStyle name="Normal 11 2 2 2 4 4 2 2 2 3" xfId="27677" xr:uid="{E0D70AFC-9BD0-4FB2-8408-25C124FBD062}"/>
    <cellStyle name="Normal 11 2 2 2 4 4 2 2 2 3 2" xfId="27678" xr:uid="{88C82994-C69A-42C4-B100-5905D3338DF9}"/>
    <cellStyle name="Normal 11 2 2 2 4 4 2 2 2 4" xfId="27679" xr:uid="{0CDF8771-CFEF-4A58-B946-9186D48A04FB}"/>
    <cellStyle name="Normal 11 2 2 2 4 4 2 2 3" xfId="27680" xr:uid="{CE39C4CD-A81A-4E1E-B7CC-3015EE993088}"/>
    <cellStyle name="Normal 11 2 2 2 4 4 2 2 3 2" xfId="27681" xr:uid="{D2817029-51D8-4A44-A739-AACDDF334B8F}"/>
    <cellStyle name="Normal 11 2 2 2 4 4 2 2 3 2 2" xfId="27682" xr:uid="{F4992C77-E1A5-4ED5-93AC-D6CD3BC394C3}"/>
    <cellStyle name="Normal 11 2 2 2 4 4 2 2 3 3" xfId="27683" xr:uid="{72D25551-2154-4FE0-A18D-A183127B3E42}"/>
    <cellStyle name="Normal 11 2 2 2 4 4 2 2 4" xfId="27684" xr:uid="{A554775B-3C0F-4D51-9FDE-0FD341734227}"/>
    <cellStyle name="Normal 11 2 2 2 4 4 2 2 4 2" xfId="27685" xr:uid="{5909EAC0-4C95-4E0E-9CF0-3E4F58F96DE4}"/>
    <cellStyle name="Normal 11 2 2 2 4 4 2 2 5" xfId="27686" xr:uid="{6011EBA2-89C3-4A97-A836-75272D93890E}"/>
    <cellStyle name="Normal 11 2 2 2 4 4 2 3" xfId="27687" xr:uid="{C73C7ABE-1051-467A-AFFA-B56EC084AAFD}"/>
    <cellStyle name="Normal 11 2 2 2 4 4 2 3 2" xfId="27688" xr:uid="{2D7C70F5-0734-45AE-B503-77FBB5E588B5}"/>
    <cellStyle name="Normal 11 2 2 2 4 4 2 3 2 2" xfId="27689" xr:uid="{B05B7D4A-6112-487A-9FE7-B97F171A5061}"/>
    <cellStyle name="Normal 11 2 2 2 4 4 2 3 2 2 2" xfId="27690" xr:uid="{BB2E0E53-4F16-42DD-A3D2-03B93A19E7AF}"/>
    <cellStyle name="Normal 11 2 2 2 4 4 2 3 2 3" xfId="27691" xr:uid="{48B4FE10-CCD3-4205-B7CC-205641161CE4}"/>
    <cellStyle name="Normal 11 2 2 2 4 4 2 3 3" xfId="27692" xr:uid="{24DCE425-3875-4EA1-875C-491E1D5CED6D}"/>
    <cellStyle name="Normal 11 2 2 2 4 4 2 3 3 2" xfId="27693" xr:uid="{133082C7-6203-457C-8DE2-676F0A76C6D7}"/>
    <cellStyle name="Normal 11 2 2 2 4 4 2 3 4" xfId="27694" xr:uid="{B1A30765-299D-4DC4-9BC1-5631DDF22336}"/>
    <cellStyle name="Normal 11 2 2 2 4 4 2 4" xfId="27695" xr:uid="{5D9DE88C-88E0-4254-9484-E5566957DAD0}"/>
    <cellStyle name="Normal 11 2 2 2 4 4 2 4 2" xfId="27696" xr:uid="{92A2770F-A846-4FED-A0C3-AC5B6CBE64E7}"/>
    <cellStyle name="Normal 11 2 2 2 4 4 2 4 2 2" xfId="27697" xr:uid="{95E1C596-7F1F-421A-A71F-F51049ECFA22}"/>
    <cellStyle name="Normal 11 2 2 2 4 4 2 4 3" xfId="27698" xr:uid="{128E4A53-AE7D-489C-A433-6766A87FC546}"/>
    <cellStyle name="Normal 11 2 2 2 4 4 2 5" xfId="27699" xr:uid="{A846E16C-42EC-4476-AD3F-73CC681A3758}"/>
    <cellStyle name="Normal 11 2 2 2 4 4 2 5 2" xfId="27700" xr:uid="{B37A071F-DE14-4E55-A682-78502A92FFFF}"/>
    <cellStyle name="Normal 11 2 2 2 4 4 2 6" xfId="27701" xr:uid="{94F9D39D-67D0-434B-ADA2-016307F94256}"/>
    <cellStyle name="Normal 11 2 2 2 4 4 3" xfId="27702" xr:uid="{C0A12163-8900-4B5B-8D70-B23CEE4A572F}"/>
    <cellStyle name="Normal 11 2 2 2 4 4 3 2" xfId="27703" xr:uid="{4B1F11C5-4027-4E42-BC9A-DEECD252EBC6}"/>
    <cellStyle name="Normal 11 2 2 2 4 4 3 2 2" xfId="27704" xr:uid="{9E8B273C-3A0A-4CE5-BE83-C3EFB4D2311C}"/>
    <cellStyle name="Normal 11 2 2 2 4 4 3 2 2 2" xfId="27705" xr:uid="{8F7E91B0-F6A6-45A7-8D70-CEAC42E3B5EA}"/>
    <cellStyle name="Normal 11 2 2 2 4 4 3 2 2 2 2" xfId="27706" xr:uid="{E8B1136C-D81A-4609-A9EB-CA3C58846380}"/>
    <cellStyle name="Normal 11 2 2 2 4 4 3 2 2 3" xfId="27707" xr:uid="{F86AC1B7-2F73-49C5-A20C-EEBDE72234BA}"/>
    <cellStyle name="Normal 11 2 2 2 4 4 3 2 3" xfId="27708" xr:uid="{28132F27-0236-4030-BDBE-0BAE59024B49}"/>
    <cellStyle name="Normal 11 2 2 2 4 4 3 2 3 2" xfId="27709" xr:uid="{7C475969-6988-4A11-8A25-D09E0A2505D2}"/>
    <cellStyle name="Normal 11 2 2 2 4 4 3 2 4" xfId="27710" xr:uid="{11595F0B-73B5-49A2-B476-E01A4E3576C5}"/>
    <cellStyle name="Normal 11 2 2 2 4 4 3 3" xfId="27711" xr:uid="{1AC4D35D-ABD5-4F6D-B974-84D654622F71}"/>
    <cellStyle name="Normal 11 2 2 2 4 4 3 3 2" xfId="27712" xr:uid="{DCE7AA4C-0C83-4E69-B15B-54C9F958F820}"/>
    <cellStyle name="Normal 11 2 2 2 4 4 3 3 2 2" xfId="27713" xr:uid="{7B75FF9B-74CA-40A5-A2BA-0D4049001BC4}"/>
    <cellStyle name="Normal 11 2 2 2 4 4 3 3 3" xfId="27714" xr:uid="{CB3D5A12-13D0-4D25-98CA-2425F40DF6B1}"/>
    <cellStyle name="Normal 11 2 2 2 4 4 3 4" xfId="27715" xr:uid="{67C6C8E2-EDAA-40B1-8387-5656B615F4CA}"/>
    <cellStyle name="Normal 11 2 2 2 4 4 3 4 2" xfId="27716" xr:uid="{8A26C0C0-3F92-4752-A3A7-FA5FE1D8149B}"/>
    <cellStyle name="Normal 11 2 2 2 4 4 3 5" xfId="27717" xr:uid="{0543A271-EA6F-4910-B2BB-F8DD8B72B1D6}"/>
    <cellStyle name="Normal 11 2 2 2 4 4 4" xfId="27718" xr:uid="{A0E0A0A6-4893-4D35-A279-980A536D9560}"/>
    <cellStyle name="Normal 11 2 2 2 4 4 4 2" xfId="27719" xr:uid="{E400298D-3717-4351-8B17-3884358582F3}"/>
    <cellStyle name="Normal 11 2 2 2 4 4 4 2 2" xfId="27720" xr:uid="{7574E14E-67A0-4CAF-A8E2-C44A4AB898F3}"/>
    <cellStyle name="Normal 11 2 2 2 4 4 4 2 2 2" xfId="27721" xr:uid="{A5A9CF74-44A8-4DE2-BD96-C27C7BAF6D9E}"/>
    <cellStyle name="Normal 11 2 2 2 4 4 4 2 3" xfId="27722" xr:uid="{94A69C79-7D10-4D79-9EF8-36546EF0B4F9}"/>
    <cellStyle name="Normal 11 2 2 2 4 4 4 3" xfId="27723" xr:uid="{28439373-D765-4762-8B1D-A7053D896E8E}"/>
    <cellStyle name="Normal 11 2 2 2 4 4 4 3 2" xfId="27724" xr:uid="{C8C701C9-3953-4444-943B-80AAFDB90CF8}"/>
    <cellStyle name="Normal 11 2 2 2 4 4 4 4" xfId="27725" xr:uid="{7CB547E5-6161-47FC-8B01-33E3B358B1AB}"/>
    <cellStyle name="Normal 11 2 2 2 4 4 5" xfId="27726" xr:uid="{4976A577-5A4D-4A1F-9E9F-44841838807F}"/>
    <cellStyle name="Normal 11 2 2 2 4 4 5 2" xfId="27727" xr:uid="{69BE6585-86AA-4223-8300-10D7936BF381}"/>
    <cellStyle name="Normal 11 2 2 2 4 4 5 2 2" xfId="27728" xr:uid="{FDEEBC6C-B7EA-4E91-B6BC-39FB24FF8DB4}"/>
    <cellStyle name="Normal 11 2 2 2 4 4 5 3" xfId="27729" xr:uid="{D41F44D0-3937-435F-BAA6-5F849A329A1B}"/>
    <cellStyle name="Normal 11 2 2 2 4 4 6" xfId="27730" xr:uid="{FDCB12B4-3741-4ED1-AAA9-55965854F1F3}"/>
    <cellStyle name="Normal 11 2 2 2 4 4 6 2" xfId="27731" xr:uid="{8A67CE16-ACDB-4C5D-9754-408E72F5C4A7}"/>
    <cellStyle name="Normal 11 2 2 2 4 4 7" xfId="27732" xr:uid="{ED44BA8F-EE24-4309-9EAA-BC38E8EA3F70}"/>
    <cellStyle name="Normal 11 2 2 2 4 5" xfId="27733" xr:uid="{C468C4EC-F4FE-428A-8594-413FD9B92E54}"/>
    <cellStyle name="Normal 11 2 2 2 4 5 2" xfId="27734" xr:uid="{BE9DA707-03EB-4692-839D-A1396E591D47}"/>
    <cellStyle name="Normal 11 2 2 2 4 5 2 2" xfId="27735" xr:uid="{611441B3-692A-4269-8272-A20D9732690C}"/>
    <cellStyle name="Normal 11 2 2 2 4 5 2 2 2" xfId="27736" xr:uid="{1C0F5344-DE45-4855-8F73-93024A5E49C0}"/>
    <cellStyle name="Normal 11 2 2 2 4 5 2 2 2 2" xfId="27737" xr:uid="{BF07A0EF-AAE1-40FC-950E-FAC702CA1D88}"/>
    <cellStyle name="Normal 11 2 2 2 4 5 2 2 2 2 2" xfId="27738" xr:uid="{7E219451-50F0-454E-BB5A-CB1A49290AAD}"/>
    <cellStyle name="Normal 11 2 2 2 4 5 2 2 2 3" xfId="27739" xr:uid="{EB988141-3AA2-40AD-924B-9250152D3484}"/>
    <cellStyle name="Normal 11 2 2 2 4 5 2 2 3" xfId="27740" xr:uid="{4E69CC7B-D088-412E-A83F-6D8B65BC7411}"/>
    <cellStyle name="Normal 11 2 2 2 4 5 2 2 3 2" xfId="27741" xr:uid="{A679A73F-D4D2-4420-9190-C3152BBE6621}"/>
    <cellStyle name="Normal 11 2 2 2 4 5 2 2 4" xfId="27742" xr:uid="{5EB5D49D-9384-439F-A83E-FD94F19E00A4}"/>
    <cellStyle name="Normal 11 2 2 2 4 5 2 3" xfId="27743" xr:uid="{E12CFED0-8ACA-40F1-94AE-3FD0FA8E94C9}"/>
    <cellStyle name="Normal 11 2 2 2 4 5 2 3 2" xfId="27744" xr:uid="{BECFA607-C657-43BF-959A-8FC37E064A6D}"/>
    <cellStyle name="Normal 11 2 2 2 4 5 2 3 2 2" xfId="27745" xr:uid="{4DA3AB79-8C9E-4807-B59E-B51520F6D1AD}"/>
    <cellStyle name="Normal 11 2 2 2 4 5 2 3 3" xfId="27746" xr:uid="{9A4CD1E7-9A4A-4D25-A835-A3910CB0B361}"/>
    <cellStyle name="Normal 11 2 2 2 4 5 2 4" xfId="27747" xr:uid="{98D47067-829B-4DF6-81EB-95BF88E5B882}"/>
    <cellStyle name="Normal 11 2 2 2 4 5 2 4 2" xfId="27748" xr:uid="{5B981C8D-9986-4628-8B94-EB693E275F10}"/>
    <cellStyle name="Normal 11 2 2 2 4 5 2 5" xfId="27749" xr:uid="{4E692B05-932A-4C02-96C2-09549D992110}"/>
    <cellStyle name="Normal 11 2 2 2 4 5 3" xfId="27750" xr:uid="{41B8F5D2-BAA3-4924-ADDF-44C38EC9B474}"/>
    <cellStyle name="Normal 11 2 2 2 4 5 3 2" xfId="27751" xr:uid="{98E0593A-6E72-4DFD-8BF6-A9DD98C3931A}"/>
    <cellStyle name="Normal 11 2 2 2 4 5 3 2 2" xfId="27752" xr:uid="{7F5F297F-F08A-4229-82A5-CF9FAD10FC00}"/>
    <cellStyle name="Normal 11 2 2 2 4 5 3 2 2 2" xfId="27753" xr:uid="{5CADB9C4-CA4E-4DF0-9636-8FD39DED351A}"/>
    <cellStyle name="Normal 11 2 2 2 4 5 3 2 3" xfId="27754" xr:uid="{85AEB51F-B5CF-49A0-A3AA-B32DC8823F5C}"/>
    <cellStyle name="Normal 11 2 2 2 4 5 3 3" xfId="27755" xr:uid="{08424A0F-B993-4117-ACCE-EA0206B04F84}"/>
    <cellStyle name="Normal 11 2 2 2 4 5 3 3 2" xfId="27756" xr:uid="{28430A62-63FE-4494-B9FA-B49B87F1175E}"/>
    <cellStyle name="Normal 11 2 2 2 4 5 3 4" xfId="27757" xr:uid="{ADA4700E-CCCB-41A5-9E95-56BAC7FF257B}"/>
    <cellStyle name="Normal 11 2 2 2 4 5 4" xfId="27758" xr:uid="{C746525B-38F5-42FC-AC64-F29231213D00}"/>
    <cellStyle name="Normal 11 2 2 2 4 5 4 2" xfId="27759" xr:uid="{328825D2-EC95-4064-8436-32AE8635404D}"/>
    <cellStyle name="Normal 11 2 2 2 4 5 4 2 2" xfId="27760" xr:uid="{2E9897CB-6E99-4991-B247-EC866DD8A4E7}"/>
    <cellStyle name="Normal 11 2 2 2 4 5 4 3" xfId="27761" xr:uid="{D3B7B861-1035-4AA1-AD05-85F257D59D22}"/>
    <cellStyle name="Normal 11 2 2 2 4 5 5" xfId="27762" xr:uid="{A4EF2A99-0031-4893-B68A-6FB2581977CA}"/>
    <cellStyle name="Normal 11 2 2 2 4 5 5 2" xfId="27763" xr:uid="{B46C6504-CA67-4822-8152-4D4028352ECB}"/>
    <cellStyle name="Normal 11 2 2 2 4 5 6" xfId="27764" xr:uid="{EF4432B6-EC90-48B4-8585-6C7CE68AF617}"/>
    <cellStyle name="Normal 11 2 2 2 4 6" xfId="27765" xr:uid="{41847CA7-B92D-4A90-811C-6C19D3F56F03}"/>
    <cellStyle name="Normal 11 2 2 2 4 6 2" xfId="27766" xr:uid="{C35E5926-CACB-4F1A-9B31-4D4959B088B1}"/>
    <cellStyle name="Normal 11 2 2 2 4 6 2 2" xfId="27767" xr:uid="{655D56E2-CF08-474E-A9EF-68E508C3EFBF}"/>
    <cellStyle name="Normal 11 2 2 2 4 6 2 2 2" xfId="27768" xr:uid="{BC871C79-9AC4-4D9E-BE72-AF2F69B43D16}"/>
    <cellStyle name="Normal 11 2 2 2 4 6 2 2 2 2" xfId="27769" xr:uid="{E760DDE2-09D1-4557-BA13-F9638BB314C2}"/>
    <cellStyle name="Normal 11 2 2 2 4 6 2 2 3" xfId="27770" xr:uid="{CFBF7250-9409-487E-B371-C6ADFCF3D3F1}"/>
    <cellStyle name="Normal 11 2 2 2 4 6 2 3" xfId="27771" xr:uid="{D01DDEBC-471F-4984-BE48-4D06AA739680}"/>
    <cellStyle name="Normal 11 2 2 2 4 6 2 3 2" xfId="27772" xr:uid="{DB19DA37-66D4-4B20-B5B3-76133C7BBC05}"/>
    <cellStyle name="Normal 11 2 2 2 4 6 2 4" xfId="27773" xr:uid="{D6F8EDB8-AD0B-4C14-8150-37C1731A856C}"/>
    <cellStyle name="Normal 11 2 2 2 4 6 3" xfId="27774" xr:uid="{DE0B053C-822C-46BD-A916-190CDC4A2916}"/>
    <cellStyle name="Normal 11 2 2 2 4 6 3 2" xfId="27775" xr:uid="{2C9F00C7-FC3A-4528-A9EC-36D406C76E97}"/>
    <cellStyle name="Normal 11 2 2 2 4 6 3 2 2" xfId="27776" xr:uid="{33F774F9-51EC-41A1-AA98-40CD4C53A483}"/>
    <cellStyle name="Normal 11 2 2 2 4 6 3 3" xfId="27777" xr:uid="{147A707C-88AE-4FA2-BADC-AC2CD5EE894F}"/>
    <cellStyle name="Normal 11 2 2 2 4 6 4" xfId="27778" xr:uid="{CE2539DD-A077-4C08-A98B-D6921763D94B}"/>
    <cellStyle name="Normal 11 2 2 2 4 6 4 2" xfId="27779" xr:uid="{7CC41312-57F2-4C2B-8C04-88652A36B965}"/>
    <cellStyle name="Normal 11 2 2 2 4 6 5" xfId="27780" xr:uid="{A8C274C1-EBD2-45CA-B190-F06930A575F4}"/>
    <cellStyle name="Normal 11 2 2 2 4 7" xfId="27781" xr:uid="{C014D304-5CB6-40C4-87B6-A0767B469119}"/>
    <cellStyle name="Normal 11 2 2 2 4 7 2" xfId="27782" xr:uid="{85843594-8AF6-43F9-A2E1-BE90773023E8}"/>
    <cellStyle name="Normal 11 2 2 2 4 7 2 2" xfId="27783" xr:uid="{16C2919D-D24B-4123-853F-84F42AF26FA5}"/>
    <cellStyle name="Normal 11 2 2 2 4 7 2 2 2" xfId="27784" xr:uid="{08FF0299-06D5-426F-9498-7EADF7B3BA5A}"/>
    <cellStyle name="Normal 11 2 2 2 4 7 2 3" xfId="27785" xr:uid="{A27F8ABE-62B3-4AE9-9356-762119752F85}"/>
    <cellStyle name="Normal 11 2 2 2 4 7 3" xfId="27786" xr:uid="{5C6F0EC8-934F-472F-83BC-6CC3104A2E73}"/>
    <cellStyle name="Normal 11 2 2 2 4 7 3 2" xfId="27787" xr:uid="{A7EC59BD-DA7E-4C3D-AA3F-2212DAB1EAEF}"/>
    <cellStyle name="Normal 11 2 2 2 4 7 4" xfId="27788" xr:uid="{7ED5452B-BA04-47BE-A93E-60018BDF62CD}"/>
    <cellStyle name="Normal 11 2 2 2 4 8" xfId="27789" xr:uid="{89249C31-999D-4A9E-9E0C-D481F4BBC55D}"/>
    <cellStyle name="Normal 11 2 2 2 4 8 2" xfId="27790" xr:uid="{2CE65348-14C3-43D8-9D6B-08731896222F}"/>
    <cellStyle name="Normal 11 2 2 2 4 8 2 2" xfId="27791" xr:uid="{99AAF5AE-9AAD-45A6-996D-32444A51DB1A}"/>
    <cellStyle name="Normal 11 2 2 2 4 8 3" xfId="27792" xr:uid="{6EF48B16-3543-44B5-9D28-9F9FAD2AF130}"/>
    <cellStyle name="Normal 11 2 2 2 4 9" xfId="27793" xr:uid="{FD5B9230-3891-4F27-BAD4-93C3DACBA80F}"/>
    <cellStyle name="Normal 11 2 2 2 4 9 2" xfId="27794" xr:uid="{50FC994A-7A3D-4994-A508-6E21CDB5A6BE}"/>
    <cellStyle name="Normal 11 2 2 2 5" xfId="280" xr:uid="{777475F8-ED3F-4A9F-9256-9EEF84BFA539}"/>
    <cellStyle name="Normal 11 2 2 2 5 10" xfId="27795" xr:uid="{9533C53B-53F8-4EAE-B8FE-D729D33D27B8}"/>
    <cellStyle name="Normal 11 2 2 2 5 11" xfId="578" xr:uid="{9DDCBD07-D361-4AF2-9E23-F82DD5AC80F1}"/>
    <cellStyle name="Normal 11 2 2 2 5 2" xfId="355" xr:uid="{F2348366-7845-4481-B72D-D2796FCAB9FD}"/>
    <cellStyle name="Normal 11 2 2 2 5 2 10" xfId="27796" xr:uid="{298817B3-F726-4B13-9A6A-2E0EC168C005}"/>
    <cellStyle name="Normal 11 2 2 2 5 2 2" xfId="27797" xr:uid="{95E95671-350A-4C6A-ACF3-5A10DEDEFBAF}"/>
    <cellStyle name="Normal 11 2 2 2 5 2 2 2" xfId="27798" xr:uid="{442D8C2D-DD04-4A87-B151-40BA0180718D}"/>
    <cellStyle name="Normal 11 2 2 2 5 2 2 2 2" xfId="27799" xr:uid="{3E103CC4-996D-4EDF-9F44-1FF1A3EFEA24}"/>
    <cellStyle name="Normal 11 2 2 2 5 2 2 2 2 2" xfId="27800" xr:uid="{DA2B63C2-FE10-4F53-96B7-4F5E41984AAC}"/>
    <cellStyle name="Normal 11 2 2 2 5 2 2 2 2 2 2" xfId="27801" xr:uid="{445AAA61-2D64-42CC-A496-075801335B98}"/>
    <cellStyle name="Normal 11 2 2 2 5 2 2 2 2 2 2 2" xfId="27802" xr:uid="{CF27F7E1-9210-45C9-8617-AF10A9C8AA90}"/>
    <cellStyle name="Normal 11 2 2 2 5 2 2 2 2 2 2 2 2" xfId="27803" xr:uid="{8409186C-43BB-4E63-94AC-6D9DB38DC7E3}"/>
    <cellStyle name="Normal 11 2 2 2 5 2 2 2 2 2 2 2 2 2" xfId="27804" xr:uid="{F26EC5CE-C1EC-4518-903B-3DEA97E8DE67}"/>
    <cellStyle name="Normal 11 2 2 2 5 2 2 2 2 2 2 2 3" xfId="27805" xr:uid="{F7AE892A-780A-4DAD-A4A9-AEF312A438E5}"/>
    <cellStyle name="Normal 11 2 2 2 5 2 2 2 2 2 2 3" xfId="27806" xr:uid="{534AB82C-0BBF-424D-8386-572179D9D1DE}"/>
    <cellStyle name="Normal 11 2 2 2 5 2 2 2 2 2 2 3 2" xfId="27807" xr:uid="{FE1E3D74-9FA2-4547-87F9-119A89CEB3D7}"/>
    <cellStyle name="Normal 11 2 2 2 5 2 2 2 2 2 2 4" xfId="27808" xr:uid="{0029ED80-B0BE-48DE-B8EB-A0868736C4FE}"/>
    <cellStyle name="Normal 11 2 2 2 5 2 2 2 2 2 3" xfId="27809" xr:uid="{E93D9226-6D3A-4F86-8C59-4472342EA777}"/>
    <cellStyle name="Normal 11 2 2 2 5 2 2 2 2 2 3 2" xfId="27810" xr:uid="{5D04AB54-F7C8-42FE-B9D5-5DB56729FC52}"/>
    <cellStyle name="Normal 11 2 2 2 5 2 2 2 2 2 3 2 2" xfId="27811" xr:uid="{BDF818E5-E501-4743-A72D-E3FDDEC6074D}"/>
    <cellStyle name="Normal 11 2 2 2 5 2 2 2 2 2 3 3" xfId="27812" xr:uid="{9ABDE04A-D03E-41F7-A8FF-7327DF5CBDE8}"/>
    <cellStyle name="Normal 11 2 2 2 5 2 2 2 2 2 4" xfId="27813" xr:uid="{A720E77A-4BFA-4E6B-92A0-A0E12442422E}"/>
    <cellStyle name="Normal 11 2 2 2 5 2 2 2 2 2 4 2" xfId="27814" xr:uid="{BF0222FC-7164-466D-8645-409D776F8D4C}"/>
    <cellStyle name="Normal 11 2 2 2 5 2 2 2 2 2 5" xfId="27815" xr:uid="{385FADFC-491B-4E1A-A662-49EFFE36B9FB}"/>
    <cellStyle name="Normal 11 2 2 2 5 2 2 2 2 3" xfId="27816" xr:uid="{7EA29D99-0340-44DB-BC35-DB26F99459D5}"/>
    <cellStyle name="Normal 11 2 2 2 5 2 2 2 2 3 2" xfId="27817" xr:uid="{17804A21-259C-4733-AA11-896CB3EFB5AB}"/>
    <cellStyle name="Normal 11 2 2 2 5 2 2 2 2 3 2 2" xfId="27818" xr:uid="{95C3F026-4DB7-4F35-A7F9-A45FDFC22136}"/>
    <cellStyle name="Normal 11 2 2 2 5 2 2 2 2 3 2 2 2" xfId="27819" xr:uid="{C17A6230-263E-4966-8FB4-D84BEE92C87C}"/>
    <cellStyle name="Normal 11 2 2 2 5 2 2 2 2 3 2 3" xfId="27820" xr:uid="{29AA1665-8CB7-4A4F-8390-A97D1E0BE3BA}"/>
    <cellStyle name="Normal 11 2 2 2 5 2 2 2 2 3 3" xfId="27821" xr:uid="{CA76ACE3-861E-4EDC-8EA0-7338AABFE8C5}"/>
    <cellStyle name="Normal 11 2 2 2 5 2 2 2 2 3 3 2" xfId="27822" xr:uid="{10B5D3FC-1714-44D9-B155-13240FC81657}"/>
    <cellStyle name="Normal 11 2 2 2 5 2 2 2 2 3 4" xfId="27823" xr:uid="{6EB1E616-D69B-4A38-BF6B-829C974923F6}"/>
    <cellStyle name="Normal 11 2 2 2 5 2 2 2 2 4" xfId="27824" xr:uid="{F87E2FF8-0AAB-4BA9-9AD8-8CCDA6D7DE37}"/>
    <cellStyle name="Normal 11 2 2 2 5 2 2 2 2 4 2" xfId="27825" xr:uid="{E767634F-23B0-4DF9-8A92-817D3AADB5A8}"/>
    <cellStyle name="Normal 11 2 2 2 5 2 2 2 2 4 2 2" xfId="27826" xr:uid="{CC08FC04-83A9-420C-9E80-00343EDDDDB8}"/>
    <cellStyle name="Normal 11 2 2 2 5 2 2 2 2 4 3" xfId="27827" xr:uid="{4042AEE9-269D-495A-A172-DEDA83637F83}"/>
    <cellStyle name="Normal 11 2 2 2 5 2 2 2 2 5" xfId="27828" xr:uid="{CCF1ED47-3063-4A87-A988-F070BF31816A}"/>
    <cellStyle name="Normal 11 2 2 2 5 2 2 2 2 5 2" xfId="27829" xr:uid="{53E6D022-AED5-4730-974B-0F3C473485F1}"/>
    <cellStyle name="Normal 11 2 2 2 5 2 2 2 2 6" xfId="27830" xr:uid="{3F7853D9-0D73-4060-A401-8F2512E133DD}"/>
    <cellStyle name="Normal 11 2 2 2 5 2 2 2 3" xfId="27831" xr:uid="{92E96380-ADEC-4440-BB11-3A90A9863D2C}"/>
    <cellStyle name="Normal 11 2 2 2 5 2 2 2 3 2" xfId="27832" xr:uid="{67493944-4ED8-4D48-8457-D0150B091511}"/>
    <cellStyle name="Normal 11 2 2 2 5 2 2 2 3 2 2" xfId="27833" xr:uid="{8E678C94-9033-407D-A292-026F390159E3}"/>
    <cellStyle name="Normal 11 2 2 2 5 2 2 2 3 2 2 2" xfId="27834" xr:uid="{DFD3EB99-8669-4D0C-8D4E-1CBC1940285E}"/>
    <cellStyle name="Normal 11 2 2 2 5 2 2 2 3 2 2 2 2" xfId="27835" xr:uid="{088A99E9-480F-402B-A0C8-5A90F6182325}"/>
    <cellStyle name="Normal 11 2 2 2 5 2 2 2 3 2 2 3" xfId="27836" xr:uid="{2D587B62-0BD9-424A-BD36-87DF5F7D187C}"/>
    <cellStyle name="Normal 11 2 2 2 5 2 2 2 3 2 3" xfId="27837" xr:uid="{4099D680-B280-4072-9CA0-D4965A25959F}"/>
    <cellStyle name="Normal 11 2 2 2 5 2 2 2 3 2 3 2" xfId="27838" xr:uid="{98D01E6B-5A32-4D3B-8415-B337F444FF77}"/>
    <cellStyle name="Normal 11 2 2 2 5 2 2 2 3 2 4" xfId="27839" xr:uid="{321C48E2-F584-4409-948C-355ABB5735E0}"/>
    <cellStyle name="Normal 11 2 2 2 5 2 2 2 3 3" xfId="27840" xr:uid="{9AA235AC-E29F-4354-AA39-E366E3A7BB06}"/>
    <cellStyle name="Normal 11 2 2 2 5 2 2 2 3 3 2" xfId="27841" xr:uid="{B3B45844-910B-435E-A3DD-2E48B0F0908E}"/>
    <cellStyle name="Normal 11 2 2 2 5 2 2 2 3 3 2 2" xfId="27842" xr:uid="{CCDCF2B5-CC31-4EEC-AAD9-1FF0698CFF35}"/>
    <cellStyle name="Normal 11 2 2 2 5 2 2 2 3 3 3" xfId="27843" xr:uid="{E462CAD9-28F5-49D7-92AB-1BF6B4548307}"/>
    <cellStyle name="Normal 11 2 2 2 5 2 2 2 3 4" xfId="27844" xr:uid="{120BF063-3046-47B0-9049-354EE02DEC88}"/>
    <cellStyle name="Normal 11 2 2 2 5 2 2 2 3 4 2" xfId="27845" xr:uid="{0A8870CD-D0BA-40ED-A129-D9F10AD5A8B7}"/>
    <cellStyle name="Normal 11 2 2 2 5 2 2 2 3 5" xfId="27846" xr:uid="{3D77074B-A016-487A-BB22-474C0D6A2F82}"/>
    <cellStyle name="Normal 11 2 2 2 5 2 2 2 4" xfId="27847" xr:uid="{0EC4C301-0C01-443E-90CF-8E1FF0118077}"/>
    <cellStyle name="Normal 11 2 2 2 5 2 2 2 4 2" xfId="27848" xr:uid="{5A20B6FB-85A8-4996-A7CE-6A4920772300}"/>
    <cellStyle name="Normal 11 2 2 2 5 2 2 2 4 2 2" xfId="27849" xr:uid="{4E356AEE-9064-40CF-AF70-28D6CFE912DD}"/>
    <cellStyle name="Normal 11 2 2 2 5 2 2 2 4 2 2 2" xfId="27850" xr:uid="{2F058811-6B4C-4BA7-B5A5-55BDD8EE547C}"/>
    <cellStyle name="Normal 11 2 2 2 5 2 2 2 4 2 3" xfId="27851" xr:uid="{8E7A1FEB-0A95-43CA-B6D9-79CCE07D9747}"/>
    <cellStyle name="Normal 11 2 2 2 5 2 2 2 4 3" xfId="27852" xr:uid="{CCE621FB-3B64-47CB-99B3-E2D19E76DBD1}"/>
    <cellStyle name="Normal 11 2 2 2 5 2 2 2 4 3 2" xfId="27853" xr:uid="{5C85E407-4DB8-4A2C-A6A6-69C3C2E64A20}"/>
    <cellStyle name="Normal 11 2 2 2 5 2 2 2 4 4" xfId="27854" xr:uid="{17454BD5-D0C4-4FAC-B94D-69A2BE266F11}"/>
    <cellStyle name="Normal 11 2 2 2 5 2 2 2 5" xfId="27855" xr:uid="{F693DF28-B033-4266-AF43-9387C5993638}"/>
    <cellStyle name="Normal 11 2 2 2 5 2 2 2 5 2" xfId="27856" xr:uid="{DED9DA5A-140A-422C-BD93-0E0BEB1DB3AD}"/>
    <cellStyle name="Normal 11 2 2 2 5 2 2 2 5 2 2" xfId="27857" xr:uid="{8A322923-D83D-493D-BE55-7394D7990CD9}"/>
    <cellStyle name="Normal 11 2 2 2 5 2 2 2 5 3" xfId="27858" xr:uid="{88EC9579-0409-4F41-8F76-929325C35369}"/>
    <cellStyle name="Normal 11 2 2 2 5 2 2 2 6" xfId="27859" xr:uid="{6836CE53-686A-4F35-9D05-741A48031206}"/>
    <cellStyle name="Normal 11 2 2 2 5 2 2 2 6 2" xfId="27860" xr:uid="{103F1669-E4FA-429A-A45E-11F28D8A601D}"/>
    <cellStyle name="Normal 11 2 2 2 5 2 2 2 7" xfId="27861" xr:uid="{27866712-1B5F-4B7F-89CC-A6BA84C1CF84}"/>
    <cellStyle name="Normal 11 2 2 2 5 2 2 3" xfId="27862" xr:uid="{FBC84FA7-80D5-4CA9-880C-DA03B259055F}"/>
    <cellStyle name="Normal 11 2 2 2 5 2 2 3 2" xfId="27863" xr:uid="{06229A2E-F3F5-4B54-9272-7707B6D25896}"/>
    <cellStyle name="Normal 11 2 2 2 5 2 2 3 2 2" xfId="27864" xr:uid="{5086BE47-0419-4946-8886-3DABA1541109}"/>
    <cellStyle name="Normal 11 2 2 2 5 2 2 3 2 2 2" xfId="27865" xr:uid="{E14B6910-D824-4E92-8FCE-A182B2917F5C}"/>
    <cellStyle name="Normal 11 2 2 2 5 2 2 3 2 2 2 2" xfId="27866" xr:uid="{6436C1A7-1D91-4F9E-A24B-98BF8D473A4B}"/>
    <cellStyle name="Normal 11 2 2 2 5 2 2 3 2 2 2 2 2" xfId="27867" xr:uid="{6ACE6D3A-7544-4062-923E-61033132A889}"/>
    <cellStyle name="Normal 11 2 2 2 5 2 2 3 2 2 2 3" xfId="27868" xr:uid="{02908CC3-344C-4C65-B463-6249014F1961}"/>
    <cellStyle name="Normal 11 2 2 2 5 2 2 3 2 2 3" xfId="27869" xr:uid="{6EA5981C-5B7B-4113-AAC7-EE39A8327518}"/>
    <cellStyle name="Normal 11 2 2 2 5 2 2 3 2 2 3 2" xfId="27870" xr:uid="{EA63677A-1A72-498B-91CA-D2F6DE6416E8}"/>
    <cellStyle name="Normal 11 2 2 2 5 2 2 3 2 2 4" xfId="27871" xr:uid="{5629896D-1FF0-47CC-83B7-F1D2FA054130}"/>
    <cellStyle name="Normal 11 2 2 2 5 2 2 3 2 3" xfId="27872" xr:uid="{66579324-E89A-4EA0-B5F2-CE41F3118355}"/>
    <cellStyle name="Normal 11 2 2 2 5 2 2 3 2 3 2" xfId="27873" xr:uid="{FF7A18C0-326A-4862-A69E-8E43FE02DD98}"/>
    <cellStyle name="Normal 11 2 2 2 5 2 2 3 2 3 2 2" xfId="27874" xr:uid="{893D243D-D764-4ECF-A47F-B4AA5C999910}"/>
    <cellStyle name="Normal 11 2 2 2 5 2 2 3 2 3 3" xfId="27875" xr:uid="{DC1335F9-F321-403F-B3B7-A57963B0F4D1}"/>
    <cellStyle name="Normal 11 2 2 2 5 2 2 3 2 4" xfId="27876" xr:uid="{3A3FC8C5-E5BF-4B5C-8AFA-14D3AD3AAD74}"/>
    <cellStyle name="Normal 11 2 2 2 5 2 2 3 2 4 2" xfId="27877" xr:uid="{D66785CC-AFF9-4254-9BFD-109F49C6C1C7}"/>
    <cellStyle name="Normal 11 2 2 2 5 2 2 3 2 5" xfId="27878" xr:uid="{59A1959A-3F37-4466-BAEA-6E3846567989}"/>
    <cellStyle name="Normal 11 2 2 2 5 2 2 3 3" xfId="27879" xr:uid="{C5170BA9-7AF3-4873-B86D-21EE1BB8FDAD}"/>
    <cellStyle name="Normal 11 2 2 2 5 2 2 3 3 2" xfId="27880" xr:uid="{B5B0557E-3AF9-4BC4-AE3E-37C02D3EE3B6}"/>
    <cellStyle name="Normal 11 2 2 2 5 2 2 3 3 2 2" xfId="27881" xr:uid="{87C8714C-DC2B-4556-9397-A5321A1BE7BB}"/>
    <cellStyle name="Normal 11 2 2 2 5 2 2 3 3 2 2 2" xfId="27882" xr:uid="{E60B9C2F-7E43-4464-8845-40F47C54AC6B}"/>
    <cellStyle name="Normal 11 2 2 2 5 2 2 3 3 2 3" xfId="27883" xr:uid="{FB5297E9-DF02-4A7B-8B78-06786C3AD655}"/>
    <cellStyle name="Normal 11 2 2 2 5 2 2 3 3 3" xfId="27884" xr:uid="{5D959AC4-29C4-4E95-9D20-4EDB2A886047}"/>
    <cellStyle name="Normal 11 2 2 2 5 2 2 3 3 3 2" xfId="27885" xr:uid="{2E08EF13-550A-4DB1-B485-EE8A75CFCFD2}"/>
    <cellStyle name="Normal 11 2 2 2 5 2 2 3 3 4" xfId="27886" xr:uid="{EBAA0C9D-1A53-45E5-B602-9959682ADE1B}"/>
    <cellStyle name="Normal 11 2 2 2 5 2 2 3 4" xfId="27887" xr:uid="{523EBB26-66C2-4F22-8ECE-AAC62D30DD2F}"/>
    <cellStyle name="Normal 11 2 2 2 5 2 2 3 4 2" xfId="27888" xr:uid="{B69917F4-722D-47F8-B946-FDE84C81A358}"/>
    <cellStyle name="Normal 11 2 2 2 5 2 2 3 4 2 2" xfId="27889" xr:uid="{7E601913-27E2-421F-A200-F78C8857EC39}"/>
    <cellStyle name="Normal 11 2 2 2 5 2 2 3 4 3" xfId="27890" xr:uid="{3229D41B-E26B-458B-82A1-A4C821B1B9CD}"/>
    <cellStyle name="Normal 11 2 2 2 5 2 2 3 5" xfId="27891" xr:uid="{2025CB90-151D-45BD-AB0E-60C57FEAF798}"/>
    <cellStyle name="Normal 11 2 2 2 5 2 2 3 5 2" xfId="27892" xr:uid="{0DBA053D-57E0-4840-B231-3EA64A6C7B47}"/>
    <cellStyle name="Normal 11 2 2 2 5 2 2 3 6" xfId="27893" xr:uid="{80AB3127-3EE4-4E23-A6E5-EEB37F3F366D}"/>
    <cellStyle name="Normal 11 2 2 2 5 2 2 4" xfId="27894" xr:uid="{93D70ED7-E8F8-4108-9E05-04405E193869}"/>
    <cellStyle name="Normal 11 2 2 2 5 2 2 4 2" xfId="27895" xr:uid="{A10B53A0-213D-4CD3-8675-4A7D8787396D}"/>
    <cellStyle name="Normal 11 2 2 2 5 2 2 4 2 2" xfId="27896" xr:uid="{0A9631A4-CFC3-48F7-8401-722DBE31268D}"/>
    <cellStyle name="Normal 11 2 2 2 5 2 2 4 2 2 2" xfId="27897" xr:uid="{3C6EB934-8353-4B17-9EA9-12095636CB13}"/>
    <cellStyle name="Normal 11 2 2 2 5 2 2 4 2 2 2 2" xfId="27898" xr:uid="{91E61027-7A9C-4514-B269-34296A04673D}"/>
    <cellStyle name="Normal 11 2 2 2 5 2 2 4 2 2 3" xfId="27899" xr:uid="{D8C60905-F283-450F-881D-35E7389B00A5}"/>
    <cellStyle name="Normal 11 2 2 2 5 2 2 4 2 3" xfId="27900" xr:uid="{6060AB25-607B-4E20-8C0C-1F23910813C9}"/>
    <cellStyle name="Normal 11 2 2 2 5 2 2 4 2 3 2" xfId="27901" xr:uid="{2D47FAFF-2534-46BE-8DC0-EE91ED4F9C8A}"/>
    <cellStyle name="Normal 11 2 2 2 5 2 2 4 2 4" xfId="27902" xr:uid="{B8DA3901-982C-4670-A8E6-13882E42B82C}"/>
    <cellStyle name="Normal 11 2 2 2 5 2 2 4 3" xfId="27903" xr:uid="{5C2122AC-1D98-4288-BEDF-E9441784CE9C}"/>
    <cellStyle name="Normal 11 2 2 2 5 2 2 4 3 2" xfId="27904" xr:uid="{0809E9D7-9C99-4B0C-905C-0066DAA13CE2}"/>
    <cellStyle name="Normal 11 2 2 2 5 2 2 4 3 2 2" xfId="27905" xr:uid="{2A58757D-E508-42C5-A9DC-17E273292A0D}"/>
    <cellStyle name="Normal 11 2 2 2 5 2 2 4 3 3" xfId="27906" xr:uid="{F0E2B709-759C-4413-A772-E709A2BE810A}"/>
    <cellStyle name="Normal 11 2 2 2 5 2 2 4 4" xfId="27907" xr:uid="{44E84C3B-E3A8-4BF2-84F2-0D52DDAA2D73}"/>
    <cellStyle name="Normal 11 2 2 2 5 2 2 4 4 2" xfId="27908" xr:uid="{E76E3B54-D92E-47BC-802E-91FDE75D0F85}"/>
    <cellStyle name="Normal 11 2 2 2 5 2 2 4 5" xfId="27909" xr:uid="{5C9EA45F-98CC-4ED0-8F02-B0FBA2D6F591}"/>
    <cellStyle name="Normal 11 2 2 2 5 2 2 5" xfId="27910" xr:uid="{9CCAF347-BD94-4942-B28B-0D43C919B188}"/>
    <cellStyle name="Normal 11 2 2 2 5 2 2 5 2" xfId="27911" xr:uid="{55A4A876-E6D0-4E20-BDAC-E05D632E10BB}"/>
    <cellStyle name="Normal 11 2 2 2 5 2 2 5 2 2" xfId="27912" xr:uid="{4111FC78-1928-4BDD-A52B-E7CD2D70E20A}"/>
    <cellStyle name="Normal 11 2 2 2 5 2 2 5 2 2 2" xfId="27913" xr:uid="{EF919E2C-6460-4ABD-BCD4-27368FB50556}"/>
    <cellStyle name="Normal 11 2 2 2 5 2 2 5 2 3" xfId="27914" xr:uid="{B6C20F94-4241-4EE6-B767-E4A38B7BD686}"/>
    <cellStyle name="Normal 11 2 2 2 5 2 2 5 3" xfId="27915" xr:uid="{1017E79E-B976-49C9-985F-EEBE10E0D1DA}"/>
    <cellStyle name="Normal 11 2 2 2 5 2 2 5 3 2" xfId="27916" xr:uid="{7A0D76F5-5C71-4F68-A09F-80C0A286CD17}"/>
    <cellStyle name="Normal 11 2 2 2 5 2 2 5 4" xfId="27917" xr:uid="{85F881EC-1312-4A06-8AD7-5AFA659F66D2}"/>
    <cellStyle name="Normal 11 2 2 2 5 2 2 6" xfId="27918" xr:uid="{EA66FFCD-633E-4C10-8FFE-3DBB6529536F}"/>
    <cellStyle name="Normal 11 2 2 2 5 2 2 6 2" xfId="27919" xr:uid="{E31233B4-DF2C-4DED-B379-35AEE4C31C38}"/>
    <cellStyle name="Normal 11 2 2 2 5 2 2 6 2 2" xfId="27920" xr:uid="{D5F2CB76-C6FF-4CE5-B914-DF740ED911F6}"/>
    <cellStyle name="Normal 11 2 2 2 5 2 2 6 3" xfId="27921" xr:uid="{F7B43182-0D0D-4D93-8D22-E59A8322B530}"/>
    <cellStyle name="Normal 11 2 2 2 5 2 2 7" xfId="27922" xr:uid="{7856FBB4-E0AF-4E42-BEB9-5358C3EFFB6B}"/>
    <cellStyle name="Normal 11 2 2 2 5 2 2 7 2" xfId="27923" xr:uid="{69E7B97C-4814-4AFB-BDE2-01A0C0F8CBB3}"/>
    <cellStyle name="Normal 11 2 2 2 5 2 2 8" xfId="27924" xr:uid="{3A3DC684-ECFB-4AF5-B424-BFA6318B0943}"/>
    <cellStyle name="Normal 11 2 2 2 5 2 3" xfId="27925" xr:uid="{314FB3F1-A4CC-4CDE-9211-D78F55B088A9}"/>
    <cellStyle name="Normal 11 2 2 2 5 2 3 2" xfId="27926" xr:uid="{0F480EF4-9344-4B7F-A04B-F39ECB8E7226}"/>
    <cellStyle name="Normal 11 2 2 2 5 2 3 2 2" xfId="27927" xr:uid="{3139E986-6221-45B5-BC67-7B0E709E5A01}"/>
    <cellStyle name="Normal 11 2 2 2 5 2 3 2 2 2" xfId="27928" xr:uid="{278BBAAB-BCD2-4C02-8DFB-CD5EF7A4B6C1}"/>
    <cellStyle name="Normal 11 2 2 2 5 2 3 2 2 2 2" xfId="27929" xr:uid="{DDA64BFE-322A-495A-8965-37664B5BD5A7}"/>
    <cellStyle name="Normal 11 2 2 2 5 2 3 2 2 2 2 2" xfId="27930" xr:uid="{6CBABD96-BFE0-46F3-8C95-8E7D6C2FBCC1}"/>
    <cellStyle name="Normal 11 2 2 2 5 2 3 2 2 2 2 2 2" xfId="27931" xr:uid="{9018B752-FD5D-4227-9C7D-572A0B68C0B7}"/>
    <cellStyle name="Normal 11 2 2 2 5 2 3 2 2 2 2 3" xfId="27932" xr:uid="{DE7BD94E-1D1E-4569-B013-05479F894D9E}"/>
    <cellStyle name="Normal 11 2 2 2 5 2 3 2 2 2 3" xfId="27933" xr:uid="{09D9FCD2-EFA9-481B-8BF5-E45448F6D198}"/>
    <cellStyle name="Normal 11 2 2 2 5 2 3 2 2 2 3 2" xfId="27934" xr:uid="{2D98FDB5-5F1B-4DA8-BD61-90DAB7D8E96D}"/>
    <cellStyle name="Normal 11 2 2 2 5 2 3 2 2 2 4" xfId="27935" xr:uid="{269A3E27-D311-4D18-9C05-7FA81A42AEE6}"/>
    <cellStyle name="Normal 11 2 2 2 5 2 3 2 2 3" xfId="27936" xr:uid="{8B55301F-79AB-449D-8155-A60681426D89}"/>
    <cellStyle name="Normal 11 2 2 2 5 2 3 2 2 3 2" xfId="27937" xr:uid="{CE915FD5-8A4E-4475-8869-C44A665A409E}"/>
    <cellStyle name="Normal 11 2 2 2 5 2 3 2 2 3 2 2" xfId="27938" xr:uid="{683F4AE9-57F0-4D2A-9F8C-27C51E10947B}"/>
    <cellStyle name="Normal 11 2 2 2 5 2 3 2 2 3 3" xfId="27939" xr:uid="{4F45BCEA-2C79-4345-9816-183986212BBA}"/>
    <cellStyle name="Normal 11 2 2 2 5 2 3 2 2 4" xfId="27940" xr:uid="{FB07CB4E-2469-4197-9F6C-7F32166631D6}"/>
    <cellStyle name="Normal 11 2 2 2 5 2 3 2 2 4 2" xfId="27941" xr:uid="{08382A9D-B8DA-4155-81D7-9A4C53C0C7E9}"/>
    <cellStyle name="Normal 11 2 2 2 5 2 3 2 2 5" xfId="27942" xr:uid="{74B72843-BB74-4B18-AA55-9B14026F1331}"/>
    <cellStyle name="Normal 11 2 2 2 5 2 3 2 3" xfId="27943" xr:uid="{6C531544-0725-4362-8B82-BFF3081299F9}"/>
    <cellStyle name="Normal 11 2 2 2 5 2 3 2 3 2" xfId="27944" xr:uid="{2EDD0715-652B-4775-BB06-2C6C3DE00165}"/>
    <cellStyle name="Normal 11 2 2 2 5 2 3 2 3 2 2" xfId="27945" xr:uid="{A08166E8-0C7A-4E68-B170-7A2E85277A9F}"/>
    <cellStyle name="Normal 11 2 2 2 5 2 3 2 3 2 2 2" xfId="27946" xr:uid="{D21A36EB-7F1C-4C19-BE36-3EEA212AD3E2}"/>
    <cellStyle name="Normal 11 2 2 2 5 2 3 2 3 2 3" xfId="27947" xr:uid="{870C789C-8692-4E61-A156-5FBBC938CE8D}"/>
    <cellStyle name="Normal 11 2 2 2 5 2 3 2 3 3" xfId="27948" xr:uid="{4DCDF72E-1531-46CC-9AAE-E972B2737978}"/>
    <cellStyle name="Normal 11 2 2 2 5 2 3 2 3 3 2" xfId="27949" xr:uid="{0B5A6580-C61B-48AE-A010-138105B2D0CF}"/>
    <cellStyle name="Normal 11 2 2 2 5 2 3 2 3 4" xfId="27950" xr:uid="{D186B29A-1559-4637-AB75-1382C0392099}"/>
    <cellStyle name="Normal 11 2 2 2 5 2 3 2 4" xfId="27951" xr:uid="{CF99C0E9-52ED-4328-8342-5AF8237036B7}"/>
    <cellStyle name="Normal 11 2 2 2 5 2 3 2 4 2" xfId="27952" xr:uid="{E58BE982-0B34-4ED7-820E-44716BE6D58F}"/>
    <cellStyle name="Normal 11 2 2 2 5 2 3 2 4 2 2" xfId="27953" xr:uid="{A4C02ED1-A7C0-4A86-86DC-9DC483AAE87D}"/>
    <cellStyle name="Normal 11 2 2 2 5 2 3 2 4 3" xfId="27954" xr:uid="{041DA6D6-7C31-4FED-96E8-29DFAE7A41EA}"/>
    <cellStyle name="Normal 11 2 2 2 5 2 3 2 5" xfId="27955" xr:uid="{02DD785E-3D70-4D5D-9AA7-D8CE5C072BA7}"/>
    <cellStyle name="Normal 11 2 2 2 5 2 3 2 5 2" xfId="27956" xr:uid="{619868D1-5B35-46AE-9492-3B1F20176491}"/>
    <cellStyle name="Normal 11 2 2 2 5 2 3 2 6" xfId="27957" xr:uid="{1F178D32-4A45-48B4-BCC1-4202954FA296}"/>
    <cellStyle name="Normal 11 2 2 2 5 2 3 3" xfId="27958" xr:uid="{93210220-DCF7-4F1E-88EB-26D13B368401}"/>
    <cellStyle name="Normal 11 2 2 2 5 2 3 3 2" xfId="27959" xr:uid="{91DC2F52-EB09-4F11-BA5E-CCBEFF1B1EDD}"/>
    <cellStyle name="Normal 11 2 2 2 5 2 3 3 2 2" xfId="27960" xr:uid="{F97F479D-22A3-431B-BEC4-FD3E467B72A4}"/>
    <cellStyle name="Normal 11 2 2 2 5 2 3 3 2 2 2" xfId="27961" xr:uid="{477AEB0D-5167-4D21-9B38-A01C84478FBE}"/>
    <cellStyle name="Normal 11 2 2 2 5 2 3 3 2 2 2 2" xfId="27962" xr:uid="{1F7E8732-B167-4254-926F-C688FB1DE3C5}"/>
    <cellStyle name="Normal 11 2 2 2 5 2 3 3 2 2 3" xfId="27963" xr:uid="{D329CB5D-CE77-4D85-8D4D-FCEA692651CB}"/>
    <cellStyle name="Normal 11 2 2 2 5 2 3 3 2 3" xfId="27964" xr:uid="{CD25473C-FB42-4906-80BA-FD242D758008}"/>
    <cellStyle name="Normal 11 2 2 2 5 2 3 3 2 3 2" xfId="27965" xr:uid="{8B9160FD-B39B-48AA-8CC0-47F4681902A9}"/>
    <cellStyle name="Normal 11 2 2 2 5 2 3 3 2 4" xfId="27966" xr:uid="{377C32CE-FAB2-43AF-8CB6-5D78D19D10C3}"/>
    <cellStyle name="Normal 11 2 2 2 5 2 3 3 3" xfId="27967" xr:uid="{AB7DE717-35DF-4D26-842C-8F999511B2CB}"/>
    <cellStyle name="Normal 11 2 2 2 5 2 3 3 3 2" xfId="27968" xr:uid="{44416709-72AA-4724-A6C3-14211DA7D4E2}"/>
    <cellStyle name="Normal 11 2 2 2 5 2 3 3 3 2 2" xfId="27969" xr:uid="{4917C2C3-27AB-44FF-BCE8-8BEE178EEF80}"/>
    <cellStyle name="Normal 11 2 2 2 5 2 3 3 3 3" xfId="27970" xr:uid="{CAD02A4B-CA37-403C-8CBE-9AF26416A188}"/>
    <cellStyle name="Normal 11 2 2 2 5 2 3 3 4" xfId="27971" xr:uid="{471BBFA3-8AEF-4A44-9202-BDF7EC32EB24}"/>
    <cellStyle name="Normal 11 2 2 2 5 2 3 3 4 2" xfId="27972" xr:uid="{BB323071-60AD-4828-90A3-7FEFAF6E9CAB}"/>
    <cellStyle name="Normal 11 2 2 2 5 2 3 3 5" xfId="27973" xr:uid="{FC273F64-DB47-4644-BE3E-A81264133030}"/>
    <cellStyle name="Normal 11 2 2 2 5 2 3 4" xfId="27974" xr:uid="{B0640E1A-876C-4027-8DCB-D39BB98AC387}"/>
    <cellStyle name="Normal 11 2 2 2 5 2 3 4 2" xfId="27975" xr:uid="{9AA7E82D-0BE2-4B42-9757-38B385D4DA67}"/>
    <cellStyle name="Normal 11 2 2 2 5 2 3 4 2 2" xfId="27976" xr:uid="{CECAA5E7-1C79-45AA-93B4-CAEEB4FE3276}"/>
    <cellStyle name="Normal 11 2 2 2 5 2 3 4 2 2 2" xfId="27977" xr:uid="{C15B33A3-4A86-4A1B-AE41-550C19CF0049}"/>
    <cellStyle name="Normal 11 2 2 2 5 2 3 4 2 3" xfId="27978" xr:uid="{5BC798B1-B698-4760-A930-BE17627D4804}"/>
    <cellStyle name="Normal 11 2 2 2 5 2 3 4 3" xfId="27979" xr:uid="{1B6E039A-4C07-440B-B0B6-63101586BE4A}"/>
    <cellStyle name="Normal 11 2 2 2 5 2 3 4 3 2" xfId="27980" xr:uid="{0A04849D-CBD1-42E9-9865-B86F1315E88F}"/>
    <cellStyle name="Normal 11 2 2 2 5 2 3 4 4" xfId="27981" xr:uid="{529B6CF3-565F-4874-8F1A-B0905B60AA9D}"/>
    <cellStyle name="Normal 11 2 2 2 5 2 3 5" xfId="27982" xr:uid="{5F4521B4-EE3F-4CFC-AA69-C5A79E055762}"/>
    <cellStyle name="Normal 11 2 2 2 5 2 3 5 2" xfId="27983" xr:uid="{3F94E9F7-A0C0-4BF9-8CF2-4BC7E9CD63EB}"/>
    <cellStyle name="Normal 11 2 2 2 5 2 3 5 2 2" xfId="27984" xr:uid="{D9BEBD4B-792A-4D0C-8A09-4BADE52A3D5B}"/>
    <cellStyle name="Normal 11 2 2 2 5 2 3 5 3" xfId="27985" xr:uid="{4FB5030F-A43E-45BE-BFF7-DD5936BFD35D}"/>
    <cellStyle name="Normal 11 2 2 2 5 2 3 6" xfId="27986" xr:uid="{05314ADD-B5B9-49A1-9F85-7401E004CA7F}"/>
    <cellStyle name="Normal 11 2 2 2 5 2 3 6 2" xfId="27987" xr:uid="{F62E526D-316C-4C92-ABC8-66880C18594B}"/>
    <cellStyle name="Normal 11 2 2 2 5 2 3 7" xfId="27988" xr:uid="{45901BEC-B75E-411F-8F4F-D298DDF77FAD}"/>
    <cellStyle name="Normal 11 2 2 2 5 2 4" xfId="27989" xr:uid="{FCB26559-372A-4E81-9061-633B3EFC4F6F}"/>
    <cellStyle name="Normal 11 2 2 2 5 2 4 2" xfId="27990" xr:uid="{1148279A-E7AB-4551-B4AC-AF20EDA25E24}"/>
    <cellStyle name="Normal 11 2 2 2 5 2 4 2 2" xfId="27991" xr:uid="{C0470F3D-B6A9-4F5D-8FA9-6D5D81A8B29F}"/>
    <cellStyle name="Normal 11 2 2 2 5 2 4 2 2 2" xfId="27992" xr:uid="{061C4271-D0CC-45CF-B7F5-D2B20CF65BFC}"/>
    <cellStyle name="Normal 11 2 2 2 5 2 4 2 2 2 2" xfId="27993" xr:uid="{94CA21BA-C678-4C7A-9112-2B5BF1CA0688}"/>
    <cellStyle name="Normal 11 2 2 2 5 2 4 2 2 2 2 2" xfId="27994" xr:uid="{3380D9E1-9C25-4FF6-A375-1994BC58E37D}"/>
    <cellStyle name="Normal 11 2 2 2 5 2 4 2 2 2 3" xfId="27995" xr:uid="{0E6E9CFF-CF7D-449E-B459-BF8070F61C66}"/>
    <cellStyle name="Normal 11 2 2 2 5 2 4 2 2 3" xfId="27996" xr:uid="{778CAF7B-E834-494F-95C9-7A254021BA97}"/>
    <cellStyle name="Normal 11 2 2 2 5 2 4 2 2 3 2" xfId="27997" xr:uid="{474CF890-61EA-4B00-9FA8-30F5E3F6FCF8}"/>
    <cellStyle name="Normal 11 2 2 2 5 2 4 2 2 4" xfId="27998" xr:uid="{3814D1D9-4E6C-4DDC-814A-44DDFC13B39F}"/>
    <cellStyle name="Normal 11 2 2 2 5 2 4 2 3" xfId="27999" xr:uid="{66ED92F5-E83F-4731-BB14-2DE772835219}"/>
    <cellStyle name="Normal 11 2 2 2 5 2 4 2 3 2" xfId="28000" xr:uid="{35433016-1101-4F6E-AD18-A37A73B6ADBB}"/>
    <cellStyle name="Normal 11 2 2 2 5 2 4 2 3 2 2" xfId="28001" xr:uid="{2347C159-8181-446F-977C-394395B80ED2}"/>
    <cellStyle name="Normal 11 2 2 2 5 2 4 2 3 3" xfId="28002" xr:uid="{FC149039-8ADC-4C08-B3B0-3EF9D47796DD}"/>
    <cellStyle name="Normal 11 2 2 2 5 2 4 2 4" xfId="28003" xr:uid="{BEDD0CFF-0E2E-428B-97CF-D3228FF02FED}"/>
    <cellStyle name="Normal 11 2 2 2 5 2 4 2 4 2" xfId="28004" xr:uid="{EBC878C1-B9B9-4144-8602-4470503DE0E1}"/>
    <cellStyle name="Normal 11 2 2 2 5 2 4 2 5" xfId="28005" xr:uid="{EE68EC9E-B716-4343-A2EF-6D90291147C5}"/>
    <cellStyle name="Normal 11 2 2 2 5 2 4 3" xfId="28006" xr:uid="{A1688DE9-F87E-4704-A9B4-4FF9E899C1C6}"/>
    <cellStyle name="Normal 11 2 2 2 5 2 4 3 2" xfId="28007" xr:uid="{FC9D9D7A-7A58-4170-9B15-C1F7D5564805}"/>
    <cellStyle name="Normal 11 2 2 2 5 2 4 3 2 2" xfId="28008" xr:uid="{01A7DEA6-EE06-4B6B-AB7E-86E9636A00CE}"/>
    <cellStyle name="Normal 11 2 2 2 5 2 4 3 2 2 2" xfId="28009" xr:uid="{857CB508-6DE1-4B83-BD47-69CB67EDD570}"/>
    <cellStyle name="Normal 11 2 2 2 5 2 4 3 2 3" xfId="28010" xr:uid="{44D459C6-B21B-4E35-AE47-FE3E4513C589}"/>
    <cellStyle name="Normal 11 2 2 2 5 2 4 3 3" xfId="28011" xr:uid="{192D796B-5FBB-40E3-8A93-B2908EE77EFF}"/>
    <cellStyle name="Normal 11 2 2 2 5 2 4 3 3 2" xfId="28012" xr:uid="{26B49B75-4DEE-442A-9143-3B86DD497073}"/>
    <cellStyle name="Normal 11 2 2 2 5 2 4 3 4" xfId="28013" xr:uid="{47B39E20-F8CE-4BA8-82D7-452BBABFDFED}"/>
    <cellStyle name="Normal 11 2 2 2 5 2 4 4" xfId="28014" xr:uid="{3762FC7B-3608-4226-A224-5D90FD6BCCE2}"/>
    <cellStyle name="Normal 11 2 2 2 5 2 4 4 2" xfId="28015" xr:uid="{E8B2E53A-AC72-4DC9-B9AC-80CDDCBB7159}"/>
    <cellStyle name="Normal 11 2 2 2 5 2 4 4 2 2" xfId="28016" xr:uid="{701632C5-4DAB-41EB-B688-0DA7735E8845}"/>
    <cellStyle name="Normal 11 2 2 2 5 2 4 4 3" xfId="28017" xr:uid="{9CEE634D-B38F-4838-92C2-99C250FEC12D}"/>
    <cellStyle name="Normal 11 2 2 2 5 2 4 5" xfId="28018" xr:uid="{26E4C353-44A8-42F2-A3A2-0A53849BE4DE}"/>
    <cellStyle name="Normal 11 2 2 2 5 2 4 5 2" xfId="28019" xr:uid="{37270332-5A77-4F29-8EBC-4B99B0BB7DC1}"/>
    <cellStyle name="Normal 11 2 2 2 5 2 4 6" xfId="28020" xr:uid="{8C156A58-0009-49A2-8A6C-F5CB6A68A506}"/>
    <cellStyle name="Normal 11 2 2 2 5 2 5" xfId="28021" xr:uid="{0017E13E-B513-4597-AD96-E688B20839AE}"/>
    <cellStyle name="Normal 11 2 2 2 5 2 5 2" xfId="28022" xr:uid="{DD2A4CCF-7222-42F0-9208-090563F822A2}"/>
    <cellStyle name="Normal 11 2 2 2 5 2 5 2 2" xfId="28023" xr:uid="{A26DC80E-B9FB-47B8-8C7E-47EE3EA5FC94}"/>
    <cellStyle name="Normal 11 2 2 2 5 2 5 2 2 2" xfId="28024" xr:uid="{BE67C403-CFCD-4F36-A85D-BC02B87FDA4C}"/>
    <cellStyle name="Normal 11 2 2 2 5 2 5 2 2 2 2" xfId="28025" xr:uid="{00CAF7FC-1353-4345-9F3B-2D17626957F6}"/>
    <cellStyle name="Normal 11 2 2 2 5 2 5 2 2 3" xfId="28026" xr:uid="{4716E868-CB04-41EC-81B9-8023C0C4CBD4}"/>
    <cellStyle name="Normal 11 2 2 2 5 2 5 2 3" xfId="28027" xr:uid="{E3AD5DA6-998B-45E0-931E-A312CE8190CE}"/>
    <cellStyle name="Normal 11 2 2 2 5 2 5 2 3 2" xfId="28028" xr:uid="{20C96371-AEC8-40D2-9615-1F227183E469}"/>
    <cellStyle name="Normal 11 2 2 2 5 2 5 2 4" xfId="28029" xr:uid="{644DC0AC-FED6-4A47-9D2C-E26AB68AFE7A}"/>
    <cellStyle name="Normal 11 2 2 2 5 2 5 3" xfId="28030" xr:uid="{6FB26E1A-512C-45F7-A2C4-123F1C6D714C}"/>
    <cellStyle name="Normal 11 2 2 2 5 2 5 3 2" xfId="28031" xr:uid="{34E8385B-8C6F-40DA-BCBE-37538E282CF9}"/>
    <cellStyle name="Normal 11 2 2 2 5 2 5 3 2 2" xfId="28032" xr:uid="{5D4F87CA-BB84-425E-9BBF-9118253136B9}"/>
    <cellStyle name="Normal 11 2 2 2 5 2 5 3 3" xfId="28033" xr:uid="{153EB382-2A18-40D0-8B12-AA360AFB6E9A}"/>
    <cellStyle name="Normal 11 2 2 2 5 2 5 4" xfId="28034" xr:uid="{511F18C6-5782-4C39-BB4A-01C77AF3FFDE}"/>
    <cellStyle name="Normal 11 2 2 2 5 2 5 4 2" xfId="28035" xr:uid="{5BE0BA86-B807-4572-8B5A-107D5DD74A27}"/>
    <cellStyle name="Normal 11 2 2 2 5 2 5 5" xfId="28036" xr:uid="{0F5A9D9B-0443-44E5-81EF-E46428162EFF}"/>
    <cellStyle name="Normal 11 2 2 2 5 2 6" xfId="28037" xr:uid="{179595B0-C2B4-4E2E-8005-82F3F170BFD5}"/>
    <cellStyle name="Normal 11 2 2 2 5 2 6 2" xfId="28038" xr:uid="{F7E27A76-1E45-4E4D-A1E7-A88550B88C03}"/>
    <cellStyle name="Normal 11 2 2 2 5 2 6 2 2" xfId="28039" xr:uid="{2347EAE0-F9A8-453B-826C-64E19D8046EC}"/>
    <cellStyle name="Normal 11 2 2 2 5 2 6 2 2 2" xfId="28040" xr:uid="{746EC310-C406-4F88-AFCF-7D18A4EF5786}"/>
    <cellStyle name="Normal 11 2 2 2 5 2 6 2 3" xfId="28041" xr:uid="{BDDF6F73-C0EB-4ED0-8692-E789D07708F0}"/>
    <cellStyle name="Normal 11 2 2 2 5 2 6 3" xfId="28042" xr:uid="{1D821DD2-9AFD-4860-985A-843070A647EB}"/>
    <cellStyle name="Normal 11 2 2 2 5 2 6 3 2" xfId="28043" xr:uid="{B798E53C-BF40-4F6D-8F1D-ECD50D531BDC}"/>
    <cellStyle name="Normal 11 2 2 2 5 2 6 4" xfId="28044" xr:uid="{D33A6D3A-E735-495E-9B57-B32043BD563E}"/>
    <cellStyle name="Normal 11 2 2 2 5 2 7" xfId="28045" xr:uid="{2BA73F44-2779-42DA-AE10-D4AD7A01AAE9}"/>
    <cellStyle name="Normal 11 2 2 2 5 2 7 2" xfId="28046" xr:uid="{D6E720A5-33B8-4109-A246-3474E5710778}"/>
    <cellStyle name="Normal 11 2 2 2 5 2 7 2 2" xfId="28047" xr:uid="{5382B980-DF13-482A-A4CD-867D264805E3}"/>
    <cellStyle name="Normal 11 2 2 2 5 2 7 3" xfId="28048" xr:uid="{095E3425-FF99-470D-9921-F71F98BB9860}"/>
    <cellStyle name="Normal 11 2 2 2 5 2 8" xfId="28049" xr:uid="{11E0C7A7-F51D-4377-822F-B53E59280F11}"/>
    <cellStyle name="Normal 11 2 2 2 5 2 8 2" xfId="28050" xr:uid="{57F3984A-D660-438E-AA12-BC1B65627778}"/>
    <cellStyle name="Normal 11 2 2 2 5 2 9" xfId="28051" xr:uid="{4131A16A-6A34-4B5C-BED0-2D22EA2B4132}"/>
    <cellStyle name="Normal 11 2 2 2 5 3" xfId="515" xr:uid="{D57ED1F1-865C-4DE7-9A90-7219DF17C556}"/>
    <cellStyle name="Normal 11 2 2 2 5 3 2" xfId="28053" xr:uid="{5C562318-F629-4E1B-B03E-454F5E8574D2}"/>
    <cellStyle name="Normal 11 2 2 2 5 3 2 2" xfId="28054" xr:uid="{535C32C0-0B58-4D32-90DF-8DFED367CCC5}"/>
    <cellStyle name="Normal 11 2 2 2 5 3 2 2 2" xfId="28055" xr:uid="{34EA813B-202B-436E-B2D5-6152E3599E21}"/>
    <cellStyle name="Normal 11 2 2 2 5 3 2 2 2 2" xfId="28056" xr:uid="{B4CCD67D-4EB7-4844-845E-14BB19248790}"/>
    <cellStyle name="Normal 11 2 2 2 5 3 2 2 2 2 2" xfId="28057" xr:uid="{B2FD3875-E247-44DB-8512-E6A8F9002CFC}"/>
    <cellStyle name="Normal 11 2 2 2 5 3 2 2 2 2 2 2" xfId="28058" xr:uid="{04DC079F-7E90-461E-9D33-3D9FBB977FBF}"/>
    <cellStyle name="Normal 11 2 2 2 5 3 2 2 2 2 2 2 2" xfId="28059" xr:uid="{DAD266B7-C882-4DA3-8F52-E6142D11375A}"/>
    <cellStyle name="Normal 11 2 2 2 5 3 2 2 2 2 2 3" xfId="28060" xr:uid="{2773A7DD-7181-41B9-9B90-18F86514EEFC}"/>
    <cellStyle name="Normal 11 2 2 2 5 3 2 2 2 2 3" xfId="28061" xr:uid="{5B9452A3-4B9D-4C2E-9964-9EE0277A4D57}"/>
    <cellStyle name="Normal 11 2 2 2 5 3 2 2 2 2 3 2" xfId="28062" xr:uid="{DB369612-018A-4D8B-9119-2AC1268E8786}"/>
    <cellStyle name="Normal 11 2 2 2 5 3 2 2 2 2 4" xfId="28063" xr:uid="{25C76172-6854-487F-9FC5-DEE1C1ADC649}"/>
    <cellStyle name="Normal 11 2 2 2 5 3 2 2 2 3" xfId="28064" xr:uid="{D6A6EFB3-B331-4F91-BCFE-2DFBA1B95506}"/>
    <cellStyle name="Normal 11 2 2 2 5 3 2 2 2 3 2" xfId="28065" xr:uid="{3925D9D3-C07C-4D97-8FF2-33A422A3CF9D}"/>
    <cellStyle name="Normal 11 2 2 2 5 3 2 2 2 3 2 2" xfId="28066" xr:uid="{E0CFCDA0-2FEE-447C-8D66-A9C1B4FC3A8E}"/>
    <cellStyle name="Normal 11 2 2 2 5 3 2 2 2 3 3" xfId="28067" xr:uid="{6981B0B0-9CA7-49AE-ABDD-D0F798CBD81C}"/>
    <cellStyle name="Normal 11 2 2 2 5 3 2 2 2 4" xfId="28068" xr:uid="{54A91CBC-B38F-46A2-9A84-AB579F084FE6}"/>
    <cellStyle name="Normal 11 2 2 2 5 3 2 2 2 4 2" xfId="28069" xr:uid="{E16B4396-E335-44D2-8852-985AA4125779}"/>
    <cellStyle name="Normal 11 2 2 2 5 3 2 2 2 5" xfId="28070" xr:uid="{5E624472-55A9-4561-A0A4-06682C2001E5}"/>
    <cellStyle name="Normal 11 2 2 2 5 3 2 2 3" xfId="28071" xr:uid="{6B5C32CC-6EFC-4A28-A6D7-C28998C14CD7}"/>
    <cellStyle name="Normal 11 2 2 2 5 3 2 2 3 2" xfId="28072" xr:uid="{025127A2-E503-4BF7-9E46-9BD40D761D35}"/>
    <cellStyle name="Normal 11 2 2 2 5 3 2 2 3 2 2" xfId="28073" xr:uid="{18880DB2-F36E-4317-B433-B801F19FC9EE}"/>
    <cellStyle name="Normal 11 2 2 2 5 3 2 2 3 2 2 2" xfId="28074" xr:uid="{557D0E89-6810-474B-9080-66A3BA1B8851}"/>
    <cellStyle name="Normal 11 2 2 2 5 3 2 2 3 2 3" xfId="28075" xr:uid="{9F0A5A39-5E4E-453D-B5C4-E5B6B1F45446}"/>
    <cellStyle name="Normal 11 2 2 2 5 3 2 2 3 3" xfId="28076" xr:uid="{F711384E-3881-4942-B1A0-2DC104688102}"/>
    <cellStyle name="Normal 11 2 2 2 5 3 2 2 3 3 2" xfId="28077" xr:uid="{D005193B-1E1D-48F0-A5B2-2E9B5570CBFA}"/>
    <cellStyle name="Normal 11 2 2 2 5 3 2 2 3 4" xfId="28078" xr:uid="{C6F0C9E8-B15B-42D0-99C7-737BD28FCB1B}"/>
    <cellStyle name="Normal 11 2 2 2 5 3 2 2 4" xfId="28079" xr:uid="{9872E43C-66F7-4375-88B2-99664DBD55C0}"/>
    <cellStyle name="Normal 11 2 2 2 5 3 2 2 4 2" xfId="28080" xr:uid="{160119FE-7C2B-48DE-B359-2CC3672B0347}"/>
    <cellStyle name="Normal 11 2 2 2 5 3 2 2 4 2 2" xfId="28081" xr:uid="{3B880346-60E6-48E6-A6B9-F99EF1497E60}"/>
    <cellStyle name="Normal 11 2 2 2 5 3 2 2 4 3" xfId="28082" xr:uid="{5B07C15B-8371-49FB-B8E5-0A6AA31569B5}"/>
    <cellStyle name="Normal 11 2 2 2 5 3 2 2 5" xfId="28083" xr:uid="{81BA53F1-4EEA-47A3-BB95-52FC3D2B47DB}"/>
    <cellStyle name="Normal 11 2 2 2 5 3 2 2 5 2" xfId="28084" xr:uid="{441D7CD2-44CE-43A0-B803-3EDB8E428B3F}"/>
    <cellStyle name="Normal 11 2 2 2 5 3 2 2 6" xfId="28085" xr:uid="{8FE47CEA-7DBE-4D8F-BA9B-EC55E78C0093}"/>
    <cellStyle name="Normal 11 2 2 2 5 3 2 3" xfId="28086" xr:uid="{A3C0F5F0-69DC-4AA5-8583-E5674B1CD61F}"/>
    <cellStyle name="Normal 11 2 2 2 5 3 2 3 2" xfId="28087" xr:uid="{01CAE068-897C-48EA-8070-7D1688B0DA6A}"/>
    <cellStyle name="Normal 11 2 2 2 5 3 2 3 2 2" xfId="28088" xr:uid="{52244672-464F-439E-9CAB-A9C96D1A36C4}"/>
    <cellStyle name="Normal 11 2 2 2 5 3 2 3 2 2 2" xfId="28089" xr:uid="{3EE00CEA-FFC7-4E43-BC27-CFC96E0E1276}"/>
    <cellStyle name="Normal 11 2 2 2 5 3 2 3 2 2 2 2" xfId="28090" xr:uid="{9CCDFCAF-75F4-437C-B21C-DA642B292C5C}"/>
    <cellStyle name="Normal 11 2 2 2 5 3 2 3 2 2 3" xfId="28091" xr:uid="{8CC3AD1E-2BD5-4B74-ABC1-CF6D209CB2CE}"/>
    <cellStyle name="Normal 11 2 2 2 5 3 2 3 2 3" xfId="28092" xr:uid="{8381D119-E701-4A03-B9FB-FDE34E1173C4}"/>
    <cellStyle name="Normal 11 2 2 2 5 3 2 3 2 3 2" xfId="28093" xr:uid="{5F724708-35ED-4D89-B37C-80E826DB0EA7}"/>
    <cellStyle name="Normal 11 2 2 2 5 3 2 3 2 4" xfId="28094" xr:uid="{C438C109-98DD-4EE1-B0FF-8C03131B81B4}"/>
    <cellStyle name="Normal 11 2 2 2 5 3 2 3 3" xfId="28095" xr:uid="{672ABC50-DACB-41F0-88E0-0EAD221DAAD5}"/>
    <cellStyle name="Normal 11 2 2 2 5 3 2 3 3 2" xfId="28096" xr:uid="{D6E0401A-B898-46FE-83DF-94E684E446AF}"/>
    <cellStyle name="Normal 11 2 2 2 5 3 2 3 3 2 2" xfId="28097" xr:uid="{A64B12E9-D13E-4247-BDA9-CBF32377CE41}"/>
    <cellStyle name="Normal 11 2 2 2 5 3 2 3 3 3" xfId="28098" xr:uid="{9EB6CE9F-B8AA-4B0F-BF85-CFBAF6B16020}"/>
    <cellStyle name="Normal 11 2 2 2 5 3 2 3 4" xfId="28099" xr:uid="{48CA257B-4422-49F5-AC85-CA774615C84B}"/>
    <cellStyle name="Normal 11 2 2 2 5 3 2 3 4 2" xfId="28100" xr:uid="{48B06102-A0E1-4D12-9CEB-513FBF947423}"/>
    <cellStyle name="Normal 11 2 2 2 5 3 2 3 5" xfId="28101" xr:uid="{DFEA3BEC-C11A-4A61-ADC8-2865A09857FD}"/>
    <cellStyle name="Normal 11 2 2 2 5 3 2 4" xfId="28102" xr:uid="{39D42C50-F10E-46C0-BBA8-D9D37043001D}"/>
    <cellStyle name="Normal 11 2 2 2 5 3 2 4 2" xfId="28103" xr:uid="{674F6604-F9DD-4432-B594-3B0C6AB4042A}"/>
    <cellStyle name="Normal 11 2 2 2 5 3 2 4 2 2" xfId="28104" xr:uid="{9175CDF2-1DE9-46C7-8BAB-578D3D82D683}"/>
    <cellStyle name="Normal 11 2 2 2 5 3 2 4 2 2 2" xfId="28105" xr:uid="{C5D2358F-BBA8-4F53-9D74-7123D6544DB2}"/>
    <cellStyle name="Normal 11 2 2 2 5 3 2 4 2 3" xfId="28106" xr:uid="{2CB03CCC-3899-47A6-83E8-8EA37817FD17}"/>
    <cellStyle name="Normal 11 2 2 2 5 3 2 4 3" xfId="28107" xr:uid="{DA2FE97C-A293-4860-8483-D53C7B16B070}"/>
    <cellStyle name="Normal 11 2 2 2 5 3 2 4 3 2" xfId="28108" xr:uid="{EFB1BF75-20B4-4353-B81F-A6642BACEB0B}"/>
    <cellStyle name="Normal 11 2 2 2 5 3 2 4 4" xfId="28109" xr:uid="{46931472-23AE-41D0-97A5-62E4487B240B}"/>
    <cellStyle name="Normal 11 2 2 2 5 3 2 5" xfId="28110" xr:uid="{A9BFED26-C538-4D32-8983-BECDC1464674}"/>
    <cellStyle name="Normal 11 2 2 2 5 3 2 5 2" xfId="28111" xr:uid="{DDECE631-0BE5-4E1A-9FA5-A3E4168C940B}"/>
    <cellStyle name="Normal 11 2 2 2 5 3 2 5 2 2" xfId="28112" xr:uid="{E04997A3-69EB-47D6-A8CD-DC6A68137CD8}"/>
    <cellStyle name="Normal 11 2 2 2 5 3 2 5 3" xfId="28113" xr:uid="{C73B0BAF-7B3F-445E-B526-5CAF7CC02E04}"/>
    <cellStyle name="Normal 11 2 2 2 5 3 2 6" xfId="28114" xr:uid="{A0235157-73AD-40FF-A224-09672A7C1122}"/>
    <cellStyle name="Normal 11 2 2 2 5 3 2 6 2" xfId="28115" xr:uid="{4DC1448A-1B02-478B-B505-A158B70A38FD}"/>
    <cellStyle name="Normal 11 2 2 2 5 3 2 7" xfId="28116" xr:uid="{E736A624-4F5B-42BA-9D17-09677906852B}"/>
    <cellStyle name="Normal 11 2 2 2 5 3 3" xfId="28117" xr:uid="{26979B35-554D-4B28-A485-BC3E929E4339}"/>
    <cellStyle name="Normal 11 2 2 2 5 3 3 2" xfId="28118" xr:uid="{C01F26D5-B163-47CE-B5C3-BB3BA0FFFD60}"/>
    <cellStyle name="Normal 11 2 2 2 5 3 3 2 2" xfId="28119" xr:uid="{0E1C3147-AA72-44ED-AECE-F344BFBA8BED}"/>
    <cellStyle name="Normal 11 2 2 2 5 3 3 2 2 2" xfId="28120" xr:uid="{A8D5B325-2BA0-4F11-A63F-6A5B4246703A}"/>
    <cellStyle name="Normal 11 2 2 2 5 3 3 2 2 2 2" xfId="28121" xr:uid="{EB32BE71-BD86-4E3F-98E0-0A58A14D4514}"/>
    <cellStyle name="Normal 11 2 2 2 5 3 3 2 2 2 2 2" xfId="28122" xr:uid="{003411D0-3021-49B0-A5B0-9108EA77D4D0}"/>
    <cellStyle name="Normal 11 2 2 2 5 3 3 2 2 2 3" xfId="28123" xr:uid="{E9E24808-2039-41E3-A3B2-52F8CD2ED5AC}"/>
    <cellStyle name="Normal 11 2 2 2 5 3 3 2 2 3" xfId="28124" xr:uid="{F6AE1970-D2E3-4027-8685-F34B274E4C73}"/>
    <cellStyle name="Normal 11 2 2 2 5 3 3 2 2 3 2" xfId="28125" xr:uid="{537A95E8-0F32-4551-8127-63A2F269691A}"/>
    <cellStyle name="Normal 11 2 2 2 5 3 3 2 2 4" xfId="28126" xr:uid="{31517D4B-AF0E-4F73-AF61-0F2F79B1DE82}"/>
    <cellStyle name="Normal 11 2 2 2 5 3 3 2 3" xfId="28127" xr:uid="{AC52F8EC-95D4-4EDA-9E02-A18D4EF10484}"/>
    <cellStyle name="Normal 11 2 2 2 5 3 3 2 3 2" xfId="28128" xr:uid="{DB71ED66-EC00-4F16-814B-F94DE5FF421E}"/>
    <cellStyle name="Normal 11 2 2 2 5 3 3 2 3 2 2" xfId="28129" xr:uid="{E20761A6-9693-422F-A595-43AB0A3873C6}"/>
    <cellStyle name="Normal 11 2 2 2 5 3 3 2 3 3" xfId="28130" xr:uid="{70B20449-68A1-4B45-83A4-0BBE3D247C3F}"/>
    <cellStyle name="Normal 11 2 2 2 5 3 3 2 4" xfId="28131" xr:uid="{08C9DEA9-EF2B-4816-8283-B6BA82946310}"/>
    <cellStyle name="Normal 11 2 2 2 5 3 3 2 4 2" xfId="28132" xr:uid="{594774B6-D489-4D03-AB63-3800CB0AA1E4}"/>
    <cellStyle name="Normal 11 2 2 2 5 3 3 2 5" xfId="28133" xr:uid="{CB368CB0-A1CE-4D20-8050-018C6FA4DC74}"/>
    <cellStyle name="Normal 11 2 2 2 5 3 3 3" xfId="28134" xr:uid="{A144B7AB-0999-4E49-B32D-F27B1996BCE9}"/>
    <cellStyle name="Normal 11 2 2 2 5 3 3 3 2" xfId="28135" xr:uid="{A19222E0-E007-4DD6-9EB0-2EE45EAF60DC}"/>
    <cellStyle name="Normal 11 2 2 2 5 3 3 3 2 2" xfId="28136" xr:uid="{E58B72E1-4232-4E6C-AE26-A53668B43484}"/>
    <cellStyle name="Normal 11 2 2 2 5 3 3 3 2 2 2" xfId="28137" xr:uid="{DDFC6BC2-37E9-4C09-B772-32CA3CB0FFDA}"/>
    <cellStyle name="Normal 11 2 2 2 5 3 3 3 2 3" xfId="28138" xr:uid="{0B119330-156E-4BEC-8914-5004899ABA09}"/>
    <cellStyle name="Normal 11 2 2 2 5 3 3 3 3" xfId="28139" xr:uid="{0AE22A63-67F1-4450-9FDF-C809DC52551A}"/>
    <cellStyle name="Normal 11 2 2 2 5 3 3 3 3 2" xfId="28140" xr:uid="{6D9198E5-2214-4786-B6F3-F358FF086A37}"/>
    <cellStyle name="Normal 11 2 2 2 5 3 3 3 4" xfId="28141" xr:uid="{BEF210CF-36B6-43B6-988F-8BBC175C16AD}"/>
    <cellStyle name="Normal 11 2 2 2 5 3 3 4" xfId="28142" xr:uid="{96609B44-9983-41F5-BCAF-D432A58528CE}"/>
    <cellStyle name="Normal 11 2 2 2 5 3 3 4 2" xfId="28143" xr:uid="{EC0B7C74-642D-496A-B38F-1727763C6990}"/>
    <cellStyle name="Normal 11 2 2 2 5 3 3 4 2 2" xfId="28144" xr:uid="{42634A98-C0EF-414A-9DC6-32B00407EFC6}"/>
    <cellStyle name="Normal 11 2 2 2 5 3 3 4 3" xfId="28145" xr:uid="{91D3D495-695F-4DC8-BF24-1F1F1F18B84B}"/>
    <cellStyle name="Normal 11 2 2 2 5 3 3 5" xfId="28146" xr:uid="{8C0137B2-BBB9-49FE-9D8D-CD74C7D403D8}"/>
    <cellStyle name="Normal 11 2 2 2 5 3 3 5 2" xfId="28147" xr:uid="{A4791203-A995-4509-9048-DC77F0A80F6A}"/>
    <cellStyle name="Normal 11 2 2 2 5 3 3 6" xfId="28148" xr:uid="{25CEC595-13AD-4B05-8AFE-0474CA0E22FB}"/>
    <cellStyle name="Normal 11 2 2 2 5 3 4" xfId="28149" xr:uid="{60A721D6-1C6B-463B-82CA-D80B64965F17}"/>
    <cellStyle name="Normal 11 2 2 2 5 3 4 2" xfId="28150" xr:uid="{374B15A2-DE82-40E1-90EE-E7D39E2DD205}"/>
    <cellStyle name="Normal 11 2 2 2 5 3 4 2 2" xfId="28151" xr:uid="{46AD4DAB-9CAD-4CD4-A444-9CA530434E7E}"/>
    <cellStyle name="Normal 11 2 2 2 5 3 4 2 2 2" xfId="28152" xr:uid="{ADB62C03-F225-4624-8731-926DAFE67CB4}"/>
    <cellStyle name="Normal 11 2 2 2 5 3 4 2 2 2 2" xfId="28153" xr:uid="{EC6226B9-3697-4521-9366-7F82D805F3DF}"/>
    <cellStyle name="Normal 11 2 2 2 5 3 4 2 2 3" xfId="28154" xr:uid="{61006EA3-B01C-4C95-980A-6EED7C92DF7A}"/>
    <cellStyle name="Normal 11 2 2 2 5 3 4 2 3" xfId="28155" xr:uid="{223F9B71-6827-4041-96AD-F97060E05274}"/>
    <cellStyle name="Normal 11 2 2 2 5 3 4 2 3 2" xfId="28156" xr:uid="{C3F186A0-F5A7-4DD7-94AC-C3F638187879}"/>
    <cellStyle name="Normal 11 2 2 2 5 3 4 2 4" xfId="28157" xr:uid="{E45400DC-1CD8-4882-8F0D-A781CD78A955}"/>
    <cellStyle name="Normal 11 2 2 2 5 3 4 3" xfId="28158" xr:uid="{32449E82-9FEF-43B4-AE49-CCD43C575D96}"/>
    <cellStyle name="Normal 11 2 2 2 5 3 4 3 2" xfId="28159" xr:uid="{B1AE4A84-7AE6-4B63-AA0A-87085BBAEC01}"/>
    <cellStyle name="Normal 11 2 2 2 5 3 4 3 2 2" xfId="28160" xr:uid="{105A553B-B029-46EB-92D3-6E6368380180}"/>
    <cellStyle name="Normal 11 2 2 2 5 3 4 3 3" xfId="28161" xr:uid="{8014A0B3-40D0-419D-9B38-2B4AD4749380}"/>
    <cellStyle name="Normal 11 2 2 2 5 3 4 4" xfId="28162" xr:uid="{28FD8B03-95F3-4C07-A5C7-915208707775}"/>
    <cellStyle name="Normal 11 2 2 2 5 3 4 4 2" xfId="28163" xr:uid="{DAE7355A-593D-4464-9AC0-6EF9C2740A83}"/>
    <cellStyle name="Normal 11 2 2 2 5 3 4 5" xfId="28164" xr:uid="{2CA73A91-CE24-4C5D-B30E-2A12C0C30F45}"/>
    <cellStyle name="Normal 11 2 2 2 5 3 5" xfId="28165" xr:uid="{84B73162-A893-4BF9-A5BE-01A4E253BC9D}"/>
    <cellStyle name="Normal 11 2 2 2 5 3 5 2" xfId="28166" xr:uid="{6B26D5DD-36A1-4B63-BAD0-9D48E6935610}"/>
    <cellStyle name="Normal 11 2 2 2 5 3 5 2 2" xfId="28167" xr:uid="{6B1E3C25-AE8F-404F-8CC1-047D35430481}"/>
    <cellStyle name="Normal 11 2 2 2 5 3 5 2 2 2" xfId="28168" xr:uid="{FC7CD09F-6F4F-471A-A2C3-33CB4CF3968C}"/>
    <cellStyle name="Normal 11 2 2 2 5 3 5 2 3" xfId="28169" xr:uid="{819E9FC7-59DE-4AF5-87F1-228D3738E67F}"/>
    <cellStyle name="Normal 11 2 2 2 5 3 5 3" xfId="28170" xr:uid="{66099656-A407-46B4-B765-53F9FEEF7C91}"/>
    <cellStyle name="Normal 11 2 2 2 5 3 5 3 2" xfId="28171" xr:uid="{0A5B768C-748E-4C3C-B596-A33E1BD1E154}"/>
    <cellStyle name="Normal 11 2 2 2 5 3 5 4" xfId="28172" xr:uid="{AB11AEAA-C886-4AE5-8BFE-F6284D666B41}"/>
    <cellStyle name="Normal 11 2 2 2 5 3 6" xfId="28173" xr:uid="{6D01AF7E-892D-437F-AC9E-10156B801B8D}"/>
    <cellStyle name="Normal 11 2 2 2 5 3 6 2" xfId="28174" xr:uid="{637A12C8-3382-44E1-B219-61A03F937662}"/>
    <cellStyle name="Normal 11 2 2 2 5 3 6 2 2" xfId="28175" xr:uid="{D7B64C45-6D70-4BA2-AB07-C03453E4D966}"/>
    <cellStyle name="Normal 11 2 2 2 5 3 6 3" xfId="28176" xr:uid="{52DEC645-1147-4088-B989-F8E537665AAB}"/>
    <cellStyle name="Normal 11 2 2 2 5 3 7" xfId="28177" xr:uid="{31D3157B-A74F-425F-ABB9-B45E43904CC0}"/>
    <cellStyle name="Normal 11 2 2 2 5 3 7 2" xfId="28178" xr:uid="{451ABE95-2C62-4243-AD0B-8CA610528F5F}"/>
    <cellStyle name="Normal 11 2 2 2 5 3 8" xfId="28179" xr:uid="{1ECB09F3-88C3-442C-B07E-B0D46F206E6D}"/>
    <cellStyle name="Normal 11 2 2 2 5 3 9" xfId="28052" xr:uid="{968C3282-56C2-4CDE-9169-978215F6D1B3}"/>
    <cellStyle name="Normal 11 2 2 2 5 4" xfId="28180" xr:uid="{4A245D1A-408B-4967-A714-9AC5467B926F}"/>
    <cellStyle name="Normal 11 2 2 2 5 4 2" xfId="28181" xr:uid="{8B5510B1-51C8-45EE-8468-D2F6F7B69F57}"/>
    <cellStyle name="Normal 11 2 2 2 5 4 2 2" xfId="28182" xr:uid="{8BB35561-726F-499F-9623-B87F4811BBE8}"/>
    <cellStyle name="Normal 11 2 2 2 5 4 2 2 2" xfId="28183" xr:uid="{451D8957-27B4-487A-BB92-FFF4A9C6564E}"/>
    <cellStyle name="Normal 11 2 2 2 5 4 2 2 2 2" xfId="28184" xr:uid="{8A53428B-0443-4F69-8E57-4C639CD531A7}"/>
    <cellStyle name="Normal 11 2 2 2 5 4 2 2 2 2 2" xfId="28185" xr:uid="{076EF16D-AEB1-4F2A-B255-E193F3E5D704}"/>
    <cellStyle name="Normal 11 2 2 2 5 4 2 2 2 2 2 2" xfId="28186" xr:uid="{31B1D1BB-EF28-4BE4-B450-C6E603DCD516}"/>
    <cellStyle name="Normal 11 2 2 2 5 4 2 2 2 2 3" xfId="28187" xr:uid="{DEAB0508-F1D7-4C76-B225-8EB263F0A5C7}"/>
    <cellStyle name="Normal 11 2 2 2 5 4 2 2 2 3" xfId="28188" xr:uid="{8310A9CE-A1D2-4E05-8CEE-0517293C66F8}"/>
    <cellStyle name="Normal 11 2 2 2 5 4 2 2 2 3 2" xfId="28189" xr:uid="{B3D8D380-B73A-45C8-8CCD-F62B7FB53008}"/>
    <cellStyle name="Normal 11 2 2 2 5 4 2 2 2 4" xfId="28190" xr:uid="{0C4BA4A0-BC54-4101-9C55-F6A656668D59}"/>
    <cellStyle name="Normal 11 2 2 2 5 4 2 2 3" xfId="28191" xr:uid="{F667FB1B-56F5-44B3-A8E8-14D2FC4D6266}"/>
    <cellStyle name="Normal 11 2 2 2 5 4 2 2 3 2" xfId="28192" xr:uid="{8B9136FC-6105-493F-9D9C-F55301C04780}"/>
    <cellStyle name="Normal 11 2 2 2 5 4 2 2 3 2 2" xfId="28193" xr:uid="{A4C82DA4-9901-4AC0-BDF8-A3C5E3D47483}"/>
    <cellStyle name="Normal 11 2 2 2 5 4 2 2 3 3" xfId="28194" xr:uid="{F7D92178-D815-41D3-A20A-6564E49CB66C}"/>
    <cellStyle name="Normal 11 2 2 2 5 4 2 2 4" xfId="28195" xr:uid="{A38AEBC0-90EC-4F85-AD4D-696412C96000}"/>
    <cellStyle name="Normal 11 2 2 2 5 4 2 2 4 2" xfId="28196" xr:uid="{8FCAD099-CDA6-48B2-B615-F81057F90432}"/>
    <cellStyle name="Normal 11 2 2 2 5 4 2 2 5" xfId="28197" xr:uid="{BE86CE47-669A-4121-8F98-C6AB8D130D6C}"/>
    <cellStyle name="Normal 11 2 2 2 5 4 2 3" xfId="28198" xr:uid="{84A92D5B-796C-4EA4-9511-99BD3F3219BA}"/>
    <cellStyle name="Normal 11 2 2 2 5 4 2 3 2" xfId="28199" xr:uid="{F78ADEDD-A2A0-46F8-9446-84683E2D1994}"/>
    <cellStyle name="Normal 11 2 2 2 5 4 2 3 2 2" xfId="28200" xr:uid="{889FF4FC-3B15-4B2E-A67E-EC5F2D83635C}"/>
    <cellStyle name="Normal 11 2 2 2 5 4 2 3 2 2 2" xfId="28201" xr:uid="{899502DB-B0A0-4281-9D7C-90A8A1830264}"/>
    <cellStyle name="Normal 11 2 2 2 5 4 2 3 2 3" xfId="28202" xr:uid="{342072D6-AB68-464D-B01C-11C699802D16}"/>
    <cellStyle name="Normal 11 2 2 2 5 4 2 3 3" xfId="28203" xr:uid="{4AEB3622-50B1-40DE-8716-201927182E25}"/>
    <cellStyle name="Normal 11 2 2 2 5 4 2 3 3 2" xfId="28204" xr:uid="{4F68EB45-3B96-4072-A962-59C51C0050BF}"/>
    <cellStyle name="Normal 11 2 2 2 5 4 2 3 4" xfId="28205" xr:uid="{8561C4C5-8F14-4A26-9106-547E47B03FFE}"/>
    <cellStyle name="Normal 11 2 2 2 5 4 2 4" xfId="28206" xr:uid="{91BF733E-53D9-41B8-9234-8DBFDEDB3B1B}"/>
    <cellStyle name="Normal 11 2 2 2 5 4 2 4 2" xfId="28207" xr:uid="{6604E5A4-E6CC-4946-8016-5829D4D21FAF}"/>
    <cellStyle name="Normal 11 2 2 2 5 4 2 4 2 2" xfId="28208" xr:uid="{BBC56083-265A-4DF5-80AD-11054B22F750}"/>
    <cellStyle name="Normal 11 2 2 2 5 4 2 4 3" xfId="28209" xr:uid="{6F87A9B1-EEE7-4067-ACB9-BBF966F0BD04}"/>
    <cellStyle name="Normal 11 2 2 2 5 4 2 5" xfId="28210" xr:uid="{FA14FC6A-FEDE-4618-BFB4-D9B77E4E9C2C}"/>
    <cellStyle name="Normal 11 2 2 2 5 4 2 5 2" xfId="28211" xr:uid="{B7027300-C06D-4ED9-B0DF-50263B0E058B}"/>
    <cellStyle name="Normal 11 2 2 2 5 4 2 6" xfId="28212" xr:uid="{4C156D58-E9F3-4BDE-9B14-737EBDC8BF85}"/>
    <cellStyle name="Normal 11 2 2 2 5 4 3" xfId="28213" xr:uid="{5D4ED142-132C-4937-BB0B-6C5074D01968}"/>
    <cellStyle name="Normal 11 2 2 2 5 4 3 2" xfId="28214" xr:uid="{66A43256-9907-4487-9DBE-4FF1A2FE533B}"/>
    <cellStyle name="Normal 11 2 2 2 5 4 3 2 2" xfId="28215" xr:uid="{D5A2B072-282B-4AF1-BCF9-7D094193755E}"/>
    <cellStyle name="Normal 11 2 2 2 5 4 3 2 2 2" xfId="28216" xr:uid="{5F89B84F-2EEB-47D3-8FBB-A8036D9CF99B}"/>
    <cellStyle name="Normal 11 2 2 2 5 4 3 2 2 2 2" xfId="28217" xr:uid="{21087B32-8DA7-47F0-8A21-EA59898975D1}"/>
    <cellStyle name="Normal 11 2 2 2 5 4 3 2 2 3" xfId="28218" xr:uid="{953CB98E-7D18-43E6-8699-64067483275B}"/>
    <cellStyle name="Normal 11 2 2 2 5 4 3 2 3" xfId="28219" xr:uid="{708A5B1E-45BC-48E6-80AE-DB679C4D70EC}"/>
    <cellStyle name="Normal 11 2 2 2 5 4 3 2 3 2" xfId="28220" xr:uid="{5A9C2358-6ABB-4C75-9A43-60BD43AE2F7A}"/>
    <cellStyle name="Normal 11 2 2 2 5 4 3 2 4" xfId="28221" xr:uid="{9BCB15E7-E505-40D5-ACEA-86F9D5BC8545}"/>
    <cellStyle name="Normal 11 2 2 2 5 4 3 3" xfId="28222" xr:uid="{8C22BEE1-9631-4F69-94FB-F072848193A9}"/>
    <cellStyle name="Normal 11 2 2 2 5 4 3 3 2" xfId="28223" xr:uid="{1BA3D5FD-C7CF-4E81-B2B0-0B6BD3A88B32}"/>
    <cellStyle name="Normal 11 2 2 2 5 4 3 3 2 2" xfId="28224" xr:uid="{42921786-2FFE-4976-932A-13995F9629CE}"/>
    <cellStyle name="Normal 11 2 2 2 5 4 3 3 3" xfId="28225" xr:uid="{BE8CDA28-F3D3-44ED-8440-20132776ACCC}"/>
    <cellStyle name="Normal 11 2 2 2 5 4 3 4" xfId="28226" xr:uid="{0CEEFC3D-6EE8-48DB-BD5D-74E360534D6B}"/>
    <cellStyle name="Normal 11 2 2 2 5 4 3 4 2" xfId="28227" xr:uid="{1AC6B315-210E-4514-B01B-B3B6B21AD168}"/>
    <cellStyle name="Normal 11 2 2 2 5 4 3 5" xfId="28228" xr:uid="{C0DC0695-16A8-4AEE-B185-4EF82B2A5072}"/>
    <cellStyle name="Normal 11 2 2 2 5 4 4" xfId="28229" xr:uid="{956BA878-186A-4F78-9288-4D5E4D5913FD}"/>
    <cellStyle name="Normal 11 2 2 2 5 4 4 2" xfId="28230" xr:uid="{66B93A85-1BB9-4935-8538-D80097285C96}"/>
    <cellStyle name="Normal 11 2 2 2 5 4 4 2 2" xfId="28231" xr:uid="{6A28F3AA-8162-4C54-9101-7A32742214FF}"/>
    <cellStyle name="Normal 11 2 2 2 5 4 4 2 2 2" xfId="28232" xr:uid="{A06500FD-A8F0-4C9B-A293-7E8F38262617}"/>
    <cellStyle name="Normal 11 2 2 2 5 4 4 2 3" xfId="28233" xr:uid="{DE63BA83-9572-4511-AEEE-D44C091DE1A9}"/>
    <cellStyle name="Normal 11 2 2 2 5 4 4 3" xfId="28234" xr:uid="{F8C3A73C-AD40-4965-B2D1-829734EC1A22}"/>
    <cellStyle name="Normal 11 2 2 2 5 4 4 3 2" xfId="28235" xr:uid="{3F51CAB6-AD70-4C3F-B594-067E07CF1B97}"/>
    <cellStyle name="Normal 11 2 2 2 5 4 4 4" xfId="28236" xr:uid="{C6A9547B-8576-4084-A63A-7710744382A0}"/>
    <cellStyle name="Normal 11 2 2 2 5 4 5" xfId="28237" xr:uid="{9C0EED7E-B7F0-4245-990B-4B277DC5D88C}"/>
    <cellStyle name="Normal 11 2 2 2 5 4 5 2" xfId="28238" xr:uid="{74180595-ABC8-4F74-ADE2-C3AB86E6C92A}"/>
    <cellStyle name="Normal 11 2 2 2 5 4 5 2 2" xfId="28239" xr:uid="{12F9C1E3-CA2F-4374-8E67-626EAF42BB61}"/>
    <cellStyle name="Normal 11 2 2 2 5 4 5 3" xfId="28240" xr:uid="{C2228DE2-E00F-45C9-BFA8-3B92D5D9310A}"/>
    <cellStyle name="Normal 11 2 2 2 5 4 6" xfId="28241" xr:uid="{98D6CC27-95BD-4C44-AD5E-DE4BE3595981}"/>
    <cellStyle name="Normal 11 2 2 2 5 4 6 2" xfId="28242" xr:uid="{17D629F4-C348-4BE9-969F-CA82A0371AF5}"/>
    <cellStyle name="Normal 11 2 2 2 5 4 7" xfId="28243" xr:uid="{7EE4F4F8-DFEA-4E3D-9B45-30CF283524CB}"/>
    <cellStyle name="Normal 11 2 2 2 5 5" xfId="28244" xr:uid="{089DA46D-A77B-4522-82C9-00E99C97AD50}"/>
    <cellStyle name="Normal 11 2 2 2 5 5 2" xfId="28245" xr:uid="{D69FECC7-B802-4125-8CC6-C705F72650BC}"/>
    <cellStyle name="Normal 11 2 2 2 5 5 2 2" xfId="28246" xr:uid="{A015F916-4A6B-425F-8347-BB014501E4FB}"/>
    <cellStyle name="Normal 11 2 2 2 5 5 2 2 2" xfId="28247" xr:uid="{97ABC019-5BCC-47C1-ACF0-4B07943B456E}"/>
    <cellStyle name="Normal 11 2 2 2 5 5 2 2 2 2" xfId="28248" xr:uid="{4696B4DD-CCAC-49F5-A705-9BB6A8D99DF4}"/>
    <cellStyle name="Normal 11 2 2 2 5 5 2 2 2 2 2" xfId="28249" xr:uid="{3A04D42A-6F23-4757-85A9-AA59FC363016}"/>
    <cellStyle name="Normal 11 2 2 2 5 5 2 2 2 3" xfId="28250" xr:uid="{A9AA2AD7-6079-4AA7-BD4D-A9BB37020A23}"/>
    <cellStyle name="Normal 11 2 2 2 5 5 2 2 3" xfId="28251" xr:uid="{2D2D60EE-33C7-45B0-8A5C-489D82A5A077}"/>
    <cellStyle name="Normal 11 2 2 2 5 5 2 2 3 2" xfId="28252" xr:uid="{BE9A1B15-C98D-4260-AB9C-924DE4C83E28}"/>
    <cellStyle name="Normal 11 2 2 2 5 5 2 2 4" xfId="28253" xr:uid="{A1F42002-622B-4A6F-8382-644956AEDCDF}"/>
    <cellStyle name="Normal 11 2 2 2 5 5 2 3" xfId="28254" xr:uid="{A6BA48C3-75E0-4680-B92C-FDEBEF707898}"/>
    <cellStyle name="Normal 11 2 2 2 5 5 2 3 2" xfId="28255" xr:uid="{0A022AE8-68E6-45AB-BE5F-EEEA4156671C}"/>
    <cellStyle name="Normal 11 2 2 2 5 5 2 3 2 2" xfId="28256" xr:uid="{918EA940-EE39-43F7-A94C-185373554CAB}"/>
    <cellStyle name="Normal 11 2 2 2 5 5 2 3 3" xfId="28257" xr:uid="{54C56CD3-314E-4DBC-A359-DAD0567E29A5}"/>
    <cellStyle name="Normal 11 2 2 2 5 5 2 4" xfId="28258" xr:uid="{7244E9E9-A09D-42B0-9E6B-F6556F8C221E}"/>
    <cellStyle name="Normal 11 2 2 2 5 5 2 4 2" xfId="28259" xr:uid="{3C1ABE61-0810-4296-B436-1229A3438134}"/>
    <cellStyle name="Normal 11 2 2 2 5 5 2 5" xfId="28260" xr:uid="{349858F6-A191-428B-9FD4-85ADDFC17464}"/>
    <cellStyle name="Normal 11 2 2 2 5 5 3" xfId="28261" xr:uid="{A92C3200-5E64-47D1-8C44-A7767B814473}"/>
    <cellStyle name="Normal 11 2 2 2 5 5 3 2" xfId="28262" xr:uid="{8AFF5178-10D0-4576-B167-C902B5CDD19D}"/>
    <cellStyle name="Normal 11 2 2 2 5 5 3 2 2" xfId="28263" xr:uid="{6B37DA1B-20F3-4C94-AE84-28116D20DA34}"/>
    <cellStyle name="Normal 11 2 2 2 5 5 3 2 2 2" xfId="28264" xr:uid="{8693F796-FE64-4978-A269-D418ECC34AD4}"/>
    <cellStyle name="Normal 11 2 2 2 5 5 3 2 3" xfId="28265" xr:uid="{6F19D122-F186-4FAA-B7D4-081B402EAF07}"/>
    <cellStyle name="Normal 11 2 2 2 5 5 3 3" xfId="28266" xr:uid="{1E019E48-54F2-4295-B2C2-7E04E4F038C7}"/>
    <cellStyle name="Normal 11 2 2 2 5 5 3 3 2" xfId="28267" xr:uid="{03B2ED00-6819-4E73-B226-6D6D55FAD655}"/>
    <cellStyle name="Normal 11 2 2 2 5 5 3 4" xfId="28268" xr:uid="{9D1A6997-5007-4133-9540-9FEB7FFA2658}"/>
    <cellStyle name="Normal 11 2 2 2 5 5 4" xfId="28269" xr:uid="{97EA6102-F3A8-480B-9396-B78DFFD15BAA}"/>
    <cellStyle name="Normal 11 2 2 2 5 5 4 2" xfId="28270" xr:uid="{D411BF18-9EAC-4B32-9E36-E98896313650}"/>
    <cellStyle name="Normal 11 2 2 2 5 5 4 2 2" xfId="28271" xr:uid="{2AB1DFA8-ED65-413D-8F4B-9868BAD4FF0F}"/>
    <cellStyle name="Normal 11 2 2 2 5 5 4 3" xfId="28272" xr:uid="{F0E8F309-B5B8-45C7-80BE-C44BE3325DC2}"/>
    <cellStyle name="Normal 11 2 2 2 5 5 5" xfId="28273" xr:uid="{4B6A6B3F-7C8B-4F4E-92DD-8F72A022BC2F}"/>
    <cellStyle name="Normal 11 2 2 2 5 5 5 2" xfId="28274" xr:uid="{028E6DAF-187D-4BBF-B958-321864EA88E5}"/>
    <cellStyle name="Normal 11 2 2 2 5 5 6" xfId="28275" xr:uid="{586876D7-3804-4DCA-9806-5D6E5713C13D}"/>
    <cellStyle name="Normal 11 2 2 2 5 6" xfId="28276" xr:uid="{4A836102-17E6-48DF-B256-6F88B28F2984}"/>
    <cellStyle name="Normal 11 2 2 2 5 6 2" xfId="28277" xr:uid="{2EDD74B6-55BE-4466-8B67-E8CDE46E5D70}"/>
    <cellStyle name="Normal 11 2 2 2 5 6 2 2" xfId="28278" xr:uid="{F522E619-15D2-43F9-8649-34FBA386C590}"/>
    <cellStyle name="Normal 11 2 2 2 5 6 2 2 2" xfId="28279" xr:uid="{6FC85708-D921-4B31-8B65-2F6020E812A8}"/>
    <cellStyle name="Normal 11 2 2 2 5 6 2 2 2 2" xfId="28280" xr:uid="{67DB8719-A2B6-44EB-9145-89D47E51812C}"/>
    <cellStyle name="Normal 11 2 2 2 5 6 2 2 3" xfId="28281" xr:uid="{2ED45FF9-E6C6-4D91-A414-40D10D813828}"/>
    <cellStyle name="Normal 11 2 2 2 5 6 2 3" xfId="28282" xr:uid="{110B19A8-86D6-4504-A0BA-D936A693EB58}"/>
    <cellStyle name="Normal 11 2 2 2 5 6 2 3 2" xfId="28283" xr:uid="{A88DB684-371E-4616-8999-CE953BFEBD40}"/>
    <cellStyle name="Normal 11 2 2 2 5 6 2 4" xfId="28284" xr:uid="{59493146-4E7F-405F-A928-D6BBA9F7B3E3}"/>
    <cellStyle name="Normal 11 2 2 2 5 6 3" xfId="28285" xr:uid="{77EB9D80-0A16-4818-A0F4-60EF0191FA3C}"/>
    <cellStyle name="Normal 11 2 2 2 5 6 3 2" xfId="28286" xr:uid="{8BEE93FE-CDBC-4B06-AF2A-2B75AC65D7A6}"/>
    <cellStyle name="Normal 11 2 2 2 5 6 3 2 2" xfId="28287" xr:uid="{FBE7BBF4-604F-4EB8-A203-D5AB82340DE0}"/>
    <cellStyle name="Normal 11 2 2 2 5 6 3 3" xfId="28288" xr:uid="{A9A7F431-D961-4D27-B134-3A46228CA53D}"/>
    <cellStyle name="Normal 11 2 2 2 5 6 4" xfId="28289" xr:uid="{8936DCAB-4ABC-4B30-9F61-DA1ABBA7875B}"/>
    <cellStyle name="Normal 11 2 2 2 5 6 4 2" xfId="28290" xr:uid="{7CF0AC75-3FB6-4EE6-8682-D909DFFBE6D5}"/>
    <cellStyle name="Normal 11 2 2 2 5 6 5" xfId="28291" xr:uid="{A870B583-AF6F-42EB-91D1-3DD36FD7DF7C}"/>
    <cellStyle name="Normal 11 2 2 2 5 7" xfId="28292" xr:uid="{0F3E70A1-B0F4-44E3-921D-3BA319D8C61C}"/>
    <cellStyle name="Normal 11 2 2 2 5 7 2" xfId="28293" xr:uid="{A7037326-E93D-4231-AF32-DAFEB862683E}"/>
    <cellStyle name="Normal 11 2 2 2 5 7 2 2" xfId="28294" xr:uid="{276811D7-C89D-4DD2-B299-247527C26A98}"/>
    <cellStyle name="Normal 11 2 2 2 5 7 2 2 2" xfId="28295" xr:uid="{9BCF2163-A7C8-4A29-A5CD-9A0AA76FAE22}"/>
    <cellStyle name="Normal 11 2 2 2 5 7 2 3" xfId="28296" xr:uid="{16E1CB82-4707-44E0-B2B4-F5BF735F8486}"/>
    <cellStyle name="Normal 11 2 2 2 5 7 3" xfId="28297" xr:uid="{AFC9234A-E790-4B97-9887-F10C1852F902}"/>
    <cellStyle name="Normal 11 2 2 2 5 7 3 2" xfId="28298" xr:uid="{47F0A61F-A02C-4CA7-B015-25850173019F}"/>
    <cellStyle name="Normal 11 2 2 2 5 7 4" xfId="28299" xr:uid="{FABAA9E1-FDD3-4203-9281-F7D5BA84A50F}"/>
    <cellStyle name="Normal 11 2 2 2 5 8" xfId="28300" xr:uid="{BEAAB67A-C4AD-42B5-B29E-1E4F8624EA29}"/>
    <cellStyle name="Normal 11 2 2 2 5 8 2" xfId="28301" xr:uid="{B8C9954D-C39C-405A-9C05-CA7C25709365}"/>
    <cellStyle name="Normal 11 2 2 2 5 8 2 2" xfId="28302" xr:uid="{D70EB418-8223-4149-A12C-858936C6D1DB}"/>
    <cellStyle name="Normal 11 2 2 2 5 8 3" xfId="28303" xr:uid="{0C9E5849-7785-4CC9-A6A7-76E041F703F1}"/>
    <cellStyle name="Normal 11 2 2 2 5 9" xfId="28304" xr:uid="{4F5A9AB4-71C7-422A-80F3-1B9AFA400ED8}"/>
    <cellStyle name="Normal 11 2 2 2 5 9 2" xfId="28305" xr:uid="{C8573730-1F44-471F-847A-6A00A1C10FC7}"/>
    <cellStyle name="Normal 11 2 2 2 6" xfId="351" xr:uid="{6C1B54D0-3D85-4755-ADFE-7475DA05BEAE}"/>
    <cellStyle name="Normal 11 2 2 2 6 10" xfId="28306" xr:uid="{9E798736-A79B-4D68-9602-CBE1AE1E6D74}"/>
    <cellStyle name="Normal 11 2 2 2 6 2" xfId="28307" xr:uid="{FFDB0969-F43F-44D2-A6C5-59EFD65ABD17}"/>
    <cellStyle name="Normal 11 2 2 2 6 2 2" xfId="28308" xr:uid="{21660BBC-2901-40BD-A001-0F8297971B47}"/>
    <cellStyle name="Normal 11 2 2 2 6 2 2 2" xfId="28309" xr:uid="{AE58A0AD-E485-48AB-BD72-44D5F2F1B7AD}"/>
    <cellStyle name="Normal 11 2 2 2 6 2 2 2 2" xfId="28310" xr:uid="{EA3158A2-290C-4287-8CA3-C75F8B6E59C3}"/>
    <cellStyle name="Normal 11 2 2 2 6 2 2 2 2 2" xfId="28311" xr:uid="{50724313-DF76-4951-85CB-DA450777BDF0}"/>
    <cellStyle name="Normal 11 2 2 2 6 2 2 2 2 2 2" xfId="28312" xr:uid="{AE49C903-6A20-4C4E-AFFD-A066301AFB7D}"/>
    <cellStyle name="Normal 11 2 2 2 6 2 2 2 2 2 2 2" xfId="28313" xr:uid="{D515CEB8-989A-46E1-AF61-5EEDFB081ECB}"/>
    <cellStyle name="Normal 11 2 2 2 6 2 2 2 2 2 2 2 2" xfId="28314" xr:uid="{0925B9FF-13E2-4ED9-A33D-B1C9A6CA9B3E}"/>
    <cellStyle name="Normal 11 2 2 2 6 2 2 2 2 2 2 3" xfId="28315" xr:uid="{6F7B2AD1-7FDD-449F-8CC8-3D662EC2D565}"/>
    <cellStyle name="Normal 11 2 2 2 6 2 2 2 2 2 3" xfId="28316" xr:uid="{ABF53B62-1A08-491A-A1F8-F435A63E2188}"/>
    <cellStyle name="Normal 11 2 2 2 6 2 2 2 2 2 3 2" xfId="28317" xr:uid="{A3C9F884-A663-44F3-9A7E-1115AE781048}"/>
    <cellStyle name="Normal 11 2 2 2 6 2 2 2 2 2 4" xfId="28318" xr:uid="{ED7840B7-EB6E-4BA9-AC7A-10F62A05EFEF}"/>
    <cellStyle name="Normal 11 2 2 2 6 2 2 2 2 3" xfId="28319" xr:uid="{C48678CD-24F9-4B6C-8D07-8CD69F1E3384}"/>
    <cellStyle name="Normal 11 2 2 2 6 2 2 2 2 3 2" xfId="28320" xr:uid="{2A1A4A6D-BECA-4DEF-9C53-E9F9068F1149}"/>
    <cellStyle name="Normal 11 2 2 2 6 2 2 2 2 3 2 2" xfId="28321" xr:uid="{5DABD6DC-3C8C-4037-80E6-1326EA3B9B25}"/>
    <cellStyle name="Normal 11 2 2 2 6 2 2 2 2 3 3" xfId="28322" xr:uid="{407CFB43-B7DA-435E-B6C2-9951721DEEB1}"/>
    <cellStyle name="Normal 11 2 2 2 6 2 2 2 2 4" xfId="28323" xr:uid="{D58A1364-223E-4E33-99FC-47E1FD9D9747}"/>
    <cellStyle name="Normal 11 2 2 2 6 2 2 2 2 4 2" xfId="28324" xr:uid="{3EC8BAC4-1D30-4BB2-82B4-24296194B7CF}"/>
    <cellStyle name="Normal 11 2 2 2 6 2 2 2 2 5" xfId="28325" xr:uid="{273504EF-4FFE-47CB-B7D9-E34C43754C9B}"/>
    <cellStyle name="Normal 11 2 2 2 6 2 2 2 3" xfId="28326" xr:uid="{6EF47B1F-0501-4C29-8EA1-4C406263CCE0}"/>
    <cellStyle name="Normal 11 2 2 2 6 2 2 2 3 2" xfId="28327" xr:uid="{0A68E04D-A255-4A9D-B0B7-BF39EC488553}"/>
    <cellStyle name="Normal 11 2 2 2 6 2 2 2 3 2 2" xfId="28328" xr:uid="{1F8413AA-98F6-4042-83AA-7DB9E86FCE1F}"/>
    <cellStyle name="Normal 11 2 2 2 6 2 2 2 3 2 2 2" xfId="28329" xr:uid="{BBA75A0E-522C-4E75-BAB2-D1CC60A64DD8}"/>
    <cellStyle name="Normal 11 2 2 2 6 2 2 2 3 2 3" xfId="28330" xr:uid="{BD7C39AB-B035-4E88-824E-33C334DEE4A0}"/>
    <cellStyle name="Normal 11 2 2 2 6 2 2 2 3 3" xfId="28331" xr:uid="{E9BA52E1-F8AD-4530-B673-7029B1AEBAE6}"/>
    <cellStyle name="Normal 11 2 2 2 6 2 2 2 3 3 2" xfId="28332" xr:uid="{B20A726D-C929-445D-8C18-56FD26585CC3}"/>
    <cellStyle name="Normal 11 2 2 2 6 2 2 2 3 4" xfId="28333" xr:uid="{ED00E483-7B4C-4F61-84DF-A2F68DE6A162}"/>
    <cellStyle name="Normal 11 2 2 2 6 2 2 2 4" xfId="28334" xr:uid="{60D7470F-D810-4B99-B1B5-1182BE9F8665}"/>
    <cellStyle name="Normal 11 2 2 2 6 2 2 2 4 2" xfId="28335" xr:uid="{26DFE2C9-8BAA-4FEA-970B-F6385FD065B1}"/>
    <cellStyle name="Normal 11 2 2 2 6 2 2 2 4 2 2" xfId="28336" xr:uid="{184E28FE-B7CE-4D39-B9E4-DB880F65207A}"/>
    <cellStyle name="Normal 11 2 2 2 6 2 2 2 4 3" xfId="28337" xr:uid="{44DFABDD-427A-4E3E-BC32-411639C9AE0F}"/>
    <cellStyle name="Normal 11 2 2 2 6 2 2 2 5" xfId="28338" xr:uid="{CB87BCD4-044F-459B-B5A7-7008C9294E06}"/>
    <cellStyle name="Normal 11 2 2 2 6 2 2 2 5 2" xfId="28339" xr:uid="{FEDB6F04-DC08-4817-9B11-6DC27B0D4728}"/>
    <cellStyle name="Normal 11 2 2 2 6 2 2 2 6" xfId="28340" xr:uid="{6FBB8DAB-189F-4B78-ADED-35B65920A51E}"/>
    <cellStyle name="Normal 11 2 2 2 6 2 2 3" xfId="28341" xr:uid="{931E8B76-A8B8-48DF-A476-D2C3D5AAC3AE}"/>
    <cellStyle name="Normal 11 2 2 2 6 2 2 3 2" xfId="28342" xr:uid="{E6481AE7-8E9B-4D32-9D64-324179E14D96}"/>
    <cellStyle name="Normal 11 2 2 2 6 2 2 3 2 2" xfId="28343" xr:uid="{7FFE7C25-DA65-47C7-82CA-0AD5C3D9CF35}"/>
    <cellStyle name="Normal 11 2 2 2 6 2 2 3 2 2 2" xfId="28344" xr:uid="{4628711D-30C5-4E7B-8847-31BFED132DFA}"/>
    <cellStyle name="Normal 11 2 2 2 6 2 2 3 2 2 2 2" xfId="28345" xr:uid="{C5A08733-E26A-4FEF-9ED3-BD90D0D8878C}"/>
    <cellStyle name="Normal 11 2 2 2 6 2 2 3 2 2 3" xfId="28346" xr:uid="{8A51F82F-A492-471C-8B78-56BC2141780A}"/>
    <cellStyle name="Normal 11 2 2 2 6 2 2 3 2 3" xfId="28347" xr:uid="{348D6E5E-4F36-4689-B76E-65DBF615DB55}"/>
    <cellStyle name="Normal 11 2 2 2 6 2 2 3 2 3 2" xfId="28348" xr:uid="{3443D111-6BDC-4473-A3DA-36A7536C58F9}"/>
    <cellStyle name="Normal 11 2 2 2 6 2 2 3 2 4" xfId="28349" xr:uid="{5BBE847C-2C68-4688-80DE-B4144A7EF663}"/>
    <cellStyle name="Normal 11 2 2 2 6 2 2 3 3" xfId="28350" xr:uid="{1EF67E83-29C0-4F29-991F-2BF0CC8550E7}"/>
    <cellStyle name="Normal 11 2 2 2 6 2 2 3 3 2" xfId="28351" xr:uid="{05C290F8-9CB4-489C-A603-67AB1885E876}"/>
    <cellStyle name="Normal 11 2 2 2 6 2 2 3 3 2 2" xfId="28352" xr:uid="{80C47222-8789-4510-B862-6B29EB35EAE7}"/>
    <cellStyle name="Normal 11 2 2 2 6 2 2 3 3 3" xfId="28353" xr:uid="{DBB5FA2D-ACFC-40C8-80DF-97BA7E403BBE}"/>
    <cellStyle name="Normal 11 2 2 2 6 2 2 3 4" xfId="28354" xr:uid="{FA44AB1C-DF02-4D15-90A0-0B7BCE4D18D9}"/>
    <cellStyle name="Normal 11 2 2 2 6 2 2 3 4 2" xfId="28355" xr:uid="{C5213A5B-0190-4641-B318-EF825DE80610}"/>
    <cellStyle name="Normal 11 2 2 2 6 2 2 3 5" xfId="28356" xr:uid="{47ABCDB0-C7FD-4C6B-A76E-4959EEDFBF6C}"/>
    <cellStyle name="Normal 11 2 2 2 6 2 2 4" xfId="28357" xr:uid="{EFE98AB7-51F6-4D8B-B30B-6341E64BF727}"/>
    <cellStyle name="Normal 11 2 2 2 6 2 2 4 2" xfId="28358" xr:uid="{9E0E1967-2449-44C5-B0D7-F2F6E51A56CA}"/>
    <cellStyle name="Normal 11 2 2 2 6 2 2 4 2 2" xfId="28359" xr:uid="{D653ACA4-961C-4C3C-AFB0-101DFE37BCC8}"/>
    <cellStyle name="Normal 11 2 2 2 6 2 2 4 2 2 2" xfId="28360" xr:uid="{C696B5A9-5CF9-40BB-AD79-66EA838158AA}"/>
    <cellStyle name="Normal 11 2 2 2 6 2 2 4 2 3" xfId="28361" xr:uid="{032AF650-FB8D-40BC-9CA8-121E35A3F855}"/>
    <cellStyle name="Normal 11 2 2 2 6 2 2 4 3" xfId="28362" xr:uid="{2D276C0C-8508-4A98-82B8-F72D65DFCADF}"/>
    <cellStyle name="Normal 11 2 2 2 6 2 2 4 3 2" xfId="28363" xr:uid="{D000571C-304A-41C9-9AD4-E38AF98BB4D5}"/>
    <cellStyle name="Normal 11 2 2 2 6 2 2 4 4" xfId="28364" xr:uid="{DF7DDFB0-D437-47E5-B3A3-B5200110142B}"/>
    <cellStyle name="Normal 11 2 2 2 6 2 2 5" xfId="28365" xr:uid="{A8F6C72D-CC5A-4232-BC21-F1BAAA29DA3C}"/>
    <cellStyle name="Normal 11 2 2 2 6 2 2 5 2" xfId="28366" xr:uid="{980A59E2-25B8-469A-ADA6-D97FD1FDAC92}"/>
    <cellStyle name="Normal 11 2 2 2 6 2 2 5 2 2" xfId="28367" xr:uid="{3548C405-7780-4050-ACC4-8D6EEA377590}"/>
    <cellStyle name="Normal 11 2 2 2 6 2 2 5 3" xfId="28368" xr:uid="{4AC62A29-6E6B-4BF6-B47C-F203FDED2EB4}"/>
    <cellStyle name="Normal 11 2 2 2 6 2 2 6" xfId="28369" xr:uid="{B917BB5E-3465-4953-8595-87BB5796862D}"/>
    <cellStyle name="Normal 11 2 2 2 6 2 2 6 2" xfId="28370" xr:uid="{80B4063A-8658-43F4-94A2-C15C03066544}"/>
    <cellStyle name="Normal 11 2 2 2 6 2 2 7" xfId="28371" xr:uid="{8A1AD099-7107-4CC0-97B5-E2FA064D1BFB}"/>
    <cellStyle name="Normal 11 2 2 2 6 2 3" xfId="28372" xr:uid="{81C57DFF-590D-47DA-8C6C-AC8B942DC669}"/>
    <cellStyle name="Normal 11 2 2 2 6 2 3 2" xfId="28373" xr:uid="{7907DD07-52B6-4563-B807-D9EF119D0F3D}"/>
    <cellStyle name="Normal 11 2 2 2 6 2 3 2 2" xfId="28374" xr:uid="{2D136578-1C8C-45BA-9CB4-B5B131DC4187}"/>
    <cellStyle name="Normal 11 2 2 2 6 2 3 2 2 2" xfId="28375" xr:uid="{0DA289AD-D7E2-482E-A3EF-5C56EBF0D88A}"/>
    <cellStyle name="Normal 11 2 2 2 6 2 3 2 2 2 2" xfId="28376" xr:uid="{DE673CA9-7FE5-4FBF-99F5-6BABB48A1CED}"/>
    <cellStyle name="Normal 11 2 2 2 6 2 3 2 2 2 2 2" xfId="28377" xr:uid="{207CACFB-29DA-4901-A45E-4B7B1F3F6E24}"/>
    <cellStyle name="Normal 11 2 2 2 6 2 3 2 2 2 3" xfId="28378" xr:uid="{35124EAA-4A50-4227-B0FC-ECEA848DBA8F}"/>
    <cellStyle name="Normal 11 2 2 2 6 2 3 2 2 3" xfId="28379" xr:uid="{823C8A71-BCBF-4241-8AD4-C565650C469A}"/>
    <cellStyle name="Normal 11 2 2 2 6 2 3 2 2 3 2" xfId="28380" xr:uid="{0784EC21-BAE3-4C86-BDC7-D45B7A2AFD8D}"/>
    <cellStyle name="Normal 11 2 2 2 6 2 3 2 2 4" xfId="28381" xr:uid="{0B4B29AF-85B1-470E-A317-01FCA2CE1666}"/>
    <cellStyle name="Normal 11 2 2 2 6 2 3 2 3" xfId="28382" xr:uid="{10908F04-ED63-4E94-ABD0-B18CF0E1651E}"/>
    <cellStyle name="Normal 11 2 2 2 6 2 3 2 3 2" xfId="28383" xr:uid="{ACF37BF6-4578-4090-96B7-CD0055A7FBB1}"/>
    <cellStyle name="Normal 11 2 2 2 6 2 3 2 3 2 2" xfId="28384" xr:uid="{C8BB2159-83FF-4A66-8A1B-78396266DF1B}"/>
    <cellStyle name="Normal 11 2 2 2 6 2 3 2 3 3" xfId="28385" xr:uid="{7D21C57B-0C57-41C2-9557-6FC8B2D7A11E}"/>
    <cellStyle name="Normal 11 2 2 2 6 2 3 2 4" xfId="28386" xr:uid="{E05D10D1-448B-4BCB-B427-80C61774C24A}"/>
    <cellStyle name="Normal 11 2 2 2 6 2 3 2 4 2" xfId="28387" xr:uid="{40A30F90-390F-48A5-BDFA-8F573D8F1D44}"/>
    <cellStyle name="Normal 11 2 2 2 6 2 3 2 5" xfId="28388" xr:uid="{CA58C30E-33E0-49E1-9FAB-A333BD41BFC6}"/>
    <cellStyle name="Normal 11 2 2 2 6 2 3 3" xfId="28389" xr:uid="{603474FB-F5EA-4AB5-8394-17F8761A07D8}"/>
    <cellStyle name="Normal 11 2 2 2 6 2 3 3 2" xfId="28390" xr:uid="{5B303FF3-1D41-4403-8D2C-1A86F59F1CE5}"/>
    <cellStyle name="Normal 11 2 2 2 6 2 3 3 2 2" xfId="28391" xr:uid="{499A99BA-8D74-4C4E-AB98-FC88B8D31337}"/>
    <cellStyle name="Normal 11 2 2 2 6 2 3 3 2 2 2" xfId="28392" xr:uid="{1DA6E950-2B3F-4F21-8B14-E810D708E28C}"/>
    <cellStyle name="Normal 11 2 2 2 6 2 3 3 2 3" xfId="28393" xr:uid="{E53FC844-4090-4C15-B177-E02C9EAE39B6}"/>
    <cellStyle name="Normal 11 2 2 2 6 2 3 3 3" xfId="28394" xr:uid="{D0ACAAF3-CC1E-435B-B97D-6347DDED2A21}"/>
    <cellStyle name="Normal 11 2 2 2 6 2 3 3 3 2" xfId="28395" xr:uid="{3F7B99BA-EA01-45DB-B126-8ECDF06A701D}"/>
    <cellStyle name="Normal 11 2 2 2 6 2 3 3 4" xfId="28396" xr:uid="{F9921B0E-E37E-4B48-BCE1-E30CBDF1B731}"/>
    <cellStyle name="Normal 11 2 2 2 6 2 3 4" xfId="28397" xr:uid="{7FF8E422-95D5-4880-8571-90172A03ABEC}"/>
    <cellStyle name="Normal 11 2 2 2 6 2 3 4 2" xfId="28398" xr:uid="{42984087-BE39-43BE-9CF1-2778ADB07404}"/>
    <cellStyle name="Normal 11 2 2 2 6 2 3 4 2 2" xfId="28399" xr:uid="{400A5862-7C3E-48EF-BFDD-21A976BC42E8}"/>
    <cellStyle name="Normal 11 2 2 2 6 2 3 4 3" xfId="28400" xr:uid="{D15BFA27-E3D2-4934-8D8E-FB9413F99BA7}"/>
    <cellStyle name="Normal 11 2 2 2 6 2 3 5" xfId="28401" xr:uid="{062FE671-1141-4192-9C01-2098C39E48BB}"/>
    <cellStyle name="Normal 11 2 2 2 6 2 3 5 2" xfId="28402" xr:uid="{8E6028C3-F5AA-4362-BF97-AF365A2A8EB9}"/>
    <cellStyle name="Normal 11 2 2 2 6 2 3 6" xfId="28403" xr:uid="{FC3132E5-9181-412C-AE6F-5779F4EA8990}"/>
    <cellStyle name="Normal 11 2 2 2 6 2 4" xfId="28404" xr:uid="{F4FAF537-3AE0-465F-B383-7E53D45A697C}"/>
    <cellStyle name="Normal 11 2 2 2 6 2 4 2" xfId="28405" xr:uid="{65CC8AF4-9453-474F-A5BD-EB93AEF4CBD3}"/>
    <cellStyle name="Normal 11 2 2 2 6 2 4 2 2" xfId="28406" xr:uid="{4F8C4A88-E46E-406F-9D80-820E6A529611}"/>
    <cellStyle name="Normal 11 2 2 2 6 2 4 2 2 2" xfId="28407" xr:uid="{716FDA63-F140-4EBF-A651-EA194FCE2033}"/>
    <cellStyle name="Normal 11 2 2 2 6 2 4 2 2 2 2" xfId="28408" xr:uid="{A3792DA7-F054-49BD-A9CB-8F2414132931}"/>
    <cellStyle name="Normal 11 2 2 2 6 2 4 2 2 3" xfId="28409" xr:uid="{39ECF857-E468-4E23-868E-3DD86B0DD977}"/>
    <cellStyle name="Normal 11 2 2 2 6 2 4 2 3" xfId="28410" xr:uid="{663C0DD1-BA28-4F6D-A37C-761024A8E496}"/>
    <cellStyle name="Normal 11 2 2 2 6 2 4 2 3 2" xfId="28411" xr:uid="{F09644B0-4682-40A5-9D05-99D8ED6D6B9F}"/>
    <cellStyle name="Normal 11 2 2 2 6 2 4 2 4" xfId="28412" xr:uid="{42C30BDD-392F-427C-A9F1-C5052E26626B}"/>
    <cellStyle name="Normal 11 2 2 2 6 2 4 3" xfId="28413" xr:uid="{9AFA32AF-6A72-4650-AFAD-591FE295AF41}"/>
    <cellStyle name="Normal 11 2 2 2 6 2 4 3 2" xfId="28414" xr:uid="{F6118E7C-EBB7-42AD-B901-1E1207C8860E}"/>
    <cellStyle name="Normal 11 2 2 2 6 2 4 3 2 2" xfId="28415" xr:uid="{6331CC23-CE99-4B81-8A73-9A7DC6E79059}"/>
    <cellStyle name="Normal 11 2 2 2 6 2 4 3 3" xfId="28416" xr:uid="{52CBA070-0F4D-4BE2-934E-396CB9F1E875}"/>
    <cellStyle name="Normal 11 2 2 2 6 2 4 4" xfId="28417" xr:uid="{A7945DE1-8BEE-4230-9E14-3287F0E1E7C2}"/>
    <cellStyle name="Normal 11 2 2 2 6 2 4 4 2" xfId="28418" xr:uid="{576CB301-014A-4290-97A6-CBBDCF8678F4}"/>
    <cellStyle name="Normal 11 2 2 2 6 2 4 5" xfId="28419" xr:uid="{32F1C85C-D87B-4149-A18F-5760001B9D3C}"/>
    <cellStyle name="Normal 11 2 2 2 6 2 5" xfId="28420" xr:uid="{59CC300E-EAE2-4CEE-B301-B3E4304316B7}"/>
    <cellStyle name="Normal 11 2 2 2 6 2 5 2" xfId="28421" xr:uid="{173CE64E-8E8A-4D04-9C9C-0640FB12DC68}"/>
    <cellStyle name="Normal 11 2 2 2 6 2 5 2 2" xfId="28422" xr:uid="{DC4C0C4E-B247-4E0D-8940-E333017E3071}"/>
    <cellStyle name="Normal 11 2 2 2 6 2 5 2 2 2" xfId="28423" xr:uid="{8A647CD4-CF4D-4C2A-A2E5-B321D185F1AA}"/>
    <cellStyle name="Normal 11 2 2 2 6 2 5 2 3" xfId="28424" xr:uid="{E46BD8CA-006F-4E99-BFA4-129DD4E80134}"/>
    <cellStyle name="Normal 11 2 2 2 6 2 5 3" xfId="28425" xr:uid="{83B3B6F6-B7FB-4624-A64B-88F963B0994B}"/>
    <cellStyle name="Normal 11 2 2 2 6 2 5 3 2" xfId="28426" xr:uid="{2129754D-0BD1-4983-93A2-E7EA34D8A511}"/>
    <cellStyle name="Normal 11 2 2 2 6 2 5 4" xfId="28427" xr:uid="{2B6C17D7-718B-409C-B825-3A17739D640F}"/>
    <cellStyle name="Normal 11 2 2 2 6 2 6" xfId="28428" xr:uid="{74A51D47-397B-487D-A0AF-29EFA6AECB9C}"/>
    <cellStyle name="Normal 11 2 2 2 6 2 6 2" xfId="28429" xr:uid="{EE703939-6D28-4CE7-B9C3-344DABAF220D}"/>
    <cellStyle name="Normal 11 2 2 2 6 2 6 2 2" xfId="28430" xr:uid="{50B9C600-F4D3-483D-B05B-4F0504A16FB3}"/>
    <cellStyle name="Normal 11 2 2 2 6 2 6 3" xfId="28431" xr:uid="{6554DB91-5A4C-4630-B127-2F0B275AA0A7}"/>
    <cellStyle name="Normal 11 2 2 2 6 2 7" xfId="28432" xr:uid="{1F1C6691-5AF3-42B9-9987-208B1F750F1E}"/>
    <cellStyle name="Normal 11 2 2 2 6 2 7 2" xfId="28433" xr:uid="{3250BA93-614C-4DCE-982D-99BC09B55D4F}"/>
    <cellStyle name="Normal 11 2 2 2 6 2 8" xfId="28434" xr:uid="{10352FED-15E1-40FB-A862-EEBB2370CB8A}"/>
    <cellStyle name="Normal 11 2 2 2 6 3" xfId="28435" xr:uid="{F1BC0C0E-EC0E-4F38-BDC0-C5E2D591435E}"/>
    <cellStyle name="Normal 11 2 2 2 6 3 2" xfId="28436" xr:uid="{DB94EDF9-16EC-4CC7-B2B5-FEC9236454B9}"/>
    <cellStyle name="Normal 11 2 2 2 6 3 2 2" xfId="28437" xr:uid="{D846377F-0B10-4D95-86DC-7EAE5CA81315}"/>
    <cellStyle name="Normal 11 2 2 2 6 3 2 2 2" xfId="28438" xr:uid="{C0E6F4AA-5F40-4F10-9360-22A29254B2B8}"/>
    <cellStyle name="Normal 11 2 2 2 6 3 2 2 2 2" xfId="28439" xr:uid="{C49D6737-E494-4EC6-9132-E7D40A72EFB0}"/>
    <cellStyle name="Normal 11 2 2 2 6 3 2 2 2 2 2" xfId="28440" xr:uid="{6D4E78A9-423F-4CC9-A4E9-6279CA53058D}"/>
    <cellStyle name="Normal 11 2 2 2 6 3 2 2 2 2 2 2" xfId="28441" xr:uid="{4EC9897D-9343-478D-9180-5A5B176B209E}"/>
    <cellStyle name="Normal 11 2 2 2 6 3 2 2 2 2 3" xfId="28442" xr:uid="{4FAA8D85-C9CE-40D0-9361-15B0CC3C5D83}"/>
    <cellStyle name="Normal 11 2 2 2 6 3 2 2 2 3" xfId="28443" xr:uid="{46D228DF-0EDE-4D61-9F7A-29A5FE8E2FF1}"/>
    <cellStyle name="Normal 11 2 2 2 6 3 2 2 2 3 2" xfId="28444" xr:uid="{18BAB59F-DEED-4A72-8786-B36D6332E49A}"/>
    <cellStyle name="Normal 11 2 2 2 6 3 2 2 2 4" xfId="28445" xr:uid="{F7B2505B-6B44-42D2-972C-1D4C92C33E2A}"/>
    <cellStyle name="Normal 11 2 2 2 6 3 2 2 3" xfId="28446" xr:uid="{673ADAF6-3744-416B-A00F-E9C743975ED0}"/>
    <cellStyle name="Normal 11 2 2 2 6 3 2 2 3 2" xfId="28447" xr:uid="{4202F007-5E55-4B97-8F7F-E3471FA6D998}"/>
    <cellStyle name="Normal 11 2 2 2 6 3 2 2 3 2 2" xfId="28448" xr:uid="{65A9CBA6-D402-4AD9-9949-307E78658F08}"/>
    <cellStyle name="Normal 11 2 2 2 6 3 2 2 3 3" xfId="28449" xr:uid="{54688CBF-DCD9-4A4A-9E01-D735F53389FC}"/>
    <cellStyle name="Normal 11 2 2 2 6 3 2 2 4" xfId="28450" xr:uid="{320F84FB-2543-4C1B-AC5C-6A95F31E3944}"/>
    <cellStyle name="Normal 11 2 2 2 6 3 2 2 4 2" xfId="28451" xr:uid="{E190B765-8696-4309-BCD5-0C9E53A9AFAB}"/>
    <cellStyle name="Normal 11 2 2 2 6 3 2 2 5" xfId="28452" xr:uid="{191316D2-3AA9-46D6-A0C4-DFE3F0B67714}"/>
    <cellStyle name="Normal 11 2 2 2 6 3 2 3" xfId="28453" xr:uid="{9EB2C296-52E6-4608-8A5B-15FD7A910438}"/>
    <cellStyle name="Normal 11 2 2 2 6 3 2 3 2" xfId="28454" xr:uid="{263F9DB2-5E75-4DF5-9288-9B49EE3C8A7C}"/>
    <cellStyle name="Normal 11 2 2 2 6 3 2 3 2 2" xfId="28455" xr:uid="{05AEAAE8-6C43-4728-A789-9900E3D96239}"/>
    <cellStyle name="Normal 11 2 2 2 6 3 2 3 2 2 2" xfId="28456" xr:uid="{BA9862C2-E961-4AA4-8824-8B86EA378544}"/>
    <cellStyle name="Normal 11 2 2 2 6 3 2 3 2 3" xfId="28457" xr:uid="{521EE270-93C3-4C22-818C-04F56B52541B}"/>
    <cellStyle name="Normal 11 2 2 2 6 3 2 3 3" xfId="28458" xr:uid="{B3D168D2-8338-46FE-8CD3-1677B948022D}"/>
    <cellStyle name="Normal 11 2 2 2 6 3 2 3 3 2" xfId="28459" xr:uid="{0A968988-4151-48C4-9A47-FD3D924AA42E}"/>
    <cellStyle name="Normal 11 2 2 2 6 3 2 3 4" xfId="28460" xr:uid="{5790003D-7269-4C8D-931E-2DFE6CDF852E}"/>
    <cellStyle name="Normal 11 2 2 2 6 3 2 4" xfId="28461" xr:uid="{8B4DE17B-7B1F-4861-8115-5F9585EAAE61}"/>
    <cellStyle name="Normal 11 2 2 2 6 3 2 4 2" xfId="28462" xr:uid="{B528EC08-5DE9-4276-805E-62177C5A3C84}"/>
    <cellStyle name="Normal 11 2 2 2 6 3 2 4 2 2" xfId="28463" xr:uid="{F3733D01-4149-42A3-9928-3E47D797CB37}"/>
    <cellStyle name="Normal 11 2 2 2 6 3 2 4 3" xfId="28464" xr:uid="{37B031EF-26BA-48F2-AED4-1E2B773FBFAE}"/>
    <cellStyle name="Normal 11 2 2 2 6 3 2 5" xfId="28465" xr:uid="{EF231AC6-7F80-441E-8ACC-53B4D2F14126}"/>
    <cellStyle name="Normal 11 2 2 2 6 3 2 5 2" xfId="28466" xr:uid="{F2976186-A619-4E26-AB5A-97C9BE7C295C}"/>
    <cellStyle name="Normal 11 2 2 2 6 3 2 6" xfId="28467" xr:uid="{6B2682C9-2834-406A-85DB-767A244F12F5}"/>
    <cellStyle name="Normal 11 2 2 2 6 3 3" xfId="28468" xr:uid="{FA7A0DBC-BD89-408B-BD65-0135B09A206A}"/>
    <cellStyle name="Normal 11 2 2 2 6 3 3 2" xfId="28469" xr:uid="{73EE4EAD-05EC-4239-83E1-BEF813CDCC53}"/>
    <cellStyle name="Normal 11 2 2 2 6 3 3 2 2" xfId="28470" xr:uid="{873C6C12-833F-4C7E-BB23-DB53900967A2}"/>
    <cellStyle name="Normal 11 2 2 2 6 3 3 2 2 2" xfId="28471" xr:uid="{17E0F657-30E8-4B14-BE98-6C0D32D6E1F1}"/>
    <cellStyle name="Normal 11 2 2 2 6 3 3 2 2 2 2" xfId="28472" xr:uid="{77EBEA64-E975-4874-B739-4C697F93AD83}"/>
    <cellStyle name="Normal 11 2 2 2 6 3 3 2 2 3" xfId="28473" xr:uid="{F4D2ECF7-67CF-4869-949E-F807CA4C2E9B}"/>
    <cellStyle name="Normal 11 2 2 2 6 3 3 2 3" xfId="28474" xr:uid="{FE7138FB-5A25-437C-9460-BABCFF0DADB3}"/>
    <cellStyle name="Normal 11 2 2 2 6 3 3 2 3 2" xfId="28475" xr:uid="{68AF067A-A592-43A5-A139-3BBCD120BAF8}"/>
    <cellStyle name="Normal 11 2 2 2 6 3 3 2 4" xfId="28476" xr:uid="{67446871-C83D-4AD1-8074-929939EB8B21}"/>
    <cellStyle name="Normal 11 2 2 2 6 3 3 3" xfId="28477" xr:uid="{1047F9E7-5DCC-495D-B465-003C098DB0B1}"/>
    <cellStyle name="Normal 11 2 2 2 6 3 3 3 2" xfId="28478" xr:uid="{ECBD61F3-18BF-4DC0-A47A-1A373C83F9C7}"/>
    <cellStyle name="Normal 11 2 2 2 6 3 3 3 2 2" xfId="28479" xr:uid="{50DD0B16-05F9-443D-945D-15E934863E7E}"/>
    <cellStyle name="Normal 11 2 2 2 6 3 3 3 3" xfId="28480" xr:uid="{311B589D-409C-4160-8A58-C6248CE936DB}"/>
    <cellStyle name="Normal 11 2 2 2 6 3 3 4" xfId="28481" xr:uid="{62BAF9D4-2179-4DCF-B599-A7C5E2B36582}"/>
    <cellStyle name="Normal 11 2 2 2 6 3 3 4 2" xfId="28482" xr:uid="{B5D5F003-BC5A-475F-B729-C2A53EDC2069}"/>
    <cellStyle name="Normal 11 2 2 2 6 3 3 5" xfId="28483" xr:uid="{0BAB60CF-DB64-4F93-B5F1-CFFB3CA2D3B3}"/>
    <cellStyle name="Normal 11 2 2 2 6 3 4" xfId="28484" xr:uid="{4AE0EA5C-F680-4528-B4E3-23ED680A82CC}"/>
    <cellStyle name="Normal 11 2 2 2 6 3 4 2" xfId="28485" xr:uid="{8DF93059-DC97-4E85-9C24-9997977ABFE9}"/>
    <cellStyle name="Normal 11 2 2 2 6 3 4 2 2" xfId="28486" xr:uid="{B8DAABDB-7894-4291-AC28-0EF25905DF31}"/>
    <cellStyle name="Normal 11 2 2 2 6 3 4 2 2 2" xfId="28487" xr:uid="{BA9ADAF7-1E96-46DC-9B1D-B170B1325C2F}"/>
    <cellStyle name="Normal 11 2 2 2 6 3 4 2 3" xfId="28488" xr:uid="{01788EDF-2AE3-4CB5-93D5-54E1889D1B71}"/>
    <cellStyle name="Normal 11 2 2 2 6 3 4 3" xfId="28489" xr:uid="{617AB0BF-E839-40A7-8D90-00BF9113F465}"/>
    <cellStyle name="Normal 11 2 2 2 6 3 4 3 2" xfId="28490" xr:uid="{EA871B9E-1D58-4310-92ED-7468A54E9922}"/>
    <cellStyle name="Normal 11 2 2 2 6 3 4 4" xfId="28491" xr:uid="{4E0F84B5-686F-40B7-A981-77AA7C5AA795}"/>
    <cellStyle name="Normal 11 2 2 2 6 3 5" xfId="28492" xr:uid="{D9E9880E-749C-47DB-87A5-91AC8F548A43}"/>
    <cellStyle name="Normal 11 2 2 2 6 3 5 2" xfId="28493" xr:uid="{42260056-0772-454B-9ED0-BA5DCA4E88C9}"/>
    <cellStyle name="Normal 11 2 2 2 6 3 5 2 2" xfId="28494" xr:uid="{6BD2198C-AED1-431A-A19A-454424EA4DFE}"/>
    <cellStyle name="Normal 11 2 2 2 6 3 5 3" xfId="28495" xr:uid="{64FA3AB4-A7B4-444D-A8E0-16D9117B7EF7}"/>
    <cellStyle name="Normal 11 2 2 2 6 3 6" xfId="28496" xr:uid="{5B71CCF1-E3BB-4A99-B33A-FC2D8384C9E9}"/>
    <cellStyle name="Normal 11 2 2 2 6 3 6 2" xfId="28497" xr:uid="{0D180694-931E-4DD4-BF2D-1222D85BA531}"/>
    <cellStyle name="Normal 11 2 2 2 6 3 7" xfId="28498" xr:uid="{C439E641-0716-4C36-97B0-D9A3891C2A18}"/>
    <cellStyle name="Normal 11 2 2 2 6 4" xfId="28499" xr:uid="{C5752853-0A88-4F25-B55F-8E64F413E59B}"/>
    <cellStyle name="Normal 11 2 2 2 6 4 2" xfId="28500" xr:uid="{4C84FC20-444D-4F54-8072-E1AC01387E36}"/>
    <cellStyle name="Normal 11 2 2 2 6 4 2 2" xfId="28501" xr:uid="{0E887AE4-B00A-4B9F-B6D7-EDD294C16251}"/>
    <cellStyle name="Normal 11 2 2 2 6 4 2 2 2" xfId="28502" xr:uid="{39708D59-9D82-4213-8673-1DFFDC71ABA2}"/>
    <cellStyle name="Normal 11 2 2 2 6 4 2 2 2 2" xfId="28503" xr:uid="{8CBA0D5C-9ACD-4F32-BEB8-D2F139250B74}"/>
    <cellStyle name="Normal 11 2 2 2 6 4 2 2 2 2 2" xfId="28504" xr:uid="{A01E8462-7BDC-40CE-978C-AE60E0E40D48}"/>
    <cellStyle name="Normal 11 2 2 2 6 4 2 2 2 3" xfId="28505" xr:uid="{CA450815-D4CB-429B-80B9-9D0FB5E3BC80}"/>
    <cellStyle name="Normal 11 2 2 2 6 4 2 2 3" xfId="28506" xr:uid="{D645F6B3-8D60-404E-96CF-4A83FE7651FE}"/>
    <cellStyle name="Normal 11 2 2 2 6 4 2 2 3 2" xfId="28507" xr:uid="{35939D71-1E85-48C3-95AE-8E58FA87F058}"/>
    <cellStyle name="Normal 11 2 2 2 6 4 2 2 4" xfId="28508" xr:uid="{98909450-11AE-4547-AB9B-A54EA40562CD}"/>
    <cellStyle name="Normal 11 2 2 2 6 4 2 3" xfId="28509" xr:uid="{F875F5AE-CC9D-46EB-BBFF-E887E9B03F10}"/>
    <cellStyle name="Normal 11 2 2 2 6 4 2 3 2" xfId="28510" xr:uid="{DD37BC93-FE19-4B27-84CC-25315AA4123B}"/>
    <cellStyle name="Normal 11 2 2 2 6 4 2 3 2 2" xfId="28511" xr:uid="{E6AAF7A9-FC06-4458-91CA-0193E06031A0}"/>
    <cellStyle name="Normal 11 2 2 2 6 4 2 3 3" xfId="28512" xr:uid="{1233DF79-2A65-496B-A6A9-968D4F5E9139}"/>
    <cellStyle name="Normal 11 2 2 2 6 4 2 4" xfId="28513" xr:uid="{58C82401-2143-43C6-B2A6-37CA0760466C}"/>
    <cellStyle name="Normal 11 2 2 2 6 4 2 4 2" xfId="28514" xr:uid="{E904206D-6F1D-4824-84D0-881B42F26206}"/>
    <cellStyle name="Normal 11 2 2 2 6 4 2 5" xfId="28515" xr:uid="{0F5EB17C-CA25-40A8-82F3-5BBA0BD06BA6}"/>
    <cellStyle name="Normal 11 2 2 2 6 4 3" xfId="28516" xr:uid="{AEEBA4F9-9A9D-417E-8611-42884A679A24}"/>
    <cellStyle name="Normal 11 2 2 2 6 4 3 2" xfId="28517" xr:uid="{7B0074C3-1132-4778-A8D8-5DF5D87DB2F3}"/>
    <cellStyle name="Normal 11 2 2 2 6 4 3 2 2" xfId="28518" xr:uid="{3AF7D6DF-DFDB-4838-8110-4B030FD437E7}"/>
    <cellStyle name="Normal 11 2 2 2 6 4 3 2 2 2" xfId="28519" xr:uid="{403330DF-0EFF-49C0-BE29-DCDAC3088FD9}"/>
    <cellStyle name="Normal 11 2 2 2 6 4 3 2 3" xfId="28520" xr:uid="{1E62077B-5A3D-4D4D-A9CD-62172554D9F9}"/>
    <cellStyle name="Normal 11 2 2 2 6 4 3 3" xfId="28521" xr:uid="{360A37CB-D258-4156-B5ED-72CC88896E20}"/>
    <cellStyle name="Normal 11 2 2 2 6 4 3 3 2" xfId="28522" xr:uid="{220147EF-8757-4FDE-8A0E-9A059B8EF0AB}"/>
    <cellStyle name="Normal 11 2 2 2 6 4 3 4" xfId="28523" xr:uid="{ABD64CD9-1792-40EC-82A3-E3D322430E19}"/>
    <cellStyle name="Normal 11 2 2 2 6 4 4" xfId="28524" xr:uid="{7ED89208-F73D-449B-8F95-54F726B8FD3E}"/>
    <cellStyle name="Normal 11 2 2 2 6 4 4 2" xfId="28525" xr:uid="{CA52802A-05A1-4C5B-AAD5-B80E05A52BC9}"/>
    <cellStyle name="Normal 11 2 2 2 6 4 4 2 2" xfId="28526" xr:uid="{734454B4-72AE-45AE-940A-8D0A61E134C5}"/>
    <cellStyle name="Normal 11 2 2 2 6 4 4 3" xfId="28527" xr:uid="{1A1FADD6-EA1B-4379-BE5A-B5BD79C10B1F}"/>
    <cellStyle name="Normal 11 2 2 2 6 4 5" xfId="28528" xr:uid="{DD37796A-D2DB-4909-A407-ADF20FAA58AE}"/>
    <cellStyle name="Normal 11 2 2 2 6 4 5 2" xfId="28529" xr:uid="{EFFF66CE-CD73-4A21-AFDB-6D2C8103619C}"/>
    <cellStyle name="Normal 11 2 2 2 6 4 6" xfId="28530" xr:uid="{74E91912-32EA-4713-8384-2136EC6465FC}"/>
    <cellStyle name="Normal 11 2 2 2 6 5" xfId="28531" xr:uid="{87C89284-7C8A-4DEC-894F-3990E60AFED5}"/>
    <cellStyle name="Normal 11 2 2 2 6 5 2" xfId="28532" xr:uid="{0A447C16-38C9-4EE0-927F-1E2591804BF0}"/>
    <cellStyle name="Normal 11 2 2 2 6 5 2 2" xfId="28533" xr:uid="{115A77B2-6ED2-4446-9DCC-8FEE493F4ED0}"/>
    <cellStyle name="Normal 11 2 2 2 6 5 2 2 2" xfId="28534" xr:uid="{4759C599-682F-410A-919C-18435FA97149}"/>
    <cellStyle name="Normal 11 2 2 2 6 5 2 2 2 2" xfId="28535" xr:uid="{EE6D1574-1242-4EF8-A362-C2F69A916551}"/>
    <cellStyle name="Normal 11 2 2 2 6 5 2 2 3" xfId="28536" xr:uid="{4795E7DB-A853-473E-9318-97901CC485B1}"/>
    <cellStyle name="Normal 11 2 2 2 6 5 2 3" xfId="28537" xr:uid="{40E7A955-4994-4F23-8AD8-86B228EE792B}"/>
    <cellStyle name="Normal 11 2 2 2 6 5 2 3 2" xfId="28538" xr:uid="{47BB599D-E432-4464-A513-3EAAED574923}"/>
    <cellStyle name="Normal 11 2 2 2 6 5 2 4" xfId="28539" xr:uid="{82FB0D2A-151F-4130-9F35-E14784BC13F7}"/>
    <cellStyle name="Normal 11 2 2 2 6 5 3" xfId="28540" xr:uid="{56E2F2BF-07E5-4B9E-A096-1296C0A9B408}"/>
    <cellStyle name="Normal 11 2 2 2 6 5 3 2" xfId="28541" xr:uid="{C1F90202-CC36-414D-8838-9F85996016CF}"/>
    <cellStyle name="Normal 11 2 2 2 6 5 3 2 2" xfId="28542" xr:uid="{9346448E-A43D-4BD8-BFAC-F6B335533C13}"/>
    <cellStyle name="Normal 11 2 2 2 6 5 3 3" xfId="28543" xr:uid="{29C5F7DA-C708-4174-A9AE-67FE88A5092E}"/>
    <cellStyle name="Normal 11 2 2 2 6 5 4" xfId="28544" xr:uid="{AD85EFE8-2D4B-4C56-9359-B0A47417BE6D}"/>
    <cellStyle name="Normal 11 2 2 2 6 5 4 2" xfId="28545" xr:uid="{B3A0B53D-BA44-468B-9B3C-B64F94E83C53}"/>
    <cellStyle name="Normal 11 2 2 2 6 5 5" xfId="28546" xr:uid="{E8DCB93A-62ED-466D-8E54-E88C921C5B4E}"/>
    <cellStyle name="Normal 11 2 2 2 6 6" xfId="28547" xr:uid="{29C7CB79-8BA5-42FA-B9CF-5553F7C1EA4C}"/>
    <cellStyle name="Normal 11 2 2 2 6 6 2" xfId="28548" xr:uid="{031A1027-47A2-448C-94CA-9406D6D70D6F}"/>
    <cellStyle name="Normal 11 2 2 2 6 6 2 2" xfId="28549" xr:uid="{3CB08C95-FE4D-4220-9844-040FD3D342F8}"/>
    <cellStyle name="Normal 11 2 2 2 6 6 2 2 2" xfId="28550" xr:uid="{5BBAED62-54D2-4B2D-843D-CB6F6FCC3188}"/>
    <cellStyle name="Normal 11 2 2 2 6 6 2 3" xfId="28551" xr:uid="{D085F94B-04AE-4ABA-BAD8-23F85F77B3D9}"/>
    <cellStyle name="Normal 11 2 2 2 6 6 3" xfId="28552" xr:uid="{DBE5DB81-FF5E-4830-B582-6826D4783DBB}"/>
    <cellStyle name="Normal 11 2 2 2 6 6 3 2" xfId="28553" xr:uid="{A1BD8051-616D-4AD6-BB1E-85BF1103852F}"/>
    <cellStyle name="Normal 11 2 2 2 6 6 4" xfId="28554" xr:uid="{6E3C851C-4A56-405F-824F-680EF57574A6}"/>
    <cellStyle name="Normal 11 2 2 2 6 7" xfId="28555" xr:uid="{681F54BE-0262-4ED3-82DA-B4FA603E75A6}"/>
    <cellStyle name="Normal 11 2 2 2 6 7 2" xfId="28556" xr:uid="{5899AEB8-83DF-4054-B161-A4A4916D2E3B}"/>
    <cellStyle name="Normal 11 2 2 2 6 7 2 2" xfId="28557" xr:uid="{D5ECD7C5-2595-4FDD-8A40-548AE3E0FE47}"/>
    <cellStyle name="Normal 11 2 2 2 6 7 3" xfId="28558" xr:uid="{7FD655D0-F246-44B0-8A82-1DF6BF3BF685}"/>
    <cellStyle name="Normal 11 2 2 2 6 8" xfId="28559" xr:uid="{D57E8895-B6B6-4FDC-81E2-4645DD685BB4}"/>
    <cellStyle name="Normal 11 2 2 2 6 8 2" xfId="28560" xr:uid="{0BE265DE-B47C-427C-B540-EFEA98609631}"/>
    <cellStyle name="Normal 11 2 2 2 6 9" xfId="28561" xr:uid="{2622737C-E197-4C9F-B80D-E8907737E753}"/>
    <cellStyle name="Normal 11 2 2 2 7" xfId="451" xr:uid="{1746D308-827B-4EBC-94F8-3415063754DE}"/>
    <cellStyle name="Normal 11 2 2 2 7 2" xfId="28563" xr:uid="{4CCD7136-7BDC-47CC-AC6B-777090957FD0}"/>
    <cellStyle name="Normal 11 2 2 2 7 2 2" xfId="28564" xr:uid="{840CCCF1-5C83-457A-8013-E170C0DC8394}"/>
    <cellStyle name="Normal 11 2 2 2 7 2 2 2" xfId="28565" xr:uid="{DC6699D4-DD19-4F86-9BCA-BFDC1FC9F415}"/>
    <cellStyle name="Normal 11 2 2 2 7 2 2 2 2" xfId="28566" xr:uid="{BC687190-CB5B-4078-A877-27B80508AD4C}"/>
    <cellStyle name="Normal 11 2 2 2 7 2 2 2 2 2" xfId="28567" xr:uid="{524EA114-654A-4F51-B237-EB4DCCA30425}"/>
    <cellStyle name="Normal 11 2 2 2 7 2 2 2 2 2 2" xfId="28568" xr:uid="{06F35F8A-665B-484F-B13C-18BD1F725F69}"/>
    <cellStyle name="Normal 11 2 2 2 7 2 2 2 2 2 2 2" xfId="28569" xr:uid="{0622B0EC-A9D1-4952-9C51-7022AD7F1D21}"/>
    <cellStyle name="Normal 11 2 2 2 7 2 2 2 2 2 3" xfId="28570" xr:uid="{D7AA79A2-2C2B-49D8-8FFA-D93F6172B01B}"/>
    <cellStyle name="Normal 11 2 2 2 7 2 2 2 2 3" xfId="28571" xr:uid="{A1EFE348-4A5B-43C7-84A9-C817E3DD6DEB}"/>
    <cellStyle name="Normal 11 2 2 2 7 2 2 2 2 3 2" xfId="28572" xr:uid="{CF47FDC1-B52F-4400-AB90-47727AE24D9C}"/>
    <cellStyle name="Normal 11 2 2 2 7 2 2 2 2 4" xfId="28573" xr:uid="{1942565E-7C2A-4D00-866E-8D82329E2591}"/>
    <cellStyle name="Normal 11 2 2 2 7 2 2 2 3" xfId="28574" xr:uid="{0959F65B-4815-4E56-AA95-EE947B03AD14}"/>
    <cellStyle name="Normal 11 2 2 2 7 2 2 2 3 2" xfId="28575" xr:uid="{A692C6A5-1E59-4827-BDEC-8772879C1286}"/>
    <cellStyle name="Normal 11 2 2 2 7 2 2 2 3 2 2" xfId="28576" xr:uid="{C16F8F0A-3B2D-495B-8080-2ECBA47E72A9}"/>
    <cellStyle name="Normal 11 2 2 2 7 2 2 2 3 3" xfId="28577" xr:uid="{A8053E81-5481-4460-85B1-D7B53943D02A}"/>
    <cellStyle name="Normal 11 2 2 2 7 2 2 2 4" xfId="28578" xr:uid="{4398A9A0-E3E8-4040-9F3D-855C320D95BE}"/>
    <cellStyle name="Normal 11 2 2 2 7 2 2 2 4 2" xfId="28579" xr:uid="{37F021C5-1B5A-4859-ADB1-381E15B39782}"/>
    <cellStyle name="Normal 11 2 2 2 7 2 2 2 5" xfId="28580" xr:uid="{D0D8F45A-F746-4F2D-9A77-798F4DB9177B}"/>
    <cellStyle name="Normal 11 2 2 2 7 2 2 3" xfId="28581" xr:uid="{B1FDEE40-7082-4C85-9BA4-5DC8D2008E23}"/>
    <cellStyle name="Normal 11 2 2 2 7 2 2 3 2" xfId="28582" xr:uid="{6A4EF975-A704-4B26-9972-E85674183374}"/>
    <cellStyle name="Normal 11 2 2 2 7 2 2 3 2 2" xfId="28583" xr:uid="{14C3E7D0-AEEE-4767-8591-7C89C3A6B0C3}"/>
    <cellStyle name="Normal 11 2 2 2 7 2 2 3 2 2 2" xfId="28584" xr:uid="{A40EC851-A2A5-4AE9-B1BF-02B2D92FB4E5}"/>
    <cellStyle name="Normal 11 2 2 2 7 2 2 3 2 3" xfId="28585" xr:uid="{99A8FB9C-38D9-4929-A499-F4F5FE0F7924}"/>
    <cellStyle name="Normal 11 2 2 2 7 2 2 3 3" xfId="28586" xr:uid="{8983D34A-F3EB-405A-9DE7-7ED02DA35961}"/>
    <cellStyle name="Normal 11 2 2 2 7 2 2 3 3 2" xfId="28587" xr:uid="{306107B8-5822-4BA0-837F-1FBB7D28DB54}"/>
    <cellStyle name="Normal 11 2 2 2 7 2 2 3 4" xfId="28588" xr:uid="{AC62DC98-66FA-47C0-AF46-DA3E8266C40D}"/>
    <cellStyle name="Normal 11 2 2 2 7 2 2 4" xfId="28589" xr:uid="{915FF75E-E8DB-4929-B0AD-213A6E9E39F0}"/>
    <cellStyle name="Normal 11 2 2 2 7 2 2 4 2" xfId="28590" xr:uid="{92555672-E702-429F-B27F-F1EE95CDFBE1}"/>
    <cellStyle name="Normal 11 2 2 2 7 2 2 4 2 2" xfId="28591" xr:uid="{8D957554-9496-4B11-A7F4-481005E69F41}"/>
    <cellStyle name="Normal 11 2 2 2 7 2 2 4 3" xfId="28592" xr:uid="{BE5EE867-7DB5-43BA-AD2E-B658C61A0E93}"/>
    <cellStyle name="Normal 11 2 2 2 7 2 2 5" xfId="28593" xr:uid="{114DB008-7579-4326-B9FD-C1A9EDF78DDA}"/>
    <cellStyle name="Normal 11 2 2 2 7 2 2 5 2" xfId="28594" xr:uid="{603D28B8-653D-4ECE-8076-8AFB9642732C}"/>
    <cellStyle name="Normal 11 2 2 2 7 2 2 6" xfId="28595" xr:uid="{5026C8F3-AA66-426A-AF3E-BAD8434A8AA2}"/>
    <cellStyle name="Normal 11 2 2 2 7 2 3" xfId="28596" xr:uid="{F325F799-39C8-46DC-A8E0-879FF4DE452C}"/>
    <cellStyle name="Normal 11 2 2 2 7 2 3 2" xfId="28597" xr:uid="{5440AF33-BA63-4D22-83A3-422C6782CCD5}"/>
    <cellStyle name="Normal 11 2 2 2 7 2 3 2 2" xfId="28598" xr:uid="{8E945067-8C06-4662-B2AB-21FFC349F592}"/>
    <cellStyle name="Normal 11 2 2 2 7 2 3 2 2 2" xfId="28599" xr:uid="{3A45C925-44A1-4AA7-AB22-65F9C9E470A7}"/>
    <cellStyle name="Normal 11 2 2 2 7 2 3 2 2 2 2" xfId="28600" xr:uid="{B202513D-1BA6-441F-9170-29DCC44F2456}"/>
    <cellStyle name="Normal 11 2 2 2 7 2 3 2 2 3" xfId="28601" xr:uid="{6CEA150F-BBFD-498E-BF4F-DDB23D73BDB8}"/>
    <cellStyle name="Normal 11 2 2 2 7 2 3 2 3" xfId="28602" xr:uid="{21B97E73-9443-4FD6-8A3B-C1C3880E6E3B}"/>
    <cellStyle name="Normal 11 2 2 2 7 2 3 2 3 2" xfId="28603" xr:uid="{062DF386-2BCB-4CA7-BA62-D08670E08904}"/>
    <cellStyle name="Normal 11 2 2 2 7 2 3 2 4" xfId="28604" xr:uid="{9ACB5F04-2106-4A8C-824F-3046D6C18A55}"/>
    <cellStyle name="Normal 11 2 2 2 7 2 3 3" xfId="28605" xr:uid="{00976638-CA6D-457E-B056-670BF1B5DD7D}"/>
    <cellStyle name="Normal 11 2 2 2 7 2 3 3 2" xfId="28606" xr:uid="{53E08A2D-5D03-40E6-91F9-1213E566DAF1}"/>
    <cellStyle name="Normal 11 2 2 2 7 2 3 3 2 2" xfId="28607" xr:uid="{C92D8D4A-59E7-442C-B719-2A7041804B43}"/>
    <cellStyle name="Normal 11 2 2 2 7 2 3 3 3" xfId="28608" xr:uid="{DF6A4EE1-41EE-4D11-98B3-378295407ABD}"/>
    <cellStyle name="Normal 11 2 2 2 7 2 3 4" xfId="28609" xr:uid="{A123416C-32E8-4E39-B9D5-F579A4FC13A7}"/>
    <cellStyle name="Normal 11 2 2 2 7 2 3 4 2" xfId="28610" xr:uid="{71C834BE-6D11-42DF-9F20-E75D380B587C}"/>
    <cellStyle name="Normal 11 2 2 2 7 2 3 5" xfId="28611" xr:uid="{B069D5EE-83AD-4D7E-9DF5-600ACE1ECD80}"/>
    <cellStyle name="Normal 11 2 2 2 7 2 4" xfId="28612" xr:uid="{909B8D2B-79DF-49EE-9A8C-31B37D055BB9}"/>
    <cellStyle name="Normal 11 2 2 2 7 2 4 2" xfId="28613" xr:uid="{7AC0B90B-4741-4C87-A0D8-752A686D8B0C}"/>
    <cellStyle name="Normal 11 2 2 2 7 2 4 2 2" xfId="28614" xr:uid="{362C34EB-4621-4F80-8F26-206979006E18}"/>
    <cellStyle name="Normal 11 2 2 2 7 2 4 2 2 2" xfId="28615" xr:uid="{5E4D1632-F98E-4834-A7B0-E82E8E2282C3}"/>
    <cellStyle name="Normal 11 2 2 2 7 2 4 2 3" xfId="28616" xr:uid="{BFEE44B1-AEA2-450A-9C8C-01741EA20E63}"/>
    <cellStyle name="Normal 11 2 2 2 7 2 4 3" xfId="28617" xr:uid="{9ACD8640-5E40-4461-B0AB-715EE78D8DE7}"/>
    <cellStyle name="Normal 11 2 2 2 7 2 4 3 2" xfId="28618" xr:uid="{EFC1D5A7-E902-40D0-B692-C50C32629024}"/>
    <cellStyle name="Normal 11 2 2 2 7 2 4 4" xfId="28619" xr:uid="{5EBDBDA8-40F4-4FF3-B8FE-1D8E01C53E87}"/>
    <cellStyle name="Normal 11 2 2 2 7 2 5" xfId="28620" xr:uid="{8751030F-7A8B-4AE9-9B0F-9871B2A1817C}"/>
    <cellStyle name="Normal 11 2 2 2 7 2 5 2" xfId="28621" xr:uid="{E71EA9D1-E5F7-40D2-9214-E88B72420A60}"/>
    <cellStyle name="Normal 11 2 2 2 7 2 5 2 2" xfId="28622" xr:uid="{C10A5754-6864-441D-86D3-BA86B7CE0764}"/>
    <cellStyle name="Normal 11 2 2 2 7 2 5 3" xfId="28623" xr:uid="{C67787DE-B53F-4AF1-A097-C189AD780DC2}"/>
    <cellStyle name="Normal 11 2 2 2 7 2 6" xfId="28624" xr:uid="{373191E9-F068-4F06-B05C-3555EAA700FF}"/>
    <cellStyle name="Normal 11 2 2 2 7 2 6 2" xfId="28625" xr:uid="{D601A314-F61B-4EAC-BAF4-8E315294D546}"/>
    <cellStyle name="Normal 11 2 2 2 7 2 7" xfId="28626" xr:uid="{FCF8FD83-BFF4-449F-9940-A36C0EF5E266}"/>
    <cellStyle name="Normal 11 2 2 2 7 3" xfId="28627" xr:uid="{E2DA97E8-183E-4C44-A825-A7C91C5F0748}"/>
    <cellStyle name="Normal 11 2 2 2 7 3 2" xfId="28628" xr:uid="{AFE6CC21-46B4-47AD-B56D-CB48D5647EDD}"/>
    <cellStyle name="Normal 11 2 2 2 7 3 2 2" xfId="28629" xr:uid="{E6D7011E-8CE2-468E-817A-2106A6AF2A0B}"/>
    <cellStyle name="Normal 11 2 2 2 7 3 2 2 2" xfId="28630" xr:uid="{06879508-16D3-4C25-A63B-E6ED877B69B2}"/>
    <cellStyle name="Normal 11 2 2 2 7 3 2 2 2 2" xfId="28631" xr:uid="{9F9C8DF9-0A3B-4BE8-8677-0F4D851FF634}"/>
    <cellStyle name="Normal 11 2 2 2 7 3 2 2 2 2 2" xfId="28632" xr:uid="{8EC1BB21-8C09-4386-A961-6705966EE5C8}"/>
    <cellStyle name="Normal 11 2 2 2 7 3 2 2 2 3" xfId="28633" xr:uid="{D9AAB56C-6DFB-4337-874F-62A5F21145B3}"/>
    <cellStyle name="Normal 11 2 2 2 7 3 2 2 3" xfId="28634" xr:uid="{55F1B597-9792-4432-9E3B-457081D4ABF5}"/>
    <cellStyle name="Normal 11 2 2 2 7 3 2 2 3 2" xfId="28635" xr:uid="{744B5AD5-E8FE-4D60-A6A2-A1E64EDEC545}"/>
    <cellStyle name="Normal 11 2 2 2 7 3 2 2 4" xfId="28636" xr:uid="{892A4DBD-4F28-45E8-9F9A-FB77A3E5C2AA}"/>
    <cellStyle name="Normal 11 2 2 2 7 3 2 3" xfId="28637" xr:uid="{83C1248C-E7A1-4BBC-9ECC-1D4767E4D253}"/>
    <cellStyle name="Normal 11 2 2 2 7 3 2 3 2" xfId="28638" xr:uid="{8BF50BC3-FAB0-4989-AF4A-90BA14FDD2A2}"/>
    <cellStyle name="Normal 11 2 2 2 7 3 2 3 2 2" xfId="28639" xr:uid="{172FC6C7-4FF6-4248-A038-5105677BBEEA}"/>
    <cellStyle name="Normal 11 2 2 2 7 3 2 3 3" xfId="28640" xr:uid="{9BF6C2B7-513E-437A-A776-AD5A877564C7}"/>
    <cellStyle name="Normal 11 2 2 2 7 3 2 4" xfId="28641" xr:uid="{E5819369-D669-4D97-9F47-925371759C42}"/>
    <cellStyle name="Normal 11 2 2 2 7 3 2 4 2" xfId="28642" xr:uid="{8E25C83A-EEE9-4CAC-9023-5419A66B7716}"/>
    <cellStyle name="Normal 11 2 2 2 7 3 2 5" xfId="28643" xr:uid="{12493DCF-1FC0-4A6F-AB8C-B738D7341D86}"/>
    <cellStyle name="Normal 11 2 2 2 7 3 3" xfId="28644" xr:uid="{811A4DD7-4BC0-4B5B-AB44-1944EEC1C0CE}"/>
    <cellStyle name="Normal 11 2 2 2 7 3 3 2" xfId="28645" xr:uid="{945A2B5C-F787-4189-95B6-3CAC5E4F4555}"/>
    <cellStyle name="Normal 11 2 2 2 7 3 3 2 2" xfId="28646" xr:uid="{ECF9FD57-8AE0-4E30-BE9C-944837AC2BD0}"/>
    <cellStyle name="Normal 11 2 2 2 7 3 3 2 2 2" xfId="28647" xr:uid="{62E6A9EF-8938-4D4D-865A-FE9403C99034}"/>
    <cellStyle name="Normal 11 2 2 2 7 3 3 2 3" xfId="28648" xr:uid="{4A873AED-F251-4532-BC33-39FF69E8D525}"/>
    <cellStyle name="Normal 11 2 2 2 7 3 3 3" xfId="28649" xr:uid="{399B47E3-9824-4493-80B0-B2B998AC8757}"/>
    <cellStyle name="Normal 11 2 2 2 7 3 3 3 2" xfId="28650" xr:uid="{8C6688EC-D63A-4D57-BD63-12FE43A7701D}"/>
    <cellStyle name="Normal 11 2 2 2 7 3 3 4" xfId="28651" xr:uid="{807E051B-C614-4FC5-AAAE-0D73BFEABAE6}"/>
    <cellStyle name="Normal 11 2 2 2 7 3 4" xfId="28652" xr:uid="{5C4656D3-FA25-4BDA-9F71-3EE6FC8F756D}"/>
    <cellStyle name="Normal 11 2 2 2 7 3 4 2" xfId="28653" xr:uid="{851097DB-1062-4543-98B3-886CA71797D1}"/>
    <cellStyle name="Normal 11 2 2 2 7 3 4 2 2" xfId="28654" xr:uid="{D4FF526F-B050-479E-9F17-4796600606A7}"/>
    <cellStyle name="Normal 11 2 2 2 7 3 4 3" xfId="28655" xr:uid="{8106D674-57BF-486E-9A1E-E38E1C102F5A}"/>
    <cellStyle name="Normal 11 2 2 2 7 3 5" xfId="28656" xr:uid="{D51ABE8E-2DC1-4E07-A963-B8120A0B3C01}"/>
    <cellStyle name="Normal 11 2 2 2 7 3 5 2" xfId="28657" xr:uid="{284AA464-43CC-48BA-B50B-368A1B15869E}"/>
    <cellStyle name="Normal 11 2 2 2 7 3 6" xfId="28658" xr:uid="{034D9F0B-CD9D-476E-A6CC-DBEF86144B10}"/>
    <cellStyle name="Normal 11 2 2 2 7 4" xfId="28659" xr:uid="{FCD5932D-8953-4B53-A7A2-21EEBB0C3953}"/>
    <cellStyle name="Normal 11 2 2 2 7 4 2" xfId="28660" xr:uid="{3176D6CD-209F-4DCD-88CC-D6CE0F4CD6D8}"/>
    <cellStyle name="Normal 11 2 2 2 7 4 2 2" xfId="28661" xr:uid="{39613C5A-A585-4C1F-96AC-7C8C601551BC}"/>
    <cellStyle name="Normal 11 2 2 2 7 4 2 2 2" xfId="28662" xr:uid="{FF5AC5AD-A5CC-4F4E-B0B9-4BA7254D165C}"/>
    <cellStyle name="Normal 11 2 2 2 7 4 2 2 2 2" xfId="28663" xr:uid="{AE3A71AA-DBEC-4F9D-AF47-AE8F13FFB035}"/>
    <cellStyle name="Normal 11 2 2 2 7 4 2 2 3" xfId="28664" xr:uid="{B52D4C23-E0ED-4571-9724-3B41941492EC}"/>
    <cellStyle name="Normal 11 2 2 2 7 4 2 3" xfId="28665" xr:uid="{EC99F44A-49C4-4A52-AED4-413AC8550743}"/>
    <cellStyle name="Normal 11 2 2 2 7 4 2 3 2" xfId="28666" xr:uid="{0E8193F4-3DBA-4BE7-8C56-AA382D8F8DC3}"/>
    <cellStyle name="Normal 11 2 2 2 7 4 2 4" xfId="28667" xr:uid="{DDEBCFD8-C5E4-45CA-92AC-EFC92289E010}"/>
    <cellStyle name="Normal 11 2 2 2 7 4 3" xfId="28668" xr:uid="{0B69B891-756C-4A31-9718-87EBA5BD0A6C}"/>
    <cellStyle name="Normal 11 2 2 2 7 4 3 2" xfId="28669" xr:uid="{686A3280-C150-4D3C-8BBC-9458940E1FA0}"/>
    <cellStyle name="Normal 11 2 2 2 7 4 3 2 2" xfId="28670" xr:uid="{7DCAF1E1-833E-4BE4-A87D-31FFBFDA22A0}"/>
    <cellStyle name="Normal 11 2 2 2 7 4 3 3" xfId="28671" xr:uid="{CCA68E96-9013-4384-B3EB-9EF75AFCDEBA}"/>
    <cellStyle name="Normal 11 2 2 2 7 4 4" xfId="28672" xr:uid="{E61976BE-4A76-4FF8-A6E2-DFEEE93BB6B2}"/>
    <cellStyle name="Normal 11 2 2 2 7 4 4 2" xfId="28673" xr:uid="{975F326A-C173-4CDE-9842-E32A692B8490}"/>
    <cellStyle name="Normal 11 2 2 2 7 4 5" xfId="28674" xr:uid="{01E8D8FA-2631-4BD5-8D05-C4CAD115F9E7}"/>
    <cellStyle name="Normal 11 2 2 2 7 5" xfId="28675" xr:uid="{1D35A8DA-3FB7-402D-96C9-3DC20EE5295C}"/>
    <cellStyle name="Normal 11 2 2 2 7 5 2" xfId="28676" xr:uid="{71E73ACC-2591-41A1-84C0-96D5C301DC70}"/>
    <cellStyle name="Normal 11 2 2 2 7 5 2 2" xfId="28677" xr:uid="{9C33CCE5-398A-46D3-82DB-1C6D4D807315}"/>
    <cellStyle name="Normal 11 2 2 2 7 5 2 2 2" xfId="28678" xr:uid="{61E4886E-1632-40EA-B3CA-1E38047BBFFE}"/>
    <cellStyle name="Normal 11 2 2 2 7 5 2 3" xfId="28679" xr:uid="{A9BB8A93-AE64-48E3-A71C-930337C1B047}"/>
    <cellStyle name="Normal 11 2 2 2 7 5 3" xfId="28680" xr:uid="{0B06F0E1-F83F-48CE-A39F-9A91B1D91BC2}"/>
    <cellStyle name="Normal 11 2 2 2 7 5 3 2" xfId="28681" xr:uid="{F6FA8C64-B3E1-4A25-A4B5-F848692BA5B9}"/>
    <cellStyle name="Normal 11 2 2 2 7 5 4" xfId="28682" xr:uid="{FCF73366-1853-4759-943B-DBF4F4372ECE}"/>
    <cellStyle name="Normal 11 2 2 2 7 6" xfId="28683" xr:uid="{979756D9-D4C6-4FBC-9A11-1C06A6DF2388}"/>
    <cellStyle name="Normal 11 2 2 2 7 6 2" xfId="28684" xr:uid="{7C083AA0-92C0-4D23-972F-6DE01003DD8B}"/>
    <cellStyle name="Normal 11 2 2 2 7 6 2 2" xfId="28685" xr:uid="{AB0DB6A6-27E5-49C4-BA77-D18478E3B949}"/>
    <cellStyle name="Normal 11 2 2 2 7 6 3" xfId="28686" xr:uid="{E89CB8E5-C84B-4F88-95CC-74EC4B6D78C7}"/>
    <cellStyle name="Normal 11 2 2 2 7 7" xfId="28687" xr:uid="{63CD243A-CE33-40D2-8405-D18D6FDCD97A}"/>
    <cellStyle name="Normal 11 2 2 2 7 7 2" xfId="28688" xr:uid="{1F56AD94-4618-4F4D-8717-EF3F9D14400F}"/>
    <cellStyle name="Normal 11 2 2 2 7 8" xfId="28689" xr:uid="{CD2424EC-738A-4732-B92C-BD13909578F4}"/>
    <cellStyle name="Normal 11 2 2 2 7 9" xfId="28562" xr:uid="{4B9A1CFD-7BE8-43B7-B4B5-4835BDEB285D}"/>
    <cellStyle name="Normal 11 2 2 2 8" xfId="28690" xr:uid="{498ED85E-9882-40CB-864B-801DF6ED06B3}"/>
    <cellStyle name="Normal 11 2 2 2 8 2" xfId="28691" xr:uid="{30E870FB-42D2-41C8-A3F9-F3889CC0A063}"/>
    <cellStyle name="Normal 11 2 2 2 8 2 2" xfId="28692" xr:uid="{931DA427-7B10-4893-AE96-0D3D60011A7C}"/>
    <cellStyle name="Normal 11 2 2 2 8 2 2 2" xfId="28693" xr:uid="{6BC77E36-EED9-4729-AF52-34360696A1C3}"/>
    <cellStyle name="Normal 11 2 2 2 8 2 2 2 2" xfId="28694" xr:uid="{7470D668-7D92-4DAE-8B4C-763579A42C10}"/>
    <cellStyle name="Normal 11 2 2 2 8 2 2 2 2 2" xfId="28695" xr:uid="{964317EA-5228-4123-A816-67790F5E9CFD}"/>
    <cellStyle name="Normal 11 2 2 2 8 2 2 2 2 2 2" xfId="28696" xr:uid="{0150FC74-A57E-4A55-A876-405E42F03898}"/>
    <cellStyle name="Normal 11 2 2 2 8 2 2 2 2 3" xfId="28697" xr:uid="{61C03E88-1C25-440D-93C7-91A45C110264}"/>
    <cellStyle name="Normal 11 2 2 2 8 2 2 2 3" xfId="28698" xr:uid="{F7DB4A20-F360-48BC-97EA-2C80E3156C7D}"/>
    <cellStyle name="Normal 11 2 2 2 8 2 2 2 3 2" xfId="28699" xr:uid="{BF9F7089-8784-4644-BD22-2A32EB8BD341}"/>
    <cellStyle name="Normal 11 2 2 2 8 2 2 2 4" xfId="28700" xr:uid="{C19BC724-ACB8-4ED8-AF20-BEED54D2A6C9}"/>
    <cellStyle name="Normal 11 2 2 2 8 2 2 3" xfId="28701" xr:uid="{3C4ACC58-928F-431B-9946-008F54BCD3A8}"/>
    <cellStyle name="Normal 11 2 2 2 8 2 2 3 2" xfId="28702" xr:uid="{C967FB33-5C86-4B2C-A43F-4F73DC5A5969}"/>
    <cellStyle name="Normal 11 2 2 2 8 2 2 3 2 2" xfId="28703" xr:uid="{1E343235-BBA0-4229-86B4-9F8BF029FFF4}"/>
    <cellStyle name="Normal 11 2 2 2 8 2 2 3 3" xfId="28704" xr:uid="{9640FCA0-3BA9-4A51-A6FD-539C3D6F0249}"/>
    <cellStyle name="Normal 11 2 2 2 8 2 2 4" xfId="28705" xr:uid="{384E5BD3-F485-45EB-AEF2-4FBE95B482C0}"/>
    <cellStyle name="Normal 11 2 2 2 8 2 2 4 2" xfId="28706" xr:uid="{6C6EC421-604C-488E-A875-FB0F050BDCF0}"/>
    <cellStyle name="Normal 11 2 2 2 8 2 2 5" xfId="28707" xr:uid="{87398898-A975-4BE6-8162-E4E090AC71DB}"/>
    <cellStyle name="Normal 11 2 2 2 8 2 3" xfId="28708" xr:uid="{9BEAE815-1539-4E41-A133-925E724AF66E}"/>
    <cellStyle name="Normal 11 2 2 2 8 2 3 2" xfId="28709" xr:uid="{5B22E36C-2584-4A27-8748-B8E6A733A154}"/>
    <cellStyle name="Normal 11 2 2 2 8 2 3 2 2" xfId="28710" xr:uid="{1352C6DE-EBBD-4FC4-A48D-0ED27951E27F}"/>
    <cellStyle name="Normal 11 2 2 2 8 2 3 2 2 2" xfId="28711" xr:uid="{0539C6CE-7287-484D-9B6D-CDA475EC1FE4}"/>
    <cellStyle name="Normal 11 2 2 2 8 2 3 2 3" xfId="28712" xr:uid="{5075DE5E-AAFF-484F-8A2C-E2983B80ABD0}"/>
    <cellStyle name="Normal 11 2 2 2 8 2 3 3" xfId="28713" xr:uid="{C0368A29-A59F-4A2B-AB1D-0CF39E18F5B4}"/>
    <cellStyle name="Normal 11 2 2 2 8 2 3 3 2" xfId="28714" xr:uid="{3FD06EE2-0ECB-456B-8C35-A779A81B6CAC}"/>
    <cellStyle name="Normal 11 2 2 2 8 2 3 4" xfId="28715" xr:uid="{747D0F80-2807-4A40-BE1F-ED800AC52578}"/>
    <cellStyle name="Normal 11 2 2 2 8 2 4" xfId="28716" xr:uid="{68ABDB31-318F-4E45-8493-1ED8508DC5CE}"/>
    <cellStyle name="Normal 11 2 2 2 8 2 4 2" xfId="28717" xr:uid="{1CF0BEFC-CA2E-4328-8B8F-C138EC108311}"/>
    <cellStyle name="Normal 11 2 2 2 8 2 4 2 2" xfId="28718" xr:uid="{65966DAA-ED93-4A0F-B08A-79FE67291E83}"/>
    <cellStyle name="Normal 11 2 2 2 8 2 4 3" xfId="28719" xr:uid="{AF8699C6-496B-4259-BF19-99AF288FBA68}"/>
    <cellStyle name="Normal 11 2 2 2 8 2 5" xfId="28720" xr:uid="{60149D28-BA65-4368-8619-0BAF700ACA75}"/>
    <cellStyle name="Normal 11 2 2 2 8 2 5 2" xfId="28721" xr:uid="{757974E7-F24D-4B07-A5D7-2A7D22D84A6F}"/>
    <cellStyle name="Normal 11 2 2 2 8 2 6" xfId="28722" xr:uid="{9E63F7DF-1CD7-4056-94CB-4BD5C6374BE6}"/>
    <cellStyle name="Normal 11 2 2 2 8 3" xfId="28723" xr:uid="{F84597EE-F8E8-489A-B6B3-880BD25B0FF3}"/>
    <cellStyle name="Normal 11 2 2 2 8 3 2" xfId="28724" xr:uid="{5DBBF2A6-41DA-439F-97C8-72AEEE9EA59C}"/>
    <cellStyle name="Normal 11 2 2 2 8 3 2 2" xfId="28725" xr:uid="{4AE90A10-5ECB-4C36-A7C5-D687DA1979FC}"/>
    <cellStyle name="Normal 11 2 2 2 8 3 2 2 2" xfId="28726" xr:uid="{3CEA62BE-0429-4499-961F-8F12ECC3E006}"/>
    <cellStyle name="Normal 11 2 2 2 8 3 2 2 2 2" xfId="28727" xr:uid="{5C813527-9C64-45FC-B631-3F8E415FFC1C}"/>
    <cellStyle name="Normal 11 2 2 2 8 3 2 2 3" xfId="28728" xr:uid="{ACE7EE61-EC5E-455E-B2C1-DE4BF19C8C68}"/>
    <cellStyle name="Normal 11 2 2 2 8 3 2 3" xfId="28729" xr:uid="{C1241825-B302-4503-80B6-57D9010B473B}"/>
    <cellStyle name="Normal 11 2 2 2 8 3 2 3 2" xfId="28730" xr:uid="{9AAE0F2C-731B-479F-A9FA-81BB9094376D}"/>
    <cellStyle name="Normal 11 2 2 2 8 3 2 4" xfId="28731" xr:uid="{C2830E18-0534-4775-AE29-AF46D5E5A21A}"/>
    <cellStyle name="Normal 11 2 2 2 8 3 3" xfId="28732" xr:uid="{5A8C2105-24B4-4E1C-BD7B-6D97BD1C7BEA}"/>
    <cellStyle name="Normal 11 2 2 2 8 3 3 2" xfId="28733" xr:uid="{F36297A1-C81E-4256-96F3-0B49558C70FE}"/>
    <cellStyle name="Normal 11 2 2 2 8 3 3 2 2" xfId="28734" xr:uid="{6B583538-93E9-4A92-8BBE-E66627C69FD3}"/>
    <cellStyle name="Normal 11 2 2 2 8 3 3 3" xfId="28735" xr:uid="{B53FA476-04AC-4B36-A375-603370A19EF5}"/>
    <cellStyle name="Normal 11 2 2 2 8 3 4" xfId="28736" xr:uid="{3C868BC4-7AC0-4438-BFFA-176BD3882C48}"/>
    <cellStyle name="Normal 11 2 2 2 8 3 4 2" xfId="28737" xr:uid="{B8B168EA-17DC-4BD7-99A9-80E91B9B4D63}"/>
    <cellStyle name="Normal 11 2 2 2 8 3 5" xfId="28738" xr:uid="{C4615377-E734-480C-B952-39A9A9BC13E1}"/>
    <cellStyle name="Normal 11 2 2 2 8 4" xfId="28739" xr:uid="{1C676F0B-4130-40C2-9131-4A9932B3AEDE}"/>
    <cellStyle name="Normal 11 2 2 2 8 4 2" xfId="28740" xr:uid="{76F68443-B406-41F1-A93A-BF3AC66DCBB7}"/>
    <cellStyle name="Normal 11 2 2 2 8 4 2 2" xfId="28741" xr:uid="{22F0C9B2-E864-49EA-8B92-A5C1B88CF13C}"/>
    <cellStyle name="Normal 11 2 2 2 8 4 2 2 2" xfId="28742" xr:uid="{5ADB0C35-9F95-494D-8564-A69B22BD471C}"/>
    <cellStyle name="Normal 11 2 2 2 8 4 2 3" xfId="28743" xr:uid="{00061961-3676-4B48-9BA8-F85F8D2D13D5}"/>
    <cellStyle name="Normal 11 2 2 2 8 4 3" xfId="28744" xr:uid="{388090FA-DF3D-4731-A0F3-B9494A0B376A}"/>
    <cellStyle name="Normal 11 2 2 2 8 4 3 2" xfId="28745" xr:uid="{558BF28C-4497-4EF9-BC6E-DE6A8D643245}"/>
    <cellStyle name="Normal 11 2 2 2 8 4 4" xfId="28746" xr:uid="{8D8B662E-5FD9-42D5-83C9-95356613A041}"/>
    <cellStyle name="Normal 11 2 2 2 8 5" xfId="28747" xr:uid="{0722D27E-6AE4-40B6-8903-9C03E9AE8875}"/>
    <cellStyle name="Normal 11 2 2 2 8 5 2" xfId="28748" xr:uid="{0245570F-269A-4C77-AB44-B468D241D84C}"/>
    <cellStyle name="Normal 11 2 2 2 8 5 2 2" xfId="28749" xr:uid="{6152945E-EA2C-4596-9AF8-44AB899D983D}"/>
    <cellStyle name="Normal 11 2 2 2 8 5 3" xfId="28750" xr:uid="{649D3FCC-49B6-4084-B0B5-C4BDECBD73CC}"/>
    <cellStyle name="Normal 11 2 2 2 8 6" xfId="28751" xr:uid="{266C0726-0DA1-49FF-81EE-BF9193A3B702}"/>
    <cellStyle name="Normal 11 2 2 2 8 6 2" xfId="28752" xr:uid="{D0C44318-6EB0-4C12-89B0-0A4CE0889ABE}"/>
    <cellStyle name="Normal 11 2 2 2 8 7" xfId="28753" xr:uid="{1A74E790-FF04-4A66-8574-8FF147FC831C}"/>
    <cellStyle name="Normal 11 2 2 2 9" xfId="28754" xr:uid="{DE28AE87-AE7F-44FD-88D9-C9ED9FD2EE28}"/>
    <cellStyle name="Normal 11 2 2 2 9 2" xfId="28755" xr:uid="{C8E36936-1006-4C9E-835C-0E639DA896A1}"/>
    <cellStyle name="Normal 11 2 2 2 9 2 2" xfId="28756" xr:uid="{8E6329B3-6CC6-46B2-85CB-B2A6CDD39032}"/>
    <cellStyle name="Normal 11 2 2 2 9 2 2 2" xfId="28757" xr:uid="{4369895B-C78C-4BB5-8994-280813E50C67}"/>
    <cellStyle name="Normal 11 2 2 2 9 2 2 2 2" xfId="28758" xr:uid="{12EDD733-55E2-4BD8-8E17-B6849454AB97}"/>
    <cellStyle name="Normal 11 2 2 2 9 2 2 2 2 2" xfId="28759" xr:uid="{B9DA5846-12A4-4B14-B7F2-AEE4751E5A80}"/>
    <cellStyle name="Normal 11 2 2 2 9 2 2 2 3" xfId="28760" xr:uid="{9FC3DA69-3E5E-4037-8D18-7A8928252508}"/>
    <cellStyle name="Normal 11 2 2 2 9 2 2 3" xfId="28761" xr:uid="{36E0EB23-B2D3-4093-A90B-990B9584A06D}"/>
    <cellStyle name="Normal 11 2 2 2 9 2 2 3 2" xfId="28762" xr:uid="{3CED8674-FD56-46E2-9582-BAB378BE684A}"/>
    <cellStyle name="Normal 11 2 2 2 9 2 2 4" xfId="28763" xr:uid="{352D4357-1CD8-4C70-A592-1B32B251ADF3}"/>
    <cellStyle name="Normal 11 2 2 2 9 2 3" xfId="28764" xr:uid="{0A56E570-40D7-46FA-ADFD-D2D49AA289FA}"/>
    <cellStyle name="Normal 11 2 2 2 9 2 3 2" xfId="28765" xr:uid="{4C9E2720-131C-468D-8F32-87F06C87F17F}"/>
    <cellStyle name="Normal 11 2 2 2 9 2 3 2 2" xfId="28766" xr:uid="{5FC85100-835B-4765-B265-9D7F0BAA0832}"/>
    <cellStyle name="Normal 11 2 2 2 9 2 3 3" xfId="28767" xr:uid="{62D6CFC3-C470-4927-B0C2-EF5DC1BF2CFD}"/>
    <cellStyle name="Normal 11 2 2 2 9 2 4" xfId="28768" xr:uid="{4A4C9B18-9AF4-45EA-B0AB-D4C3402BB72E}"/>
    <cellStyle name="Normal 11 2 2 2 9 2 4 2" xfId="28769" xr:uid="{CBD39084-1368-4582-8669-E218BE40F0CE}"/>
    <cellStyle name="Normal 11 2 2 2 9 2 5" xfId="28770" xr:uid="{507D54F5-5F7B-4907-8D8F-500B1918D281}"/>
    <cellStyle name="Normal 11 2 2 2 9 3" xfId="28771" xr:uid="{740BBB71-B6B7-48BF-8793-4469CEE37D93}"/>
    <cellStyle name="Normal 11 2 2 2 9 3 2" xfId="28772" xr:uid="{FC0A32FE-ED30-4955-882B-86E0E39B0C70}"/>
    <cellStyle name="Normal 11 2 2 2 9 3 2 2" xfId="28773" xr:uid="{2A68C4B5-6F87-4889-8162-BE3AC268796F}"/>
    <cellStyle name="Normal 11 2 2 2 9 3 2 2 2" xfId="28774" xr:uid="{ADE529D8-8157-4F3E-A9F2-0A5B2FF9CA3C}"/>
    <cellStyle name="Normal 11 2 2 2 9 3 2 3" xfId="28775" xr:uid="{0F6845A8-DA26-438D-9B68-3BD831782E26}"/>
    <cellStyle name="Normal 11 2 2 2 9 3 3" xfId="28776" xr:uid="{0EEC601E-00EE-4AFA-845D-33C6C58DB304}"/>
    <cellStyle name="Normal 11 2 2 2 9 3 3 2" xfId="28777" xr:uid="{0CBE7BEC-C4EC-40D5-842C-62131304FEDD}"/>
    <cellStyle name="Normal 11 2 2 2 9 3 4" xfId="28778" xr:uid="{67658DEE-8A0A-42D9-9223-5E06D5E16132}"/>
    <cellStyle name="Normal 11 2 2 2 9 4" xfId="28779" xr:uid="{8C4CD528-0D80-411A-8566-1C38A60307C8}"/>
    <cellStyle name="Normal 11 2 2 2 9 4 2" xfId="28780" xr:uid="{AFEB8C45-ACF8-4181-8914-1468962BA0CA}"/>
    <cellStyle name="Normal 11 2 2 2 9 4 2 2" xfId="28781" xr:uid="{CCD632E1-17D3-40DA-8E57-A0B81B0A48A5}"/>
    <cellStyle name="Normal 11 2 2 2 9 4 3" xfId="28782" xr:uid="{F49C7427-3F98-4774-8A23-60FDEF351625}"/>
    <cellStyle name="Normal 11 2 2 2 9 5" xfId="28783" xr:uid="{82D8DB5A-96A0-496F-A284-FC1FF6240694}"/>
    <cellStyle name="Normal 11 2 2 2 9 5 2" xfId="28784" xr:uid="{572571F8-41BD-4D20-92B2-8D4EF97B279B}"/>
    <cellStyle name="Normal 11 2 2 2 9 6" xfId="28785" xr:uid="{82730F23-C53C-4B79-B471-92C9F2FE4CE5}"/>
    <cellStyle name="Normal 11 2 2 3" xfId="224" xr:uid="{244CDCC7-F948-4339-90FA-758232802670}"/>
    <cellStyle name="Normal 11 2 2 3 10" xfId="28786" xr:uid="{FFB18CA3-6A6C-431B-BE32-003374F3A413}"/>
    <cellStyle name="Normal 11 2 2 3 11" xfId="579" xr:uid="{99D52CE4-432C-4DE0-991A-A3E325DA2793}"/>
    <cellStyle name="Normal 11 2 2 3 2" xfId="356" xr:uid="{B044C2DD-C73C-45CF-8803-2047D8BBD705}"/>
    <cellStyle name="Normal 11 2 2 3 2 10" xfId="28787" xr:uid="{9FB8469B-9AE8-4B0A-B1D2-371497D691D6}"/>
    <cellStyle name="Normal 11 2 2 3 2 2" xfId="28788" xr:uid="{4B394A7E-E5B1-417E-8D79-8D38E9649FB5}"/>
    <cellStyle name="Normal 11 2 2 3 2 2 2" xfId="28789" xr:uid="{B1192026-B9F4-4CD4-BE61-0D26482E1A05}"/>
    <cellStyle name="Normal 11 2 2 3 2 2 2 2" xfId="28790" xr:uid="{77C83BB1-4C60-4875-8A5B-1B1D45A064A1}"/>
    <cellStyle name="Normal 11 2 2 3 2 2 2 2 2" xfId="28791" xr:uid="{A675D780-0A08-44DF-BE74-D5E4F332555C}"/>
    <cellStyle name="Normal 11 2 2 3 2 2 2 2 2 2" xfId="28792" xr:uid="{76D6A3AD-E358-4360-A999-78AD4A12A540}"/>
    <cellStyle name="Normal 11 2 2 3 2 2 2 2 2 2 2" xfId="28793" xr:uid="{64170E4A-FFCC-47E0-8387-6AD405FE796C}"/>
    <cellStyle name="Normal 11 2 2 3 2 2 2 2 2 2 2 2" xfId="28794" xr:uid="{D099B38A-E198-471A-B7C5-5B9AA21C7A0E}"/>
    <cellStyle name="Normal 11 2 2 3 2 2 2 2 2 2 2 2 2" xfId="28795" xr:uid="{7681A7BB-CD20-45AF-9BD8-0887E850002A}"/>
    <cellStyle name="Normal 11 2 2 3 2 2 2 2 2 2 2 3" xfId="28796" xr:uid="{211889FC-8003-4B64-A3D5-727CD300337E}"/>
    <cellStyle name="Normal 11 2 2 3 2 2 2 2 2 2 3" xfId="28797" xr:uid="{FCE82F6D-2E11-4D3F-A3E8-B1F22527802B}"/>
    <cellStyle name="Normal 11 2 2 3 2 2 2 2 2 2 3 2" xfId="28798" xr:uid="{A191363A-46AF-4922-AC4A-28194AE0024D}"/>
    <cellStyle name="Normal 11 2 2 3 2 2 2 2 2 2 4" xfId="28799" xr:uid="{2E0DC4E3-EFD5-4B30-9498-F8A59A512470}"/>
    <cellStyle name="Normal 11 2 2 3 2 2 2 2 2 3" xfId="28800" xr:uid="{FDF54976-C550-45CB-A01C-2953100B2EE1}"/>
    <cellStyle name="Normal 11 2 2 3 2 2 2 2 2 3 2" xfId="28801" xr:uid="{D8D69C63-5C2A-444E-B235-566489C08029}"/>
    <cellStyle name="Normal 11 2 2 3 2 2 2 2 2 3 2 2" xfId="28802" xr:uid="{C1389CDB-8BEC-458B-A6C2-DAEDD8C79B5D}"/>
    <cellStyle name="Normal 11 2 2 3 2 2 2 2 2 3 3" xfId="28803" xr:uid="{F753D200-0CEB-43A4-94E7-4CC0A6817481}"/>
    <cellStyle name="Normal 11 2 2 3 2 2 2 2 2 4" xfId="28804" xr:uid="{D9549E3E-D8F2-410B-BB9D-074DCE0F99E5}"/>
    <cellStyle name="Normal 11 2 2 3 2 2 2 2 2 4 2" xfId="28805" xr:uid="{FC509551-A0D7-4FAB-BEB3-D510A1391461}"/>
    <cellStyle name="Normal 11 2 2 3 2 2 2 2 2 5" xfId="28806" xr:uid="{488E9B4B-6C8F-4F97-8ED0-DED410074F79}"/>
    <cellStyle name="Normal 11 2 2 3 2 2 2 2 3" xfId="28807" xr:uid="{E27D9355-AB52-41CF-98FC-49C3D4A953ED}"/>
    <cellStyle name="Normal 11 2 2 3 2 2 2 2 3 2" xfId="28808" xr:uid="{6A6CB1C3-2C1F-4E06-821F-29D4D959B6FB}"/>
    <cellStyle name="Normal 11 2 2 3 2 2 2 2 3 2 2" xfId="28809" xr:uid="{11284DF7-374E-45B0-A3EC-BC28425FA510}"/>
    <cellStyle name="Normal 11 2 2 3 2 2 2 2 3 2 2 2" xfId="28810" xr:uid="{FE531F29-AC72-4BD4-9B20-F687C4163A1A}"/>
    <cellStyle name="Normal 11 2 2 3 2 2 2 2 3 2 3" xfId="28811" xr:uid="{071D1B93-18DE-4388-9846-333F1F7F5A25}"/>
    <cellStyle name="Normal 11 2 2 3 2 2 2 2 3 3" xfId="28812" xr:uid="{00D8CF93-606F-42E3-8A26-67E6BDF5FC7D}"/>
    <cellStyle name="Normal 11 2 2 3 2 2 2 2 3 3 2" xfId="28813" xr:uid="{497BC26D-0602-4208-938E-CC65D45F0375}"/>
    <cellStyle name="Normal 11 2 2 3 2 2 2 2 3 4" xfId="28814" xr:uid="{ED7442AA-BC27-41BE-9F29-9AB9E6846CC7}"/>
    <cellStyle name="Normal 11 2 2 3 2 2 2 2 4" xfId="28815" xr:uid="{FB4EF7C4-2705-4876-81EA-63A028AD7DD3}"/>
    <cellStyle name="Normal 11 2 2 3 2 2 2 2 4 2" xfId="28816" xr:uid="{A24E14BB-D12C-45FA-B860-49D4B11D7942}"/>
    <cellStyle name="Normal 11 2 2 3 2 2 2 2 4 2 2" xfId="28817" xr:uid="{3BDE50F9-5C29-49B4-A14B-E3B46DD4E451}"/>
    <cellStyle name="Normal 11 2 2 3 2 2 2 2 4 3" xfId="28818" xr:uid="{3A8F3BF3-E742-437B-A96A-3FB264C15D08}"/>
    <cellStyle name="Normal 11 2 2 3 2 2 2 2 5" xfId="28819" xr:uid="{FF79AAD1-7A4E-40B0-BD94-383D309191BE}"/>
    <cellStyle name="Normal 11 2 2 3 2 2 2 2 5 2" xfId="28820" xr:uid="{14C9CD26-EB6C-41F1-87D3-24D7CF579B14}"/>
    <cellStyle name="Normal 11 2 2 3 2 2 2 2 6" xfId="28821" xr:uid="{EA47FC87-7352-40DB-86AA-91685769782D}"/>
    <cellStyle name="Normal 11 2 2 3 2 2 2 3" xfId="28822" xr:uid="{C7A030B0-ED0D-4A2E-BAA0-998F4908E197}"/>
    <cellStyle name="Normal 11 2 2 3 2 2 2 3 2" xfId="28823" xr:uid="{500F2532-81C4-4D75-AD88-E5AED97A5E4F}"/>
    <cellStyle name="Normal 11 2 2 3 2 2 2 3 2 2" xfId="28824" xr:uid="{B2F0B678-5729-466B-B085-0283A73802A9}"/>
    <cellStyle name="Normal 11 2 2 3 2 2 2 3 2 2 2" xfId="28825" xr:uid="{14C860C8-59D4-4B26-B5B8-21965E5ABB30}"/>
    <cellStyle name="Normal 11 2 2 3 2 2 2 3 2 2 2 2" xfId="28826" xr:uid="{CD83AC17-3E38-462E-8C15-C55446B070A2}"/>
    <cellStyle name="Normal 11 2 2 3 2 2 2 3 2 2 3" xfId="28827" xr:uid="{E96B6EB8-3D9F-4FCB-9FEE-84B159EA83E4}"/>
    <cellStyle name="Normal 11 2 2 3 2 2 2 3 2 3" xfId="28828" xr:uid="{1C010E88-76A0-4796-AACA-1E795FF21840}"/>
    <cellStyle name="Normal 11 2 2 3 2 2 2 3 2 3 2" xfId="28829" xr:uid="{3E94D303-8740-4332-BC42-864A78037CF9}"/>
    <cellStyle name="Normal 11 2 2 3 2 2 2 3 2 4" xfId="28830" xr:uid="{9DAF9FC5-C32B-46EB-92EA-3D768C0A66CB}"/>
    <cellStyle name="Normal 11 2 2 3 2 2 2 3 3" xfId="28831" xr:uid="{FADC1886-F522-4F5F-A6F7-352B6926C345}"/>
    <cellStyle name="Normal 11 2 2 3 2 2 2 3 3 2" xfId="28832" xr:uid="{FD7CD181-51C3-49B2-BC4F-698AD821D45C}"/>
    <cellStyle name="Normal 11 2 2 3 2 2 2 3 3 2 2" xfId="28833" xr:uid="{5A93503C-D884-4DB6-817E-5129055C82B4}"/>
    <cellStyle name="Normal 11 2 2 3 2 2 2 3 3 3" xfId="28834" xr:uid="{00B0E632-C50D-4DB1-8348-2F0DB73F5DE9}"/>
    <cellStyle name="Normal 11 2 2 3 2 2 2 3 4" xfId="28835" xr:uid="{A0E71AFA-2767-4589-88D5-7E76318DBF89}"/>
    <cellStyle name="Normal 11 2 2 3 2 2 2 3 4 2" xfId="28836" xr:uid="{E46C80EA-F800-45F5-AC11-0E4212270706}"/>
    <cellStyle name="Normal 11 2 2 3 2 2 2 3 5" xfId="28837" xr:uid="{12553148-7578-4916-A890-C24DD82F0412}"/>
    <cellStyle name="Normal 11 2 2 3 2 2 2 4" xfId="28838" xr:uid="{C60A23F8-F954-44F7-BD1E-F38A36779D86}"/>
    <cellStyle name="Normal 11 2 2 3 2 2 2 4 2" xfId="28839" xr:uid="{9910ED59-7BDA-4898-B399-AFB408E99B07}"/>
    <cellStyle name="Normal 11 2 2 3 2 2 2 4 2 2" xfId="28840" xr:uid="{F3903F15-48B4-45C4-891E-2AADCCC142C1}"/>
    <cellStyle name="Normal 11 2 2 3 2 2 2 4 2 2 2" xfId="28841" xr:uid="{8A4579FF-198D-47B9-BBC3-B45D42F58A72}"/>
    <cellStyle name="Normal 11 2 2 3 2 2 2 4 2 3" xfId="28842" xr:uid="{55978AAC-AC2D-4178-B26B-9348256F739B}"/>
    <cellStyle name="Normal 11 2 2 3 2 2 2 4 3" xfId="28843" xr:uid="{769C00BD-1377-4999-BB50-F7BD33DD2123}"/>
    <cellStyle name="Normal 11 2 2 3 2 2 2 4 3 2" xfId="28844" xr:uid="{D2EBF476-455E-410E-B6D0-A6B37D324CB8}"/>
    <cellStyle name="Normal 11 2 2 3 2 2 2 4 4" xfId="28845" xr:uid="{108CA3DD-80AD-42DD-BB7A-30FD4A80B881}"/>
    <cellStyle name="Normal 11 2 2 3 2 2 2 5" xfId="28846" xr:uid="{53D15B79-4369-4F6C-9BC4-85C627D9EF7F}"/>
    <cellStyle name="Normal 11 2 2 3 2 2 2 5 2" xfId="28847" xr:uid="{BA1D9831-E8E6-4E26-9917-940B15976853}"/>
    <cellStyle name="Normal 11 2 2 3 2 2 2 5 2 2" xfId="28848" xr:uid="{C7072355-F881-4DCA-A3B7-0A6AC039E133}"/>
    <cellStyle name="Normal 11 2 2 3 2 2 2 5 3" xfId="28849" xr:uid="{96B6532D-8743-48AE-A9A8-B5E73FC94833}"/>
    <cellStyle name="Normal 11 2 2 3 2 2 2 6" xfId="28850" xr:uid="{5E86F628-45B6-476B-BE3D-23BDBB14507B}"/>
    <cellStyle name="Normal 11 2 2 3 2 2 2 6 2" xfId="28851" xr:uid="{4F3BEE44-2B1E-4C62-AB67-1E59DC9F8ABC}"/>
    <cellStyle name="Normal 11 2 2 3 2 2 2 7" xfId="28852" xr:uid="{20E621D6-F2B0-451B-AC41-24C1D33B0272}"/>
    <cellStyle name="Normal 11 2 2 3 2 2 3" xfId="28853" xr:uid="{CB9A28BA-3F17-4683-B1C5-50809CBCC7BE}"/>
    <cellStyle name="Normal 11 2 2 3 2 2 3 2" xfId="28854" xr:uid="{D93A5248-9B05-4797-AA37-5E620BD49A40}"/>
    <cellStyle name="Normal 11 2 2 3 2 2 3 2 2" xfId="28855" xr:uid="{976203F9-7D8C-4709-A682-A5AF8FDF1CD2}"/>
    <cellStyle name="Normal 11 2 2 3 2 2 3 2 2 2" xfId="28856" xr:uid="{0AAC323E-AF81-4F91-B1EE-F8544C981C60}"/>
    <cellStyle name="Normal 11 2 2 3 2 2 3 2 2 2 2" xfId="28857" xr:uid="{478ED477-CEB6-4161-9129-1758BD379037}"/>
    <cellStyle name="Normal 11 2 2 3 2 2 3 2 2 2 2 2" xfId="28858" xr:uid="{085D38E9-3369-4AF8-899B-A63F278FC3A1}"/>
    <cellStyle name="Normal 11 2 2 3 2 2 3 2 2 2 3" xfId="28859" xr:uid="{22987C5F-F6DB-4472-BFCA-5CB98E2D48F7}"/>
    <cellStyle name="Normal 11 2 2 3 2 2 3 2 2 3" xfId="28860" xr:uid="{0860259A-0F5A-4C7C-B813-78F98562C07E}"/>
    <cellStyle name="Normal 11 2 2 3 2 2 3 2 2 3 2" xfId="28861" xr:uid="{CF4DA30D-C120-4E19-96BC-D69B65381375}"/>
    <cellStyle name="Normal 11 2 2 3 2 2 3 2 2 4" xfId="28862" xr:uid="{3142AE88-8983-4BA2-AD38-3AAB44EE1893}"/>
    <cellStyle name="Normal 11 2 2 3 2 2 3 2 3" xfId="28863" xr:uid="{0B4D5884-39F9-4C5C-92E9-6ABC1366EADE}"/>
    <cellStyle name="Normal 11 2 2 3 2 2 3 2 3 2" xfId="28864" xr:uid="{32A1EBFD-89C4-4F54-B1BE-15A2565FA5C3}"/>
    <cellStyle name="Normal 11 2 2 3 2 2 3 2 3 2 2" xfId="28865" xr:uid="{E8830696-8BD4-4678-8241-7AF67F37A25B}"/>
    <cellStyle name="Normal 11 2 2 3 2 2 3 2 3 3" xfId="28866" xr:uid="{F60C6BCD-2A01-4DF4-948F-E6467083C585}"/>
    <cellStyle name="Normal 11 2 2 3 2 2 3 2 4" xfId="28867" xr:uid="{DD2DB8D0-D5F3-4FFC-9930-B352D06D7B73}"/>
    <cellStyle name="Normal 11 2 2 3 2 2 3 2 4 2" xfId="28868" xr:uid="{1A24DAE2-D1FD-451F-A5B6-0E0775599ED4}"/>
    <cellStyle name="Normal 11 2 2 3 2 2 3 2 5" xfId="28869" xr:uid="{C9D10074-F54B-4AC4-87D0-B62A627E2102}"/>
    <cellStyle name="Normal 11 2 2 3 2 2 3 3" xfId="28870" xr:uid="{D5115D71-2D6D-487B-B93E-F10E7DBB1E67}"/>
    <cellStyle name="Normal 11 2 2 3 2 2 3 3 2" xfId="28871" xr:uid="{32C9B28F-0EA8-421F-ACBE-6AB584B2AF17}"/>
    <cellStyle name="Normal 11 2 2 3 2 2 3 3 2 2" xfId="28872" xr:uid="{0676C29F-5CA8-4253-B6ED-C43C8FF75FD2}"/>
    <cellStyle name="Normal 11 2 2 3 2 2 3 3 2 2 2" xfId="28873" xr:uid="{890159DA-B269-4342-A9DC-2026A324F3F7}"/>
    <cellStyle name="Normal 11 2 2 3 2 2 3 3 2 3" xfId="28874" xr:uid="{59736CB9-BD7E-4904-96F9-0C84ED083914}"/>
    <cellStyle name="Normal 11 2 2 3 2 2 3 3 3" xfId="28875" xr:uid="{C33C5D8E-9E06-4067-9D9A-E708CE3BDEF2}"/>
    <cellStyle name="Normal 11 2 2 3 2 2 3 3 3 2" xfId="28876" xr:uid="{DEAC4606-EF25-4267-8C00-B053DFDAF41B}"/>
    <cellStyle name="Normal 11 2 2 3 2 2 3 3 4" xfId="28877" xr:uid="{BDEF5499-3D16-464A-9FF4-57C1D05902DF}"/>
    <cellStyle name="Normal 11 2 2 3 2 2 3 4" xfId="28878" xr:uid="{987D6CFF-6374-4BC4-BF07-0B1823E98602}"/>
    <cellStyle name="Normal 11 2 2 3 2 2 3 4 2" xfId="28879" xr:uid="{8A57015E-9DCA-45A4-8AD0-539CBE8FCC72}"/>
    <cellStyle name="Normal 11 2 2 3 2 2 3 4 2 2" xfId="28880" xr:uid="{57B6EF02-320D-42A0-AC1C-3F681E45C2E4}"/>
    <cellStyle name="Normal 11 2 2 3 2 2 3 4 3" xfId="28881" xr:uid="{E514DFDA-0470-4CD1-B0B4-2ED864AB2FAE}"/>
    <cellStyle name="Normal 11 2 2 3 2 2 3 5" xfId="28882" xr:uid="{ECCB944E-9D44-4E55-8A6D-ACC318B56040}"/>
    <cellStyle name="Normal 11 2 2 3 2 2 3 5 2" xfId="28883" xr:uid="{9517E575-E7A2-4EC1-89DA-430C3DFA4BEC}"/>
    <cellStyle name="Normal 11 2 2 3 2 2 3 6" xfId="28884" xr:uid="{02795037-3408-4862-8735-FB921B29E78C}"/>
    <cellStyle name="Normal 11 2 2 3 2 2 4" xfId="28885" xr:uid="{EB12AAD7-CA8E-4F64-98B7-D875E3F2D9DD}"/>
    <cellStyle name="Normal 11 2 2 3 2 2 4 2" xfId="28886" xr:uid="{ED481A7B-D757-4E23-9F27-120DD94608EB}"/>
    <cellStyle name="Normal 11 2 2 3 2 2 4 2 2" xfId="28887" xr:uid="{62403B2F-9C25-4A89-B9A6-E9057F169C86}"/>
    <cellStyle name="Normal 11 2 2 3 2 2 4 2 2 2" xfId="28888" xr:uid="{7DAC5D59-D15B-46A6-925B-3378925273B2}"/>
    <cellStyle name="Normal 11 2 2 3 2 2 4 2 2 2 2" xfId="28889" xr:uid="{E2792B21-7D1D-4F41-9C97-3CF1CF3919A5}"/>
    <cellStyle name="Normal 11 2 2 3 2 2 4 2 2 3" xfId="28890" xr:uid="{DE7BD5B8-8590-49AF-94A9-2643643EE34E}"/>
    <cellStyle name="Normal 11 2 2 3 2 2 4 2 3" xfId="28891" xr:uid="{A9F166BA-72F4-4A8E-B7AC-0BA96C49CF6C}"/>
    <cellStyle name="Normal 11 2 2 3 2 2 4 2 3 2" xfId="28892" xr:uid="{BC3CD35F-DB18-4E75-99FA-3BAEE5896156}"/>
    <cellStyle name="Normal 11 2 2 3 2 2 4 2 4" xfId="28893" xr:uid="{00205804-4255-4BEF-AA3D-41A56B4C33E2}"/>
    <cellStyle name="Normal 11 2 2 3 2 2 4 3" xfId="28894" xr:uid="{1B6B47CE-B310-4127-AC1A-F65799B86057}"/>
    <cellStyle name="Normal 11 2 2 3 2 2 4 3 2" xfId="28895" xr:uid="{AB5C9ED9-D756-4F8D-86B0-42BF2E1B9755}"/>
    <cellStyle name="Normal 11 2 2 3 2 2 4 3 2 2" xfId="28896" xr:uid="{23C0465B-F633-4907-878A-2C8722805CF3}"/>
    <cellStyle name="Normal 11 2 2 3 2 2 4 3 3" xfId="28897" xr:uid="{F30A0624-434B-43A7-9F1B-F536BAA0B6AC}"/>
    <cellStyle name="Normal 11 2 2 3 2 2 4 4" xfId="28898" xr:uid="{C2B9FE61-9743-430D-AB76-4211914527AD}"/>
    <cellStyle name="Normal 11 2 2 3 2 2 4 4 2" xfId="28899" xr:uid="{87A893AF-6719-4329-B8E6-FDCE18FDF6FA}"/>
    <cellStyle name="Normal 11 2 2 3 2 2 4 5" xfId="28900" xr:uid="{8AB27EEA-C44B-4CA8-8ED9-00D9AD4D72AA}"/>
    <cellStyle name="Normal 11 2 2 3 2 2 5" xfId="28901" xr:uid="{1598631B-3804-4056-9BEE-F3DB2DE2D52F}"/>
    <cellStyle name="Normal 11 2 2 3 2 2 5 2" xfId="28902" xr:uid="{A490F9BA-ACE8-43C1-9168-3E4072E32401}"/>
    <cellStyle name="Normal 11 2 2 3 2 2 5 2 2" xfId="28903" xr:uid="{7C00BE21-469C-4C38-876B-A0F7AFF4471C}"/>
    <cellStyle name="Normal 11 2 2 3 2 2 5 2 2 2" xfId="28904" xr:uid="{812FC057-015A-4EAB-9E80-1CDB772F2B88}"/>
    <cellStyle name="Normal 11 2 2 3 2 2 5 2 3" xfId="28905" xr:uid="{3C8ACD66-FA38-4CFB-ABBF-BA2AE6CA4A4F}"/>
    <cellStyle name="Normal 11 2 2 3 2 2 5 3" xfId="28906" xr:uid="{957A4906-0C09-4B4B-9691-1CC4D7DFD6E2}"/>
    <cellStyle name="Normal 11 2 2 3 2 2 5 3 2" xfId="28907" xr:uid="{2DB5B20D-C62C-4227-9557-E130B121D8BD}"/>
    <cellStyle name="Normal 11 2 2 3 2 2 5 4" xfId="28908" xr:uid="{514B42DB-416C-43B2-9889-4CC13E266A8F}"/>
    <cellStyle name="Normal 11 2 2 3 2 2 6" xfId="28909" xr:uid="{07668B86-B393-475B-A8B1-CEFADF72858E}"/>
    <cellStyle name="Normal 11 2 2 3 2 2 6 2" xfId="28910" xr:uid="{B9941F87-4015-46DD-8919-D59E3C911428}"/>
    <cellStyle name="Normal 11 2 2 3 2 2 6 2 2" xfId="28911" xr:uid="{EA24D364-25EF-4076-B401-CBEA623522DB}"/>
    <cellStyle name="Normal 11 2 2 3 2 2 6 3" xfId="28912" xr:uid="{3657D91C-1239-424D-9EA1-20DBD1D34B31}"/>
    <cellStyle name="Normal 11 2 2 3 2 2 7" xfId="28913" xr:uid="{00E51D7C-F2C6-4CD8-8E52-C3B9F9BDC606}"/>
    <cellStyle name="Normal 11 2 2 3 2 2 7 2" xfId="28914" xr:uid="{FDFE0E8A-CAAC-444B-8115-947C9C91DA58}"/>
    <cellStyle name="Normal 11 2 2 3 2 2 8" xfId="28915" xr:uid="{D642424B-78A8-4014-945D-ED9C302F0443}"/>
    <cellStyle name="Normal 11 2 2 3 2 3" xfId="28916" xr:uid="{0CE09DFB-F809-4032-88E0-7497FA9759B3}"/>
    <cellStyle name="Normal 11 2 2 3 2 3 2" xfId="28917" xr:uid="{BE151590-6ADB-4FFF-B268-367610E5F933}"/>
    <cellStyle name="Normal 11 2 2 3 2 3 2 2" xfId="28918" xr:uid="{CA42F284-4369-4216-A416-22994FBE7001}"/>
    <cellStyle name="Normal 11 2 2 3 2 3 2 2 2" xfId="28919" xr:uid="{AFF00028-79C2-44C8-BCB2-42C93F349F7F}"/>
    <cellStyle name="Normal 11 2 2 3 2 3 2 2 2 2" xfId="28920" xr:uid="{AF96B16F-437B-4632-9E5F-96E564BB780B}"/>
    <cellStyle name="Normal 11 2 2 3 2 3 2 2 2 2 2" xfId="28921" xr:uid="{76AD18C4-EBF6-45A8-84CB-857A45D727CD}"/>
    <cellStyle name="Normal 11 2 2 3 2 3 2 2 2 2 2 2" xfId="28922" xr:uid="{6C8A2AC9-5F23-4374-8985-785E6584E019}"/>
    <cellStyle name="Normal 11 2 2 3 2 3 2 2 2 2 3" xfId="28923" xr:uid="{378ACF66-1E10-4E47-A45A-923D3069FFBC}"/>
    <cellStyle name="Normal 11 2 2 3 2 3 2 2 2 3" xfId="28924" xr:uid="{C52CBF33-87E0-4811-9623-9D50B15960B3}"/>
    <cellStyle name="Normal 11 2 2 3 2 3 2 2 2 3 2" xfId="28925" xr:uid="{8F585543-2359-44A8-B887-5D38EF0EE7CB}"/>
    <cellStyle name="Normal 11 2 2 3 2 3 2 2 2 4" xfId="28926" xr:uid="{1B84605F-6D00-431D-B10D-6361FEFB5CBD}"/>
    <cellStyle name="Normal 11 2 2 3 2 3 2 2 3" xfId="28927" xr:uid="{BD2323DE-7670-4748-A5F1-F3B059D51DEC}"/>
    <cellStyle name="Normal 11 2 2 3 2 3 2 2 3 2" xfId="28928" xr:uid="{492CFA95-6DEF-4011-BD16-61938BD7C252}"/>
    <cellStyle name="Normal 11 2 2 3 2 3 2 2 3 2 2" xfId="28929" xr:uid="{B157D961-0C9C-471F-BCF6-6700220AD8D4}"/>
    <cellStyle name="Normal 11 2 2 3 2 3 2 2 3 3" xfId="28930" xr:uid="{60D2F19D-F2E3-474D-9ACE-4E1112B723CF}"/>
    <cellStyle name="Normal 11 2 2 3 2 3 2 2 4" xfId="28931" xr:uid="{14E50A7A-72D7-4171-981D-C5C9ADA9AE7C}"/>
    <cellStyle name="Normal 11 2 2 3 2 3 2 2 4 2" xfId="28932" xr:uid="{6798D51C-9CF7-46D0-91E0-D061E013F615}"/>
    <cellStyle name="Normal 11 2 2 3 2 3 2 2 5" xfId="28933" xr:uid="{FACF2DBD-55AD-44C5-A5DC-03020B4D7CCE}"/>
    <cellStyle name="Normal 11 2 2 3 2 3 2 3" xfId="28934" xr:uid="{598C661D-550D-4737-B727-1C5FF7FEFB4C}"/>
    <cellStyle name="Normal 11 2 2 3 2 3 2 3 2" xfId="28935" xr:uid="{0691CE50-3F56-4435-A132-413D04220F6F}"/>
    <cellStyle name="Normal 11 2 2 3 2 3 2 3 2 2" xfId="28936" xr:uid="{FA0B32FF-74B1-421B-9585-FDC727A3048C}"/>
    <cellStyle name="Normal 11 2 2 3 2 3 2 3 2 2 2" xfId="28937" xr:uid="{329BBE5D-852D-43BA-BA66-0BE8BDBE80F8}"/>
    <cellStyle name="Normal 11 2 2 3 2 3 2 3 2 3" xfId="28938" xr:uid="{EB033147-5058-4468-96AA-E53CB7690E93}"/>
    <cellStyle name="Normal 11 2 2 3 2 3 2 3 3" xfId="28939" xr:uid="{0F75943A-B313-4910-A073-36E333522B1B}"/>
    <cellStyle name="Normal 11 2 2 3 2 3 2 3 3 2" xfId="28940" xr:uid="{25300DB5-73CE-4AAB-9EE5-00F3662D6BD1}"/>
    <cellStyle name="Normal 11 2 2 3 2 3 2 3 4" xfId="28941" xr:uid="{0142BB99-7034-46EE-82EE-8F5F3F12F573}"/>
    <cellStyle name="Normal 11 2 2 3 2 3 2 4" xfId="28942" xr:uid="{70153A03-2DA8-4B08-B822-64B360970C87}"/>
    <cellStyle name="Normal 11 2 2 3 2 3 2 4 2" xfId="28943" xr:uid="{843489BB-7D19-4ECB-9FE5-AE073E7ABEC0}"/>
    <cellStyle name="Normal 11 2 2 3 2 3 2 4 2 2" xfId="28944" xr:uid="{9FCE055D-59C4-4D9A-8C34-F61F4FD9589F}"/>
    <cellStyle name="Normal 11 2 2 3 2 3 2 4 3" xfId="28945" xr:uid="{7A34201B-549B-4A2B-B3CE-EBDEAC9E959B}"/>
    <cellStyle name="Normal 11 2 2 3 2 3 2 5" xfId="28946" xr:uid="{BFA03A00-39E3-4A61-BCFA-730D880DA1B5}"/>
    <cellStyle name="Normal 11 2 2 3 2 3 2 5 2" xfId="28947" xr:uid="{CA7C51E5-9633-4714-AE8C-66E381F087EF}"/>
    <cellStyle name="Normal 11 2 2 3 2 3 2 6" xfId="28948" xr:uid="{0920F6EE-E7EF-4584-BC1F-7E69FCF5DF78}"/>
    <cellStyle name="Normal 11 2 2 3 2 3 3" xfId="28949" xr:uid="{BB9C8BB7-33FF-4F56-B05E-3D0127AF3617}"/>
    <cellStyle name="Normal 11 2 2 3 2 3 3 2" xfId="28950" xr:uid="{8403E96B-473A-4B32-8D51-3D101DB0C0E9}"/>
    <cellStyle name="Normal 11 2 2 3 2 3 3 2 2" xfId="28951" xr:uid="{1872E30D-598D-4AB7-8C35-AF062672A447}"/>
    <cellStyle name="Normal 11 2 2 3 2 3 3 2 2 2" xfId="28952" xr:uid="{93814000-6CE6-47CE-AE52-E93145A562FF}"/>
    <cellStyle name="Normal 11 2 2 3 2 3 3 2 2 2 2" xfId="28953" xr:uid="{B361BE89-FC4E-4125-9A52-767F0B16CAC2}"/>
    <cellStyle name="Normal 11 2 2 3 2 3 3 2 2 3" xfId="28954" xr:uid="{3F757E39-F7AC-45B0-A756-402FF33ADDB6}"/>
    <cellStyle name="Normal 11 2 2 3 2 3 3 2 3" xfId="28955" xr:uid="{847534E6-0471-4193-8689-6A5F52BCD6FB}"/>
    <cellStyle name="Normal 11 2 2 3 2 3 3 2 3 2" xfId="28956" xr:uid="{F20A86F9-06C6-4448-BFE8-05848DB1F789}"/>
    <cellStyle name="Normal 11 2 2 3 2 3 3 2 4" xfId="28957" xr:uid="{0641CD3C-4A76-416F-89CC-2193268CFDD6}"/>
    <cellStyle name="Normal 11 2 2 3 2 3 3 3" xfId="28958" xr:uid="{BD50AB63-8036-475F-AF72-CC72D9282500}"/>
    <cellStyle name="Normal 11 2 2 3 2 3 3 3 2" xfId="28959" xr:uid="{44FAC22C-8266-438E-A95C-BE345FA8FD30}"/>
    <cellStyle name="Normal 11 2 2 3 2 3 3 3 2 2" xfId="28960" xr:uid="{16060A1A-21E3-4BBB-8185-57EC4E88E73A}"/>
    <cellStyle name="Normal 11 2 2 3 2 3 3 3 3" xfId="28961" xr:uid="{374B8B6E-B21D-4338-8621-45B9C34E8F18}"/>
    <cellStyle name="Normal 11 2 2 3 2 3 3 4" xfId="28962" xr:uid="{F6731056-594C-434C-AD58-8C35E2215D08}"/>
    <cellStyle name="Normal 11 2 2 3 2 3 3 4 2" xfId="28963" xr:uid="{D7E3F086-E362-449D-8D83-E108AF4F0927}"/>
    <cellStyle name="Normal 11 2 2 3 2 3 3 5" xfId="28964" xr:uid="{82DB7F75-2DD7-4FC9-ACBA-721F5CB51CF2}"/>
    <cellStyle name="Normal 11 2 2 3 2 3 4" xfId="28965" xr:uid="{4251D718-D7A3-4FC9-9F3D-239D2019989F}"/>
    <cellStyle name="Normal 11 2 2 3 2 3 4 2" xfId="28966" xr:uid="{A918FC57-15B8-4CD1-8531-6187B8326D0D}"/>
    <cellStyle name="Normal 11 2 2 3 2 3 4 2 2" xfId="28967" xr:uid="{C3F73791-1505-472C-B8A1-1BCCB4749A90}"/>
    <cellStyle name="Normal 11 2 2 3 2 3 4 2 2 2" xfId="28968" xr:uid="{EE8781E6-4E8E-48E1-8238-D6CB2E395946}"/>
    <cellStyle name="Normal 11 2 2 3 2 3 4 2 3" xfId="28969" xr:uid="{A630E3D5-DDA9-4CBB-BD68-85346FC35572}"/>
    <cellStyle name="Normal 11 2 2 3 2 3 4 3" xfId="28970" xr:uid="{E3BA60ED-A9CD-40CF-9141-B984D3163506}"/>
    <cellStyle name="Normal 11 2 2 3 2 3 4 3 2" xfId="28971" xr:uid="{D051A2D2-CFEC-4159-A307-1FE97E81A8EB}"/>
    <cellStyle name="Normal 11 2 2 3 2 3 4 4" xfId="28972" xr:uid="{F3FD42C7-3B76-40E8-A6E5-A34C36F21F90}"/>
    <cellStyle name="Normal 11 2 2 3 2 3 5" xfId="28973" xr:uid="{C1B5E5D5-756D-497B-9BD6-5D37E3B9A5E4}"/>
    <cellStyle name="Normal 11 2 2 3 2 3 5 2" xfId="28974" xr:uid="{351ED039-A606-4413-B763-B4C2CAA72EB5}"/>
    <cellStyle name="Normal 11 2 2 3 2 3 5 2 2" xfId="28975" xr:uid="{17947B9F-AAA7-49ED-A757-25A555A5AC79}"/>
    <cellStyle name="Normal 11 2 2 3 2 3 5 3" xfId="28976" xr:uid="{4D4C1514-6FE5-415C-80B2-039177E6704B}"/>
    <cellStyle name="Normal 11 2 2 3 2 3 6" xfId="28977" xr:uid="{A73B32DC-5E30-48E9-AEF4-69DB0442720A}"/>
    <cellStyle name="Normal 11 2 2 3 2 3 6 2" xfId="28978" xr:uid="{1F416684-30BC-4D47-AA53-BCD019570FA0}"/>
    <cellStyle name="Normal 11 2 2 3 2 3 7" xfId="28979" xr:uid="{ED5F2DC2-47FB-4919-9E77-FCAE41400567}"/>
    <cellStyle name="Normal 11 2 2 3 2 4" xfId="28980" xr:uid="{F866F8A2-4A0D-4DFC-BC9D-DDD7F0BC7DE1}"/>
    <cellStyle name="Normal 11 2 2 3 2 4 2" xfId="28981" xr:uid="{1B4776B7-8A3E-46CA-8D7C-BF4DCF526ED5}"/>
    <cellStyle name="Normal 11 2 2 3 2 4 2 2" xfId="28982" xr:uid="{E07CC507-86E7-4780-8BC5-CE2C5EF209FD}"/>
    <cellStyle name="Normal 11 2 2 3 2 4 2 2 2" xfId="28983" xr:uid="{A4F05704-DC80-4145-A339-A623FD83186E}"/>
    <cellStyle name="Normal 11 2 2 3 2 4 2 2 2 2" xfId="28984" xr:uid="{EFEA08A4-68F4-491B-974C-179CA3E91CBB}"/>
    <cellStyle name="Normal 11 2 2 3 2 4 2 2 2 2 2" xfId="28985" xr:uid="{5FC1D9D2-B4E6-4AAD-A0DC-8562A96F4849}"/>
    <cellStyle name="Normal 11 2 2 3 2 4 2 2 2 3" xfId="28986" xr:uid="{FA2E3149-B282-4FA3-859E-01649825CFA9}"/>
    <cellStyle name="Normal 11 2 2 3 2 4 2 2 3" xfId="28987" xr:uid="{AF398E48-B1B7-4E95-8191-B31009A4DF6A}"/>
    <cellStyle name="Normal 11 2 2 3 2 4 2 2 3 2" xfId="28988" xr:uid="{0B505EDE-AD7A-48BB-A171-A16750CB67CC}"/>
    <cellStyle name="Normal 11 2 2 3 2 4 2 2 4" xfId="28989" xr:uid="{CE4B8EE5-6232-49FA-A973-40ADF4D592EB}"/>
    <cellStyle name="Normal 11 2 2 3 2 4 2 3" xfId="28990" xr:uid="{513BDDA6-8DA2-4E58-B426-AA0D78C5F864}"/>
    <cellStyle name="Normal 11 2 2 3 2 4 2 3 2" xfId="28991" xr:uid="{3D3A5351-2051-446D-AFED-85B1EB2AFD39}"/>
    <cellStyle name="Normal 11 2 2 3 2 4 2 3 2 2" xfId="28992" xr:uid="{E5D75FA3-9F88-4105-80B7-19649C69B146}"/>
    <cellStyle name="Normal 11 2 2 3 2 4 2 3 3" xfId="28993" xr:uid="{1FA7F711-A801-42B9-A298-BF7C270023C2}"/>
    <cellStyle name="Normal 11 2 2 3 2 4 2 4" xfId="28994" xr:uid="{E82F7B97-E5F0-4095-9D64-D065BD0F370C}"/>
    <cellStyle name="Normal 11 2 2 3 2 4 2 4 2" xfId="28995" xr:uid="{65FD1B3E-124B-462C-8020-271CF8DFB693}"/>
    <cellStyle name="Normal 11 2 2 3 2 4 2 5" xfId="28996" xr:uid="{FEE124E6-9D1A-4171-B2F1-643ED0DD5E38}"/>
    <cellStyle name="Normal 11 2 2 3 2 4 3" xfId="28997" xr:uid="{FF95B727-4ACE-4AD2-AC1F-77FCFBD0DAD9}"/>
    <cellStyle name="Normal 11 2 2 3 2 4 3 2" xfId="28998" xr:uid="{488A0717-380D-40F9-AF75-764FF2F4C1A0}"/>
    <cellStyle name="Normal 11 2 2 3 2 4 3 2 2" xfId="28999" xr:uid="{0B2C141C-A354-41E0-8243-168DF6E586EC}"/>
    <cellStyle name="Normal 11 2 2 3 2 4 3 2 2 2" xfId="29000" xr:uid="{36D0DCE4-4A4D-4850-8B28-AC00550CC41E}"/>
    <cellStyle name="Normal 11 2 2 3 2 4 3 2 3" xfId="29001" xr:uid="{DD5661C8-9920-41A0-A40A-8F8598BF7B17}"/>
    <cellStyle name="Normal 11 2 2 3 2 4 3 3" xfId="29002" xr:uid="{A65FA5D5-BBB5-4416-81F3-2627D286252E}"/>
    <cellStyle name="Normal 11 2 2 3 2 4 3 3 2" xfId="29003" xr:uid="{7D32C2ED-F4E6-4FDF-BC2C-D7415EB060BB}"/>
    <cellStyle name="Normal 11 2 2 3 2 4 3 4" xfId="29004" xr:uid="{1635DFBA-7DAD-49AD-AB72-B42B17B79553}"/>
    <cellStyle name="Normal 11 2 2 3 2 4 4" xfId="29005" xr:uid="{6B0E265F-FF9B-40D4-BE85-F8F5A99CFB5C}"/>
    <cellStyle name="Normal 11 2 2 3 2 4 4 2" xfId="29006" xr:uid="{46415C44-CB92-4EFC-BE6D-2EF6BAAF4C92}"/>
    <cellStyle name="Normal 11 2 2 3 2 4 4 2 2" xfId="29007" xr:uid="{314E2DA2-471B-47E9-9980-5EBF6DAA3438}"/>
    <cellStyle name="Normal 11 2 2 3 2 4 4 3" xfId="29008" xr:uid="{A34FE7FB-C8BF-4C79-AB41-2F5EBC6DE105}"/>
    <cellStyle name="Normal 11 2 2 3 2 4 5" xfId="29009" xr:uid="{41D0A264-C946-458C-9F48-D958F6C696E0}"/>
    <cellStyle name="Normal 11 2 2 3 2 4 5 2" xfId="29010" xr:uid="{4A3CA3E7-051E-4A96-82C7-7F42249CDEA4}"/>
    <cellStyle name="Normal 11 2 2 3 2 4 6" xfId="29011" xr:uid="{A6349ECF-38AA-4BC5-BE94-260F826EC7FF}"/>
    <cellStyle name="Normal 11 2 2 3 2 5" xfId="29012" xr:uid="{397EF277-0A93-4E85-9249-BDC68331B330}"/>
    <cellStyle name="Normal 11 2 2 3 2 5 2" xfId="29013" xr:uid="{40088FF0-25E2-4A4B-9753-0B69008C5606}"/>
    <cellStyle name="Normal 11 2 2 3 2 5 2 2" xfId="29014" xr:uid="{123D8759-D7FD-4E69-8592-6D92F0B1007C}"/>
    <cellStyle name="Normal 11 2 2 3 2 5 2 2 2" xfId="29015" xr:uid="{F4C5620D-3E75-4CC2-AC8C-1A72AB4C225E}"/>
    <cellStyle name="Normal 11 2 2 3 2 5 2 2 2 2" xfId="29016" xr:uid="{ADDCD819-8E45-4F63-815E-5B8910385585}"/>
    <cellStyle name="Normal 11 2 2 3 2 5 2 2 3" xfId="29017" xr:uid="{9DB0C926-1C9B-4351-8378-9EA93556BE9A}"/>
    <cellStyle name="Normal 11 2 2 3 2 5 2 3" xfId="29018" xr:uid="{51114915-D7DE-4761-8149-EC2431121A5E}"/>
    <cellStyle name="Normal 11 2 2 3 2 5 2 3 2" xfId="29019" xr:uid="{87E967AF-4D4D-4511-984A-47E8DB4B52B3}"/>
    <cellStyle name="Normal 11 2 2 3 2 5 2 4" xfId="29020" xr:uid="{10D89F62-8974-4841-9FA9-F1B9AF26A7F7}"/>
    <cellStyle name="Normal 11 2 2 3 2 5 3" xfId="29021" xr:uid="{57A78E55-AF79-4E46-A515-303C0C57CE0A}"/>
    <cellStyle name="Normal 11 2 2 3 2 5 3 2" xfId="29022" xr:uid="{3AA2E229-B81C-4391-B3F2-E5EDBE8641A8}"/>
    <cellStyle name="Normal 11 2 2 3 2 5 3 2 2" xfId="29023" xr:uid="{66D1B6A3-5B56-4AED-BCF3-C10F504FB4F0}"/>
    <cellStyle name="Normal 11 2 2 3 2 5 3 3" xfId="29024" xr:uid="{D9318C28-2DBB-4A35-AC1B-D316CDBF7FC7}"/>
    <cellStyle name="Normal 11 2 2 3 2 5 4" xfId="29025" xr:uid="{9B1A56DE-2E6E-4A96-A909-99D2A74467F2}"/>
    <cellStyle name="Normal 11 2 2 3 2 5 4 2" xfId="29026" xr:uid="{AFCA5D9A-6658-4B7E-AB87-3100D00347EE}"/>
    <cellStyle name="Normal 11 2 2 3 2 5 5" xfId="29027" xr:uid="{0E85C92A-809D-42C0-B0ED-8F7610393EAD}"/>
    <cellStyle name="Normal 11 2 2 3 2 6" xfId="29028" xr:uid="{6A45C517-BE98-4F21-B87C-DE6F80393BB2}"/>
    <cellStyle name="Normal 11 2 2 3 2 6 2" xfId="29029" xr:uid="{7A5B0DBF-7870-4563-B7F4-BEB32CE95F56}"/>
    <cellStyle name="Normal 11 2 2 3 2 6 2 2" xfId="29030" xr:uid="{4983BE41-FCD2-4CED-B5A7-99144D64FD0C}"/>
    <cellStyle name="Normal 11 2 2 3 2 6 2 2 2" xfId="29031" xr:uid="{8CB45FA4-7769-44DF-AEA8-3E101B67EE88}"/>
    <cellStyle name="Normal 11 2 2 3 2 6 2 3" xfId="29032" xr:uid="{B9E7B120-B6D9-430B-BB4B-0BD6C9CE0626}"/>
    <cellStyle name="Normal 11 2 2 3 2 6 3" xfId="29033" xr:uid="{91F56AFE-56E2-44E7-933E-354AE76372E4}"/>
    <cellStyle name="Normal 11 2 2 3 2 6 3 2" xfId="29034" xr:uid="{0B1075C7-E9AB-4AFD-B90F-61F5DC288779}"/>
    <cellStyle name="Normal 11 2 2 3 2 6 4" xfId="29035" xr:uid="{3FCCE07C-2F98-4341-B24F-5E09F13614FD}"/>
    <cellStyle name="Normal 11 2 2 3 2 7" xfId="29036" xr:uid="{30ED919F-8AA5-4802-8E4C-FD7DAD3AB87B}"/>
    <cellStyle name="Normal 11 2 2 3 2 7 2" xfId="29037" xr:uid="{531B935D-319A-47B3-9240-3365658B68B5}"/>
    <cellStyle name="Normal 11 2 2 3 2 7 2 2" xfId="29038" xr:uid="{27DDC900-FE74-4E58-A6A0-80A76B4A43D7}"/>
    <cellStyle name="Normal 11 2 2 3 2 7 3" xfId="29039" xr:uid="{724B06C3-F085-4403-830B-461C71446103}"/>
    <cellStyle name="Normal 11 2 2 3 2 8" xfId="29040" xr:uid="{19BAA5EB-80A2-4D16-8026-F61444C4E456}"/>
    <cellStyle name="Normal 11 2 2 3 2 8 2" xfId="29041" xr:uid="{609BAA42-808B-42F0-8F04-5BC3A1912A80}"/>
    <cellStyle name="Normal 11 2 2 3 2 9" xfId="29042" xr:uid="{6655DACE-0CE8-4860-ABA0-01B58070B8E1}"/>
    <cellStyle name="Normal 11 2 2 3 3" xfId="459" xr:uid="{3843FF15-D7E7-46BF-883D-F0E9BDA777F8}"/>
    <cellStyle name="Normal 11 2 2 3 3 2" xfId="29044" xr:uid="{9B80A9E7-A806-40DD-9EE2-A8FCB3E0B183}"/>
    <cellStyle name="Normal 11 2 2 3 3 2 2" xfId="29045" xr:uid="{D978BBBB-6075-4837-ABF4-B1D552063630}"/>
    <cellStyle name="Normal 11 2 2 3 3 2 2 2" xfId="29046" xr:uid="{2D935CFF-B300-4291-AA0E-087FA85A26DC}"/>
    <cellStyle name="Normal 11 2 2 3 3 2 2 2 2" xfId="29047" xr:uid="{A4AAD99F-D08D-40CE-BFCC-F1996940AB88}"/>
    <cellStyle name="Normal 11 2 2 3 3 2 2 2 2 2" xfId="29048" xr:uid="{60DF7CF5-AA9F-40F9-AF00-3F123A35588E}"/>
    <cellStyle name="Normal 11 2 2 3 3 2 2 2 2 2 2" xfId="29049" xr:uid="{945183B8-257E-4F16-B2AC-32A9A6D88771}"/>
    <cellStyle name="Normal 11 2 2 3 3 2 2 2 2 2 2 2" xfId="29050" xr:uid="{BA504E10-75C8-4C40-A286-78861153A692}"/>
    <cellStyle name="Normal 11 2 2 3 3 2 2 2 2 2 3" xfId="29051" xr:uid="{065FBF65-C41F-4938-9C0C-C1B8AC26B159}"/>
    <cellStyle name="Normal 11 2 2 3 3 2 2 2 2 3" xfId="29052" xr:uid="{ABF30109-1CFA-40B4-83EB-864FC5DDCFE1}"/>
    <cellStyle name="Normal 11 2 2 3 3 2 2 2 2 3 2" xfId="29053" xr:uid="{8FD8A921-DE6C-47EB-BD04-150D5B1FB2CD}"/>
    <cellStyle name="Normal 11 2 2 3 3 2 2 2 2 4" xfId="29054" xr:uid="{5BF309DE-1134-456E-9F3B-F0EE50D9B842}"/>
    <cellStyle name="Normal 11 2 2 3 3 2 2 2 3" xfId="29055" xr:uid="{1E6959BD-0431-42D8-87F6-2BAFA19D74CB}"/>
    <cellStyle name="Normal 11 2 2 3 3 2 2 2 3 2" xfId="29056" xr:uid="{A9CDEC1F-4947-4010-8E13-22101672756B}"/>
    <cellStyle name="Normal 11 2 2 3 3 2 2 2 3 2 2" xfId="29057" xr:uid="{BE94CDA4-C51C-4549-8756-FE69F3D2EE37}"/>
    <cellStyle name="Normal 11 2 2 3 3 2 2 2 3 3" xfId="29058" xr:uid="{9D328DAD-9192-47C7-B161-095203758BFD}"/>
    <cellStyle name="Normal 11 2 2 3 3 2 2 2 4" xfId="29059" xr:uid="{72E2FFC4-8500-4B59-BDB3-AE3E21A7F9DF}"/>
    <cellStyle name="Normal 11 2 2 3 3 2 2 2 4 2" xfId="29060" xr:uid="{959A70E5-B024-4298-BA1E-1546CBEEC866}"/>
    <cellStyle name="Normal 11 2 2 3 3 2 2 2 5" xfId="29061" xr:uid="{489DC936-5BFE-4BAF-BF8D-C53AB9EBB27B}"/>
    <cellStyle name="Normal 11 2 2 3 3 2 2 3" xfId="29062" xr:uid="{16D09CB1-1323-4BF8-81D7-519332EE7FF3}"/>
    <cellStyle name="Normal 11 2 2 3 3 2 2 3 2" xfId="29063" xr:uid="{AF06C923-EF11-4E13-854C-E42661E15CBD}"/>
    <cellStyle name="Normal 11 2 2 3 3 2 2 3 2 2" xfId="29064" xr:uid="{9ADF95DA-037A-4427-8654-9A57019EFA75}"/>
    <cellStyle name="Normal 11 2 2 3 3 2 2 3 2 2 2" xfId="29065" xr:uid="{43ECA575-BD09-4BC5-98B7-61CD1BB9B097}"/>
    <cellStyle name="Normal 11 2 2 3 3 2 2 3 2 3" xfId="29066" xr:uid="{8DEABED3-4965-46D2-85FA-F794EBEE80C9}"/>
    <cellStyle name="Normal 11 2 2 3 3 2 2 3 3" xfId="29067" xr:uid="{A4A902E3-783E-4F06-A10F-836057D3BDE8}"/>
    <cellStyle name="Normal 11 2 2 3 3 2 2 3 3 2" xfId="29068" xr:uid="{8290C5FC-B37F-4C38-92E7-EF3036A4B6EC}"/>
    <cellStyle name="Normal 11 2 2 3 3 2 2 3 4" xfId="29069" xr:uid="{EED987DA-2AB3-4CB7-9C50-25C92EF353B1}"/>
    <cellStyle name="Normal 11 2 2 3 3 2 2 4" xfId="29070" xr:uid="{79471058-5623-4892-9AD0-10FC5189018D}"/>
    <cellStyle name="Normal 11 2 2 3 3 2 2 4 2" xfId="29071" xr:uid="{283C5E72-5037-485D-9AE2-1A72E55D0A66}"/>
    <cellStyle name="Normal 11 2 2 3 3 2 2 4 2 2" xfId="29072" xr:uid="{20A92E02-62D3-4841-87C7-69A57FA7A9CB}"/>
    <cellStyle name="Normal 11 2 2 3 3 2 2 4 3" xfId="29073" xr:uid="{00B76807-38EE-44E3-BE0E-A28DC5029232}"/>
    <cellStyle name="Normal 11 2 2 3 3 2 2 5" xfId="29074" xr:uid="{AF3CBFB1-B1CF-41AF-B380-E0F5627FC983}"/>
    <cellStyle name="Normal 11 2 2 3 3 2 2 5 2" xfId="29075" xr:uid="{26E5A512-A566-4952-97B6-E487B444853E}"/>
    <cellStyle name="Normal 11 2 2 3 3 2 2 6" xfId="29076" xr:uid="{1133EE5A-5AB6-4A14-B52A-51E42DB230FB}"/>
    <cellStyle name="Normal 11 2 2 3 3 2 3" xfId="29077" xr:uid="{5F48DD07-C21C-445D-897D-695EFFD0EFB7}"/>
    <cellStyle name="Normal 11 2 2 3 3 2 3 2" xfId="29078" xr:uid="{2D549CC2-851E-486A-8687-2BD62DB214F5}"/>
    <cellStyle name="Normal 11 2 2 3 3 2 3 2 2" xfId="29079" xr:uid="{BADA96E8-B039-4DFA-8BCB-592DCC72417B}"/>
    <cellStyle name="Normal 11 2 2 3 3 2 3 2 2 2" xfId="29080" xr:uid="{02426D7C-DB57-4517-821B-F600901C0EE9}"/>
    <cellStyle name="Normal 11 2 2 3 3 2 3 2 2 2 2" xfId="29081" xr:uid="{3D281D70-F62D-48EA-8A4C-B3AE826F4E8C}"/>
    <cellStyle name="Normal 11 2 2 3 3 2 3 2 2 3" xfId="29082" xr:uid="{550CB93F-552F-48C7-B0B0-B4525B7077FE}"/>
    <cellStyle name="Normal 11 2 2 3 3 2 3 2 3" xfId="29083" xr:uid="{DE3EC025-0D7F-452E-A76E-054D294BF9BE}"/>
    <cellStyle name="Normal 11 2 2 3 3 2 3 2 3 2" xfId="29084" xr:uid="{A23D4BC7-860A-4CE7-8780-CE7898C5CB85}"/>
    <cellStyle name="Normal 11 2 2 3 3 2 3 2 4" xfId="29085" xr:uid="{A38E1845-443A-48E5-AA31-BDC3EE12E7D7}"/>
    <cellStyle name="Normal 11 2 2 3 3 2 3 3" xfId="29086" xr:uid="{8A9DAAA4-A98A-4DEB-A3E3-6F0D1B489BB2}"/>
    <cellStyle name="Normal 11 2 2 3 3 2 3 3 2" xfId="29087" xr:uid="{45574737-0D93-4F05-8DD7-9C90B21CE587}"/>
    <cellStyle name="Normal 11 2 2 3 3 2 3 3 2 2" xfId="29088" xr:uid="{C809A845-CC5D-40D6-A55F-380F0E13E020}"/>
    <cellStyle name="Normal 11 2 2 3 3 2 3 3 3" xfId="29089" xr:uid="{9AE35790-DC8A-49E4-9FBE-ADAE7CDF4B9C}"/>
    <cellStyle name="Normal 11 2 2 3 3 2 3 4" xfId="29090" xr:uid="{1A93FB75-EDA5-4D29-8D2C-476CB661B7DE}"/>
    <cellStyle name="Normal 11 2 2 3 3 2 3 4 2" xfId="29091" xr:uid="{BEED105F-5CA0-4717-B49D-2DC86191F650}"/>
    <cellStyle name="Normal 11 2 2 3 3 2 3 5" xfId="29092" xr:uid="{1C1A8600-8FF3-4309-8C41-5BB7A28FEA65}"/>
    <cellStyle name="Normal 11 2 2 3 3 2 4" xfId="29093" xr:uid="{6C81F384-212D-4D81-9CAE-70CE6C17B1A6}"/>
    <cellStyle name="Normal 11 2 2 3 3 2 4 2" xfId="29094" xr:uid="{9146A5D8-F4B0-41D1-AF6E-B688DA6752FA}"/>
    <cellStyle name="Normal 11 2 2 3 3 2 4 2 2" xfId="29095" xr:uid="{47BAD150-5617-4AF4-BF76-A9D14F96F4C9}"/>
    <cellStyle name="Normal 11 2 2 3 3 2 4 2 2 2" xfId="29096" xr:uid="{06F92A4F-9E0F-4FF9-AD61-424EF08CB597}"/>
    <cellStyle name="Normal 11 2 2 3 3 2 4 2 3" xfId="29097" xr:uid="{C5CA6F91-23A0-4C4B-B21F-967B9F92FCF2}"/>
    <cellStyle name="Normal 11 2 2 3 3 2 4 3" xfId="29098" xr:uid="{0D60CD90-6071-4C1C-BCF8-EFFA4726F64E}"/>
    <cellStyle name="Normal 11 2 2 3 3 2 4 3 2" xfId="29099" xr:uid="{1A19DE22-8A3D-42CA-9956-D4DF241DE077}"/>
    <cellStyle name="Normal 11 2 2 3 3 2 4 4" xfId="29100" xr:uid="{6EE82D82-E824-4ED7-BFEE-0B9CA7F2697A}"/>
    <cellStyle name="Normal 11 2 2 3 3 2 5" xfId="29101" xr:uid="{82DFF093-886B-4AD7-9CF8-7EA43326091E}"/>
    <cellStyle name="Normal 11 2 2 3 3 2 5 2" xfId="29102" xr:uid="{013F4C4F-FC4D-4DDA-BF9E-63DDD5900CB3}"/>
    <cellStyle name="Normal 11 2 2 3 3 2 5 2 2" xfId="29103" xr:uid="{8A632843-08D6-467D-A021-ED36FF9222A8}"/>
    <cellStyle name="Normal 11 2 2 3 3 2 5 3" xfId="29104" xr:uid="{8A5556B9-ECF0-48C5-9FAD-DD542AA564A1}"/>
    <cellStyle name="Normal 11 2 2 3 3 2 6" xfId="29105" xr:uid="{34B2C8D4-3897-4C84-A322-E2758F285A02}"/>
    <cellStyle name="Normal 11 2 2 3 3 2 6 2" xfId="29106" xr:uid="{723770B8-FEDF-4360-A91A-198253C1D468}"/>
    <cellStyle name="Normal 11 2 2 3 3 2 7" xfId="29107" xr:uid="{4F004329-DC0F-4B7F-B128-684E7EDF3E00}"/>
    <cellStyle name="Normal 11 2 2 3 3 3" xfId="29108" xr:uid="{E2FA488A-7430-4E0A-93EF-F4D3E5600286}"/>
    <cellStyle name="Normal 11 2 2 3 3 3 2" xfId="29109" xr:uid="{8EBCC120-FF21-4E3B-9F7C-78B696DC9AC5}"/>
    <cellStyle name="Normal 11 2 2 3 3 3 2 2" xfId="29110" xr:uid="{0B07B3B2-D3A1-4C23-91D8-10EB6EAE5063}"/>
    <cellStyle name="Normal 11 2 2 3 3 3 2 2 2" xfId="29111" xr:uid="{68959535-0314-44CE-A8F4-739C4E753602}"/>
    <cellStyle name="Normal 11 2 2 3 3 3 2 2 2 2" xfId="29112" xr:uid="{5898A4D5-B8F3-49D1-AFEC-E232E0057B4B}"/>
    <cellStyle name="Normal 11 2 2 3 3 3 2 2 2 2 2" xfId="29113" xr:uid="{D12AF630-5F56-479F-97AA-D05A1F877ADA}"/>
    <cellStyle name="Normal 11 2 2 3 3 3 2 2 2 3" xfId="29114" xr:uid="{E27BC475-7EE9-46DA-84E3-B07624068417}"/>
    <cellStyle name="Normal 11 2 2 3 3 3 2 2 3" xfId="29115" xr:uid="{F6D8C9B0-F07A-4AF4-B839-28A52CCC7EEB}"/>
    <cellStyle name="Normal 11 2 2 3 3 3 2 2 3 2" xfId="29116" xr:uid="{9583DD9E-EC70-4633-916C-6FE814AD6A70}"/>
    <cellStyle name="Normal 11 2 2 3 3 3 2 2 4" xfId="29117" xr:uid="{C417D395-1141-4B91-97C4-FECC28288E57}"/>
    <cellStyle name="Normal 11 2 2 3 3 3 2 3" xfId="29118" xr:uid="{3572CABE-6DDB-472E-B4CA-B4B533AFECC9}"/>
    <cellStyle name="Normal 11 2 2 3 3 3 2 3 2" xfId="29119" xr:uid="{88DB5688-B1C2-43F9-AA47-24D61C371AE9}"/>
    <cellStyle name="Normal 11 2 2 3 3 3 2 3 2 2" xfId="29120" xr:uid="{4C1B0D0B-B7AF-4027-83F4-E9D8BFC675AE}"/>
    <cellStyle name="Normal 11 2 2 3 3 3 2 3 3" xfId="29121" xr:uid="{C0189143-AD78-4574-AC25-6CFC79013DB5}"/>
    <cellStyle name="Normal 11 2 2 3 3 3 2 4" xfId="29122" xr:uid="{8FB166F7-A69B-44E7-9AB7-F05C322C6F8C}"/>
    <cellStyle name="Normal 11 2 2 3 3 3 2 4 2" xfId="29123" xr:uid="{E6EB5AB5-6327-42BB-B6D9-D9F3361B8A63}"/>
    <cellStyle name="Normal 11 2 2 3 3 3 2 5" xfId="29124" xr:uid="{23466E16-8ED9-4FD7-A163-D86FDDAA4605}"/>
    <cellStyle name="Normal 11 2 2 3 3 3 3" xfId="29125" xr:uid="{8CB0DF3E-EBC8-4499-BB52-CD6E923228AF}"/>
    <cellStyle name="Normal 11 2 2 3 3 3 3 2" xfId="29126" xr:uid="{4043D413-08B6-4D41-B8ED-DEBAEC98CEA9}"/>
    <cellStyle name="Normal 11 2 2 3 3 3 3 2 2" xfId="29127" xr:uid="{6A4B13E2-CB05-4E72-94B6-7790D3048A01}"/>
    <cellStyle name="Normal 11 2 2 3 3 3 3 2 2 2" xfId="29128" xr:uid="{2526FA7F-7654-4BFB-B2FD-41F34ED9D951}"/>
    <cellStyle name="Normal 11 2 2 3 3 3 3 2 3" xfId="29129" xr:uid="{D7DD2952-7BD6-4293-AD88-0CD0A11E508E}"/>
    <cellStyle name="Normal 11 2 2 3 3 3 3 3" xfId="29130" xr:uid="{46B6F657-711F-4EC3-A496-285B6AC94BE5}"/>
    <cellStyle name="Normal 11 2 2 3 3 3 3 3 2" xfId="29131" xr:uid="{9AA4D423-8275-4821-B2A4-2DA2E4BA72D2}"/>
    <cellStyle name="Normal 11 2 2 3 3 3 3 4" xfId="29132" xr:uid="{275E5E8D-6293-486D-815D-431DF1881B16}"/>
    <cellStyle name="Normal 11 2 2 3 3 3 4" xfId="29133" xr:uid="{57C72EC3-5995-4A02-B2B8-19B88BDD4F1D}"/>
    <cellStyle name="Normal 11 2 2 3 3 3 4 2" xfId="29134" xr:uid="{A6BFC4DF-0CE1-4DC6-828F-453EE6556491}"/>
    <cellStyle name="Normal 11 2 2 3 3 3 4 2 2" xfId="29135" xr:uid="{014C4389-3DEB-4506-9B18-E56F68A9CF94}"/>
    <cellStyle name="Normal 11 2 2 3 3 3 4 3" xfId="29136" xr:uid="{0B7E0C21-79BD-4F63-866A-717D89046963}"/>
    <cellStyle name="Normal 11 2 2 3 3 3 5" xfId="29137" xr:uid="{C6479785-02C3-4CE5-8AD3-20C38B5F5CC7}"/>
    <cellStyle name="Normal 11 2 2 3 3 3 5 2" xfId="29138" xr:uid="{1C0BE0C3-C793-4DBF-B835-2A631067E26C}"/>
    <cellStyle name="Normal 11 2 2 3 3 3 6" xfId="29139" xr:uid="{826A1CB0-FB8C-4971-9913-F2D5338FAF90}"/>
    <cellStyle name="Normal 11 2 2 3 3 4" xfId="29140" xr:uid="{458E6AC8-1B4B-4B28-B260-16024910BD12}"/>
    <cellStyle name="Normal 11 2 2 3 3 4 2" xfId="29141" xr:uid="{37755200-8E5C-41F9-BB3A-B85E2A6768AF}"/>
    <cellStyle name="Normal 11 2 2 3 3 4 2 2" xfId="29142" xr:uid="{73237916-151A-4010-AA00-F30A6ABB1EF7}"/>
    <cellStyle name="Normal 11 2 2 3 3 4 2 2 2" xfId="29143" xr:uid="{8A58F362-2C13-4D25-8ED4-849C65900581}"/>
    <cellStyle name="Normal 11 2 2 3 3 4 2 2 2 2" xfId="29144" xr:uid="{CC84EAD3-35DC-41FA-881A-6EBA03664EE9}"/>
    <cellStyle name="Normal 11 2 2 3 3 4 2 2 3" xfId="29145" xr:uid="{5392A7A3-25DB-41C8-AAF2-E3537B932CB8}"/>
    <cellStyle name="Normal 11 2 2 3 3 4 2 3" xfId="29146" xr:uid="{2F4C7823-BFD5-4115-9E32-C9AFB8144180}"/>
    <cellStyle name="Normal 11 2 2 3 3 4 2 3 2" xfId="29147" xr:uid="{F569955E-EBC6-4AA4-A580-FFA998F963AA}"/>
    <cellStyle name="Normal 11 2 2 3 3 4 2 4" xfId="29148" xr:uid="{022C5DD6-8FA3-4D81-A484-038BAAE5E29A}"/>
    <cellStyle name="Normal 11 2 2 3 3 4 3" xfId="29149" xr:uid="{C14378FB-FB89-4A8E-8D34-F15AB0825AFF}"/>
    <cellStyle name="Normal 11 2 2 3 3 4 3 2" xfId="29150" xr:uid="{EB883069-AEFF-4234-9014-749A8E55115A}"/>
    <cellStyle name="Normal 11 2 2 3 3 4 3 2 2" xfId="29151" xr:uid="{AEDC8354-CAE3-41FB-A3CE-401772D92A01}"/>
    <cellStyle name="Normal 11 2 2 3 3 4 3 3" xfId="29152" xr:uid="{969E55E5-4035-460A-A509-26A5C79279DF}"/>
    <cellStyle name="Normal 11 2 2 3 3 4 4" xfId="29153" xr:uid="{2A5E5C1B-7AC3-4CCD-85E7-C7269C81368E}"/>
    <cellStyle name="Normal 11 2 2 3 3 4 4 2" xfId="29154" xr:uid="{64F4E07D-E1C7-42D4-AA9A-CB594904A92D}"/>
    <cellStyle name="Normal 11 2 2 3 3 4 5" xfId="29155" xr:uid="{04ABE237-4D4D-4186-8FA4-B7F73DE9F592}"/>
    <cellStyle name="Normal 11 2 2 3 3 5" xfId="29156" xr:uid="{DEC41F71-22C9-475C-AE69-2A0084AF4397}"/>
    <cellStyle name="Normal 11 2 2 3 3 5 2" xfId="29157" xr:uid="{C28518BE-387C-4A45-B384-46C5E5C08599}"/>
    <cellStyle name="Normal 11 2 2 3 3 5 2 2" xfId="29158" xr:uid="{3BD25AE3-AD19-44A7-BE71-F79874D13F66}"/>
    <cellStyle name="Normal 11 2 2 3 3 5 2 2 2" xfId="29159" xr:uid="{8179C694-9E70-4CDD-BB7D-6B6A8167DFC4}"/>
    <cellStyle name="Normal 11 2 2 3 3 5 2 3" xfId="29160" xr:uid="{B2B60F20-C7DD-4D0A-8ADA-6ED6671ADE81}"/>
    <cellStyle name="Normal 11 2 2 3 3 5 3" xfId="29161" xr:uid="{3F001F45-D0AE-4BAB-9C9E-67A05054D57F}"/>
    <cellStyle name="Normal 11 2 2 3 3 5 3 2" xfId="29162" xr:uid="{DE83DE50-06CF-49CC-84BA-CEF3871BE04F}"/>
    <cellStyle name="Normal 11 2 2 3 3 5 4" xfId="29163" xr:uid="{793A4F6A-769D-474B-BB9F-77E11B51B8FB}"/>
    <cellStyle name="Normal 11 2 2 3 3 6" xfId="29164" xr:uid="{674BB7A6-363B-4CA6-B2EC-5474F311D39D}"/>
    <cellStyle name="Normal 11 2 2 3 3 6 2" xfId="29165" xr:uid="{887D1E00-20F0-4935-8F3F-AEE168583EEB}"/>
    <cellStyle name="Normal 11 2 2 3 3 6 2 2" xfId="29166" xr:uid="{3B6DD5EA-9DE3-400B-B39F-C515E5248043}"/>
    <cellStyle name="Normal 11 2 2 3 3 6 3" xfId="29167" xr:uid="{9CA90EA8-9FCD-4F07-9EB3-97569E9D3CD9}"/>
    <cellStyle name="Normal 11 2 2 3 3 7" xfId="29168" xr:uid="{E49F05E6-3F7F-41A7-89F9-19BD41AC469C}"/>
    <cellStyle name="Normal 11 2 2 3 3 7 2" xfId="29169" xr:uid="{C1129CB1-A43F-440F-94AB-F0FF1D4F3908}"/>
    <cellStyle name="Normal 11 2 2 3 3 8" xfId="29170" xr:uid="{13A8D3AC-02DA-4EDC-B924-2BAA70664D0A}"/>
    <cellStyle name="Normal 11 2 2 3 3 9" xfId="29043" xr:uid="{1475B085-3F84-433A-8F35-6CDF3B41EADE}"/>
    <cellStyle name="Normal 11 2 2 3 4" xfId="29171" xr:uid="{A0095854-8820-41F7-AB02-D4E1B0B4A223}"/>
    <cellStyle name="Normal 11 2 2 3 4 2" xfId="29172" xr:uid="{D6DC2366-442B-4D38-84FE-90406F8B79BF}"/>
    <cellStyle name="Normal 11 2 2 3 4 2 2" xfId="29173" xr:uid="{1BFBEDEB-3BC1-4B8B-8140-DAB268ADC875}"/>
    <cellStyle name="Normal 11 2 2 3 4 2 2 2" xfId="29174" xr:uid="{35896FDD-9486-426D-A385-5A5C082432D6}"/>
    <cellStyle name="Normal 11 2 2 3 4 2 2 2 2" xfId="29175" xr:uid="{88D633CC-8D42-4E90-8CFE-043228991A18}"/>
    <cellStyle name="Normal 11 2 2 3 4 2 2 2 2 2" xfId="29176" xr:uid="{5085D2F0-6617-4214-81E7-2EE7BC24DBF0}"/>
    <cellStyle name="Normal 11 2 2 3 4 2 2 2 2 2 2" xfId="29177" xr:uid="{5330AF59-3902-40FB-B680-FC2315CBC45B}"/>
    <cellStyle name="Normal 11 2 2 3 4 2 2 2 2 3" xfId="29178" xr:uid="{C8DB64DA-039A-467C-B330-848577E9F9A1}"/>
    <cellStyle name="Normal 11 2 2 3 4 2 2 2 3" xfId="29179" xr:uid="{75C0804A-CC6B-41B7-A825-5E9472714B3A}"/>
    <cellStyle name="Normal 11 2 2 3 4 2 2 2 3 2" xfId="29180" xr:uid="{5B968A54-2B93-42C9-93AA-AAC91AE4A321}"/>
    <cellStyle name="Normal 11 2 2 3 4 2 2 2 4" xfId="29181" xr:uid="{3665D0AF-3436-4429-A58C-A74686CA2AF0}"/>
    <cellStyle name="Normal 11 2 2 3 4 2 2 3" xfId="29182" xr:uid="{DEA6B3A6-1E05-4F36-A30A-A946238AFCC2}"/>
    <cellStyle name="Normal 11 2 2 3 4 2 2 3 2" xfId="29183" xr:uid="{1218ADB8-16E6-4EAD-9A0E-3ED88592A32C}"/>
    <cellStyle name="Normal 11 2 2 3 4 2 2 3 2 2" xfId="29184" xr:uid="{A8006961-D714-4C23-9911-325FE0815FDD}"/>
    <cellStyle name="Normal 11 2 2 3 4 2 2 3 3" xfId="29185" xr:uid="{3B321883-5FA0-4484-970D-C364F5319E45}"/>
    <cellStyle name="Normal 11 2 2 3 4 2 2 4" xfId="29186" xr:uid="{A1E8F88B-A8A7-4068-BD51-E1A5F8A8BD13}"/>
    <cellStyle name="Normal 11 2 2 3 4 2 2 4 2" xfId="29187" xr:uid="{089D3615-37C8-4C15-B415-1D9D21C95EB4}"/>
    <cellStyle name="Normal 11 2 2 3 4 2 2 5" xfId="29188" xr:uid="{9FE395A0-F9E8-41A0-9ECE-523A5E5BA528}"/>
    <cellStyle name="Normal 11 2 2 3 4 2 3" xfId="29189" xr:uid="{F0BD2473-B3D4-4035-8F45-D925C06BAB41}"/>
    <cellStyle name="Normal 11 2 2 3 4 2 3 2" xfId="29190" xr:uid="{3494660F-DBD7-485A-B3DB-B81D0FF0B1BA}"/>
    <cellStyle name="Normal 11 2 2 3 4 2 3 2 2" xfId="29191" xr:uid="{4BCEAB97-AC8A-497E-B548-76A81714ADDF}"/>
    <cellStyle name="Normal 11 2 2 3 4 2 3 2 2 2" xfId="29192" xr:uid="{F4B51354-7B8A-415B-BB52-ED87EDABA9AB}"/>
    <cellStyle name="Normal 11 2 2 3 4 2 3 2 3" xfId="29193" xr:uid="{794A1AFC-3B2F-4FF6-A50C-31FB5EC253B4}"/>
    <cellStyle name="Normal 11 2 2 3 4 2 3 3" xfId="29194" xr:uid="{AFFE7487-73AE-475B-B7D1-15EBB5CB4F15}"/>
    <cellStyle name="Normal 11 2 2 3 4 2 3 3 2" xfId="29195" xr:uid="{E57975D8-1FC1-4D99-945D-BA41B648F33D}"/>
    <cellStyle name="Normal 11 2 2 3 4 2 3 4" xfId="29196" xr:uid="{E8AB65A7-E0DB-4B41-A316-7DCCC4EE61BB}"/>
    <cellStyle name="Normal 11 2 2 3 4 2 4" xfId="29197" xr:uid="{C1DA7333-7997-4F42-8FCD-B75BE9CE5DF1}"/>
    <cellStyle name="Normal 11 2 2 3 4 2 4 2" xfId="29198" xr:uid="{812F33D1-C8F6-4B07-9824-8D0E0A014533}"/>
    <cellStyle name="Normal 11 2 2 3 4 2 4 2 2" xfId="29199" xr:uid="{C859B97B-2D64-4DD0-8DF5-9D943C1EE96A}"/>
    <cellStyle name="Normal 11 2 2 3 4 2 4 3" xfId="29200" xr:uid="{941D8FA3-611B-4C6A-B43E-5C7246099FCC}"/>
    <cellStyle name="Normal 11 2 2 3 4 2 5" xfId="29201" xr:uid="{FD5DAE33-2A2F-4B8E-94E1-6621975286FF}"/>
    <cellStyle name="Normal 11 2 2 3 4 2 5 2" xfId="29202" xr:uid="{6BE87BB7-87CD-4D5D-9DDB-12160D2F73CB}"/>
    <cellStyle name="Normal 11 2 2 3 4 2 6" xfId="29203" xr:uid="{32708F08-0BA8-401D-9AE0-827C4ED60FEC}"/>
    <cellStyle name="Normal 11 2 2 3 4 3" xfId="29204" xr:uid="{708BFF30-1BE5-4F10-8C93-7F52CE273713}"/>
    <cellStyle name="Normal 11 2 2 3 4 3 2" xfId="29205" xr:uid="{FB80324B-0659-4F90-8340-82A09D0D0687}"/>
    <cellStyle name="Normal 11 2 2 3 4 3 2 2" xfId="29206" xr:uid="{EE007A0F-993B-4B78-BE79-6E546F2F83C7}"/>
    <cellStyle name="Normal 11 2 2 3 4 3 2 2 2" xfId="29207" xr:uid="{FE5E930D-0541-414C-AB1C-802B494D5311}"/>
    <cellStyle name="Normal 11 2 2 3 4 3 2 2 2 2" xfId="29208" xr:uid="{79F605B7-E8E9-4B40-BF99-D680CBD6079F}"/>
    <cellStyle name="Normal 11 2 2 3 4 3 2 2 3" xfId="29209" xr:uid="{E51ABC4D-494A-4A2D-9486-5CDDC16ADB66}"/>
    <cellStyle name="Normal 11 2 2 3 4 3 2 3" xfId="29210" xr:uid="{3BFDBF43-567F-40DA-B252-D31C1B12D63D}"/>
    <cellStyle name="Normal 11 2 2 3 4 3 2 3 2" xfId="29211" xr:uid="{94FD413B-5DBD-4B8E-8402-958F7F2720BF}"/>
    <cellStyle name="Normal 11 2 2 3 4 3 2 4" xfId="29212" xr:uid="{019FA5A5-CA6D-488F-8E60-2A0FD7C5A613}"/>
    <cellStyle name="Normal 11 2 2 3 4 3 3" xfId="29213" xr:uid="{B3CB57C7-08EC-49C4-8647-1D26441A47C0}"/>
    <cellStyle name="Normal 11 2 2 3 4 3 3 2" xfId="29214" xr:uid="{67C068F5-EEAB-4BE3-BD3A-33BADD7CEE8D}"/>
    <cellStyle name="Normal 11 2 2 3 4 3 3 2 2" xfId="29215" xr:uid="{D1C07C43-0B45-4840-8FAA-1ED47BC66284}"/>
    <cellStyle name="Normal 11 2 2 3 4 3 3 3" xfId="29216" xr:uid="{863ED48C-73AB-49EF-90B0-FB5648AA527C}"/>
    <cellStyle name="Normal 11 2 2 3 4 3 4" xfId="29217" xr:uid="{DDEF6992-CC6A-49C5-A428-D79B09FAA33A}"/>
    <cellStyle name="Normal 11 2 2 3 4 3 4 2" xfId="29218" xr:uid="{CED6E1F4-75A0-4489-9F7D-1A480425E99B}"/>
    <cellStyle name="Normal 11 2 2 3 4 3 5" xfId="29219" xr:uid="{3F0EB13B-9810-48C3-9B69-992768C8D44C}"/>
    <cellStyle name="Normal 11 2 2 3 4 4" xfId="29220" xr:uid="{6D2AA955-F990-47AF-96E2-5AA0E75AC9F2}"/>
    <cellStyle name="Normal 11 2 2 3 4 4 2" xfId="29221" xr:uid="{30C74751-FD3F-424D-92C0-D5B586D1CC28}"/>
    <cellStyle name="Normal 11 2 2 3 4 4 2 2" xfId="29222" xr:uid="{98C8FB03-DE2C-4B28-A30F-ACECF5450725}"/>
    <cellStyle name="Normal 11 2 2 3 4 4 2 2 2" xfId="29223" xr:uid="{93CA6D92-FBF2-4A13-A66E-45369A552A15}"/>
    <cellStyle name="Normal 11 2 2 3 4 4 2 3" xfId="29224" xr:uid="{9676F75E-B73A-42A3-8A35-08D4D9CBB898}"/>
    <cellStyle name="Normal 11 2 2 3 4 4 3" xfId="29225" xr:uid="{CB5D2082-BDA7-49F4-B3CD-E1340F6889A1}"/>
    <cellStyle name="Normal 11 2 2 3 4 4 3 2" xfId="29226" xr:uid="{660EB054-A61A-42AD-AA80-9DD777DF93E6}"/>
    <cellStyle name="Normal 11 2 2 3 4 4 4" xfId="29227" xr:uid="{487C99FB-216E-4570-8772-351AA73BCD94}"/>
    <cellStyle name="Normal 11 2 2 3 4 5" xfId="29228" xr:uid="{B39F337B-A6D9-466A-A053-781D8B60228E}"/>
    <cellStyle name="Normal 11 2 2 3 4 5 2" xfId="29229" xr:uid="{1275F9C3-1BA4-499A-B229-BC5B1BCA8C47}"/>
    <cellStyle name="Normal 11 2 2 3 4 5 2 2" xfId="29230" xr:uid="{96F49C13-6D51-4F15-8DE7-634A4A917BA5}"/>
    <cellStyle name="Normal 11 2 2 3 4 5 3" xfId="29231" xr:uid="{A27BEC58-6F17-4F21-B8DB-B8613E6A31AD}"/>
    <cellStyle name="Normal 11 2 2 3 4 6" xfId="29232" xr:uid="{F9531BF4-8822-4BC7-8B0C-877E1873D4BA}"/>
    <cellStyle name="Normal 11 2 2 3 4 6 2" xfId="29233" xr:uid="{0EAD965B-602F-4A3A-995F-FE318CFCE92A}"/>
    <cellStyle name="Normal 11 2 2 3 4 7" xfId="29234" xr:uid="{FFD02D3F-A007-439D-BCA4-AC3CB90187D1}"/>
    <cellStyle name="Normal 11 2 2 3 5" xfId="29235" xr:uid="{286D66AD-F189-4C4C-A8FD-E82D6F3C9765}"/>
    <cellStyle name="Normal 11 2 2 3 5 2" xfId="29236" xr:uid="{03D2C0EA-F80D-4869-A730-B391B63CC556}"/>
    <cellStyle name="Normal 11 2 2 3 5 2 2" xfId="29237" xr:uid="{1A23AE2E-C8AB-4BB2-9818-7F90178BC224}"/>
    <cellStyle name="Normal 11 2 2 3 5 2 2 2" xfId="29238" xr:uid="{6E56308E-CAF0-4152-A058-EF9D5F7A435E}"/>
    <cellStyle name="Normal 11 2 2 3 5 2 2 2 2" xfId="29239" xr:uid="{10CFA017-CB0D-47B7-8973-BB664C3B65A9}"/>
    <cellStyle name="Normal 11 2 2 3 5 2 2 2 2 2" xfId="29240" xr:uid="{30A24322-8163-49DB-AF32-FB14985601C3}"/>
    <cellStyle name="Normal 11 2 2 3 5 2 2 2 3" xfId="29241" xr:uid="{47E53D31-AF52-45D5-88DA-9B80FC735C5A}"/>
    <cellStyle name="Normal 11 2 2 3 5 2 2 3" xfId="29242" xr:uid="{405A06FB-3A4A-4AC1-9BAF-386FFC340A7E}"/>
    <cellStyle name="Normal 11 2 2 3 5 2 2 3 2" xfId="29243" xr:uid="{39C833E6-333D-48F4-90B2-F21F9DD97F93}"/>
    <cellStyle name="Normal 11 2 2 3 5 2 2 4" xfId="29244" xr:uid="{9B2BE2F7-6C98-41B2-B1BA-F12F1822B48C}"/>
    <cellStyle name="Normal 11 2 2 3 5 2 3" xfId="29245" xr:uid="{65271047-8ED5-4EAF-BF92-19A4569F11CC}"/>
    <cellStyle name="Normal 11 2 2 3 5 2 3 2" xfId="29246" xr:uid="{080410E6-12CB-4601-8ECB-B08CB164C214}"/>
    <cellStyle name="Normal 11 2 2 3 5 2 3 2 2" xfId="29247" xr:uid="{D5210C18-E22D-4BA5-A8B7-D64A4332CF8A}"/>
    <cellStyle name="Normal 11 2 2 3 5 2 3 3" xfId="29248" xr:uid="{D328FBF1-8FBA-4F47-A595-C957984ED7EC}"/>
    <cellStyle name="Normal 11 2 2 3 5 2 4" xfId="29249" xr:uid="{662B6EB8-4A84-4D74-8032-5A118D5F7ECD}"/>
    <cellStyle name="Normal 11 2 2 3 5 2 4 2" xfId="29250" xr:uid="{731D0BED-71C5-4D19-8290-15E5F51B5A91}"/>
    <cellStyle name="Normal 11 2 2 3 5 2 5" xfId="29251" xr:uid="{4A27E958-2742-4CED-8DE3-DD89C9D52536}"/>
    <cellStyle name="Normal 11 2 2 3 5 3" xfId="29252" xr:uid="{4039EB1A-EADA-40AA-A389-88F6E1463B48}"/>
    <cellStyle name="Normal 11 2 2 3 5 3 2" xfId="29253" xr:uid="{DE66C784-1AC7-430F-8343-4A05A26C4EB3}"/>
    <cellStyle name="Normal 11 2 2 3 5 3 2 2" xfId="29254" xr:uid="{8A4F9A89-FB96-4248-9B01-4250AC79095C}"/>
    <cellStyle name="Normal 11 2 2 3 5 3 2 2 2" xfId="29255" xr:uid="{71FDB94C-7DE7-470F-A639-7A0E6E8A6CB0}"/>
    <cellStyle name="Normal 11 2 2 3 5 3 2 3" xfId="29256" xr:uid="{BAE026CB-253D-4ACD-9C15-66A78FED97DD}"/>
    <cellStyle name="Normal 11 2 2 3 5 3 3" xfId="29257" xr:uid="{E52948D0-C437-493A-B28B-DF2C1C2B4312}"/>
    <cellStyle name="Normal 11 2 2 3 5 3 3 2" xfId="29258" xr:uid="{634220AD-E1BC-479E-8B06-55769C2DB6BE}"/>
    <cellStyle name="Normal 11 2 2 3 5 3 4" xfId="29259" xr:uid="{B2FFE634-7999-4DA3-9E3C-FAED1B517E6F}"/>
    <cellStyle name="Normal 11 2 2 3 5 4" xfId="29260" xr:uid="{0AAD7947-7C07-43EB-BDEE-BB15B8543A26}"/>
    <cellStyle name="Normal 11 2 2 3 5 4 2" xfId="29261" xr:uid="{BFA44566-019A-47D0-919A-D17DECC232EB}"/>
    <cellStyle name="Normal 11 2 2 3 5 4 2 2" xfId="29262" xr:uid="{01138B66-A59D-448E-8703-8EE94BE25A34}"/>
    <cellStyle name="Normal 11 2 2 3 5 4 3" xfId="29263" xr:uid="{816DBFDA-6737-4208-B6D0-4D472CBA5CD4}"/>
    <cellStyle name="Normal 11 2 2 3 5 5" xfId="29264" xr:uid="{3B692824-749F-4938-84D4-0CE99F4B11A7}"/>
    <cellStyle name="Normal 11 2 2 3 5 5 2" xfId="29265" xr:uid="{02C11D49-7DBD-41F4-9FD7-F63DB61CF33A}"/>
    <cellStyle name="Normal 11 2 2 3 5 6" xfId="29266" xr:uid="{8277CD79-CDA8-4D15-BC02-01C863D6F31D}"/>
    <cellStyle name="Normal 11 2 2 3 6" xfId="29267" xr:uid="{7DD75FC4-F439-48FA-BADE-FBA0768DB354}"/>
    <cellStyle name="Normal 11 2 2 3 6 2" xfId="29268" xr:uid="{BB58A850-0902-438A-B8B9-5D23C1A93210}"/>
    <cellStyle name="Normal 11 2 2 3 6 2 2" xfId="29269" xr:uid="{743AE9B1-7885-4472-B243-BEA0008D2D0F}"/>
    <cellStyle name="Normal 11 2 2 3 6 2 2 2" xfId="29270" xr:uid="{C341106C-FFCC-4A42-AF8D-CBC7D2B88303}"/>
    <cellStyle name="Normal 11 2 2 3 6 2 2 2 2" xfId="29271" xr:uid="{9539D477-615F-40D0-BCAE-0EA519B4F256}"/>
    <cellStyle name="Normal 11 2 2 3 6 2 2 3" xfId="29272" xr:uid="{8BACB563-1B57-4D9F-975B-A915CB10FFEA}"/>
    <cellStyle name="Normal 11 2 2 3 6 2 3" xfId="29273" xr:uid="{89084A6E-51FD-46F3-B8E3-CB094ABD1595}"/>
    <cellStyle name="Normal 11 2 2 3 6 2 3 2" xfId="29274" xr:uid="{0A1278F2-AA52-4903-B685-763459310A49}"/>
    <cellStyle name="Normal 11 2 2 3 6 2 4" xfId="29275" xr:uid="{EA37580D-0ABE-469B-9CC0-60D54C2F0FC9}"/>
    <cellStyle name="Normal 11 2 2 3 6 3" xfId="29276" xr:uid="{3691F2C5-DF59-409C-A8DF-1378950D3E9E}"/>
    <cellStyle name="Normal 11 2 2 3 6 3 2" xfId="29277" xr:uid="{948AC45F-0C61-4C6A-B69B-A869B821B2B1}"/>
    <cellStyle name="Normal 11 2 2 3 6 3 2 2" xfId="29278" xr:uid="{A1B71B84-74AE-4D22-BB02-71DA74952480}"/>
    <cellStyle name="Normal 11 2 2 3 6 3 3" xfId="29279" xr:uid="{6F5D8021-C204-48A7-8D06-6C05183C05A3}"/>
    <cellStyle name="Normal 11 2 2 3 6 4" xfId="29280" xr:uid="{BD33A818-4528-4EE3-B022-896A84356B79}"/>
    <cellStyle name="Normal 11 2 2 3 6 4 2" xfId="29281" xr:uid="{C3C5A791-71C5-483F-80D6-23702129DF3E}"/>
    <cellStyle name="Normal 11 2 2 3 6 5" xfId="29282" xr:uid="{AD560136-C0A9-4369-847E-B9F3D460EB6E}"/>
    <cellStyle name="Normal 11 2 2 3 7" xfId="29283" xr:uid="{EDA3D638-F95E-4A6A-B1FA-AF52311097A0}"/>
    <cellStyle name="Normal 11 2 2 3 7 2" xfId="29284" xr:uid="{06DAB4AB-485A-4E8A-AF70-827616C2AE1C}"/>
    <cellStyle name="Normal 11 2 2 3 7 2 2" xfId="29285" xr:uid="{E2E42F03-ED2F-4218-AA5C-DBC241ABD410}"/>
    <cellStyle name="Normal 11 2 2 3 7 2 2 2" xfId="29286" xr:uid="{5CF4B8EE-C7FB-4E01-B474-CA662B865316}"/>
    <cellStyle name="Normal 11 2 2 3 7 2 3" xfId="29287" xr:uid="{3FF0128E-4220-46E5-8577-D7E69F03FA89}"/>
    <cellStyle name="Normal 11 2 2 3 7 3" xfId="29288" xr:uid="{38F473D4-5964-4BEF-B7D2-4BC878E7F34E}"/>
    <cellStyle name="Normal 11 2 2 3 7 3 2" xfId="29289" xr:uid="{47FB71AA-6E1B-4D5F-AFE2-533BFD472178}"/>
    <cellStyle name="Normal 11 2 2 3 7 4" xfId="29290" xr:uid="{77CDD8AE-18D0-4E97-8415-A68371C40ACD}"/>
    <cellStyle name="Normal 11 2 2 3 8" xfId="29291" xr:uid="{F73EC726-5C4A-4B10-9439-487C8DCAA128}"/>
    <cellStyle name="Normal 11 2 2 3 8 2" xfId="29292" xr:uid="{D7B4ECAA-FA1E-4098-A32F-ECB4C47391A6}"/>
    <cellStyle name="Normal 11 2 2 3 8 2 2" xfId="29293" xr:uid="{1BE079E6-5868-4035-9BD8-5B5D7DB2FBFC}"/>
    <cellStyle name="Normal 11 2 2 3 8 3" xfId="29294" xr:uid="{FB7D2607-EFD5-4FA4-8097-D57B63D724F6}"/>
    <cellStyle name="Normal 11 2 2 3 9" xfId="29295" xr:uid="{755A3CB1-9D4E-40EA-A423-110B653CBC35}"/>
    <cellStyle name="Normal 11 2 2 3 9 2" xfId="29296" xr:uid="{B7C8261F-465A-4145-A51B-DD07D791A80C}"/>
    <cellStyle name="Normal 11 2 2 4" xfId="240" xr:uid="{928F71C0-4460-4A1D-B1E7-E51F24A6082C}"/>
    <cellStyle name="Normal 11 2 2 4 10" xfId="29297" xr:uid="{2CFEF6C4-AD0B-4395-9101-C7CE952FEAB4}"/>
    <cellStyle name="Normal 11 2 2 4 11" xfId="580" xr:uid="{57BF0566-C807-450A-A0A6-471F8238E60B}"/>
    <cellStyle name="Normal 11 2 2 4 2" xfId="357" xr:uid="{83646344-C352-47DE-8EBB-E008B333B829}"/>
    <cellStyle name="Normal 11 2 2 4 2 10" xfId="29298" xr:uid="{D98594BF-B807-49B3-A7B6-436DBECB48C4}"/>
    <cellStyle name="Normal 11 2 2 4 2 2" xfId="29299" xr:uid="{2C5CD9F9-55DB-4187-BDB6-21BEF643B121}"/>
    <cellStyle name="Normal 11 2 2 4 2 2 2" xfId="29300" xr:uid="{8BD3D102-FE90-427B-8E56-9B00595CF6B4}"/>
    <cellStyle name="Normal 11 2 2 4 2 2 2 2" xfId="29301" xr:uid="{D4603CB2-3ED6-4D3C-B567-9DFD616BBA91}"/>
    <cellStyle name="Normal 11 2 2 4 2 2 2 2 2" xfId="29302" xr:uid="{584E8360-928D-4E6A-949F-3EA2999C2B65}"/>
    <cellStyle name="Normal 11 2 2 4 2 2 2 2 2 2" xfId="29303" xr:uid="{EA1B98EB-6804-49C3-916E-73EBFA82BEEA}"/>
    <cellStyle name="Normal 11 2 2 4 2 2 2 2 2 2 2" xfId="29304" xr:uid="{D97914AD-C61F-42C7-AF30-20C4C2D92B2A}"/>
    <cellStyle name="Normal 11 2 2 4 2 2 2 2 2 2 2 2" xfId="29305" xr:uid="{C6ABB315-EF10-4BFB-A470-1C8977A7CEBB}"/>
    <cellStyle name="Normal 11 2 2 4 2 2 2 2 2 2 2 2 2" xfId="29306" xr:uid="{38187255-5F89-4093-8E05-A8B4AE739FB3}"/>
    <cellStyle name="Normal 11 2 2 4 2 2 2 2 2 2 2 3" xfId="29307" xr:uid="{26CF000E-EE44-48DF-866F-CF15741FDC9D}"/>
    <cellStyle name="Normal 11 2 2 4 2 2 2 2 2 2 3" xfId="29308" xr:uid="{C560366D-0BFE-43C5-9B98-7096E7D5B91A}"/>
    <cellStyle name="Normal 11 2 2 4 2 2 2 2 2 2 3 2" xfId="29309" xr:uid="{DA561CE5-9DED-4ED4-AEFB-F1A6E4FFF19F}"/>
    <cellStyle name="Normal 11 2 2 4 2 2 2 2 2 2 4" xfId="29310" xr:uid="{0BEDF417-AB84-4722-B2CA-848CC53F8E9B}"/>
    <cellStyle name="Normal 11 2 2 4 2 2 2 2 2 3" xfId="29311" xr:uid="{18B9CEC5-7EAB-44C6-8B7E-AC8D290F61F3}"/>
    <cellStyle name="Normal 11 2 2 4 2 2 2 2 2 3 2" xfId="29312" xr:uid="{700A4DB0-B121-4108-A7B3-C4945B693192}"/>
    <cellStyle name="Normal 11 2 2 4 2 2 2 2 2 3 2 2" xfId="29313" xr:uid="{16B9A3E5-612F-4BC9-AB16-B6E65D3223F5}"/>
    <cellStyle name="Normal 11 2 2 4 2 2 2 2 2 3 3" xfId="29314" xr:uid="{B57E26EA-54E5-476B-83EB-CCE7E9F2BA91}"/>
    <cellStyle name="Normal 11 2 2 4 2 2 2 2 2 4" xfId="29315" xr:uid="{BF6E18BD-3D27-4104-BAEF-653C532C4C5B}"/>
    <cellStyle name="Normal 11 2 2 4 2 2 2 2 2 4 2" xfId="29316" xr:uid="{95F54DDD-0B2E-411C-A451-23A04662A2BF}"/>
    <cellStyle name="Normal 11 2 2 4 2 2 2 2 2 5" xfId="29317" xr:uid="{FB13A929-D1FA-4C58-82C9-4A3DC559C423}"/>
    <cellStyle name="Normal 11 2 2 4 2 2 2 2 3" xfId="29318" xr:uid="{D40A53A3-603C-46BE-AEDE-4290A7DEC8AA}"/>
    <cellStyle name="Normal 11 2 2 4 2 2 2 2 3 2" xfId="29319" xr:uid="{275EAB04-4566-40B0-8FFF-9B66093F4D62}"/>
    <cellStyle name="Normal 11 2 2 4 2 2 2 2 3 2 2" xfId="29320" xr:uid="{3315D2B4-398D-45DB-9A3F-E90CC4A32737}"/>
    <cellStyle name="Normal 11 2 2 4 2 2 2 2 3 2 2 2" xfId="29321" xr:uid="{7A44A9D8-5D8E-4806-9852-B94BC2615BCC}"/>
    <cellStyle name="Normal 11 2 2 4 2 2 2 2 3 2 3" xfId="29322" xr:uid="{32804A80-E7C5-4C00-9CC8-CE87FB3496DF}"/>
    <cellStyle name="Normal 11 2 2 4 2 2 2 2 3 3" xfId="29323" xr:uid="{CEC247F2-8E5B-49F3-BA68-8FE2EDBDC745}"/>
    <cellStyle name="Normal 11 2 2 4 2 2 2 2 3 3 2" xfId="29324" xr:uid="{6D14B9D4-B30F-40C1-95EB-49D70EE43E8E}"/>
    <cellStyle name="Normal 11 2 2 4 2 2 2 2 3 4" xfId="29325" xr:uid="{EE3E1E7B-DFC9-4E73-B707-4B1EA682E927}"/>
    <cellStyle name="Normal 11 2 2 4 2 2 2 2 4" xfId="29326" xr:uid="{29DAA9F3-8C11-4777-AF1D-191E358B66BF}"/>
    <cellStyle name="Normal 11 2 2 4 2 2 2 2 4 2" xfId="29327" xr:uid="{75CDCD2C-BA1A-403C-A257-2662EB4D69D4}"/>
    <cellStyle name="Normal 11 2 2 4 2 2 2 2 4 2 2" xfId="29328" xr:uid="{C892ED80-ABE4-453F-9853-7A25816FD58C}"/>
    <cellStyle name="Normal 11 2 2 4 2 2 2 2 4 3" xfId="29329" xr:uid="{1A6308E9-4942-420D-9156-5611795D37DD}"/>
    <cellStyle name="Normal 11 2 2 4 2 2 2 2 5" xfId="29330" xr:uid="{8C33669C-95A7-4EAF-AB8F-36B9303CF999}"/>
    <cellStyle name="Normal 11 2 2 4 2 2 2 2 5 2" xfId="29331" xr:uid="{EC77F42D-019C-477A-A63F-B4CF72441774}"/>
    <cellStyle name="Normal 11 2 2 4 2 2 2 2 6" xfId="29332" xr:uid="{D7FB5184-FF6D-43F1-B1C3-3C2AEE6433E0}"/>
    <cellStyle name="Normal 11 2 2 4 2 2 2 3" xfId="29333" xr:uid="{81CFE02D-277A-44D0-ABA6-EE986999C71D}"/>
    <cellStyle name="Normal 11 2 2 4 2 2 2 3 2" xfId="29334" xr:uid="{9F4C906C-F4B9-4185-AA97-E26793E5C322}"/>
    <cellStyle name="Normal 11 2 2 4 2 2 2 3 2 2" xfId="29335" xr:uid="{641A3399-C719-4464-A2AA-3087D754AFD6}"/>
    <cellStyle name="Normal 11 2 2 4 2 2 2 3 2 2 2" xfId="29336" xr:uid="{8D1BF3E5-A337-4D72-BA42-A2A2A989A10B}"/>
    <cellStyle name="Normal 11 2 2 4 2 2 2 3 2 2 2 2" xfId="29337" xr:uid="{D233E871-5AD0-4794-8E6E-C3571CFFF868}"/>
    <cellStyle name="Normal 11 2 2 4 2 2 2 3 2 2 3" xfId="29338" xr:uid="{A20A5812-10FD-4DBA-B602-9635EDB09983}"/>
    <cellStyle name="Normal 11 2 2 4 2 2 2 3 2 3" xfId="29339" xr:uid="{2B52973D-7361-45F3-81A5-76F8FD4235FE}"/>
    <cellStyle name="Normal 11 2 2 4 2 2 2 3 2 3 2" xfId="29340" xr:uid="{1D9C8112-E621-4018-BF9D-305FEF4887ED}"/>
    <cellStyle name="Normal 11 2 2 4 2 2 2 3 2 4" xfId="29341" xr:uid="{F274C7B9-9FA1-4ECF-A3D8-FB855817CEF2}"/>
    <cellStyle name="Normal 11 2 2 4 2 2 2 3 3" xfId="29342" xr:uid="{3E223673-12B6-440C-AEFF-3F3B73B808A2}"/>
    <cellStyle name="Normal 11 2 2 4 2 2 2 3 3 2" xfId="29343" xr:uid="{A827A32D-13FB-4223-8F33-F86823C0C5E8}"/>
    <cellStyle name="Normal 11 2 2 4 2 2 2 3 3 2 2" xfId="29344" xr:uid="{8D9FB0AF-60A7-4F77-8DEE-75BF9046E75C}"/>
    <cellStyle name="Normal 11 2 2 4 2 2 2 3 3 3" xfId="29345" xr:uid="{5CB1CED7-721F-458D-8EFC-AEB80E0B678F}"/>
    <cellStyle name="Normal 11 2 2 4 2 2 2 3 4" xfId="29346" xr:uid="{3127ACD2-089B-4AB7-955B-0649200A8D06}"/>
    <cellStyle name="Normal 11 2 2 4 2 2 2 3 4 2" xfId="29347" xr:uid="{4A541784-EE92-49C9-A28B-1ADD68180118}"/>
    <cellStyle name="Normal 11 2 2 4 2 2 2 3 5" xfId="29348" xr:uid="{E15E22E3-5965-4159-AF15-3A657ADAAFBC}"/>
    <cellStyle name="Normal 11 2 2 4 2 2 2 4" xfId="29349" xr:uid="{E2C0480B-C6C2-4696-9B94-30CE4429AC8F}"/>
    <cellStyle name="Normal 11 2 2 4 2 2 2 4 2" xfId="29350" xr:uid="{A808B56F-03EC-4344-9FFD-FC3C82D82FC0}"/>
    <cellStyle name="Normal 11 2 2 4 2 2 2 4 2 2" xfId="29351" xr:uid="{AA02AEB5-5C48-4132-9CD6-C99B4A53A545}"/>
    <cellStyle name="Normal 11 2 2 4 2 2 2 4 2 2 2" xfId="29352" xr:uid="{FF845C92-773E-4549-A266-E3B31B679042}"/>
    <cellStyle name="Normal 11 2 2 4 2 2 2 4 2 3" xfId="29353" xr:uid="{A715D946-B046-441F-A9EB-AD7C977CD5BC}"/>
    <cellStyle name="Normal 11 2 2 4 2 2 2 4 3" xfId="29354" xr:uid="{27C06E7B-7EBD-459B-A047-2EFFD237D5E7}"/>
    <cellStyle name="Normal 11 2 2 4 2 2 2 4 3 2" xfId="29355" xr:uid="{97EE65C2-F06F-4B5D-9E1D-1ABC4DD4BE8E}"/>
    <cellStyle name="Normal 11 2 2 4 2 2 2 4 4" xfId="29356" xr:uid="{E56A2757-C6F7-4367-AF83-C633CA712D1E}"/>
    <cellStyle name="Normal 11 2 2 4 2 2 2 5" xfId="29357" xr:uid="{0C647FCC-3FB5-41B8-9AE3-62869B3E8E13}"/>
    <cellStyle name="Normal 11 2 2 4 2 2 2 5 2" xfId="29358" xr:uid="{F3180E45-1967-4979-AAA0-81DC5B75B15F}"/>
    <cellStyle name="Normal 11 2 2 4 2 2 2 5 2 2" xfId="29359" xr:uid="{E2A34EE5-AFAD-4795-BF2B-296C3702F929}"/>
    <cellStyle name="Normal 11 2 2 4 2 2 2 5 3" xfId="29360" xr:uid="{F3697659-492E-4DE9-BCF8-DC0A78F3E61B}"/>
    <cellStyle name="Normal 11 2 2 4 2 2 2 6" xfId="29361" xr:uid="{00851985-99B1-44A4-8A64-6184B6C29581}"/>
    <cellStyle name="Normal 11 2 2 4 2 2 2 6 2" xfId="29362" xr:uid="{22878E81-943C-4EAE-9C72-7AFE352C5760}"/>
    <cellStyle name="Normal 11 2 2 4 2 2 2 7" xfId="29363" xr:uid="{6D7FB866-1F00-4EFC-AA80-524770CECE48}"/>
    <cellStyle name="Normal 11 2 2 4 2 2 3" xfId="29364" xr:uid="{127AE9AB-1568-462A-9927-35C7113E64FD}"/>
    <cellStyle name="Normal 11 2 2 4 2 2 3 2" xfId="29365" xr:uid="{4FF7F133-D53E-49B6-A4D3-0C74A0D438DE}"/>
    <cellStyle name="Normal 11 2 2 4 2 2 3 2 2" xfId="29366" xr:uid="{9BC9DCC7-D2BC-4292-BA3E-267FD9530D7D}"/>
    <cellStyle name="Normal 11 2 2 4 2 2 3 2 2 2" xfId="29367" xr:uid="{28B43ADC-E9E0-4994-BE73-3FD49F1B2BDD}"/>
    <cellStyle name="Normal 11 2 2 4 2 2 3 2 2 2 2" xfId="29368" xr:uid="{E6761B15-09BD-4A9E-B478-914C344217F0}"/>
    <cellStyle name="Normal 11 2 2 4 2 2 3 2 2 2 2 2" xfId="29369" xr:uid="{C6186C27-F153-4A40-9059-D5FBCF70CD4F}"/>
    <cellStyle name="Normal 11 2 2 4 2 2 3 2 2 2 3" xfId="29370" xr:uid="{346A5E7B-308B-4EBF-A045-2D02265803C3}"/>
    <cellStyle name="Normal 11 2 2 4 2 2 3 2 2 3" xfId="29371" xr:uid="{04017519-629C-4D92-91CD-263696DFF285}"/>
    <cellStyle name="Normal 11 2 2 4 2 2 3 2 2 3 2" xfId="29372" xr:uid="{2E0DB375-1A4C-46C3-B17B-31B0D7FBB76F}"/>
    <cellStyle name="Normal 11 2 2 4 2 2 3 2 2 4" xfId="29373" xr:uid="{F9C2F342-5F18-4655-B8FD-06B061E29DC5}"/>
    <cellStyle name="Normal 11 2 2 4 2 2 3 2 3" xfId="29374" xr:uid="{7A8E260F-319B-4BE8-9786-68B596B24050}"/>
    <cellStyle name="Normal 11 2 2 4 2 2 3 2 3 2" xfId="29375" xr:uid="{F3302FF2-D30D-401C-907C-B214B8A076EF}"/>
    <cellStyle name="Normal 11 2 2 4 2 2 3 2 3 2 2" xfId="29376" xr:uid="{D05EBD7B-47B7-4133-BA53-5E42721954EA}"/>
    <cellStyle name="Normal 11 2 2 4 2 2 3 2 3 3" xfId="29377" xr:uid="{98D07EF1-1523-41C3-BC08-2373367C0850}"/>
    <cellStyle name="Normal 11 2 2 4 2 2 3 2 4" xfId="29378" xr:uid="{EC677EDA-844D-44E7-A976-22867F5AA8ED}"/>
    <cellStyle name="Normal 11 2 2 4 2 2 3 2 4 2" xfId="29379" xr:uid="{5D824D59-FFC1-40C7-89E2-665510C58C0D}"/>
    <cellStyle name="Normal 11 2 2 4 2 2 3 2 5" xfId="29380" xr:uid="{E729D261-E714-4B57-B6C7-3C3899A5614E}"/>
    <cellStyle name="Normal 11 2 2 4 2 2 3 3" xfId="29381" xr:uid="{ECCEBA56-A011-4DB6-B200-1C28B019C1A8}"/>
    <cellStyle name="Normal 11 2 2 4 2 2 3 3 2" xfId="29382" xr:uid="{A9565183-89B3-40F9-ADD1-DB031DC8A243}"/>
    <cellStyle name="Normal 11 2 2 4 2 2 3 3 2 2" xfId="29383" xr:uid="{235D30F3-38F8-405A-B52C-5C0E07EBF725}"/>
    <cellStyle name="Normal 11 2 2 4 2 2 3 3 2 2 2" xfId="29384" xr:uid="{2BD9A955-EF89-4225-B6CD-48336E885DAF}"/>
    <cellStyle name="Normal 11 2 2 4 2 2 3 3 2 3" xfId="29385" xr:uid="{410FBD6F-9C3B-4271-8247-CAF99E56849D}"/>
    <cellStyle name="Normal 11 2 2 4 2 2 3 3 3" xfId="29386" xr:uid="{2CD0C129-92B9-49AE-B6B2-A93B534A617D}"/>
    <cellStyle name="Normal 11 2 2 4 2 2 3 3 3 2" xfId="29387" xr:uid="{9DBC1600-52C4-4ED9-B9E4-78BB8BA3B993}"/>
    <cellStyle name="Normal 11 2 2 4 2 2 3 3 4" xfId="29388" xr:uid="{7BB151CF-4CB3-4673-AA74-EF2930D13F58}"/>
    <cellStyle name="Normal 11 2 2 4 2 2 3 4" xfId="29389" xr:uid="{50AB6BAA-1061-4F6A-BADC-690DAE9198E5}"/>
    <cellStyle name="Normal 11 2 2 4 2 2 3 4 2" xfId="29390" xr:uid="{50E13656-0584-471E-B740-0E6756D189E8}"/>
    <cellStyle name="Normal 11 2 2 4 2 2 3 4 2 2" xfId="29391" xr:uid="{2BEFEEAF-D198-4F79-986E-80FABC652B03}"/>
    <cellStyle name="Normal 11 2 2 4 2 2 3 4 3" xfId="29392" xr:uid="{783BC4AB-1815-476B-9F64-83625294AC60}"/>
    <cellStyle name="Normal 11 2 2 4 2 2 3 5" xfId="29393" xr:uid="{39E90F24-CFE7-47EA-80A6-05EE19B63383}"/>
    <cellStyle name="Normal 11 2 2 4 2 2 3 5 2" xfId="29394" xr:uid="{E3949404-F8AC-4C24-AC43-6699CDD1DE6C}"/>
    <cellStyle name="Normal 11 2 2 4 2 2 3 6" xfId="29395" xr:uid="{27588325-DE31-4DC2-8A31-BA43973959D6}"/>
    <cellStyle name="Normal 11 2 2 4 2 2 4" xfId="29396" xr:uid="{EFF0164D-0C80-4F1A-ACF6-7363FF57175A}"/>
    <cellStyle name="Normal 11 2 2 4 2 2 4 2" xfId="29397" xr:uid="{E159409A-04DE-47FD-88A8-EEE0C845A533}"/>
    <cellStyle name="Normal 11 2 2 4 2 2 4 2 2" xfId="29398" xr:uid="{75BC3E99-D232-43A1-A5EF-6ABA006E3975}"/>
    <cellStyle name="Normal 11 2 2 4 2 2 4 2 2 2" xfId="29399" xr:uid="{5C38E1E8-5125-47C4-A288-F4EE9D1E71D0}"/>
    <cellStyle name="Normal 11 2 2 4 2 2 4 2 2 2 2" xfId="29400" xr:uid="{0789960F-39B4-4502-B559-D714A4C610C8}"/>
    <cellStyle name="Normal 11 2 2 4 2 2 4 2 2 3" xfId="29401" xr:uid="{86F3C49E-E441-4C07-B131-A54BB3A258A2}"/>
    <cellStyle name="Normal 11 2 2 4 2 2 4 2 3" xfId="29402" xr:uid="{312C426C-BAB5-4907-9720-BBE87E58D5A0}"/>
    <cellStyle name="Normal 11 2 2 4 2 2 4 2 3 2" xfId="29403" xr:uid="{6B2362AD-A48F-44A9-92D0-B07D6550075C}"/>
    <cellStyle name="Normal 11 2 2 4 2 2 4 2 4" xfId="29404" xr:uid="{BF612796-0B4C-4FBD-8076-FF46F6F19C00}"/>
    <cellStyle name="Normal 11 2 2 4 2 2 4 3" xfId="29405" xr:uid="{0F44D182-DC47-4320-8727-9FECC36CC7C9}"/>
    <cellStyle name="Normal 11 2 2 4 2 2 4 3 2" xfId="29406" xr:uid="{61F163C0-ED57-439A-98C3-A0712769E0EB}"/>
    <cellStyle name="Normal 11 2 2 4 2 2 4 3 2 2" xfId="29407" xr:uid="{394D0CB1-6177-4223-8AE7-A2DFE17FD891}"/>
    <cellStyle name="Normal 11 2 2 4 2 2 4 3 3" xfId="29408" xr:uid="{FFC21C38-F9EB-4511-B0C3-57EAF3C4395D}"/>
    <cellStyle name="Normal 11 2 2 4 2 2 4 4" xfId="29409" xr:uid="{26F14AA1-6AFF-4330-8A6E-4D7D377B7E72}"/>
    <cellStyle name="Normal 11 2 2 4 2 2 4 4 2" xfId="29410" xr:uid="{811A3E1F-F7D1-49B1-97EA-7AD6BF8FA82E}"/>
    <cellStyle name="Normal 11 2 2 4 2 2 4 5" xfId="29411" xr:uid="{4A72FB30-EF4E-46A4-AE09-74EFE621DF37}"/>
    <cellStyle name="Normal 11 2 2 4 2 2 5" xfId="29412" xr:uid="{D0BCD063-BA47-44AC-8F29-A8BE26DE9F2F}"/>
    <cellStyle name="Normal 11 2 2 4 2 2 5 2" xfId="29413" xr:uid="{BAD7B532-D69D-4685-B520-383070915939}"/>
    <cellStyle name="Normal 11 2 2 4 2 2 5 2 2" xfId="29414" xr:uid="{C5048126-D23A-4F8A-A384-FF1ED37027D4}"/>
    <cellStyle name="Normal 11 2 2 4 2 2 5 2 2 2" xfId="29415" xr:uid="{6688CDCA-884B-4A30-A0AA-94B7FFE39C32}"/>
    <cellStyle name="Normal 11 2 2 4 2 2 5 2 3" xfId="29416" xr:uid="{D318DA7F-D52D-4524-9A2F-2C6D995EDBC8}"/>
    <cellStyle name="Normal 11 2 2 4 2 2 5 3" xfId="29417" xr:uid="{6C445C26-EC46-41E6-A033-7F3506DDBC77}"/>
    <cellStyle name="Normal 11 2 2 4 2 2 5 3 2" xfId="29418" xr:uid="{0D2E9DA3-7C85-4E18-879C-1C500CAAB992}"/>
    <cellStyle name="Normal 11 2 2 4 2 2 5 4" xfId="29419" xr:uid="{9223FDE0-BABA-4559-B7B2-792245DE9275}"/>
    <cellStyle name="Normal 11 2 2 4 2 2 6" xfId="29420" xr:uid="{2F308F9E-7263-427F-8081-5DDBF56A0F97}"/>
    <cellStyle name="Normal 11 2 2 4 2 2 6 2" xfId="29421" xr:uid="{B8E735AC-B94D-4703-92C6-A0FE4081AFAA}"/>
    <cellStyle name="Normal 11 2 2 4 2 2 6 2 2" xfId="29422" xr:uid="{3031B895-629E-4075-A256-AF39EEC44796}"/>
    <cellStyle name="Normal 11 2 2 4 2 2 6 3" xfId="29423" xr:uid="{F6C7CEC6-3FE6-495D-B2AF-764D02A1BF85}"/>
    <cellStyle name="Normal 11 2 2 4 2 2 7" xfId="29424" xr:uid="{3A0C5EA6-E435-42F6-87D5-96206173F664}"/>
    <cellStyle name="Normal 11 2 2 4 2 2 7 2" xfId="29425" xr:uid="{9C8D5A2A-0F73-4AC6-ADD1-CC63517792DF}"/>
    <cellStyle name="Normal 11 2 2 4 2 2 8" xfId="29426" xr:uid="{B514C0E7-7D41-4F50-9196-C89E15CD51F9}"/>
    <cellStyle name="Normal 11 2 2 4 2 3" xfId="29427" xr:uid="{D1BFD6FC-A80C-4D6E-A5DF-26F233ED2C78}"/>
    <cellStyle name="Normal 11 2 2 4 2 3 2" xfId="29428" xr:uid="{6FBEE2AB-8629-4DBF-8D40-2C96B18C2FBC}"/>
    <cellStyle name="Normal 11 2 2 4 2 3 2 2" xfId="29429" xr:uid="{6973E6BC-33A4-4DAC-B10A-08F7B2830C4E}"/>
    <cellStyle name="Normal 11 2 2 4 2 3 2 2 2" xfId="29430" xr:uid="{6564CD49-283A-4DD6-991D-DF3408DF2E2A}"/>
    <cellStyle name="Normal 11 2 2 4 2 3 2 2 2 2" xfId="29431" xr:uid="{0825BAB4-2B57-4E98-A862-F53F7698F3FF}"/>
    <cellStyle name="Normal 11 2 2 4 2 3 2 2 2 2 2" xfId="29432" xr:uid="{7B68CAAF-9641-489E-883E-1DBD5C54F952}"/>
    <cellStyle name="Normal 11 2 2 4 2 3 2 2 2 2 2 2" xfId="29433" xr:uid="{A904110E-8AFE-49B9-9D67-40ECECE1C693}"/>
    <cellStyle name="Normal 11 2 2 4 2 3 2 2 2 2 3" xfId="29434" xr:uid="{3C96CE97-2ED2-468A-92BC-90C140771218}"/>
    <cellStyle name="Normal 11 2 2 4 2 3 2 2 2 3" xfId="29435" xr:uid="{6889711E-00FF-4F8F-A7D1-356FCDDEF7BE}"/>
    <cellStyle name="Normal 11 2 2 4 2 3 2 2 2 3 2" xfId="29436" xr:uid="{7A67ACEE-CE6C-47D8-A3D3-3E53D6912CED}"/>
    <cellStyle name="Normal 11 2 2 4 2 3 2 2 2 4" xfId="29437" xr:uid="{2F35D738-F617-4EC3-92B9-502B55A2AE9F}"/>
    <cellStyle name="Normal 11 2 2 4 2 3 2 2 3" xfId="29438" xr:uid="{D599D620-2C75-45EF-9046-2E65B02A30CE}"/>
    <cellStyle name="Normal 11 2 2 4 2 3 2 2 3 2" xfId="29439" xr:uid="{82C9FDEE-BB88-4C4A-A878-0ED084DE396D}"/>
    <cellStyle name="Normal 11 2 2 4 2 3 2 2 3 2 2" xfId="29440" xr:uid="{4C222D99-3271-4997-9FB6-72C7BE7331B8}"/>
    <cellStyle name="Normal 11 2 2 4 2 3 2 2 3 3" xfId="29441" xr:uid="{C64C2AD8-16D4-46B2-A9B2-6E2E96C56975}"/>
    <cellStyle name="Normal 11 2 2 4 2 3 2 2 4" xfId="29442" xr:uid="{06C39A15-212D-4058-85E4-05AEF36A1CA9}"/>
    <cellStyle name="Normal 11 2 2 4 2 3 2 2 4 2" xfId="29443" xr:uid="{716C9A84-BCF3-4652-ADFA-89B0863B6B8E}"/>
    <cellStyle name="Normal 11 2 2 4 2 3 2 2 5" xfId="29444" xr:uid="{E3987C5D-1B11-49DF-9F73-C0BA7E5775E1}"/>
    <cellStyle name="Normal 11 2 2 4 2 3 2 3" xfId="29445" xr:uid="{E56CE192-BD8B-4976-B0B2-307B586616B5}"/>
    <cellStyle name="Normal 11 2 2 4 2 3 2 3 2" xfId="29446" xr:uid="{C415A2D8-C751-4561-BBFF-EFCC199B2832}"/>
    <cellStyle name="Normal 11 2 2 4 2 3 2 3 2 2" xfId="29447" xr:uid="{649D4370-4B60-4AF2-960C-E8EBDEFD1932}"/>
    <cellStyle name="Normal 11 2 2 4 2 3 2 3 2 2 2" xfId="29448" xr:uid="{C4C48DC2-67AD-460C-8497-9B604D0942D9}"/>
    <cellStyle name="Normal 11 2 2 4 2 3 2 3 2 3" xfId="29449" xr:uid="{66EE664A-57DB-4003-8073-AB54D267EC63}"/>
    <cellStyle name="Normal 11 2 2 4 2 3 2 3 3" xfId="29450" xr:uid="{6151B9D2-C01B-4418-ACDE-CEC9DBE2EED0}"/>
    <cellStyle name="Normal 11 2 2 4 2 3 2 3 3 2" xfId="29451" xr:uid="{28C6BF3C-705B-40CB-B0AF-133BAFF81839}"/>
    <cellStyle name="Normal 11 2 2 4 2 3 2 3 4" xfId="29452" xr:uid="{F18E3A9A-4CEF-4FFE-BC11-14D4322A3C09}"/>
    <cellStyle name="Normal 11 2 2 4 2 3 2 4" xfId="29453" xr:uid="{72DAF111-B322-441C-8CA6-A0F3B3C96BA8}"/>
    <cellStyle name="Normal 11 2 2 4 2 3 2 4 2" xfId="29454" xr:uid="{725F4AC0-914F-4503-942F-0B24E82E8CCC}"/>
    <cellStyle name="Normal 11 2 2 4 2 3 2 4 2 2" xfId="29455" xr:uid="{8574804F-002B-4599-871F-C54E88D1B9B2}"/>
    <cellStyle name="Normal 11 2 2 4 2 3 2 4 3" xfId="29456" xr:uid="{B8C602EF-24DF-4C24-93BC-B739BD3EF8D5}"/>
    <cellStyle name="Normal 11 2 2 4 2 3 2 5" xfId="29457" xr:uid="{AED9B4D0-D8AF-42EB-B34C-59B874FE370C}"/>
    <cellStyle name="Normal 11 2 2 4 2 3 2 5 2" xfId="29458" xr:uid="{9BC8A112-6BB5-4D67-8224-A47CE1509F1E}"/>
    <cellStyle name="Normal 11 2 2 4 2 3 2 6" xfId="29459" xr:uid="{F7CD536E-B94C-422C-B0EA-BDF96AF942F3}"/>
    <cellStyle name="Normal 11 2 2 4 2 3 3" xfId="29460" xr:uid="{1BEC2C8A-CBFD-4DDB-9F76-C1B8C52C1180}"/>
    <cellStyle name="Normal 11 2 2 4 2 3 3 2" xfId="29461" xr:uid="{0CC4209A-BFEF-413F-A031-3B432BAFDB65}"/>
    <cellStyle name="Normal 11 2 2 4 2 3 3 2 2" xfId="29462" xr:uid="{3D842B59-FC1B-4ADD-BC5A-45D0A7771889}"/>
    <cellStyle name="Normal 11 2 2 4 2 3 3 2 2 2" xfId="29463" xr:uid="{279DCA69-0856-4282-B405-A3050188E5F3}"/>
    <cellStyle name="Normal 11 2 2 4 2 3 3 2 2 2 2" xfId="29464" xr:uid="{CED8289F-1E94-40C9-A5B3-8E7FA2FB2B39}"/>
    <cellStyle name="Normal 11 2 2 4 2 3 3 2 2 3" xfId="29465" xr:uid="{9D7A0DB7-F158-4F1F-9B0D-8A491BF417BC}"/>
    <cellStyle name="Normal 11 2 2 4 2 3 3 2 3" xfId="29466" xr:uid="{8A9A02A7-DE16-424C-99AC-F4FAB98AA1E9}"/>
    <cellStyle name="Normal 11 2 2 4 2 3 3 2 3 2" xfId="29467" xr:uid="{C9A04B08-E339-4DF3-8572-6CBD42AF3551}"/>
    <cellStyle name="Normal 11 2 2 4 2 3 3 2 4" xfId="29468" xr:uid="{340C3D12-C598-4BCE-9DDA-79F7FE2D9C6A}"/>
    <cellStyle name="Normal 11 2 2 4 2 3 3 3" xfId="29469" xr:uid="{65079F07-48CD-4AD0-8FBA-79A3C6F1E14C}"/>
    <cellStyle name="Normal 11 2 2 4 2 3 3 3 2" xfId="29470" xr:uid="{642F8C9F-BD3F-418C-BEA2-FDE918CEF6A3}"/>
    <cellStyle name="Normal 11 2 2 4 2 3 3 3 2 2" xfId="29471" xr:uid="{6EF800C4-51C5-4F9C-98B8-059A937DCD0B}"/>
    <cellStyle name="Normal 11 2 2 4 2 3 3 3 3" xfId="29472" xr:uid="{D5BF7714-E68B-4C76-A2F8-C03589FFFB69}"/>
    <cellStyle name="Normal 11 2 2 4 2 3 3 4" xfId="29473" xr:uid="{4DBEE856-FAFE-4EA7-AA22-7EDE80C2AFA9}"/>
    <cellStyle name="Normal 11 2 2 4 2 3 3 4 2" xfId="29474" xr:uid="{0ABFE976-50C4-494F-8FCF-9F6EB594BE3E}"/>
    <cellStyle name="Normal 11 2 2 4 2 3 3 5" xfId="29475" xr:uid="{9BE55D72-76E3-4F54-9F78-518CC3139789}"/>
    <cellStyle name="Normal 11 2 2 4 2 3 4" xfId="29476" xr:uid="{E29BA5C9-999C-45A4-B08E-9512AEAC911D}"/>
    <cellStyle name="Normal 11 2 2 4 2 3 4 2" xfId="29477" xr:uid="{E8E07453-B406-4F53-9B5C-07AC9EB53B9A}"/>
    <cellStyle name="Normal 11 2 2 4 2 3 4 2 2" xfId="29478" xr:uid="{808240FD-82AB-4FAF-9E7B-877C189B8BA6}"/>
    <cellStyle name="Normal 11 2 2 4 2 3 4 2 2 2" xfId="29479" xr:uid="{D956A0EA-B759-4E47-8245-1F2DED87BAEA}"/>
    <cellStyle name="Normal 11 2 2 4 2 3 4 2 3" xfId="29480" xr:uid="{9FC9CB43-17B9-4DE8-8F72-E653A1F2025E}"/>
    <cellStyle name="Normal 11 2 2 4 2 3 4 3" xfId="29481" xr:uid="{A08ACCE6-63F1-424B-9735-09FB7DAB23D0}"/>
    <cellStyle name="Normal 11 2 2 4 2 3 4 3 2" xfId="29482" xr:uid="{E07C2210-D201-428A-8C46-812D04EBDE9D}"/>
    <cellStyle name="Normal 11 2 2 4 2 3 4 4" xfId="29483" xr:uid="{41537A08-A5E8-41A5-9FEC-21AEE2E918ED}"/>
    <cellStyle name="Normal 11 2 2 4 2 3 5" xfId="29484" xr:uid="{933E3FB9-ABF0-4698-8A43-AB923D97F347}"/>
    <cellStyle name="Normal 11 2 2 4 2 3 5 2" xfId="29485" xr:uid="{A1B5B9EC-D3D3-40EE-A1B0-30B4AED58B70}"/>
    <cellStyle name="Normal 11 2 2 4 2 3 5 2 2" xfId="29486" xr:uid="{8AFC562C-727A-46E3-B819-577AE4132AB0}"/>
    <cellStyle name="Normal 11 2 2 4 2 3 5 3" xfId="29487" xr:uid="{6B13AB2A-AD24-4692-BCF6-583F8033EB81}"/>
    <cellStyle name="Normal 11 2 2 4 2 3 6" xfId="29488" xr:uid="{2B10FF21-5820-4901-912A-AB0ABE2BD9B3}"/>
    <cellStyle name="Normal 11 2 2 4 2 3 6 2" xfId="29489" xr:uid="{4943AFB1-50DC-4144-8C4D-E06B49F0DA80}"/>
    <cellStyle name="Normal 11 2 2 4 2 3 7" xfId="29490" xr:uid="{186C2FAB-1339-4AC4-A050-C62B4DB17222}"/>
    <cellStyle name="Normal 11 2 2 4 2 4" xfId="29491" xr:uid="{E1A21F2A-24A6-49D3-97AA-F131E3C44887}"/>
    <cellStyle name="Normal 11 2 2 4 2 4 2" xfId="29492" xr:uid="{49BFB480-E00A-4B51-BA76-5CBC8DD3E027}"/>
    <cellStyle name="Normal 11 2 2 4 2 4 2 2" xfId="29493" xr:uid="{E6070244-F25C-4D8B-809C-DD38DCE8A7BC}"/>
    <cellStyle name="Normal 11 2 2 4 2 4 2 2 2" xfId="29494" xr:uid="{5FADEBA5-F93C-4F1D-BF77-6F287B86D7F4}"/>
    <cellStyle name="Normal 11 2 2 4 2 4 2 2 2 2" xfId="29495" xr:uid="{A771464C-4B4B-4E17-91E5-BD9136F29347}"/>
    <cellStyle name="Normal 11 2 2 4 2 4 2 2 2 2 2" xfId="29496" xr:uid="{85FCB1F6-73A0-4255-87D4-428426352A5E}"/>
    <cellStyle name="Normal 11 2 2 4 2 4 2 2 2 3" xfId="29497" xr:uid="{C44EBE6E-6AE8-48DE-A759-F6466040F131}"/>
    <cellStyle name="Normal 11 2 2 4 2 4 2 2 3" xfId="29498" xr:uid="{63ED28C6-8A8B-47F1-AA19-24DC43BA69C0}"/>
    <cellStyle name="Normal 11 2 2 4 2 4 2 2 3 2" xfId="29499" xr:uid="{FE4D69AB-1C9D-4275-92B8-B49BAA754EED}"/>
    <cellStyle name="Normal 11 2 2 4 2 4 2 2 4" xfId="29500" xr:uid="{F7FF3C1B-28EC-4DB3-AEC9-0CE7699E4BAE}"/>
    <cellStyle name="Normal 11 2 2 4 2 4 2 3" xfId="29501" xr:uid="{81E56815-6682-4065-8C20-E435BEFCD7A4}"/>
    <cellStyle name="Normal 11 2 2 4 2 4 2 3 2" xfId="29502" xr:uid="{2F644D2A-69CF-4237-81BB-ED82FB29EF5E}"/>
    <cellStyle name="Normal 11 2 2 4 2 4 2 3 2 2" xfId="29503" xr:uid="{756DCC43-C049-4517-A2CF-48F76594F74D}"/>
    <cellStyle name="Normal 11 2 2 4 2 4 2 3 3" xfId="29504" xr:uid="{C045C172-591C-43F2-91F0-D07F68E452EE}"/>
    <cellStyle name="Normal 11 2 2 4 2 4 2 4" xfId="29505" xr:uid="{85D1544E-5EC8-49EE-BCBC-ED3DA2974C9A}"/>
    <cellStyle name="Normal 11 2 2 4 2 4 2 4 2" xfId="29506" xr:uid="{BF55A0C6-334F-41A0-8E49-9C56359304F0}"/>
    <cellStyle name="Normal 11 2 2 4 2 4 2 5" xfId="29507" xr:uid="{7435CCFA-96D6-4BC4-A871-5C81AA29ED8D}"/>
    <cellStyle name="Normal 11 2 2 4 2 4 3" xfId="29508" xr:uid="{9D857F3F-EED9-4652-A98B-57F4C69C0DCA}"/>
    <cellStyle name="Normal 11 2 2 4 2 4 3 2" xfId="29509" xr:uid="{17E276E3-679B-4E97-813C-4D34C4CB6EA4}"/>
    <cellStyle name="Normal 11 2 2 4 2 4 3 2 2" xfId="29510" xr:uid="{9F113CFB-27AD-47CF-A54D-EFBEB7E3D044}"/>
    <cellStyle name="Normal 11 2 2 4 2 4 3 2 2 2" xfId="29511" xr:uid="{67F94122-4B71-4FA6-8C7E-688D83C09164}"/>
    <cellStyle name="Normal 11 2 2 4 2 4 3 2 3" xfId="29512" xr:uid="{3F6E62D3-1C75-4716-815F-F56D651BE824}"/>
    <cellStyle name="Normal 11 2 2 4 2 4 3 3" xfId="29513" xr:uid="{0DE771F0-6649-4D07-8291-46A51165ACD5}"/>
    <cellStyle name="Normal 11 2 2 4 2 4 3 3 2" xfId="29514" xr:uid="{92EB9D7C-65E7-4C17-AF12-A458FC37B920}"/>
    <cellStyle name="Normal 11 2 2 4 2 4 3 4" xfId="29515" xr:uid="{7896DF2A-8B17-41BA-92C9-71519B3BDE55}"/>
    <cellStyle name="Normal 11 2 2 4 2 4 4" xfId="29516" xr:uid="{A8799D6F-441A-4D12-AC6F-C84516C4DD82}"/>
    <cellStyle name="Normal 11 2 2 4 2 4 4 2" xfId="29517" xr:uid="{4F6498A4-FA92-43E2-85A1-6C3F3B22D6BF}"/>
    <cellStyle name="Normal 11 2 2 4 2 4 4 2 2" xfId="29518" xr:uid="{AEC60526-126B-4435-AC7E-3A51B2BB156E}"/>
    <cellStyle name="Normal 11 2 2 4 2 4 4 3" xfId="29519" xr:uid="{C7328E48-69E8-403E-8ABC-4B000AF0FB14}"/>
    <cellStyle name="Normal 11 2 2 4 2 4 5" xfId="29520" xr:uid="{E625DD65-41A0-47F5-A19F-C1C46B10A0E0}"/>
    <cellStyle name="Normal 11 2 2 4 2 4 5 2" xfId="29521" xr:uid="{6E385C3B-4977-4EAA-8173-4BCA4592A5CC}"/>
    <cellStyle name="Normal 11 2 2 4 2 4 6" xfId="29522" xr:uid="{6EF7A402-C594-47D0-824D-F65A67B63ABD}"/>
    <cellStyle name="Normal 11 2 2 4 2 5" xfId="29523" xr:uid="{39826A23-5EF3-401F-861C-B96347D602E6}"/>
    <cellStyle name="Normal 11 2 2 4 2 5 2" xfId="29524" xr:uid="{FE778506-7B54-4E22-9363-31886C0E2BC0}"/>
    <cellStyle name="Normal 11 2 2 4 2 5 2 2" xfId="29525" xr:uid="{E3745C44-91FB-41FB-B601-FE657F60E232}"/>
    <cellStyle name="Normal 11 2 2 4 2 5 2 2 2" xfId="29526" xr:uid="{6F911B1A-5128-45CB-9B82-66D942724C3C}"/>
    <cellStyle name="Normal 11 2 2 4 2 5 2 2 2 2" xfId="29527" xr:uid="{DB3A22F0-485A-4361-9575-F4D827FD5B1A}"/>
    <cellStyle name="Normal 11 2 2 4 2 5 2 2 3" xfId="29528" xr:uid="{963D7555-40F1-492E-B24A-1A6BF8D944ED}"/>
    <cellStyle name="Normal 11 2 2 4 2 5 2 3" xfId="29529" xr:uid="{EDD96AA3-AB6E-4635-A7F4-CA47A2AF664E}"/>
    <cellStyle name="Normal 11 2 2 4 2 5 2 3 2" xfId="29530" xr:uid="{BB075AAB-158F-4D7F-8935-299508063339}"/>
    <cellStyle name="Normal 11 2 2 4 2 5 2 4" xfId="29531" xr:uid="{E93153A2-9946-47C0-A010-D2766D18BD48}"/>
    <cellStyle name="Normal 11 2 2 4 2 5 3" xfId="29532" xr:uid="{8D6C9E39-D92C-4282-8F12-066A0FF04C7C}"/>
    <cellStyle name="Normal 11 2 2 4 2 5 3 2" xfId="29533" xr:uid="{D56C9522-05D1-45E1-8610-E863127A3543}"/>
    <cellStyle name="Normal 11 2 2 4 2 5 3 2 2" xfId="29534" xr:uid="{A13B554B-1359-4EA2-B92A-5476C7A0F6CF}"/>
    <cellStyle name="Normal 11 2 2 4 2 5 3 3" xfId="29535" xr:uid="{28D7B01C-E2C5-4348-8103-5A5E510CDCC5}"/>
    <cellStyle name="Normal 11 2 2 4 2 5 4" xfId="29536" xr:uid="{DC061437-6818-4357-9F6E-DA401ED91B61}"/>
    <cellStyle name="Normal 11 2 2 4 2 5 4 2" xfId="29537" xr:uid="{326160E7-121A-438C-ACB4-75329A58B4BE}"/>
    <cellStyle name="Normal 11 2 2 4 2 5 5" xfId="29538" xr:uid="{C4721EA5-0885-4C3A-9890-474B78A625AD}"/>
    <cellStyle name="Normal 11 2 2 4 2 6" xfId="29539" xr:uid="{65A45615-AC32-4208-B7F8-9035D765391A}"/>
    <cellStyle name="Normal 11 2 2 4 2 6 2" xfId="29540" xr:uid="{21A1E685-194D-40F8-BB1D-CBBF70E4947F}"/>
    <cellStyle name="Normal 11 2 2 4 2 6 2 2" xfId="29541" xr:uid="{18761196-87D1-4E5F-A40B-A5D5FA442988}"/>
    <cellStyle name="Normal 11 2 2 4 2 6 2 2 2" xfId="29542" xr:uid="{6E9D2D0C-8F94-4837-9C15-93D7C35C37B4}"/>
    <cellStyle name="Normal 11 2 2 4 2 6 2 3" xfId="29543" xr:uid="{A0A74273-5E65-4C1C-BBBC-4726B63391AC}"/>
    <cellStyle name="Normal 11 2 2 4 2 6 3" xfId="29544" xr:uid="{E6754BA2-D751-4808-996E-017AD5E64607}"/>
    <cellStyle name="Normal 11 2 2 4 2 6 3 2" xfId="29545" xr:uid="{C1685587-5D4A-472E-BB30-52CFBA6235E5}"/>
    <cellStyle name="Normal 11 2 2 4 2 6 4" xfId="29546" xr:uid="{B720FB0A-5F39-46E8-B0D1-B4FCA5895D15}"/>
    <cellStyle name="Normal 11 2 2 4 2 7" xfId="29547" xr:uid="{207CDED8-B883-44C4-B338-1B02BCE8B019}"/>
    <cellStyle name="Normal 11 2 2 4 2 7 2" xfId="29548" xr:uid="{55614EC3-9166-44BA-A29E-847EBEC60222}"/>
    <cellStyle name="Normal 11 2 2 4 2 7 2 2" xfId="29549" xr:uid="{16D69F9E-770D-4886-B6B4-9D49B56B8A3F}"/>
    <cellStyle name="Normal 11 2 2 4 2 7 3" xfId="29550" xr:uid="{8C156EC8-222F-481A-9781-A53A2BC1A157}"/>
    <cellStyle name="Normal 11 2 2 4 2 8" xfId="29551" xr:uid="{326EAE50-74CD-4947-9B4A-E9D3B2894368}"/>
    <cellStyle name="Normal 11 2 2 4 2 8 2" xfId="29552" xr:uid="{F6D989E6-E9AF-4B6A-B051-C9A887DE062E}"/>
    <cellStyle name="Normal 11 2 2 4 2 9" xfId="29553" xr:uid="{42438004-6880-48F5-9AE1-8FC34C3FFA79}"/>
    <cellStyle name="Normal 11 2 2 4 3" xfId="475" xr:uid="{8BB3BB6A-6B01-4E97-A7F7-E404238F605A}"/>
    <cellStyle name="Normal 11 2 2 4 3 2" xfId="29555" xr:uid="{903194DD-0A31-422E-BC61-89AB9B66AD7A}"/>
    <cellStyle name="Normal 11 2 2 4 3 2 2" xfId="29556" xr:uid="{72208D2A-DB67-4B22-946C-52221C615829}"/>
    <cellStyle name="Normal 11 2 2 4 3 2 2 2" xfId="29557" xr:uid="{CD109566-B2EE-4EA5-B92B-240F0C2DBA8D}"/>
    <cellStyle name="Normal 11 2 2 4 3 2 2 2 2" xfId="29558" xr:uid="{A73E012C-D6EB-42FA-9E3B-E38060CC7D54}"/>
    <cellStyle name="Normal 11 2 2 4 3 2 2 2 2 2" xfId="29559" xr:uid="{BC226E7E-D959-4DAC-8537-B382E13737A0}"/>
    <cellStyle name="Normal 11 2 2 4 3 2 2 2 2 2 2" xfId="29560" xr:uid="{2AF143FC-4488-4225-B94B-56C25BB67868}"/>
    <cellStyle name="Normal 11 2 2 4 3 2 2 2 2 2 2 2" xfId="29561" xr:uid="{5BC9BBAF-6C85-4F8B-A0F3-51DBBB385A16}"/>
    <cellStyle name="Normal 11 2 2 4 3 2 2 2 2 2 3" xfId="29562" xr:uid="{8B0854F8-F387-4377-9FEC-8342898A4D00}"/>
    <cellStyle name="Normal 11 2 2 4 3 2 2 2 2 3" xfId="29563" xr:uid="{318801B9-061E-4254-BA90-31A3709D680D}"/>
    <cellStyle name="Normal 11 2 2 4 3 2 2 2 2 3 2" xfId="29564" xr:uid="{8D917FDC-13A6-40A4-9F2A-E330E1969E6A}"/>
    <cellStyle name="Normal 11 2 2 4 3 2 2 2 2 4" xfId="29565" xr:uid="{8E52CB36-79F9-46A4-970A-7A983CE617C1}"/>
    <cellStyle name="Normal 11 2 2 4 3 2 2 2 3" xfId="29566" xr:uid="{0A6F70CA-BB50-41B6-8169-46BCDBE7D780}"/>
    <cellStyle name="Normal 11 2 2 4 3 2 2 2 3 2" xfId="29567" xr:uid="{7F94AFF7-AF5A-4724-96A2-AB9B4CCAEC4E}"/>
    <cellStyle name="Normal 11 2 2 4 3 2 2 2 3 2 2" xfId="29568" xr:uid="{CD961751-0244-47AD-BE89-EA25871838AA}"/>
    <cellStyle name="Normal 11 2 2 4 3 2 2 2 3 3" xfId="29569" xr:uid="{9AE135F2-90F0-4CC0-8ECD-9EB7C6EDE39A}"/>
    <cellStyle name="Normal 11 2 2 4 3 2 2 2 4" xfId="29570" xr:uid="{447719CC-10F2-44AB-975B-5CB3C7DE41F9}"/>
    <cellStyle name="Normal 11 2 2 4 3 2 2 2 4 2" xfId="29571" xr:uid="{DA162EC4-1239-422C-9B45-DB39A5CC8D6D}"/>
    <cellStyle name="Normal 11 2 2 4 3 2 2 2 5" xfId="29572" xr:uid="{ABEFB45E-C75E-497B-B3E3-0CF6498D7251}"/>
    <cellStyle name="Normal 11 2 2 4 3 2 2 3" xfId="29573" xr:uid="{F1D75681-2909-4554-B990-7703C1CE0628}"/>
    <cellStyle name="Normal 11 2 2 4 3 2 2 3 2" xfId="29574" xr:uid="{56313F66-D047-401E-875D-0A5FE9246569}"/>
    <cellStyle name="Normal 11 2 2 4 3 2 2 3 2 2" xfId="29575" xr:uid="{9C978EFA-78FB-4EE5-BC28-D01541D5FC59}"/>
    <cellStyle name="Normal 11 2 2 4 3 2 2 3 2 2 2" xfId="29576" xr:uid="{FE04879B-B2DF-4A38-BCAC-99EEBE701C65}"/>
    <cellStyle name="Normal 11 2 2 4 3 2 2 3 2 3" xfId="29577" xr:uid="{9E7B325A-E138-4BD8-B4CA-F8AEA7CCB9CA}"/>
    <cellStyle name="Normal 11 2 2 4 3 2 2 3 3" xfId="29578" xr:uid="{09163EFF-9B44-4F69-BA68-9A33E3922B1A}"/>
    <cellStyle name="Normal 11 2 2 4 3 2 2 3 3 2" xfId="29579" xr:uid="{5C512AA0-DA79-4686-BDF7-14B87A421D87}"/>
    <cellStyle name="Normal 11 2 2 4 3 2 2 3 4" xfId="29580" xr:uid="{DE7DF3C7-5C47-4852-9D61-B096CD5D0057}"/>
    <cellStyle name="Normal 11 2 2 4 3 2 2 4" xfId="29581" xr:uid="{84B43477-8B52-4ACE-9F7A-ECDCB15816E4}"/>
    <cellStyle name="Normal 11 2 2 4 3 2 2 4 2" xfId="29582" xr:uid="{9AA33769-8A1B-40DD-A685-870A60A2E151}"/>
    <cellStyle name="Normal 11 2 2 4 3 2 2 4 2 2" xfId="29583" xr:uid="{9893B17A-BEA1-4776-AEA7-16289D4ABB1F}"/>
    <cellStyle name="Normal 11 2 2 4 3 2 2 4 3" xfId="29584" xr:uid="{DE2F20A7-D8A3-4363-8A24-38F9E1001785}"/>
    <cellStyle name="Normal 11 2 2 4 3 2 2 5" xfId="29585" xr:uid="{323DAFC6-D79C-4FDE-AC76-E36AFD4EE7B5}"/>
    <cellStyle name="Normal 11 2 2 4 3 2 2 5 2" xfId="29586" xr:uid="{93A2C65A-BA46-4667-8A57-5699007135AB}"/>
    <cellStyle name="Normal 11 2 2 4 3 2 2 6" xfId="29587" xr:uid="{EC4396E7-303F-46BF-AFBE-A818ED834D7E}"/>
    <cellStyle name="Normal 11 2 2 4 3 2 3" xfId="29588" xr:uid="{2AEF5B64-B9D1-4508-8C18-0F15ED10DB18}"/>
    <cellStyle name="Normal 11 2 2 4 3 2 3 2" xfId="29589" xr:uid="{025ACB1D-C7B3-4EBD-90FA-20CFF8500460}"/>
    <cellStyle name="Normal 11 2 2 4 3 2 3 2 2" xfId="29590" xr:uid="{5A7BDC6B-95F5-4149-8189-9F91209E71D4}"/>
    <cellStyle name="Normal 11 2 2 4 3 2 3 2 2 2" xfId="29591" xr:uid="{2B6A4239-0CD0-4154-BCE4-2AEF78821AFF}"/>
    <cellStyle name="Normal 11 2 2 4 3 2 3 2 2 2 2" xfId="29592" xr:uid="{16B6E23D-A40F-4CD9-924A-08926B74AD95}"/>
    <cellStyle name="Normal 11 2 2 4 3 2 3 2 2 3" xfId="29593" xr:uid="{5DE1F651-1798-46AC-933F-F34E5EFA9724}"/>
    <cellStyle name="Normal 11 2 2 4 3 2 3 2 3" xfId="29594" xr:uid="{E7A195BD-7520-4DD3-8C23-67EED5EDB2AE}"/>
    <cellStyle name="Normal 11 2 2 4 3 2 3 2 3 2" xfId="29595" xr:uid="{4765999A-9E01-420E-BA60-1759AEC3E042}"/>
    <cellStyle name="Normal 11 2 2 4 3 2 3 2 4" xfId="29596" xr:uid="{F6E021D4-D67B-4B5F-8799-8C96FDA14488}"/>
    <cellStyle name="Normal 11 2 2 4 3 2 3 3" xfId="29597" xr:uid="{4570892F-9961-4EA3-832C-AB50F2CBABB3}"/>
    <cellStyle name="Normal 11 2 2 4 3 2 3 3 2" xfId="29598" xr:uid="{2A46DFD9-F64F-4B07-B83C-369B8133B241}"/>
    <cellStyle name="Normal 11 2 2 4 3 2 3 3 2 2" xfId="29599" xr:uid="{967D9F03-EA2D-4A70-B371-EFC5FAE7EBC4}"/>
    <cellStyle name="Normal 11 2 2 4 3 2 3 3 3" xfId="29600" xr:uid="{6E21EF71-0CBD-4529-990E-BD96DCF65405}"/>
    <cellStyle name="Normal 11 2 2 4 3 2 3 4" xfId="29601" xr:uid="{2EDAFD3A-0EE7-42F1-8132-D428625005E8}"/>
    <cellStyle name="Normal 11 2 2 4 3 2 3 4 2" xfId="29602" xr:uid="{EAFE9819-E7A9-482C-8DD0-0137F0D068C7}"/>
    <cellStyle name="Normal 11 2 2 4 3 2 3 5" xfId="29603" xr:uid="{A30A5C6C-549D-42CE-A5D6-0643D3970724}"/>
    <cellStyle name="Normal 11 2 2 4 3 2 4" xfId="29604" xr:uid="{B77D259C-142C-476F-8868-43201D5F0101}"/>
    <cellStyle name="Normal 11 2 2 4 3 2 4 2" xfId="29605" xr:uid="{463A3CF3-393D-445C-94D9-B1F585EC2CB6}"/>
    <cellStyle name="Normal 11 2 2 4 3 2 4 2 2" xfId="29606" xr:uid="{CA500685-57FE-4C6C-9CC8-D5AF7292FF80}"/>
    <cellStyle name="Normal 11 2 2 4 3 2 4 2 2 2" xfId="29607" xr:uid="{82FD9BC8-8048-4964-9013-4C5123303CD3}"/>
    <cellStyle name="Normal 11 2 2 4 3 2 4 2 3" xfId="29608" xr:uid="{46A6EB91-D132-4FFD-92A5-1499D1FD1C0E}"/>
    <cellStyle name="Normal 11 2 2 4 3 2 4 3" xfId="29609" xr:uid="{E9935D65-8317-4D8B-B903-779699998182}"/>
    <cellStyle name="Normal 11 2 2 4 3 2 4 3 2" xfId="29610" xr:uid="{85670CFA-5269-441D-8577-DF5EE42CA79E}"/>
    <cellStyle name="Normal 11 2 2 4 3 2 4 4" xfId="29611" xr:uid="{28266D7A-26A2-4305-BE50-02A7A8C04B42}"/>
    <cellStyle name="Normal 11 2 2 4 3 2 5" xfId="29612" xr:uid="{BB3FEEE9-CB83-4EBC-8C86-E4B0E3B02B62}"/>
    <cellStyle name="Normal 11 2 2 4 3 2 5 2" xfId="29613" xr:uid="{CCF2B7D4-361B-4BA6-8EF9-E6A7DB37151C}"/>
    <cellStyle name="Normal 11 2 2 4 3 2 5 2 2" xfId="29614" xr:uid="{957D9719-6F2D-453A-A887-7DAA9A33F7BE}"/>
    <cellStyle name="Normal 11 2 2 4 3 2 5 3" xfId="29615" xr:uid="{30526FB9-1688-4DD2-BCC6-D942FFB2ED87}"/>
    <cellStyle name="Normal 11 2 2 4 3 2 6" xfId="29616" xr:uid="{BC5D8397-EC09-4271-B741-B3132D6F6C27}"/>
    <cellStyle name="Normal 11 2 2 4 3 2 6 2" xfId="29617" xr:uid="{DE37EC67-C067-41DB-B901-C80CA165AC08}"/>
    <cellStyle name="Normal 11 2 2 4 3 2 7" xfId="29618" xr:uid="{F0228B30-C9F8-43F0-AB8B-D7441525BCEC}"/>
    <cellStyle name="Normal 11 2 2 4 3 3" xfId="29619" xr:uid="{0DC1A848-A4B7-4DDD-811A-0AB1A10F69D6}"/>
    <cellStyle name="Normal 11 2 2 4 3 3 2" xfId="29620" xr:uid="{DD6B849A-A005-4000-AD2C-698A3933A065}"/>
    <cellStyle name="Normal 11 2 2 4 3 3 2 2" xfId="29621" xr:uid="{5E3A355A-B95F-46EE-8B68-C9D8DF269DFC}"/>
    <cellStyle name="Normal 11 2 2 4 3 3 2 2 2" xfId="29622" xr:uid="{C142CE42-9B2C-483F-A643-96774282EFE3}"/>
    <cellStyle name="Normal 11 2 2 4 3 3 2 2 2 2" xfId="29623" xr:uid="{1BD67288-0C8E-41BB-89A1-177D39DAF01E}"/>
    <cellStyle name="Normal 11 2 2 4 3 3 2 2 2 2 2" xfId="29624" xr:uid="{12544C2E-FBD2-4543-ADA2-B4A75AB53099}"/>
    <cellStyle name="Normal 11 2 2 4 3 3 2 2 2 3" xfId="29625" xr:uid="{6B81632F-6FA7-4DCB-8A6E-98B21E0D9782}"/>
    <cellStyle name="Normal 11 2 2 4 3 3 2 2 3" xfId="29626" xr:uid="{5B061712-EF4D-448C-8AEE-98033DA998BF}"/>
    <cellStyle name="Normal 11 2 2 4 3 3 2 2 3 2" xfId="29627" xr:uid="{F493C583-CF8E-4267-8D1A-4E2D387C042B}"/>
    <cellStyle name="Normal 11 2 2 4 3 3 2 2 4" xfId="29628" xr:uid="{3468F817-0922-40AF-95FA-E0F714E04DAC}"/>
    <cellStyle name="Normal 11 2 2 4 3 3 2 3" xfId="29629" xr:uid="{8FE2F239-50C1-45DA-913F-17D1BC29C7EE}"/>
    <cellStyle name="Normal 11 2 2 4 3 3 2 3 2" xfId="29630" xr:uid="{21F062A1-20E4-4E4C-8202-F028AF1972E9}"/>
    <cellStyle name="Normal 11 2 2 4 3 3 2 3 2 2" xfId="29631" xr:uid="{7AA95F6F-EEDF-4886-8576-259FF07CBEA2}"/>
    <cellStyle name="Normal 11 2 2 4 3 3 2 3 3" xfId="29632" xr:uid="{BC315282-C558-423F-A7A0-6430E5F94515}"/>
    <cellStyle name="Normal 11 2 2 4 3 3 2 4" xfId="29633" xr:uid="{C0CA15E6-256B-4E4D-BEA6-FCC4E27ECB68}"/>
    <cellStyle name="Normal 11 2 2 4 3 3 2 4 2" xfId="29634" xr:uid="{A1FA4E58-9761-4C80-A94D-18C10AEC905C}"/>
    <cellStyle name="Normal 11 2 2 4 3 3 2 5" xfId="29635" xr:uid="{8DA44846-78C8-4012-8BA3-079E2ADC1766}"/>
    <cellStyle name="Normal 11 2 2 4 3 3 3" xfId="29636" xr:uid="{6E4F44E3-BD1B-46FE-9245-619382D1165C}"/>
    <cellStyle name="Normal 11 2 2 4 3 3 3 2" xfId="29637" xr:uid="{11D97B3A-C061-49C4-AFB2-D57B3A259CD8}"/>
    <cellStyle name="Normal 11 2 2 4 3 3 3 2 2" xfId="29638" xr:uid="{52D97D3E-DF45-48A6-849A-91C74E08962C}"/>
    <cellStyle name="Normal 11 2 2 4 3 3 3 2 2 2" xfId="29639" xr:uid="{4B25E9A3-E276-4EE5-8F3F-A397D380EF4A}"/>
    <cellStyle name="Normal 11 2 2 4 3 3 3 2 3" xfId="29640" xr:uid="{6116BD40-61DA-4759-AD5B-D2FC312B1AAA}"/>
    <cellStyle name="Normal 11 2 2 4 3 3 3 3" xfId="29641" xr:uid="{1983E327-B534-4D7A-B6F6-DB07C3889A43}"/>
    <cellStyle name="Normal 11 2 2 4 3 3 3 3 2" xfId="29642" xr:uid="{A43E3893-7646-4481-AD9A-B2D65A2BB9D3}"/>
    <cellStyle name="Normal 11 2 2 4 3 3 3 4" xfId="29643" xr:uid="{EE350C0F-25E0-4DEE-8DAF-3CEFA0F60A73}"/>
    <cellStyle name="Normal 11 2 2 4 3 3 4" xfId="29644" xr:uid="{B2329C1A-9D30-47FC-9F4E-34141D3481A5}"/>
    <cellStyle name="Normal 11 2 2 4 3 3 4 2" xfId="29645" xr:uid="{3C4921ED-4ACF-46A6-8C6F-05AF7CEF4780}"/>
    <cellStyle name="Normal 11 2 2 4 3 3 4 2 2" xfId="29646" xr:uid="{9F02B590-1BED-4376-87C4-AA3DA3D44DFF}"/>
    <cellStyle name="Normal 11 2 2 4 3 3 4 3" xfId="29647" xr:uid="{A68DB729-BDCE-4000-9A8F-65E24727E6C9}"/>
    <cellStyle name="Normal 11 2 2 4 3 3 5" xfId="29648" xr:uid="{CC9BD205-ECBA-4741-BA74-F9F6FF9921B0}"/>
    <cellStyle name="Normal 11 2 2 4 3 3 5 2" xfId="29649" xr:uid="{FBC36660-3C6E-407B-B8DA-397C11C555C0}"/>
    <cellStyle name="Normal 11 2 2 4 3 3 6" xfId="29650" xr:uid="{799981D9-52D5-4538-8FBA-F70A12D5467D}"/>
    <cellStyle name="Normal 11 2 2 4 3 4" xfId="29651" xr:uid="{CBDB3049-BDF0-44AA-BFEF-AC973D1BEE05}"/>
    <cellStyle name="Normal 11 2 2 4 3 4 2" xfId="29652" xr:uid="{78DC038E-20C3-417B-BFCF-35123CD0F9B5}"/>
    <cellStyle name="Normal 11 2 2 4 3 4 2 2" xfId="29653" xr:uid="{7A1883D2-181A-4F3B-BE19-11607251D5AC}"/>
    <cellStyle name="Normal 11 2 2 4 3 4 2 2 2" xfId="29654" xr:uid="{E30451A6-40A8-4F98-82A6-76217A225A57}"/>
    <cellStyle name="Normal 11 2 2 4 3 4 2 2 2 2" xfId="29655" xr:uid="{2EFDC85B-D06A-4977-9F46-B0D343AE3DF9}"/>
    <cellStyle name="Normal 11 2 2 4 3 4 2 2 3" xfId="29656" xr:uid="{F8774DCE-C864-46F5-AB68-5C7EDBC9C97F}"/>
    <cellStyle name="Normal 11 2 2 4 3 4 2 3" xfId="29657" xr:uid="{3AAD1A49-05D6-403D-950F-6E281AB2E913}"/>
    <cellStyle name="Normal 11 2 2 4 3 4 2 3 2" xfId="29658" xr:uid="{C6D69750-692E-4F64-9267-68539EC773DC}"/>
    <cellStyle name="Normal 11 2 2 4 3 4 2 4" xfId="29659" xr:uid="{E5D0658B-1098-493A-8B28-F767908C3C3C}"/>
    <cellStyle name="Normal 11 2 2 4 3 4 3" xfId="29660" xr:uid="{E9DF9138-19E4-4C51-B740-F26E652963ED}"/>
    <cellStyle name="Normal 11 2 2 4 3 4 3 2" xfId="29661" xr:uid="{DADB6976-B550-4F88-A692-FEFA2834C42E}"/>
    <cellStyle name="Normal 11 2 2 4 3 4 3 2 2" xfId="29662" xr:uid="{829BECB0-34E6-4A24-A440-AC93588D125A}"/>
    <cellStyle name="Normal 11 2 2 4 3 4 3 3" xfId="29663" xr:uid="{2BE6E8D1-2508-4493-A06C-DCE18A80491E}"/>
    <cellStyle name="Normal 11 2 2 4 3 4 4" xfId="29664" xr:uid="{28D3F93B-7482-47B6-9F40-2B10E9AF79CF}"/>
    <cellStyle name="Normal 11 2 2 4 3 4 4 2" xfId="29665" xr:uid="{12EE54AD-8F52-42E8-B272-65A9F6228F61}"/>
    <cellStyle name="Normal 11 2 2 4 3 4 5" xfId="29666" xr:uid="{885F0F5F-2140-4210-B526-0A2CB5B7B835}"/>
    <cellStyle name="Normal 11 2 2 4 3 5" xfId="29667" xr:uid="{9A8B8FB4-6531-4AF1-A98C-27FCD8DB9E19}"/>
    <cellStyle name="Normal 11 2 2 4 3 5 2" xfId="29668" xr:uid="{61D05A7A-9FB5-4A6D-BA1E-A9196D3BE9A1}"/>
    <cellStyle name="Normal 11 2 2 4 3 5 2 2" xfId="29669" xr:uid="{D88AE396-F5FE-4170-A2F9-C2169A1F9D8C}"/>
    <cellStyle name="Normal 11 2 2 4 3 5 2 2 2" xfId="29670" xr:uid="{0DD50BBF-C72F-44CF-8B02-8B5C3E3294B6}"/>
    <cellStyle name="Normal 11 2 2 4 3 5 2 3" xfId="29671" xr:uid="{EAF3A4E6-6DB0-4404-88A1-9D3BB703C836}"/>
    <cellStyle name="Normal 11 2 2 4 3 5 3" xfId="29672" xr:uid="{57BC6F88-D7E8-4780-862E-E12CF073415D}"/>
    <cellStyle name="Normal 11 2 2 4 3 5 3 2" xfId="29673" xr:uid="{2D52EEF4-EA6C-4A73-9786-CC1ED0344132}"/>
    <cellStyle name="Normal 11 2 2 4 3 5 4" xfId="29674" xr:uid="{75C2B06A-4BF9-4879-A108-8702C5F2DEEC}"/>
    <cellStyle name="Normal 11 2 2 4 3 6" xfId="29675" xr:uid="{2946F662-B65A-473E-9646-B8953419AD73}"/>
    <cellStyle name="Normal 11 2 2 4 3 6 2" xfId="29676" xr:uid="{AEC2B1F2-3588-452F-A598-3AEB5AC9C770}"/>
    <cellStyle name="Normal 11 2 2 4 3 6 2 2" xfId="29677" xr:uid="{7D70601D-5D9D-469E-9F69-FA363DFAC11B}"/>
    <cellStyle name="Normal 11 2 2 4 3 6 3" xfId="29678" xr:uid="{2871D47A-93B0-4C04-B419-96714F099D84}"/>
    <cellStyle name="Normal 11 2 2 4 3 7" xfId="29679" xr:uid="{122BE173-9137-4326-949F-F2D94CB0D5C7}"/>
    <cellStyle name="Normal 11 2 2 4 3 7 2" xfId="29680" xr:uid="{7EB194AE-0FE9-4B06-85C2-644BADA0A336}"/>
    <cellStyle name="Normal 11 2 2 4 3 8" xfId="29681" xr:uid="{A1E8C3D1-09CA-4ED6-9ECA-9A7CB9D160D1}"/>
    <cellStyle name="Normal 11 2 2 4 3 9" xfId="29554" xr:uid="{613FE5A9-B897-42D4-82F7-FB530D629D21}"/>
    <cellStyle name="Normal 11 2 2 4 4" xfId="29682" xr:uid="{D2194733-E623-4499-8E9F-3A9EEF7EF8DD}"/>
    <cellStyle name="Normal 11 2 2 4 4 2" xfId="29683" xr:uid="{8630B990-23AA-4232-BCAC-E3DF87C6CCEB}"/>
    <cellStyle name="Normal 11 2 2 4 4 2 2" xfId="29684" xr:uid="{017EAB3B-B222-4EAC-9A06-002C9ADAFE0A}"/>
    <cellStyle name="Normal 11 2 2 4 4 2 2 2" xfId="29685" xr:uid="{91385783-CEF0-4F8D-A6BA-951414F342C9}"/>
    <cellStyle name="Normal 11 2 2 4 4 2 2 2 2" xfId="29686" xr:uid="{94833175-0EA8-4CF2-A4CD-71DFE1F14B72}"/>
    <cellStyle name="Normal 11 2 2 4 4 2 2 2 2 2" xfId="29687" xr:uid="{BD739D05-37D6-411B-8D2A-5A73AC568EAD}"/>
    <cellStyle name="Normal 11 2 2 4 4 2 2 2 2 2 2" xfId="29688" xr:uid="{01CFA047-EAB7-47C6-BD82-A1D8C1CF5127}"/>
    <cellStyle name="Normal 11 2 2 4 4 2 2 2 2 3" xfId="29689" xr:uid="{38774A2E-5ABC-4D7F-8461-6D66D630F81E}"/>
    <cellStyle name="Normal 11 2 2 4 4 2 2 2 3" xfId="29690" xr:uid="{4B583110-65AD-4652-8EB7-0D092774D978}"/>
    <cellStyle name="Normal 11 2 2 4 4 2 2 2 3 2" xfId="29691" xr:uid="{F3B85F95-A1BB-40BE-8635-7FF97DE4F3D1}"/>
    <cellStyle name="Normal 11 2 2 4 4 2 2 2 4" xfId="29692" xr:uid="{3183F3BA-3F90-4B6A-8100-86A326CE0EA2}"/>
    <cellStyle name="Normal 11 2 2 4 4 2 2 3" xfId="29693" xr:uid="{52134F6B-5866-4F0A-99A4-D9968B593FD1}"/>
    <cellStyle name="Normal 11 2 2 4 4 2 2 3 2" xfId="29694" xr:uid="{C168FD20-F3D0-4DD8-AF76-33D748D72F9C}"/>
    <cellStyle name="Normal 11 2 2 4 4 2 2 3 2 2" xfId="29695" xr:uid="{EDC79DF3-8C3B-4B99-AF1E-240678F5D6E3}"/>
    <cellStyle name="Normal 11 2 2 4 4 2 2 3 3" xfId="29696" xr:uid="{F6AA459F-8990-43E2-821F-74D1CCFDE373}"/>
    <cellStyle name="Normal 11 2 2 4 4 2 2 4" xfId="29697" xr:uid="{AAE9B30C-17B6-4BAD-9170-D7AA58AFE664}"/>
    <cellStyle name="Normal 11 2 2 4 4 2 2 4 2" xfId="29698" xr:uid="{1107A2A2-B8A3-4E21-93A4-971BF975B34E}"/>
    <cellStyle name="Normal 11 2 2 4 4 2 2 5" xfId="29699" xr:uid="{2457FA01-CB8D-4ECA-87CC-C9E86DE109F0}"/>
    <cellStyle name="Normal 11 2 2 4 4 2 3" xfId="29700" xr:uid="{2DAA9F81-6604-416B-ACCB-CA05F507F888}"/>
    <cellStyle name="Normal 11 2 2 4 4 2 3 2" xfId="29701" xr:uid="{62AA825B-3ED7-473C-931A-5E4BA8F753C8}"/>
    <cellStyle name="Normal 11 2 2 4 4 2 3 2 2" xfId="29702" xr:uid="{2A8A6330-F4E6-4566-A9EE-808949C4231C}"/>
    <cellStyle name="Normal 11 2 2 4 4 2 3 2 2 2" xfId="29703" xr:uid="{FD7EBDA0-D848-4ECB-ADB1-30887E25089C}"/>
    <cellStyle name="Normal 11 2 2 4 4 2 3 2 3" xfId="29704" xr:uid="{F1E8A7BC-0BBE-4F97-B80D-6AE07636F7D7}"/>
    <cellStyle name="Normal 11 2 2 4 4 2 3 3" xfId="29705" xr:uid="{6D1118D6-6642-4918-B627-EF23E5E3E2A5}"/>
    <cellStyle name="Normal 11 2 2 4 4 2 3 3 2" xfId="29706" xr:uid="{80DBDEB2-3D1E-48B8-AC3F-94964368AE4B}"/>
    <cellStyle name="Normal 11 2 2 4 4 2 3 4" xfId="29707" xr:uid="{8405E30E-243A-4864-A8C6-6DE88B50F1E0}"/>
    <cellStyle name="Normal 11 2 2 4 4 2 4" xfId="29708" xr:uid="{3AB665F4-F576-4B75-9340-97CFC5D519A5}"/>
    <cellStyle name="Normal 11 2 2 4 4 2 4 2" xfId="29709" xr:uid="{5E7B5A24-4C82-44E7-B23A-9C87A5E58369}"/>
    <cellStyle name="Normal 11 2 2 4 4 2 4 2 2" xfId="29710" xr:uid="{C758F81F-CB31-4EE5-93E7-4DA8131AE96E}"/>
    <cellStyle name="Normal 11 2 2 4 4 2 4 3" xfId="29711" xr:uid="{FBF8E019-C410-4DFF-B91B-9C7AD8E5F0B0}"/>
    <cellStyle name="Normal 11 2 2 4 4 2 5" xfId="29712" xr:uid="{7E397A14-ACE9-4869-98F2-F096CAE718D1}"/>
    <cellStyle name="Normal 11 2 2 4 4 2 5 2" xfId="29713" xr:uid="{552A1166-FB6D-4048-A4D3-5F5358443263}"/>
    <cellStyle name="Normal 11 2 2 4 4 2 6" xfId="29714" xr:uid="{19C6690B-65EA-4C53-B3E5-DDB3BDC892E5}"/>
    <cellStyle name="Normal 11 2 2 4 4 3" xfId="29715" xr:uid="{D53602FA-0485-4F94-8B2C-217FFE552745}"/>
    <cellStyle name="Normal 11 2 2 4 4 3 2" xfId="29716" xr:uid="{6C2C0CE3-F562-4528-97C6-9C5A41466A2E}"/>
    <cellStyle name="Normal 11 2 2 4 4 3 2 2" xfId="29717" xr:uid="{1901B125-4A66-4A07-96C8-C356AE51D5DB}"/>
    <cellStyle name="Normal 11 2 2 4 4 3 2 2 2" xfId="29718" xr:uid="{4D79A3F5-5D36-4F6D-9B22-1090F4B818CB}"/>
    <cellStyle name="Normal 11 2 2 4 4 3 2 2 2 2" xfId="29719" xr:uid="{5DC07FE2-D808-46C3-8DB6-63972DA71E91}"/>
    <cellStyle name="Normal 11 2 2 4 4 3 2 2 3" xfId="29720" xr:uid="{35201BCF-E70E-425B-B54E-95BDAFA1DCDB}"/>
    <cellStyle name="Normal 11 2 2 4 4 3 2 3" xfId="29721" xr:uid="{0B2CA038-13D1-44D2-A37A-354A9DB1F877}"/>
    <cellStyle name="Normal 11 2 2 4 4 3 2 3 2" xfId="29722" xr:uid="{D7F92B27-414F-448F-8003-D7C857AA7C4A}"/>
    <cellStyle name="Normal 11 2 2 4 4 3 2 4" xfId="29723" xr:uid="{BF69FFB5-5AC3-4B49-B028-7F62C59B0FD3}"/>
    <cellStyle name="Normal 11 2 2 4 4 3 3" xfId="29724" xr:uid="{68FAF6D0-F00B-49D3-B42D-4BD0FE3DE18F}"/>
    <cellStyle name="Normal 11 2 2 4 4 3 3 2" xfId="29725" xr:uid="{14BE2EEE-6282-4AE7-AF1F-8988DFC1D643}"/>
    <cellStyle name="Normal 11 2 2 4 4 3 3 2 2" xfId="29726" xr:uid="{2D4056AA-29AB-4DB8-B6C5-C400DC5DB4D3}"/>
    <cellStyle name="Normal 11 2 2 4 4 3 3 3" xfId="29727" xr:uid="{6B62FC56-FC95-4C85-B80D-7D86F48BD37E}"/>
    <cellStyle name="Normal 11 2 2 4 4 3 4" xfId="29728" xr:uid="{67E114FD-62C6-445C-8B27-6AC64EF7C546}"/>
    <cellStyle name="Normal 11 2 2 4 4 3 4 2" xfId="29729" xr:uid="{AD90A72B-7177-483C-91A4-818B407D0C08}"/>
    <cellStyle name="Normal 11 2 2 4 4 3 5" xfId="29730" xr:uid="{3CD2A209-FCE0-4436-872C-7AA20C55715B}"/>
    <cellStyle name="Normal 11 2 2 4 4 4" xfId="29731" xr:uid="{9871D1FF-0F70-4E0F-8FFC-823D9D49C036}"/>
    <cellStyle name="Normal 11 2 2 4 4 4 2" xfId="29732" xr:uid="{37F25348-ADA5-40E9-A522-CC0C81B902A9}"/>
    <cellStyle name="Normal 11 2 2 4 4 4 2 2" xfId="29733" xr:uid="{4A9FEAE2-5D71-4FC2-A929-BDBEA25A514B}"/>
    <cellStyle name="Normal 11 2 2 4 4 4 2 2 2" xfId="29734" xr:uid="{69A8D76C-6AB4-4A82-A4BC-2AC0122AA0FF}"/>
    <cellStyle name="Normal 11 2 2 4 4 4 2 3" xfId="29735" xr:uid="{4535AE55-5EDA-4BB5-AB91-3BD673A4C76B}"/>
    <cellStyle name="Normal 11 2 2 4 4 4 3" xfId="29736" xr:uid="{2F7B697B-C60A-4C8B-9EAC-D2C61053590D}"/>
    <cellStyle name="Normal 11 2 2 4 4 4 3 2" xfId="29737" xr:uid="{00FCCDD6-A1D5-4133-BA9E-24FDC5A1E7AC}"/>
    <cellStyle name="Normal 11 2 2 4 4 4 4" xfId="29738" xr:uid="{ACFA3A05-9749-4ACD-B2D8-6CF8A42FC93E}"/>
    <cellStyle name="Normal 11 2 2 4 4 5" xfId="29739" xr:uid="{8A188EB9-81DD-4C57-9F62-264F35142019}"/>
    <cellStyle name="Normal 11 2 2 4 4 5 2" xfId="29740" xr:uid="{E4504BE0-5168-42B6-9D58-B64CAC484EE4}"/>
    <cellStyle name="Normal 11 2 2 4 4 5 2 2" xfId="29741" xr:uid="{5A2BBF8D-C08A-4AAD-B1BE-B02431A32927}"/>
    <cellStyle name="Normal 11 2 2 4 4 5 3" xfId="29742" xr:uid="{3AB18EE6-0BA9-4518-B8D6-2DDBD54F084A}"/>
    <cellStyle name="Normal 11 2 2 4 4 6" xfId="29743" xr:uid="{D1227AB4-BFED-4135-BEC7-3E180670A24F}"/>
    <cellStyle name="Normal 11 2 2 4 4 6 2" xfId="29744" xr:uid="{4F3F3EE3-FB8F-4E99-8834-B7B2119CF063}"/>
    <cellStyle name="Normal 11 2 2 4 4 7" xfId="29745" xr:uid="{2E71CF65-BF53-41AA-AB6D-83A9A6734FBB}"/>
    <cellStyle name="Normal 11 2 2 4 5" xfId="29746" xr:uid="{283A12BC-A7A3-4B90-99A7-82D6E73D3673}"/>
    <cellStyle name="Normal 11 2 2 4 5 2" xfId="29747" xr:uid="{CC34DB1A-0F73-44A0-9E6B-7980F9F13E77}"/>
    <cellStyle name="Normal 11 2 2 4 5 2 2" xfId="29748" xr:uid="{71652C7B-7F85-4F1F-9F0A-3BC750E73ACD}"/>
    <cellStyle name="Normal 11 2 2 4 5 2 2 2" xfId="29749" xr:uid="{9F0B7107-3867-4ECC-8B53-3D42AF32C555}"/>
    <cellStyle name="Normal 11 2 2 4 5 2 2 2 2" xfId="29750" xr:uid="{DB6D3C19-062D-43D1-8522-B608FCC73FE5}"/>
    <cellStyle name="Normal 11 2 2 4 5 2 2 2 2 2" xfId="29751" xr:uid="{F270FC32-FD8C-4824-933F-701F35DFC7B5}"/>
    <cellStyle name="Normal 11 2 2 4 5 2 2 2 3" xfId="29752" xr:uid="{5CFC2EA0-8D91-414C-9BEB-58EC793B2A26}"/>
    <cellStyle name="Normal 11 2 2 4 5 2 2 3" xfId="29753" xr:uid="{22A2A71A-4A5C-40E9-A862-E4D496C52F7E}"/>
    <cellStyle name="Normal 11 2 2 4 5 2 2 3 2" xfId="29754" xr:uid="{42E62385-E1C6-4D74-A3D6-6007540A6435}"/>
    <cellStyle name="Normal 11 2 2 4 5 2 2 4" xfId="29755" xr:uid="{0E8AEBD2-81FE-48C2-9D0C-09B1B3626D81}"/>
    <cellStyle name="Normal 11 2 2 4 5 2 3" xfId="29756" xr:uid="{5A5C9F0C-08FE-42DF-9CE8-D198AFBFBB1E}"/>
    <cellStyle name="Normal 11 2 2 4 5 2 3 2" xfId="29757" xr:uid="{271813DD-91AB-429C-BDAE-C17F487AE62E}"/>
    <cellStyle name="Normal 11 2 2 4 5 2 3 2 2" xfId="29758" xr:uid="{1FBD4A43-80FD-4A3F-ABB7-06529A745ADD}"/>
    <cellStyle name="Normal 11 2 2 4 5 2 3 3" xfId="29759" xr:uid="{BCC79265-95E4-40EC-A5F6-1CE77A9EEF80}"/>
    <cellStyle name="Normal 11 2 2 4 5 2 4" xfId="29760" xr:uid="{B14A5CFF-F9F9-4C6B-BFCA-772AFA2479BB}"/>
    <cellStyle name="Normal 11 2 2 4 5 2 4 2" xfId="29761" xr:uid="{BFD8351D-AACD-46B7-9FFE-EC9C0E07236D}"/>
    <cellStyle name="Normal 11 2 2 4 5 2 5" xfId="29762" xr:uid="{206AEF90-56EC-4FE7-8921-8071D8716E77}"/>
    <cellStyle name="Normal 11 2 2 4 5 3" xfId="29763" xr:uid="{9F705470-2C50-41A4-90AA-6E854B23B6F2}"/>
    <cellStyle name="Normal 11 2 2 4 5 3 2" xfId="29764" xr:uid="{ED827E63-3F98-4655-8EA1-BB5206179ABA}"/>
    <cellStyle name="Normal 11 2 2 4 5 3 2 2" xfId="29765" xr:uid="{87483FA5-18C7-47A3-B316-190B48102870}"/>
    <cellStyle name="Normal 11 2 2 4 5 3 2 2 2" xfId="29766" xr:uid="{A4E8BF5C-B415-4E14-A343-7172BDD3E33D}"/>
    <cellStyle name="Normal 11 2 2 4 5 3 2 3" xfId="29767" xr:uid="{29FF3449-CF73-41DF-BFFB-0E0BCC165887}"/>
    <cellStyle name="Normal 11 2 2 4 5 3 3" xfId="29768" xr:uid="{C18E002B-962B-487B-8C54-79AE270C4A90}"/>
    <cellStyle name="Normal 11 2 2 4 5 3 3 2" xfId="29769" xr:uid="{5897C220-2B85-44B4-BAB2-499485712A90}"/>
    <cellStyle name="Normal 11 2 2 4 5 3 4" xfId="29770" xr:uid="{BB7306D3-7682-43AE-B881-350C615693F2}"/>
    <cellStyle name="Normal 11 2 2 4 5 4" xfId="29771" xr:uid="{35D64A53-8E86-473D-8F2B-A90303D86526}"/>
    <cellStyle name="Normal 11 2 2 4 5 4 2" xfId="29772" xr:uid="{9008A154-9EDF-4D18-9992-955C9CC59802}"/>
    <cellStyle name="Normal 11 2 2 4 5 4 2 2" xfId="29773" xr:uid="{8401D757-53BF-4831-AB7E-0F461DC3544A}"/>
    <cellStyle name="Normal 11 2 2 4 5 4 3" xfId="29774" xr:uid="{B115B9CB-5C8A-48F2-BEA5-582A847CEC6F}"/>
    <cellStyle name="Normal 11 2 2 4 5 5" xfId="29775" xr:uid="{0821D207-97EE-41D8-80FA-C4E08BA523C4}"/>
    <cellStyle name="Normal 11 2 2 4 5 5 2" xfId="29776" xr:uid="{B508EA01-15FC-46F1-8D00-192404F155C8}"/>
    <cellStyle name="Normal 11 2 2 4 5 6" xfId="29777" xr:uid="{10F3E648-42B7-4293-8559-06A9CF37F65B}"/>
    <cellStyle name="Normal 11 2 2 4 6" xfId="29778" xr:uid="{834EAFF4-84A0-41C1-A74F-11F934ED6DD9}"/>
    <cellStyle name="Normal 11 2 2 4 6 2" xfId="29779" xr:uid="{7584FA97-0708-42AB-9C26-3686F03C6202}"/>
    <cellStyle name="Normal 11 2 2 4 6 2 2" xfId="29780" xr:uid="{05AB5112-3078-4A82-BDAA-8DA7220815A9}"/>
    <cellStyle name="Normal 11 2 2 4 6 2 2 2" xfId="29781" xr:uid="{496E6255-E8A6-4618-AD69-DDB2BE213911}"/>
    <cellStyle name="Normal 11 2 2 4 6 2 2 2 2" xfId="29782" xr:uid="{3446C4DD-88D4-4BC8-BBE9-DDED614005A0}"/>
    <cellStyle name="Normal 11 2 2 4 6 2 2 3" xfId="29783" xr:uid="{3AD8A0B7-CECA-4177-89C3-91533813F44F}"/>
    <cellStyle name="Normal 11 2 2 4 6 2 3" xfId="29784" xr:uid="{F9D3C582-8717-493C-9FD4-409DAE2CEB39}"/>
    <cellStyle name="Normal 11 2 2 4 6 2 3 2" xfId="29785" xr:uid="{E7F5D558-E700-4758-8DDA-8432ABF43884}"/>
    <cellStyle name="Normal 11 2 2 4 6 2 4" xfId="29786" xr:uid="{3B517950-5EBA-4A46-AEAD-BA2506687909}"/>
    <cellStyle name="Normal 11 2 2 4 6 3" xfId="29787" xr:uid="{FE0101B3-98A3-4515-A7AE-388024C14090}"/>
    <cellStyle name="Normal 11 2 2 4 6 3 2" xfId="29788" xr:uid="{A116BADA-4849-4D51-B48C-CF90B05FD9E6}"/>
    <cellStyle name="Normal 11 2 2 4 6 3 2 2" xfId="29789" xr:uid="{AA273F14-C7A3-46D6-9A12-BFB2AB52BD6A}"/>
    <cellStyle name="Normal 11 2 2 4 6 3 3" xfId="29790" xr:uid="{ACE43655-0EF0-4001-97FB-8123DBAE3476}"/>
    <cellStyle name="Normal 11 2 2 4 6 4" xfId="29791" xr:uid="{400B7913-A1ED-4A60-8CEC-D69B00A6C145}"/>
    <cellStyle name="Normal 11 2 2 4 6 4 2" xfId="29792" xr:uid="{F2FDE5ED-99A0-44B8-AF08-50851B3BF952}"/>
    <cellStyle name="Normal 11 2 2 4 6 5" xfId="29793" xr:uid="{747E5D09-0AFB-4F6F-BA1E-C26CD0EFF565}"/>
    <cellStyle name="Normal 11 2 2 4 7" xfId="29794" xr:uid="{239DCD0B-6C75-4E37-A308-2CC6AD296EBC}"/>
    <cellStyle name="Normal 11 2 2 4 7 2" xfId="29795" xr:uid="{02520065-625F-4C51-A373-A6BA7CB0096D}"/>
    <cellStyle name="Normal 11 2 2 4 7 2 2" xfId="29796" xr:uid="{E8D6200F-A994-4FF6-8D7A-055638D283AF}"/>
    <cellStyle name="Normal 11 2 2 4 7 2 2 2" xfId="29797" xr:uid="{573E8F60-6097-4B3D-9A56-E7BBB3BA470C}"/>
    <cellStyle name="Normal 11 2 2 4 7 2 3" xfId="29798" xr:uid="{ABC58CDD-3461-4B95-9F15-612E3FA01282}"/>
    <cellStyle name="Normal 11 2 2 4 7 3" xfId="29799" xr:uid="{4A2F59A2-9BB3-4CAD-90AF-8045CB3F2EA6}"/>
    <cellStyle name="Normal 11 2 2 4 7 3 2" xfId="29800" xr:uid="{8817DBE0-2467-4006-AB57-6B4C2B18C7DD}"/>
    <cellStyle name="Normal 11 2 2 4 7 4" xfId="29801" xr:uid="{F7E25263-E48B-480D-BF99-C065FB6E0340}"/>
    <cellStyle name="Normal 11 2 2 4 8" xfId="29802" xr:uid="{35BCD1C8-90CC-43BC-97E7-D2FC78A1C001}"/>
    <cellStyle name="Normal 11 2 2 4 8 2" xfId="29803" xr:uid="{1E960913-9B38-4D3D-BB10-4D5AEC1AF1F8}"/>
    <cellStyle name="Normal 11 2 2 4 8 2 2" xfId="29804" xr:uid="{A4A18EB7-4DB8-453F-8ADE-9C8F673147EB}"/>
    <cellStyle name="Normal 11 2 2 4 8 3" xfId="29805" xr:uid="{3746983B-A07B-4685-8FC8-F693EE48983F}"/>
    <cellStyle name="Normal 11 2 2 4 9" xfId="29806" xr:uid="{3CF46B61-7B41-4C47-AD4B-85F5AED18795}"/>
    <cellStyle name="Normal 11 2 2 4 9 2" xfId="29807" xr:uid="{5E63218C-3761-43D8-AEF6-53EBF425D4DE}"/>
    <cellStyle name="Normal 11 2 2 5" xfId="256" xr:uid="{CB40D9BA-EE55-4FE7-9033-3A8020E41A3B}"/>
    <cellStyle name="Normal 11 2 2 5 10" xfId="29808" xr:uid="{D01DD789-D598-4BA0-8DDD-98CBD230E921}"/>
    <cellStyle name="Normal 11 2 2 5 11" xfId="581" xr:uid="{A5BD5B24-23A2-4A88-B1C7-85C80EFC3AEF}"/>
    <cellStyle name="Normal 11 2 2 5 2" xfId="358" xr:uid="{6384237C-22B4-40AF-BC2C-298C79BF0ACA}"/>
    <cellStyle name="Normal 11 2 2 5 2 10" xfId="29809" xr:uid="{8CCEC3DC-4F7F-4536-9DB5-EA9A4FDD9E66}"/>
    <cellStyle name="Normal 11 2 2 5 2 2" xfId="29810" xr:uid="{30FC6768-6469-45CA-BBAC-7F10D27DD81F}"/>
    <cellStyle name="Normal 11 2 2 5 2 2 2" xfId="29811" xr:uid="{3F5BB65A-86F1-4772-AB33-B393B03601A9}"/>
    <cellStyle name="Normal 11 2 2 5 2 2 2 2" xfId="29812" xr:uid="{B8EE77BC-03EE-4D1F-9970-1B1FB09AB8D9}"/>
    <cellStyle name="Normal 11 2 2 5 2 2 2 2 2" xfId="29813" xr:uid="{DFE5F349-5051-4F00-A400-D217072E7E2F}"/>
    <cellStyle name="Normal 11 2 2 5 2 2 2 2 2 2" xfId="29814" xr:uid="{87DB3BF7-3232-446B-98D7-164522FFE388}"/>
    <cellStyle name="Normal 11 2 2 5 2 2 2 2 2 2 2" xfId="29815" xr:uid="{00337D6C-4E49-4F4D-9AD0-C66BB349E016}"/>
    <cellStyle name="Normal 11 2 2 5 2 2 2 2 2 2 2 2" xfId="29816" xr:uid="{424578DE-5614-43EB-9507-EA7D95E7602C}"/>
    <cellStyle name="Normal 11 2 2 5 2 2 2 2 2 2 2 2 2" xfId="29817" xr:uid="{6B9EF5D0-B6BE-4718-B065-D1219A7029A2}"/>
    <cellStyle name="Normal 11 2 2 5 2 2 2 2 2 2 2 3" xfId="29818" xr:uid="{AB864C49-94B4-44CF-BC82-1B73F15D58EC}"/>
    <cellStyle name="Normal 11 2 2 5 2 2 2 2 2 2 3" xfId="29819" xr:uid="{983E1473-9BCF-41C1-B207-4E125B070008}"/>
    <cellStyle name="Normal 11 2 2 5 2 2 2 2 2 2 3 2" xfId="29820" xr:uid="{164078CF-A1C8-48C3-A6FE-FCA47832AB3A}"/>
    <cellStyle name="Normal 11 2 2 5 2 2 2 2 2 2 4" xfId="29821" xr:uid="{54BE010C-4082-40D8-A509-6C0774E52DA6}"/>
    <cellStyle name="Normal 11 2 2 5 2 2 2 2 2 3" xfId="29822" xr:uid="{684D59AB-FD70-4F60-BA8F-9FB1FA65B016}"/>
    <cellStyle name="Normal 11 2 2 5 2 2 2 2 2 3 2" xfId="29823" xr:uid="{199BDFA3-6D59-4774-A265-5973A17D98CE}"/>
    <cellStyle name="Normal 11 2 2 5 2 2 2 2 2 3 2 2" xfId="29824" xr:uid="{4D7A1AA7-48B5-4B37-8A9E-5120F783C7C8}"/>
    <cellStyle name="Normal 11 2 2 5 2 2 2 2 2 3 3" xfId="29825" xr:uid="{C4D9C8E8-F4B3-4356-BC4A-6FA9ACA4AB79}"/>
    <cellStyle name="Normal 11 2 2 5 2 2 2 2 2 4" xfId="29826" xr:uid="{774BBAAE-FF12-4E3D-8B21-3B5BAECC97C0}"/>
    <cellStyle name="Normal 11 2 2 5 2 2 2 2 2 4 2" xfId="29827" xr:uid="{5E6EA046-B97D-48A3-AC95-00689B8E733E}"/>
    <cellStyle name="Normal 11 2 2 5 2 2 2 2 2 5" xfId="29828" xr:uid="{FA17C0D9-CDB5-47CD-A3F6-477FE34BA19C}"/>
    <cellStyle name="Normal 11 2 2 5 2 2 2 2 3" xfId="29829" xr:uid="{208AE7D2-FB62-4478-8067-BB7CFFB10542}"/>
    <cellStyle name="Normal 11 2 2 5 2 2 2 2 3 2" xfId="29830" xr:uid="{036FF7F9-BDBD-4AC9-9188-211F4350C93E}"/>
    <cellStyle name="Normal 11 2 2 5 2 2 2 2 3 2 2" xfId="29831" xr:uid="{832E9A51-1B17-4030-B3F6-C0BA37236418}"/>
    <cellStyle name="Normal 11 2 2 5 2 2 2 2 3 2 2 2" xfId="29832" xr:uid="{BD64D1DE-98D0-4170-B9DC-4BB02CD69303}"/>
    <cellStyle name="Normal 11 2 2 5 2 2 2 2 3 2 3" xfId="29833" xr:uid="{493E84A3-05FF-4DCF-8062-95C21DD67046}"/>
    <cellStyle name="Normal 11 2 2 5 2 2 2 2 3 3" xfId="29834" xr:uid="{53890B62-D793-4F20-BBCB-7EFFFCE23FAC}"/>
    <cellStyle name="Normal 11 2 2 5 2 2 2 2 3 3 2" xfId="29835" xr:uid="{FD435EE4-A45F-42F3-A008-D931A77A11B2}"/>
    <cellStyle name="Normal 11 2 2 5 2 2 2 2 3 4" xfId="29836" xr:uid="{9FAF1311-CD5C-4698-B326-8F7B2A7DA79B}"/>
    <cellStyle name="Normal 11 2 2 5 2 2 2 2 4" xfId="29837" xr:uid="{D91C314B-FD0A-4FD1-9B4D-84E4FBA35AF9}"/>
    <cellStyle name="Normal 11 2 2 5 2 2 2 2 4 2" xfId="29838" xr:uid="{55496A56-215B-431B-868E-738ABB5B02BE}"/>
    <cellStyle name="Normal 11 2 2 5 2 2 2 2 4 2 2" xfId="29839" xr:uid="{189DFDDD-6129-44E6-9522-9718E633A8FF}"/>
    <cellStyle name="Normal 11 2 2 5 2 2 2 2 4 3" xfId="29840" xr:uid="{1D8DB1D8-0CFC-4FB4-9E11-FA2D5AB3C9A7}"/>
    <cellStyle name="Normal 11 2 2 5 2 2 2 2 5" xfId="29841" xr:uid="{EC8FB0FA-9BEB-4CEF-A804-5D77F179315A}"/>
    <cellStyle name="Normal 11 2 2 5 2 2 2 2 5 2" xfId="29842" xr:uid="{DCC72D58-E8F4-4FF6-BCA9-19C26D488A84}"/>
    <cellStyle name="Normal 11 2 2 5 2 2 2 2 6" xfId="29843" xr:uid="{9A723B3F-1B7C-421E-9C0D-CCFCCB2AFDC1}"/>
    <cellStyle name="Normal 11 2 2 5 2 2 2 3" xfId="29844" xr:uid="{7F17AEF0-81D0-4BB9-BD85-4F9F22C1FC73}"/>
    <cellStyle name="Normal 11 2 2 5 2 2 2 3 2" xfId="29845" xr:uid="{F0F16397-F8BF-40B2-9BEF-CAD909330015}"/>
    <cellStyle name="Normal 11 2 2 5 2 2 2 3 2 2" xfId="29846" xr:uid="{F99CE18A-73EF-4A54-A8BD-A327FACA893C}"/>
    <cellStyle name="Normal 11 2 2 5 2 2 2 3 2 2 2" xfId="29847" xr:uid="{446D6458-05E5-431F-8612-C7B141755FD7}"/>
    <cellStyle name="Normal 11 2 2 5 2 2 2 3 2 2 2 2" xfId="29848" xr:uid="{9173A30B-4304-46FB-8B44-97D77F3E56F1}"/>
    <cellStyle name="Normal 11 2 2 5 2 2 2 3 2 2 3" xfId="29849" xr:uid="{9EEF1583-2410-4B98-8566-942B631D615B}"/>
    <cellStyle name="Normal 11 2 2 5 2 2 2 3 2 3" xfId="29850" xr:uid="{3C25C98C-4743-4B14-9340-F719B68C87D6}"/>
    <cellStyle name="Normal 11 2 2 5 2 2 2 3 2 3 2" xfId="29851" xr:uid="{8D5DB49D-54AF-4EDD-9E2B-5B6EF0FAAD1F}"/>
    <cellStyle name="Normal 11 2 2 5 2 2 2 3 2 4" xfId="29852" xr:uid="{A4FBCB41-1840-4161-BA70-C8400D31536D}"/>
    <cellStyle name="Normal 11 2 2 5 2 2 2 3 3" xfId="29853" xr:uid="{C111A1E2-E4AE-415C-B0B8-36D37B519900}"/>
    <cellStyle name="Normal 11 2 2 5 2 2 2 3 3 2" xfId="29854" xr:uid="{DEBE8A5F-98BA-437C-8E5E-C9237C14602E}"/>
    <cellStyle name="Normal 11 2 2 5 2 2 2 3 3 2 2" xfId="29855" xr:uid="{89D804EE-D466-4E47-86FD-C5E367B2911F}"/>
    <cellStyle name="Normal 11 2 2 5 2 2 2 3 3 3" xfId="29856" xr:uid="{C51B6E7B-F09B-482D-81ED-FF0C8C09B27E}"/>
    <cellStyle name="Normal 11 2 2 5 2 2 2 3 4" xfId="29857" xr:uid="{804D4D78-3402-4434-96C9-4B352ACD511D}"/>
    <cellStyle name="Normal 11 2 2 5 2 2 2 3 4 2" xfId="29858" xr:uid="{98CB6F11-5C2B-4F60-8DCD-C6EE9C78C81D}"/>
    <cellStyle name="Normal 11 2 2 5 2 2 2 3 5" xfId="29859" xr:uid="{6B0615D4-B13A-4799-BE8C-CC3BA05D46DD}"/>
    <cellStyle name="Normal 11 2 2 5 2 2 2 4" xfId="29860" xr:uid="{5930490A-AA0C-4A97-8592-F532D2A0F38F}"/>
    <cellStyle name="Normal 11 2 2 5 2 2 2 4 2" xfId="29861" xr:uid="{A5BAEF89-CEA7-4DB1-9710-8A0021F0074A}"/>
    <cellStyle name="Normal 11 2 2 5 2 2 2 4 2 2" xfId="29862" xr:uid="{34812DA3-5B01-4642-B185-5FC8774C0458}"/>
    <cellStyle name="Normal 11 2 2 5 2 2 2 4 2 2 2" xfId="29863" xr:uid="{CC51DDDD-65F6-45FF-83EE-CD952415A4B7}"/>
    <cellStyle name="Normal 11 2 2 5 2 2 2 4 2 3" xfId="29864" xr:uid="{B4DD7686-D901-477C-82C1-2BAAFA99D3A3}"/>
    <cellStyle name="Normal 11 2 2 5 2 2 2 4 3" xfId="29865" xr:uid="{6471895C-0465-4479-950B-D0EE16A6847B}"/>
    <cellStyle name="Normal 11 2 2 5 2 2 2 4 3 2" xfId="29866" xr:uid="{5946B49B-2095-47BD-93D1-0E8EC645911B}"/>
    <cellStyle name="Normal 11 2 2 5 2 2 2 4 4" xfId="29867" xr:uid="{391C4019-5BB0-41FD-A1D7-9E23EF910E2C}"/>
    <cellStyle name="Normal 11 2 2 5 2 2 2 5" xfId="29868" xr:uid="{5747F8B9-6EF4-47E3-8EC9-0C87DE66C374}"/>
    <cellStyle name="Normal 11 2 2 5 2 2 2 5 2" xfId="29869" xr:uid="{A9E3A368-C195-48C4-A749-0D06BDBA32B8}"/>
    <cellStyle name="Normal 11 2 2 5 2 2 2 5 2 2" xfId="29870" xr:uid="{4ED35074-83C2-4328-B244-7E6072A07672}"/>
    <cellStyle name="Normal 11 2 2 5 2 2 2 5 3" xfId="29871" xr:uid="{9E07D344-1266-49BF-A81F-2DC0E8BFEBF3}"/>
    <cellStyle name="Normal 11 2 2 5 2 2 2 6" xfId="29872" xr:uid="{E4A4878D-3C28-4EEE-92CC-F7D340B69D3C}"/>
    <cellStyle name="Normal 11 2 2 5 2 2 2 6 2" xfId="29873" xr:uid="{BC485975-5208-4A9C-8F7B-F67E6CBCD2DC}"/>
    <cellStyle name="Normal 11 2 2 5 2 2 2 7" xfId="29874" xr:uid="{74929834-9A49-4BED-B1BF-E95D9FD17FB7}"/>
    <cellStyle name="Normal 11 2 2 5 2 2 3" xfId="29875" xr:uid="{231D7F3B-1F6D-47E3-9121-DF8E81EF762E}"/>
    <cellStyle name="Normal 11 2 2 5 2 2 3 2" xfId="29876" xr:uid="{034CFA46-E64D-45F0-A473-EB0C233EE007}"/>
    <cellStyle name="Normal 11 2 2 5 2 2 3 2 2" xfId="29877" xr:uid="{B568603E-7785-495A-9481-7D9F50A4F46B}"/>
    <cellStyle name="Normal 11 2 2 5 2 2 3 2 2 2" xfId="29878" xr:uid="{F350F4AC-144C-412C-B354-C3BE6FC6F017}"/>
    <cellStyle name="Normal 11 2 2 5 2 2 3 2 2 2 2" xfId="29879" xr:uid="{31EDCE2F-C259-4CEC-AB20-A45C0AF79591}"/>
    <cellStyle name="Normal 11 2 2 5 2 2 3 2 2 2 2 2" xfId="29880" xr:uid="{AB54D56A-4A02-4B3E-BE75-260266B0C988}"/>
    <cellStyle name="Normal 11 2 2 5 2 2 3 2 2 2 3" xfId="29881" xr:uid="{E14D9774-7D04-4509-B8E7-81ABFC6EA5B1}"/>
    <cellStyle name="Normal 11 2 2 5 2 2 3 2 2 3" xfId="29882" xr:uid="{04F756B4-44F9-4DB0-A9AF-B00B1486D7D7}"/>
    <cellStyle name="Normal 11 2 2 5 2 2 3 2 2 3 2" xfId="29883" xr:uid="{3129A6B7-9302-4460-889C-73A68A5191D5}"/>
    <cellStyle name="Normal 11 2 2 5 2 2 3 2 2 4" xfId="29884" xr:uid="{096EF30B-FAA3-4902-8411-CB49FEB91C94}"/>
    <cellStyle name="Normal 11 2 2 5 2 2 3 2 3" xfId="29885" xr:uid="{25AA5284-7451-4273-A78C-FA81DDC15557}"/>
    <cellStyle name="Normal 11 2 2 5 2 2 3 2 3 2" xfId="29886" xr:uid="{E0E7E6D9-96F7-4C71-8082-E581005113B2}"/>
    <cellStyle name="Normal 11 2 2 5 2 2 3 2 3 2 2" xfId="29887" xr:uid="{D6FC30BF-BD12-4F36-99FA-188E5ABA64FE}"/>
    <cellStyle name="Normal 11 2 2 5 2 2 3 2 3 3" xfId="29888" xr:uid="{7B36C6EF-6027-4B38-9B99-E17B78A31349}"/>
    <cellStyle name="Normal 11 2 2 5 2 2 3 2 4" xfId="29889" xr:uid="{CCE80A68-A520-4607-A341-82AFCAF87C5D}"/>
    <cellStyle name="Normal 11 2 2 5 2 2 3 2 4 2" xfId="29890" xr:uid="{FF0B22F6-813A-48D5-BD52-3900E74A3EFD}"/>
    <cellStyle name="Normal 11 2 2 5 2 2 3 2 5" xfId="29891" xr:uid="{C542D732-59EA-44EE-B369-C2794C009141}"/>
    <cellStyle name="Normal 11 2 2 5 2 2 3 3" xfId="29892" xr:uid="{F77E70AB-EF17-49BD-8681-4CE94B8368D8}"/>
    <cellStyle name="Normal 11 2 2 5 2 2 3 3 2" xfId="29893" xr:uid="{66213A38-11FB-4F2D-889A-83D44B95C954}"/>
    <cellStyle name="Normal 11 2 2 5 2 2 3 3 2 2" xfId="29894" xr:uid="{1D8E63D6-C535-4D87-921A-17A787E6E67E}"/>
    <cellStyle name="Normal 11 2 2 5 2 2 3 3 2 2 2" xfId="29895" xr:uid="{E45AB061-05D2-42AA-97A0-0847A3746850}"/>
    <cellStyle name="Normal 11 2 2 5 2 2 3 3 2 3" xfId="29896" xr:uid="{26AEB38A-6741-45AF-A8DB-A5DA659E5A72}"/>
    <cellStyle name="Normal 11 2 2 5 2 2 3 3 3" xfId="29897" xr:uid="{657E8319-99C6-49DB-8B92-10CEB2E097F1}"/>
    <cellStyle name="Normal 11 2 2 5 2 2 3 3 3 2" xfId="29898" xr:uid="{46F624A5-C471-4C40-8079-1518147C6F52}"/>
    <cellStyle name="Normal 11 2 2 5 2 2 3 3 4" xfId="29899" xr:uid="{D15F5A17-CB07-4D2B-991F-027889BC5E2A}"/>
    <cellStyle name="Normal 11 2 2 5 2 2 3 4" xfId="29900" xr:uid="{21DBB265-C8A3-4EB2-82FC-961DEFDEB117}"/>
    <cellStyle name="Normal 11 2 2 5 2 2 3 4 2" xfId="29901" xr:uid="{BAC9F3E6-D623-431B-9F97-0201DDC60AC6}"/>
    <cellStyle name="Normal 11 2 2 5 2 2 3 4 2 2" xfId="29902" xr:uid="{D2136C72-B402-4C8A-BB8F-87BC6CCE2D17}"/>
    <cellStyle name="Normal 11 2 2 5 2 2 3 4 3" xfId="29903" xr:uid="{B432D382-0D27-4245-A2D3-1F538D15FE2E}"/>
    <cellStyle name="Normal 11 2 2 5 2 2 3 5" xfId="29904" xr:uid="{881F8A35-E809-427D-8314-E1DA9E4D250F}"/>
    <cellStyle name="Normal 11 2 2 5 2 2 3 5 2" xfId="29905" xr:uid="{73B268C6-50A3-423D-8FFC-64954C3A8A23}"/>
    <cellStyle name="Normal 11 2 2 5 2 2 3 6" xfId="29906" xr:uid="{95564B23-111C-4690-9B42-28B37BF34E71}"/>
    <cellStyle name="Normal 11 2 2 5 2 2 4" xfId="29907" xr:uid="{A360D70B-01FD-49D5-AB74-C4A55ABA03C2}"/>
    <cellStyle name="Normal 11 2 2 5 2 2 4 2" xfId="29908" xr:uid="{7FDBEE5E-8B05-4216-A644-B29577905939}"/>
    <cellStyle name="Normal 11 2 2 5 2 2 4 2 2" xfId="29909" xr:uid="{3884F23F-BE01-46C3-B2F1-54A727690A99}"/>
    <cellStyle name="Normal 11 2 2 5 2 2 4 2 2 2" xfId="29910" xr:uid="{484E2198-A24C-4A51-8FD1-6D6625823B1B}"/>
    <cellStyle name="Normal 11 2 2 5 2 2 4 2 2 2 2" xfId="29911" xr:uid="{F55A8520-90D2-46CE-81E1-1B72E6105D25}"/>
    <cellStyle name="Normal 11 2 2 5 2 2 4 2 2 3" xfId="29912" xr:uid="{C307A0BE-641F-4329-9D43-CC5B0B09DACD}"/>
    <cellStyle name="Normal 11 2 2 5 2 2 4 2 3" xfId="29913" xr:uid="{E9B2F8CF-BA23-462B-9370-19795F2F5433}"/>
    <cellStyle name="Normal 11 2 2 5 2 2 4 2 3 2" xfId="29914" xr:uid="{EC255EA3-2FE4-43BA-A92D-98D8A555374A}"/>
    <cellStyle name="Normal 11 2 2 5 2 2 4 2 4" xfId="29915" xr:uid="{7BCA6AB2-857A-4C18-93EE-CDB0B70679F0}"/>
    <cellStyle name="Normal 11 2 2 5 2 2 4 3" xfId="29916" xr:uid="{8B0760BC-A687-4448-A873-C9E59BCF9C29}"/>
    <cellStyle name="Normal 11 2 2 5 2 2 4 3 2" xfId="29917" xr:uid="{92F1CBE6-3273-4EE2-A07E-12787B5AA85F}"/>
    <cellStyle name="Normal 11 2 2 5 2 2 4 3 2 2" xfId="29918" xr:uid="{2FCA9F08-E385-4CDA-9651-8C41CD393387}"/>
    <cellStyle name="Normal 11 2 2 5 2 2 4 3 3" xfId="29919" xr:uid="{208EC646-D31D-48D4-8973-362A8F793B42}"/>
    <cellStyle name="Normal 11 2 2 5 2 2 4 4" xfId="29920" xr:uid="{BD833406-1312-433E-9992-C918CE8EBF7E}"/>
    <cellStyle name="Normal 11 2 2 5 2 2 4 4 2" xfId="29921" xr:uid="{979C903B-6949-4AC8-A6EE-A675EB3F16DB}"/>
    <cellStyle name="Normal 11 2 2 5 2 2 4 5" xfId="29922" xr:uid="{448EEC95-FE08-4C37-A710-3ACD706E56E3}"/>
    <cellStyle name="Normal 11 2 2 5 2 2 5" xfId="29923" xr:uid="{70E0E286-EC98-483F-8ECF-6F202C903D70}"/>
    <cellStyle name="Normal 11 2 2 5 2 2 5 2" xfId="29924" xr:uid="{7A990804-400F-4393-907D-B12500415F5D}"/>
    <cellStyle name="Normal 11 2 2 5 2 2 5 2 2" xfId="29925" xr:uid="{C34ADB7C-D9F0-483C-85E1-9EFCE92CC9BB}"/>
    <cellStyle name="Normal 11 2 2 5 2 2 5 2 2 2" xfId="29926" xr:uid="{76B62E76-5ADA-4BE2-B91D-CEE580DEF3C7}"/>
    <cellStyle name="Normal 11 2 2 5 2 2 5 2 3" xfId="29927" xr:uid="{8B5584F2-B4D0-4EDE-B026-8D132120D5C1}"/>
    <cellStyle name="Normal 11 2 2 5 2 2 5 3" xfId="29928" xr:uid="{8F014A2F-EC65-43CA-8280-7A0C35134CBF}"/>
    <cellStyle name="Normal 11 2 2 5 2 2 5 3 2" xfId="29929" xr:uid="{D8B0AC0B-76BF-49C6-B2A5-B8511CEC0FC5}"/>
    <cellStyle name="Normal 11 2 2 5 2 2 5 4" xfId="29930" xr:uid="{CA5F0EF3-E375-4C3C-BBEF-25195506DF56}"/>
    <cellStyle name="Normal 11 2 2 5 2 2 6" xfId="29931" xr:uid="{E854D1B0-FB4D-464A-9ACA-FD0FFA4A26EB}"/>
    <cellStyle name="Normal 11 2 2 5 2 2 6 2" xfId="29932" xr:uid="{42DC2493-3F0A-4B39-814C-DA8267BFC89D}"/>
    <cellStyle name="Normal 11 2 2 5 2 2 6 2 2" xfId="29933" xr:uid="{F8567931-E8CD-4DAA-A769-4D624A11C63D}"/>
    <cellStyle name="Normal 11 2 2 5 2 2 6 3" xfId="29934" xr:uid="{5A8B61C6-372F-4298-9539-3C2F15E1770E}"/>
    <cellStyle name="Normal 11 2 2 5 2 2 7" xfId="29935" xr:uid="{F0F814BE-F7C5-4088-A56A-FCB27EE0CCD5}"/>
    <cellStyle name="Normal 11 2 2 5 2 2 7 2" xfId="29936" xr:uid="{DA22F1AE-30CA-494E-A087-82EEE50733E8}"/>
    <cellStyle name="Normal 11 2 2 5 2 2 8" xfId="29937" xr:uid="{695188FC-3295-4743-9BEA-F3C3C42B3DEA}"/>
    <cellStyle name="Normal 11 2 2 5 2 3" xfId="29938" xr:uid="{BDF0034C-FD9A-4ACB-80DD-9A7164C8C3B5}"/>
    <cellStyle name="Normal 11 2 2 5 2 3 2" xfId="29939" xr:uid="{F60111CB-E305-4E06-9F92-CA45D3AED9AE}"/>
    <cellStyle name="Normal 11 2 2 5 2 3 2 2" xfId="29940" xr:uid="{A6FB9876-CF1A-454E-BEE3-5C8A1DB6EFDB}"/>
    <cellStyle name="Normal 11 2 2 5 2 3 2 2 2" xfId="29941" xr:uid="{3F096EDB-041F-494D-906B-1730286CADEC}"/>
    <cellStyle name="Normal 11 2 2 5 2 3 2 2 2 2" xfId="29942" xr:uid="{CECEE136-01EA-480E-B0D7-2D1C9279AE15}"/>
    <cellStyle name="Normal 11 2 2 5 2 3 2 2 2 2 2" xfId="29943" xr:uid="{4FA153AC-34CA-4591-B2C0-EA2B135D53B9}"/>
    <cellStyle name="Normal 11 2 2 5 2 3 2 2 2 2 2 2" xfId="29944" xr:uid="{A09EDC14-0B38-494B-81AA-CB33DCC0E8F8}"/>
    <cellStyle name="Normal 11 2 2 5 2 3 2 2 2 2 3" xfId="29945" xr:uid="{FB499EEE-5E12-4F2E-AAB6-61BB23BC35F9}"/>
    <cellStyle name="Normal 11 2 2 5 2 3 2 2 2 3" xfId="29946" xr:uid="{66675468-CE2E-4C48-A444-6CA5A4DB1E0C}"/>
    <cellStyle name="Normal 11 2 2 5 2 3 2 2 2 3 2" xfId="29947" xr:uid="{6100C9F8-4E6C-4932-9A7A-D375EFB48C78}"/>
    <cellStyle name="Normal 11 2 2 5 2 3 2 2 2 4" xfId="29948" xr:uid="{B7A68E34-7837-48D0-8C6F-792EA4B988CC}"/>
    <cellStyle name="Normal 11 2 2 5 2 3 2 2 3" xfId="29949" xr:uid="{CE29D3C3-D288-41F6-83A3-370DC309A113}"/>
    <cellStyle name="Normal 11 2 2 5 2 3 2 2 3 2" xfId="29950" xr:uid="{750ED913-7587-4312-98A3-1E9A65886550}"/>
    <cellStyle name="Normal 11 2 2 5 2 3 2 2 3 2 2" xfId="29951" xr:uid="{EB8BB98A-B623-4CAA-A5C6-96D232D9BB72}"/>
    <cellStyle name="Normal 11 2 2 5 2 3 2 2 3 3" xfId="29952" xr:uid="{B1750D4B-6CFE-4F48-8C44-A755582A724A}"/>
    <cellStyle name="Normal 11 2 2 5 2 3 2 2 4" xfId="29953" xr:uid="{57B46754-F4E4-4E82-83B7-515AB726174E}"/>
    <cellStyle name="Normal 11 2 2 5 2 3 2 2 4 2" xfId="29954" xr:uid="{12FC1A26-8A2F-4AEF-BB5F-2079D7BDEF72}"/>
    <cellStyle name="Normal 11 2 2 5 2 3 2 2 5" xfId="29955" xr:uid="{2F7B3516-C973-4C12-B07C-9915BB960004}"/>
    <cellStyle name="Normal 11 2 2 5 2 3 2 3" xfId="29956" xr:uid="{B3D9ED11-ACE5-4BAC-BA4E-0CCC9634AC1B}"/>
    <cellStyle name="Normal 11 2 2 5 2 3 2 3 2" xfId="29957" xr:uid="{570AB3CA-7DE9-4843-9ED6-55BC6F949E08}"/>
    <cellStyle name="Normal 11 2 2 5 2 3 2 3 2 2" xfId="29958" xr:uid="{4AF3B56E-7B6A-4B9D-A6D1-E800C8190851}"/>
    <cellStyle name="Normal 11 2 2 5 2 3 2 3 2 2 2" xfId="29959" xr:uid="{A3C4A502-25C4-4FE0-9924-40CB47433316}"/>
    <cellStyle name="Normal 11 2 2 5 2 3 2 3 2 3" xfId="29960" xr:uid="{F9726D6C-1DF9-40BA-8673-5DA1F39AA271}"/>
    <cellStyle name="Normal 11 2 2 5 2 3 2 3 3" xfId="29961" xr:uid="{93088699-137F-40C6-83E3-3269A377637F}"/>
    <cellStyle name="Normal 11 2 2 5 2 3 2 3 3 2" xfId="29962" xr:uid="{9E010360-7A27-4653-9616-AFA43E654FAD}"/>
    <cellStyle name="Normal 11 2 2 5 2 3 2 3 4" xfId="29963" xr:uid="{C11C44D5-8812-465D-B982-DF6D202AD478}"/>
    <cellStyle name="Normal 11 2 2 5 2 3 2 4" xfId="29964" xr:uid="{A9E03209-3500-49D5-B6AC-6B590A823414}"/>
    <cellStyle name="Normal 11 2 2 5 2 3 2 4 2" xfId="29965" xr:uid="{4F713A6E-5105-48A9-8F11-2CEAB4695A95}"/>
    <cellStyle name="Normal 11 2 2 5 2 3 2 4 2 2" xfId="29966" xr:uid="{39E879CB-15F5-4593-9DB0-F48BFB282937}"/>
    <cellStyle name="Normal 11 2 2 5 2 3 2 4 3" xfId="29967" xr:uid="{0A083461-A691-4019-973E-D0FFB413FCA4}"/>
    <cellStyle name="Normal 11 2 2 5 2 3 2 5" xfId="29968" xr:uid="{0703E0E2-F4ED-49A0-820D-293489FBDA20}"/>
    <cellStyle name="Normal 11 2 2 5 2 3 2 5 2" xfId="29969" xr:uid="{C891ACFE-BCFE-43DB-86BD-751742C10AEC}"/>
    <cellStyle name="Normal 11 2 2 5 2 3 2 6" xfId="29970" xr:uid="{62153006-4B08-4162-B66E-54F012776883}"/>
    <cellStyle name="Normal 11 2 2 5 2 3 3" xfId="29971" xr:uid="{C0309522-D62E-441B-A13A-8A9C4E2FE6B9}"/>
    <cellStyle name="Normal 11 2 2 5 2 3 3 2" xfId="29972" xr:uid="{BC0E0476-BEB4-46DA-8C0C-53C7567FEADA}"/>
    <cellStyle name="Normal 11 2 2 5 2 3 3 2 2" xfId="29973" xr:uid="{1B69B827-0F87-4C11-AC5A-6FEFE75F9C77}"/>
    <cellStyle name="Normal 11 2 2 5 2 3 3 2 2 2" xfId="29974" xr:uid="{4D5474B7-8B1B-44C5-B3FE-35A8EA5E62FA}"/>
    <cellStyle name="Normal 11 2 2 5 2 3 3 2 2 2 2" xfId="29975" xr:uid="{27E6E5D7-702F-464B-AE21-70BB4EEB3ED4}"/>
    <cellStyle name="Normal 11 2 2 5 2 3 3 2 2 3" xfId="29976" xr:uid="{8BF750CC-4E4A-4943-B504-9FC14E8952AA}"/>
    <cellStyle name="Normal 11 2 2 5 2 3 3 2 3" xfId="29977" xr:uid="{4CD042E8-C5B8-461A-808B-16F0BEB4B6FE}"/>
    <cellStyle name="Normal 11 2 2 5 2 3 3 2 3 2" xfId="29978" xr:uid="{3D5076D2-BCA3-45D7-B912-1929E273D8CD}"/>
    <cellStyle name="Normal 11 2 2 5 2 3 3 2 4" xfId="29979" xr:uid="{28EF3C6C-CB7D-41F4-91B4-6775E293D487}"/>
    <cellStyle name="Normal 11 2 2 5 2 3 3 3" xfId="29980" xr:uid="{A87E4C88-EFA0-4759-83E9-87AA64576CB1}"/>
    <cellStyle name="Normal 11 2 2 5 2 3 3 3 2" xfId="29981" xr:uid="{59A5D7AA-BAAE-4A30-82A3-396863FF2EB0}"/>
    <cellStyle name="Normal 11 2 2 5 2 3 3 3 2 2" xfId="29982" xr:uid="{88325CA6-BE0A-4CEA-8722-6E00F25F2E1D}"/>
    <cellStyle name="Normal 11 2 2 5 2 3 3 3 3" xfId="29983" xr:uid="{96E4BF3C-E6D8-47FB-ADDE-B4572CA4E1E2}"/>
    <cellStyle name="Normal 11 2 2 5 2 3 3 4" xfId="29984" xr:uid="{06F1449B-599C-4DC9-8C27-ACFF08754D1A}"/>
    <cellStyle name="Normal 11 2 2 5 2 3 3 4 2" xfId="29985" xr:uid="{EBD15BC9-B6DA-4CDA-BAAB-37279C012EC7}"/>
    <cellStyle name="Normal 11 2 2 5 2 3 3 5" xfId="29986" xr:uid="{D1EE0B90-27A9-4E42-A2D6-D96996C0282F}"/>
    <cellStyle name="Normal 11 2 2 5 2 3 4" xfId="29987" xr:uid="{A31566A9-1C21-486D-B10D-94255D227CEF}"/>
    <cellStyle name="Normal 11 2 2 5 2 3 4 2" xfId="29988" xr:uid="{DB26B23D-DA75-4FA2-983A-39372B04B4F5}"/>
    <cellStyle name="Normal 11 2 2 5 2 3 4 2 2" xfId="29989" xr:uid="{5FDE379B-7672-4712-9F6E-96042CBE3009}"/>
    <cellStyle name="Normal 11 2 2 5 2 3 4 2 2 2" xfId="29990" xr:uid="{616387F7-C10D-4152-A3DA-67C08E6DD7C8}"/>
    <cellStyle name="Normal 11 2 2 5 2 3 4 2 3" xfId="29991" xr:uid="{31FC3114-1467-467E-9CD1-01F936B0BEBD}"/>
    <cellStyle name="Normal 11 2 2 5 2 3 4 3" xfId="29992" xr:uid="{E7BE2E15-4389-44EC-884F-52A63985082A}"/>
    <cellStyle name="Normal 11 2 2 5 2 3 4 3 2" xfId="29993" xr:uid="{A1DEA6BC-F671-4087-858A-BD2D572B23D1}"/>
    <cellStyle name="Normal 11 2 2 5 2 3 4 4" xfId="29994" xr:uid="{E81D877F-04C7-4ACD-AC3C-0570123D0BF7}"/>
    <cellStyle name="Normal 11 2 2 5 2 3 5" xfId="29995" xr:uid="{373F3513-34B2-4B3F-95E1-02D2AB8EE891}"/>
    <cellStyle name="Normal 11 2 2 5 2 3 5 2" xfId="29996" xr:uid="{76C32353-42A8-4EDF-920D-175BEB834EEE}"/>
    <cellStyle name="Normal 11 2 2 5 2 3 5 2 2" xfId="29997" xr:uid="{E2E0B8C4-F43C-4763-A1AB-E2994475D150}"/>
    <cellStyle name="Normal 11 2 2 5 2 3 5 3" xfId="29998" xr:uid="{CC6109BF-A308-4366-BE80-15073BD4AE4E}"/>
    <cellStyle name="Normal 11 2 2 5 2 3 6" xfId="29999" xr:uid="{859FE285-08AC-45CA-88AB-B5DB70076C31}"/>
    <cellStyle name="Normal 11 2 2 5 2 3 6 2" xfId="30000" xr:uid="{01EB8251-D7D1-4572-A31C-94B4EE718155}"/>
    <cellStyle name="Normal 11 2 2 5 2 3 7" xfId="30001" xr:uid="{FA844D29-4778-45D4-9352-37D5F88C8ABB}"/>
    <cellStyle name="Normal 11 2 2 5 2 4" xfId="30002" xr:uid="{B02C7743-6D84-49A7-B3C0-0B77661C22FA}"/>
    <cellStyle name="Normal 11 2 2 5 2 4 2" xfId="30003" xr:uid="{F85CAE6A-96D7-452F-80A2-A88B6D46AD8D}"/>
    <cellStyle name="Normal 11 2 2 5 2 4 2 2" xfId="30004" xr:uid="{EF7A5408-F666-4AC0-AF63-DB52AEB97F52}"/>
    <cellStyle name="Normal 11 2 2 5 2 4 2 2 2" xfId="30005" xr:uid="{9CD2B744-9838-4AF1-9586-BC3165F8E2BB}"/>
    <cellStyle name="Normal 11 2 2 5 2 4 2 2 2 2" xfId="30006" xr:uid="{1DD417B5-6B36-4CCD-99CA-9C6A9DC54256}"/>
    <cellStyle name="Normal 11 2 2 5 2 4 2 2 2 2 2" xfId="30007" xr:uid="{5318EBF5-40BA-490B-972B-62B843DF696A}"/>
    <cellStyle name="Normal 11 2 2 5 2 4 2 2 2 3" xfId="30008" xr:uid="{2D37D431-B769-4B74-9B96-627A07C30B96}"/>
    <cellStyle name="Normal 11 2 2 5 2 4 2 2 3" xfId="30009" xr:uid="{6BA173BA-9F2C-4E7E-8A90-80CF8F787DE7}"/>
    <cellStyle name="Normal 11 2 2 5 2 4 2 2 3 2" xfId="30010" xr:uid="{2E83367E-83EE-4CDC-8F4C-CE3E7719C584}"/>
    <cellStyle name="Normal 11 2 2 5 2 4 2 2 4" xfId="30011" xr:uid="{5AC378D2-9829-438F-96C5-7F35B7435DB4}"/>
    <cellStyle name="Normal 11 2 2 5 2 4 2 3" xfId="30012" xr:uid="{FFE9752D-AA43-403F-BD5B-622094E02363}"/>
    <cellStyle name="Normal 11 2 2 5 2 4 2 3 2" xfId="30013" xr:uid="{E485977A-E586-40CB-8C7D-A1AE40C9CF0C}"/>
    <cellStyle name="Normal 11 2 2 5 2 4 2 3 2 2" xfId="30014" xr:uid="{7FEC04A5-A486-47FB-9388-27CA9BAEEDD2}"/>
    <cellStyle name="Normal 11 2 2 5 2 4 2 3 3" xfId="30015" xr:uid="{9E280B46-28B9-408C-8C09-4C67E547DA14}"/>
    <cellStyle name="Normal 11 2 2 5 2 4 2 4" xfId="30016" xr:uid="{E6A744F3-BA0F-4521-941B-C07260711566}"/>
    <cellStyle name="Normal 11 2 2 5 2 4 2 4 2" xfId="30017" xr:uid="{DC96071F-1384-4DE4-B01F-62D6EA44BB20}"/>
    <cellStyle name="Normal 11 2 2 5 2 4 2 5" xfId="30018" xr:uid="{6DC7BC12-571E-49C0-908D-642B4D6BB4E7}"/>
    <cellStyle name="Normal 11 2 2 5 2 4 3" xfId="30019" xr:uid="{C0AFAAE2-2806-4FF1-96AE-C455EECB3FEA}"/>
    <cellStyle name="Normal 11 2 2 5 2 4 3 2" xfId="30020" xr:uid="{FA6ED106-3FEB-4CDF-B7E3-0B5226D89646}"/>
    <cellStyle name="Normal 11 2 2 5 2 4 3 2 2" xfId="30021" xr:uid="{488575CF-74CF-41BE-932D-F81DE4659D00}"/>
    <cellStyle name="Normal 11 2 2 5 2 4 3 2 2 2" xfId="30022" xr:uid="{512313D1-E504-4F95-9EB7-EC212D1174DB}"/>
    <cellStyle name="Normal 11 2 2 5 2 4 3 2 3" xfId="30023" xr:uid="{F8DA6A52-0166-4FA0-A478-5476CE0CEA5D}"/>
    <cellStyle name="Normal 11 2 2 5 2 4 3 3" xfId="30024" xr:uid="{C44FC6B6-9668-4CE0-BC2C-1D696ED4ACFD}"/>
    <cellStyle name="Normal 11 2 2 5 2 4 3 3 2" xfId="30025" xr:uid="{CC38BC20-058D-4656-98C9-BC4382400FA2}"/>
    <cellStyle name="Normal 11 2 2 5 2 4 3 4" xfId="30026" xr:uid="{5822652B-E294-444B-8A91-A8B488835CB8}"/>
    <cellStyle name="Normal 11 2 2 5 2 4 4" xfId="30027" xr:uid="{7A6856E9-B79A-4A14-93D6-EB5AA302A2BE}"/>
    <cellStyle name="Normal 11 2 2 5 2 4 4 2" xfId="30028" xr:uid="{C8785AF5-47BA-4CC4-8368-CDC45D9ED79E}"/>
    <cellStyle name="Normal 11 2 2 5 2 4 4 2 2" xfId="30029" xr:uid="{19AE0F9F-8586-44B7-840D-D7C0E7C78EE1}"/>
    <cellStyle name="Normal 11 2 2 5 2 4 4 3" xfId="30030" xr:uid="{AF060567-AD09-4BF4-B713-F9EA3FAE7FBC}"/>
    <cellStyle name="Normal 11 2 2 5 2 4 5" xfId="30031" xr:uid="{6320C815-B06D-4615-A697-7D013AB2C271}"/>
    <cellStyle name="Normal 11 2 2 5 2 4 5 2" xfId="30032" xr:uid="{0BEAD824-E137-4192-B9FF-C339742B7231}"/>
    <cellStyle name="Normal 11 2 2 5 2 4 6" xfId="30033" xr:uid="{AD7E07CA-4C75-4593-9A9B-802AA76CD1E1}"/>
    <cellStyle name="Normal 11 2 2 5 2 5" xfId="30034" xr:uid="{9AAF87C5-D138-4568-BD8B-32252B31731F}"/>
    <cellStyle name="Normal 11 2 2 5 2 5 2" xfId="30035" xr:uid="{0280A81E-2C72-47BD-AE18-E254D894C48B}"/>
    <cellStyle name="Normal 11 2 2 5 2 5 2 2" xfId="30036" xr:uid="{78EB6202-638C-424A-8E4A-24560281777C}"/>
    <cellStyle name="Normal 11 2 2 5 2 5 2 2 2" xfId="30037" xr:uid="{703695CC-E25A-44B7-83C5-2B0C4DA9CB65}"/>
    <cellStyle name="Normal 11 2 2 5 2 5 2 2 2 2" xfId="30038" xr:uid="{CC66CE00-458B-4BE1-8091-C4695A0630BB}"/>
    <cellStyle name="Normal 11 2 2 5 2 5 2 2 3" xfId="30039" xr:uid="{A34D0FC7-B2D2-47DB-9E7E-B22F9959A1C7}"/>
    <cellStyle name="Normal 11 2 2 5 2 5 2 3" xfId="30040" xr:uid="{DA19E86E-7675-4EE7-AE46-EBDA9380A5AA}"/>
    <cellStyle name="Normal 11 2 2 5 2 5 2 3 2" xfId="30041" xr:uid="{CA9102E5-EAC3-41E1-A430-773FCFCD9E83}"/>
    <cellStyle name="Normal 11 2 2 5 2 5 2 4" xfId="30042" xr:uid="{7160A0CD-030C-4FD3-A9B6-8885B138E29C}"/>
    <cellStyle name="Normal 11 2 2 5 2 5 3" xfId="30043" xr:uid="{F7C22CCF-92F2-476B-A763-EDCD8B9A4D8C}"/>
    <cellStyle name="Normal 11 2 2 5 2 5 3 2" xfId="30044" xr:uid="{4E46FBB5-6D71-4ABF-9A70-6119BD1CD6AA}"/>
    <cellStyle name="Normal 11 2 2 5 2 5 3 2 2" xfId="30045" xr:uid="{2E32D945-84AD-4899-A309-ACF5F6629BD3}"/>
    <cellStyle name="Normal 11 2 2 5 2 5 3 3" xfId="30046" xr:uid="{EDAD7B53-D466-4BDC-B7FC-8F213EA30762}"/>
    <cellStyle name="Normal 11 2 2 5 2 5 4" xfId="30047" xr:uid="{009DE712-D3E2-4CC7-8F0A-89AC7BA5721D}"/>
    <cellStyle name="Normal 11 2 2 5 2 5 4 2" xfId="30048" xr:uid="{AA512E3A-35DE-4F36-A8DC-B5FFD125F0C3}"/>
    <cellStyle name="Normal 11 2 2 5 2 5 5" xfId="30049" xr:uid="{0D2B2B29-0396-4F2E-8B95-F9695A16CAC3}"/>
    <cellStyle name="Normal 11 2 2 5 2 6" xfId="30050" xr:uid="{AD0DB9AC-12CD-43B2-A5CD-EB5D45EDA12C}"/>
    <cellStyle name="Normal 11 2 2 5 2 6 2" xfId="30051" xr:uid="{F0A3862A-92B1-4E12-81AB-52ED247B62D1}"/>
    <cellStyle name="Normal 11 2 2 5 2 6 2 2" xfId="30052" xr:uid="{5EF8461A-AADC-4380-B886-5226E9F9EA32}"/>
    <cellStyle name="Normal 11 2 2 5 2 6 2 2 2" xfId="30053" xr:uid="{22FC48CC-E53A-4FCD-A8C1-E4A0EFE00198}"/>
    <cellStyle name="Normal 11 2 2 5 2 6 2 3" xfId="30054" xr:uid="{222DCAF8-9B8F-4171-A4D0-0142A611D37E}"/>
    <cellStyle name="Normal 11 2 2 5 2 6 3" xfId="30055" xr:uid="{1FD0206D-C160-4BAF-BC0B-7DD04566471A}"/>
    <cellStyle name="Normal 11 2 2 5 2 6 3 2" xfId="30056" xr:uid="{0E7E7345-D826-458A-9A6A-B6A60147455B}"/>
    <cellStyle name="Normal 11 2 2 5 2 6 4" xfId="30057" xr:uid="{BE1A1AB4-30CE-4F65-999C-C8A6E3C99E8F}"/>
    <cellStyle name="Normal 11 2 2 5 2 7" xfId="30058" xr:uid="{E07658FB-6E3F-4014-A733-FEC321417C2E}"/>
    <cellStyle name="Normal 11 2 2 5 2 7 2" xfId="30059" xr:uid="{8CFBED9E-A775-4A9B-B122-2A6FC99942D5}"/>
    <cellStyle name="Normal 11 2 2 5 2 7 2 2" xfId="30060" xr:uid="{36FBFF2B-0612-4CD6-98F8-0B1753EA2DBE}"/>
    <cellStyle name="Normal 11 2 2 5 2 7 3" xfId="30061" xr:uid="{21641610-577E-4742-B18D-F89D08BCE7A7}"/>
    <cellStyle name="Normal 11 2 2 5 2 8" xfId="30062" xr:uid="{FD77ECF8-D150-4FD9-8781-96746EEEF8CA}"/>
    <cellStyle name="Normal 11 2 2 5 2 8 2" xfId="30063" xr:uid="{E0427CB8-2803-4310-871A-F507F5BC7B90}"/>
    <cellStyle name="Normal 11 2 2 5 2 9" xfId="30064" xr:uid="{8C424D12-E00D-4B01-BE65-74BC511ABDB1}"/>
    <cellStyle name="Normal 11 2 2 5 3" xfId="491" xr:uid="{A4CD1A28-BADB-45EE-A68C-CAFD7416B849}"/>
    <cellStyle name="Normal 11 2 2 5 3 2" xfId="30066" xr:uid="{29C72D3F-F4F5-45DE-BC9F-DB3B82A82F69}"/>
    <cellStyle name="Normal 11 2 2 5 3 2 2" xfId="30067" xr:uid="{789FC88B-6382-43AF-B25F-ECCD2ABD6924}"/>
    <cellStyle name="Normal 11 2 2 5 3 2 2 2" xfId="30068" xr:uid="{B5D98553-BEF9-4279-9E80-A3C77A9E9DE6}"/>
    <cellStyle name="Normal 11 2 2 5 3 2 2 2 2" xfId="30069" xr:uid="{CB70CBBF-5E37-48C8-A45A-537938CEEEE2}"/>
    <cellStyle name="Normal 11 2 2 5 3 2 2 2 2 2" xfId="30070" xr:uid="{3E11BCA9-8562-4C7A-9165-94D0DE91AEA4}"/>
    <cellStyle name="Normal 11 2 2 5 3 2 2 2 2 2 2" xfId="30071" xr:uid="{DBA81C05-B733-43F8-8018-B48F4A451DC8}"/>
    <cellStyle name="Normal 11 2 2 5 3 2 2 2 2 2 2 2" xfId="30072" xr:uid="{795CDA29-D747-4391-94F1-E7C0AC2544AC}"/>
    <cellStyle name="Normal 11 2 2 5 3 2 2 2 2 2 3" xfId="30073" xr:uid="{6F63D70C-9B4A-45C9-A69D-8526B05F98C4}"/>
    <cellStyle name="Normal 11 2 2 5 3 2 2 2 2 3" xfId="30074" xr:uid="{1BDF33DD-EE18-43D8-8EB6-ABEBC85E9E85}"/>
    <cellStyle name="Normal 11 2 2 5 3 2 2 2 2 3 2" xfId="30075" xr:uid="{3106C241-3915-4124-BA8E-88662E9ABDB3}"/>
    <cellStyle name="Normal 11 2 2 5 3 2 2 2 2 4" xfId="30076" xr:uid="{1441D534-30E8-489D-B6C4-D60A5306F746}"/>
    <cellStyle name="Normal 11 2 2 5 3 2 2 2 3" xfId="30077" xr:uid="{FB2B351E-1361-4548-8B86-9CFD124659F7}"/>
    <cellStyle name="Normal 11 2 2 5 3 2 2 2 3 2" xfId="30078" xr:uid="{0127A58D-61F5-4CD0-9BB7-86BC6C96A6E1}"/>
    <cellStyle name="Normal 11 2 2 5 3 2 2 2 3 2 2" xfId="30079" xr:uid="{04F9BD4F-DA01-4756-B24A-40B30D7105BF}"/>
    <cellStyle name="Normal 11 2 2 5 3 2 2 2 3 3" xfId="30080" xr:uid="{93B2EBF0-DFCC-4DA4-8F8A-EFBFFD295346}"/>
    <cellStyle name="Normal 11 2 2 5 3 2 2 2 4" xfId="30081" xr:uid="{F37C7872-BB67-4503-A77D-A1BD34D2169E}"/>
    <cellStyle name="Normal 11 2 2 5 3 2 2 2 4 2" xfId="30082" xr:uid="{D67933C5-2E47-454E-95A6-EBA36C76D1AE}"/>
    <cellStyle name="Normal 11 2 2 5 3 2 2 2 5" xfId="30083" xr:uid="{C10FD222-DB93-43E7-8841-FF437BF26EAD}"/>
    <cellStyle name="Normal 11 2 2 5 3 2 2 3" xfId="30084" xr:uid="{B1E7E65F-01D4-4A52-BC3C-9ADCF90C6B06}"/>
    <cellStyle name="Normal 11 2 2 5 3 2 2 3 2" xfId="30085" xr:uid="{FF44F6D0-A01F-4F76-8ED4-536207842B3E}"/>
    <cellStyle name="Normal 11 2 2 5 3 2 2 3 2 2" xfId="30086" xr:uid="{0FF25040-D45B-4EB9-9E29-1F67864BBBCE}"/>
    <cellStyle name="Normal 11 2 2 5 3 2 2 3 2 2 2" xfId="30087" xr:uid="{1DCE537B-C149-4340-9660-D0E503D1B7E0}"/>
    <cellStyle name="Normal 11 2 2 5 3 2 2 3 2 3" xfId="30088" xr:uid="{96FAC228-8AD1-4346-B095-1CD8ED6BD3F2}"/>
    <cellStyle name="Normal 11 2 2 5 3 2 2 3 3" xfId="30089" xr:uid="{D0DA0B9E-A1A4-4D02-B287-6BF3AE20DCF3}"/>
    <cellStyle name="Normal 11 2 2 5 3 2 2 3 3 2" xfId="30090" xr:uid="{2DC09B45-C6CE-4A27-A62C-FB7F37932150}"/>
    <cellStyle name="Normal 11 2 2 5 3 2 2 3 4" xfId="30091" xr:uid="{F1158BE6-8EC8-41F7-A842-5857FC97A67F}"/>
    <cellStyle name="Normal 11 2 2 5 3 2 2 4" xfId="30092" xr:uid="{A7CD4173-BCD8-46E4-90EB-A3F19393E9EC}"/>
    <cellStyle name="Normal 11 2 2 5 3 2 2 4 2" xfId="30093" xr:uid="{9B3E451C-94D3-439D-9165-437D50D1514A}"/>
    <cellStyle name="Normal 11 2 2 5 3 2 2 4 2 2" xfId="30094" xr:uid="{EB1150DF-F949-4EB4-A961-9003C51B14B2}"/>
    <cellStyle name="Normal 11 2 2 5 3 2 2 4 3" xfId="30095" xr:uid="{4472C379-8487-46A9-A721-91A367A14924}"/>
    <cellStyle name="Normal 11 2 2 5 3 2 2 5" xfId="30096" xr:uid="{7642315E-FC8B-45FC-9BB5-1BAACBD68E47}"/>
    <cellStyle name="Normal 11 2 2 5 3 2 2 5 2" xfId="30097" xr:uid="{1C084900-04B3-4388-B328-DF63E7DEF18F}"/>
    <cellStyle name="Normal 11 2 2 5 3 2 2 6" xfId="30098" xr:uid="{253D937A-D62B-4CE2-8ACA-8C29DE6652C4}"/>
    <cellStyle name="Normal 11 2 2 5 3 2 3" xfId="30099" xr:uid="{D9633050-17A5-42B2-AA50-3F5BB13F0A4F}"/>
    <cellStyle name="Normal 11 2 2 5 3 2 3 2" xfId="30100" xr:uid="{554ACB32-CCDA-4B6F-BEDC-FEC77128D56D}"/>
    <cellStyle name="Normal 11 2 2 5 3 2 3 2 2" xfId="30101" xr:uid="{0CFBAF06-650E-48C1-8158-E805FC268DD6}"/>
    <cellStyle name="Normal 11 2 2 5 3 2 3 2 2 2" xfId="30102" xr:uid="{77CEB848-F3F2-4FD1-9B14-34A90956AA4C}"/>
    <cellStyle name="Normal 11 2 2 5 3 2 3 2 2 2 2" xfId="30103" xr:uid="{3CFA5DCB-7EFB-450F-8A95-7497B161E4AC}"/>
    <cellStyle name="Normal 11 2 2 5 3 2 3 2 2 3" xfId="30104" xr:uid="{92D81D4E-C578-4875-A730-0B0AE8B88020}"/>
    <cellStyle name="Normal 11 2 2 5 3 2 3 2 3" xfId="30105" xr:uid="{48E1D80E-C624-4B0E-A0E4-5916D24C1382}"/>
    <cellStyle name="Normal 11 2 2 5 3 2 3 2 3 2" xfId="30106" xr:uid="{4F77EFA1-DABE-40A8-8A53-D4B0F8FDE57D}"/>
    <cellStyle name="Normal 11 2 2 5 3 2 3 2 4" xfId="30107" xr:uid="{5BC9255C-9D72-4C34-9F80-7D7F2C33B7D6}"/>
    <cellStyle name="Normal 11 2 2 5 3 2 3 3" xfId="30108" xr:uid="{0A7AB06F-7419-4045-B062-D0F152375189}"/>
    <cellStyle name="Normal 11 2 2 5 3 2 3 3 2" xfId="30109" xr:uid="{A27D25FB-2509-4573-9A18-6AFB8457C368}"/>
    <cellStyle name="Normal 11 2 2 5 3 2 3 3 2 2" xfId="30110" xr:uid="{85001AFF-48EB-42F8-B8ED-02359DCB5A5E}"/>
    <cellStyle name="Normal 11 2 2 5 3 2 3 3 3" xfId="30111" xr:uid="{118DA8BA-DDE2-4926-9211-EC24994D2827}"/>
    <cellStyle name="Normal 11 2 2 5 3 2 3 4" xfId="30112" xr:uid="{13795F09-B7CD-47B2-BC8A-4E6E8FE2FA7A}"/>
    <cellStyle name="Normal 11 2 2 5 3 2 3 4 2" xfId="30113" xr:uid="{4BE5DC51-524F-4AC5-A6FC-AF3C8FA44994}"/>
    <cellStyle name="Normal 11 2 2 5 3 2 3 5" xfId="30114" xr:uid="{007B3827-FE0F-4F4A-BFF9-2D2820F6A878}"/>
    <cellStyle name="Normal 11 2 2 5 3 2 4" xfId="30115" xr:uid="{4EAF50D0-BB7C-4FF6-97B2-5E6A62BD8769}"/>
    <cellStyle name="Normal 11 2 2 5 3 2 4 2" xfId="30116" xr:uid="{1832C7DA-F9EC-4556-8AE9-9D36EB26624B}"/>
    <cellStyle name="Normal 11 2 2 5 3 2 4 2 2" xfId="30117" xr:uid="{2388984E-AB35-4874-B5A9-E7D3007EFC5C}"/>
    <cellStyle name="Normal 11 2 2 5 3 2 4 2 2 2" xfId="30118" xr:uid="{23F7E270-D049-48A0-A958-59BD9774E67E}"/>
    <cellStyle name="Normal 11 2 2 5 3 2 4 2 3" xfId="30119" xr:uid="{8F75583A-DAC4-4CD1-B645-AF9471FE8A3A}"/>
    <cellStyle name="Normal 11 2 2 5 3 2 4 3" xfId="30120" xr:uid="{DF8F5D39-0D11-457C-B102-42CE04D4D159}"/>
    <cellStyle name="Normal 11 2 2 5 3 2 4 3 2" xfId="30121" xr:uid="{FA163B97-CA0B-4956-AB37-C2BF4DA254B0}"/>
    <cellStyle name="Normal 11 2 2 5 3 2 4 4" xfId="30122" xr:uid="{AE94C69C-A369-4730-B3F7-A34605EB4EB2}"/>
    <cellStyle name="Normal 11 2 2 5 3 2 5" xfId="30123" xr:uid="{5832F97A-56C8-4953-91CC-A68B3656A907}"/>
    <cellStyle name="Normal 11 2 2 5 3 2 5 2" xfId="30124" xr:uid="{5C497BD6-01A2-44B2-A2F1-2E2FA9D5884C}"/>
    <cellStyle name="Normal 11 2 2 5 3 2 5 2 2" xfId="30125" xr:uid="{87AED71A-817C-4384-A19F-BA5161BF13FA}"/>
    <cellStyle name="Normal 11 2 2 5 3 2 5 3" xfId="30126" xr:uid="{702DB078-4314-44C5-91DC-176B4C4D2A71}"/>
    <cellStyle name="Normal 11 2 2 5 3 2 6" xfId="30127" xr:uid="{3E203350-263D-4C4D-8A6B-C7E2B6D7F4E1}"/>
    <cellStyle name="Normal 11 2 2 5 3 2 6 2" xfId="30128" xr:uid="{95C12CA6-3A97-4A64-8453-D68D1AA23D83}"/>
    <cellStyle name="Normal 11 2 2 5 3 2 7" xfId="30129" xr:uid="{CD1B37A2-3850-4A42-A676-73EE5B642AE8}"/>
    <cellStyle name="Normal 11 2 2 5 3 3" xfId="30130" xr:uid="{ED10A012-AF5C-412B-85C9-FA879A353B93}"/>
    <cellStyle name="Normal 11 2 2 5 3 3 2" xfId="30131" xr:uid="{50647941-DFBE-4678-A39E-92AFBD10DE93}"/>
    <cellStyle name="Normal 11 2 2 5 3 3 2 2" xfId="30132" xr:uid="{D4E3816C-DF77-410C-B6DB-373376437350}"/>
    <cellStyle name="Normal 11 2 2 5 3 3 2 2 2" xfId="30133" xr:uid="{CF035184-CA5E-491F-8D3D-EE4E4CD4B837}"/>
    <cellStyle name="Normal 11 2 2 5 3 3 2 2 2 2" xfId="30134" xr:uid="{8D68E1C7-B64D-459C-A13F-C3E56B6C901F}"/>
    <cellStyle name="Normal 11 2 2 5 3 3 2 2 2 2 2" xfId="30135" xr:uid="{E3529575-4D1F-4C65-B4E4-7C926E9D0E13}"/>
    <cellStyle name="Normal 11 2 2 5 3 3 2 2 2 3" xfId="30136" xr:uid="{8D3DEF28-691B-4EAE-8224-43C5E520A25E}"/>
    <cellStyle name="Normal 11 2 2 5 3 3 2 2 3" xfId="30137" xr:uid="{056298C7-6F2D-4C4C-A7EE-03FFB39BF6BE}"/>
    <cellStyle name="Normal 11 2 2 5 3 3 2 2 3 2" xfId="30138" xr:uid="{15896EA8-C596-4C28-A8BF-DE895CBF56E9}"/>
    <cellStyle name="Normal 11 2 2 5 3 3 2 2 4" xfId="30139" xr:uid="{0A33B49E-A37C-4FD7-BBD9-BB8E0A74176C}"/>
    <cellStyle name="Normal 11 2 2 5 3 3 2 3" xfId="30140" xr:uid="{EC2238BE-D3E8-4D10-AA1F-DE79F74875B6}"/>
    <cellStyle name="Normal 11 2 2 5 3 3 2 3 2" xfId="30141" xr:uid="{F5CD7F79-117A-4832-802D-139B82D6FC9B}"/>
    <cellStyle name="Normal 11 2 2 5 3 3 2 3 2 2" xfId="30142" xr:uid="{5D96C058-4E54-4424-8267-D2A85864794F}"/>
    <cellStyle name="Normal 11 2 2 5 3 3 2 3 3" xfId="30143" xr:uid="{C07DD716-89F3-4783-B59C-E34F259C99C8}"/>
    <cellStyle name="Normal 11 2 2 5 3 3 2 4" xfId="30144" xr:uid="{BD7F8145-469F-4057-89D8-452D3F588F5E}"/>
    <cellStyle name="Normal 11 2 2 5 3 3 2 4 2" xfId="30145" xr:uid="{14698998-41C0-41CC-A115-250D22E7A76B}"/>
    <cellStyle name="Normal 11 2 2 5 3 3 2 5" xfId="30146" xr:uid="{2BD7EE31-5284-4118-93DB-EA1C5EBF0AA1}"/>
    <cellStyle name="Normal 11 2 2 5 3 3 3" xfId="30147" xr:uid="{AC7492F3-2EF7-4B37-B5A2-D5CA5812D9D9}"/>
    <cellStyle name="Normal 11 2 2 5 3 3 3 2" xfId="30148" xr:uid="{144E3E4D-FB0E-43D7-97EC-14B98FCAC931}"/>
    <cellStyle name="Normal 11 2 2 5 3 3 3 2 2" xfId="30149" xr:uid="{5171F5AF-6F5E-49DA-B985-AA2E35C00B6B}"/>
    <cellStyle name="Normal 11 2 2 5 3 3 3 2 2 2" xfId="30150" xr:uid="{0BE2D1D5-5A34-43C5-BEB2-777B4B541CA3}"/>
    <cellStyle name="Normal 11 2 2 5 3 3 3 2 3" xfId="30151" xr:uid="{4A90E2EC-1631-4F87-AD40-D67245C15674}"/>
    <cellStyle name="Normal 11 2 2 5 3 3 3 3" xfId="30152" xr:uid="{AB84FF93-9116-459F-8CAF-4D902DBC7994}"/>
    <cellStyle name="Normal 11 2 2 5 3 3 3 3 2" xfId="30153" xr:uid="{BA82C0F1-56A2-4204-848E-99DC70C45202}"/>
    <cellStyle name="Normal 11 2 2 5 3 3 3 4" xfId="30154" xr:uid="{B6873002-04C8-4791-A00B-0F7F454BE3D8}"/>
    <cellStyle name="Normal 11 2 2 5 3 3 4" xfId="30155" xr:uid="{F792017F-156A-4002-936A-E05DEAA44610}"/>
    <cellStyle name="Normal 11 2 2 5 3 3 4 2" xfId="30156" xr:uid="{E2B972F2-2D86-4C97-9DC1-868308110450}"/>
    <cellStyle name="Normal 11 2 2 5 3 3 4 2 2" xfId="30157" xr:uid="{E875C6CE-2E00-4CF5-A867-19DCF36F6966}"/>
    <cellStyle name="Normal 11 2 2 5 3 3 4 3" xfId="30158" xr:uid="{DB612340-9F22-4315-B13E-C4320A5BFD4A}"/>
    <cellStyle name="Normal 11 2 2 5 3 3 5" xfId="30159" xr:uid="{20D6607A-63F2-4C3B-80B3-8C64412BC489}"/>
    <cellStyle name="Normal 11 2 2 5 3 3 5 2" xfId="30160" xr:uid="{00F7274C-049A-493E-8074-3A3963BFB996}"/>
    <cellStyle name="Normal 11 2 2 5 3 3 6" xfId="30161" xr:uid="{B92A6048-3576-45EE-AF9E-54A6366B6CB0}"/>
    <cellStyle name="Normal 11 2 2 5 3 4" xfId="30162" xr:uid="{794FEA17-A085-412E-9A77-EEE9DAC5BAF7}"/>
    <cellStyle name="Normal 11 2 2 5 3 4 2" xfId="30163" xr:uid="{55D2435E-588F-4D1B-AC53-27D4CA5E1DB5}"/>
    <cellStyle name="Normal 11 2 2 5 3 4 2 2" xfId="30164" xr:uid="{3D91A8C5-B307-42EB-875F-D1F8310F7E9C}"/>
    <cellStyle name="Normal 11 2 2 5 3 4 2 2 2" xfId="30165" xr:uid="{71D0AAF1-B84A-4CF6-BC36-1F69F7813569}"/>
    <cellStyle name="Normal 11 2 2 5 3 4 2 2 2 2" xfId="30166" xr:uid="{43998B84-99B1-4FA8-9C0B-DAC9BBF190C7}"/>
    <cellStyle name="Normal 11 2 2 5 3 4 2 2 3" xfId="30167" xr:uid="{6B5E50DA-EEA7-4DA6-93FC-F8A9D90E8354}"/>
    <cellStyle name="Normal 11 2 2 5 3 4 2 3" xfId="30168" xr:uid="{BFFCB2CA-94FD-49A5-B2FF-EC36C9FA913D}"/>
    <cellStyle name="Normal 11 2 2 5 3 4 2 3 2" xfId="30169" xr:uid="{D3BFFC37-35FB-410A-9C41-9CF431101D08}"/>
    <cellStyle name="Normal 11 2 2 5 3 4 2 4" xfId="30170" xr:uid="{88625ADE-A82C-4A53-BB73-3F95C1499831}"/>
    <cellStyle name="Normal 11 2 2 5 3 4 3" xfId="30171" xr:uid="{8BC84114-DEA9-4FFD-8133-122FE3044996}"/>
    <cellStyle name="Normal 11 2 2 5 3 4 3 2" xfId="30172" xr:uid="{C7D2C13C-8E39-42DD-BA7C-F2E48A7EF81E}"/>
    <cellStyle name="Normal 11 2 2 5 3 4 3 2 2" xfId="30173" xr:uid="{6CF2FB61-13C4-4A5C-9603-4B49A8025C91}"/>
    <cellStyle name="Normal 11 2 2 5 3 4 3 3" xfId="30174" xr:uid="{C5A3635C-2700-4594-A4CC-6D54825BCBE7}"/>
    <cellStyle name="Normal 11 2 2 5 3 4 4" xfId="30175" xr:uid="{62DB4F26-D638-4FBF-9EBA-811823EC532C}"/>
    <cellStyle name="Normal 11 2 2 5 3 4 4 2" xfId="30176" xr:uid="{49F827C7-741A-4229-BB04-E488AB93EEDD}"/>
    <cellStyle name="Normal 11 2 2 5 3 4 5" xfId="30177" xr:uid="{5E262A74-0E3D-4537-BBE1-1FDBBEDF0950}"/>
    <cellStyle name="Normal 11 2 2 5 3 5" xfId="30178" xr:uid="{3FEA9E8E-139A-452B-9090-4A19DF799C80}"/>
    <cellStyle name="Normal 11 2 2 5 3 5 2" xfId="30179" xr:uid="{9588950A-FAC3-4828-9F35-2BF9A30EF074}"/>
    <cellStyle name="Normal 11 2 2 5 3 5 2 2" xfId="30180" xr:uid="{85B5C1E0-6B7C-43D2-82B0-4CF339DD0006}"/>
    <cellStyle name="Normal 11 2 2 5 3 5 2 2 2" xfId="30181" xr:uid="{8000500D-B16E-4F5B-BA41-7A77C0DE60D2}"/>
    <cellStyle name="Normal 11 2 2 5 3 5 2 3" xfId="30182" xr:uid="{7E6EC583-1899-4BF6-8AF9-50D31D610616}"/>
    <cellStyle name="Normal 11 2 2 5 3 5 3" xfId="30183" xr:uid="{0AAEA710-B660-4623-A185-32FD0725588E}"/>
    <cellStyle name="Normal 11 2 2 5 3 5 3 2" xfId="30184" xr:uid="{2493A2A9-6B90-46A5-A580-FEEEC5EBC59C}"/>
    <cellStyle name="Normal 11 2 2 5 3 5 4" xfId="30185" xr:uid="{2F24FC5C-2C1A-4853-B0F5-2A9918F09763}"/>
    <cellStyle name="Normal 11 2 2 5 3 6" xfId="30186" xr:uid="{91A2100A-9E18-49B0-A030-FD274B50657C}"/>
    <cellStyle name="Normal 11 2 2 5 3 6 2" xfId="30187" xr:uid="{43EA7A0F-A20E-435F-B170-DCDC67D808C2}"/>
    <cellStyle name="Normal 11 2 2 5 3 6 2 2" xfId="30188" xr:uid="{93868DAD-7BE7-4ED3-9F38-0B7A5458C94D}"/>
    <cellStyle name="Normal 11 2 2 5 3 6 3" xfId="30189" xr:uid="{3FA2E75E-DAC3-4049-BD58-0BF9A5C55ED1}"/>
    <cellStyle name="Normal 11 2 2 5 3 7" xfId="30190" xr:uid="{B05E0D63-3301-4881-86BC-68A7663306E5}"/>
    <cellStyle name="Normal 11 2 2 5 3 7 2" xfId="30191" xr:uid="{C43F4A75-5424-48ED-A0C2-34FF51F2F2CE}"/>
    <cellStyle name="Normal 11 2 2 5 3 8" xfId="30192" xr:uid="{8407160D-ECBA-4D3E-97F5-19872604C3C6}"/>
    <cellStyle name="Normal 11 2 2 5 3 9" xfId="30065" xr:uid="{36F4A2F1-91D6-40BA-A4B3-E79392EDBC4A}"/>
    <cellStyle name="Normal 11 2 2 5 4" xfId="30193" xr:uid="{68021234-6004-4AB8-9266-A540AEC9077C}"/>
    <cellStyle name="Normal 11 2 2 5 4 2" xfId="30194" xr:uid="{D5132FB9-54D2-4109-8007-BE350A900AED}"/>
    <cellStyle name="Normal 11 2 2 5 4 2 2" xfId="30195" xr:uid="{0AFAB27E-24C7-46B9-B946-ED1B3F6C6C1C}"/>
    <cellStyle name="Normal 11 2 2 5 4 2 2 2" xfId="30196" xr:uid="{81F8A8D3-CB15-4E01-846D-E97032CAE1E7}"/>
    <cellStyle name="Normal 11 2 2 5 4 2 2 2 2" xfId="30197" xr:uid="{6CC2E68B-815F-43A4-B914-D4A8AF0F85BC}"/>
    <cellStyle name="Normal 11 2 2 5 4 2 2 2 2 2" xfId="30198" xr:uid="{D11548D6-0B0B-428C-8B8F-19C655830312}"/>
    <cellStyle name="Normal 11 2 2 5 4 2 2 2 2 2 2" xfId="30199" xr:uid="{D2A5758F-9291-4213-B2E8-B82E2561312F}"/>
    <cellStyle name="Normal 11 2 2 5 4 2 2 2 2 3" xfId="30200" xr:uid="{0C5441D1-2FA2-4779-8FEF-662768DD74F4}"/>
    <cellStyle name="Normal 11 2 2 5 4 2 2 2 3" xfId="30201" xr:uid="{E4D0A40B-F219-4624-B007-D68B0F79EB3A}"/>
    <cellStyle name="Normal 11 2 2 5 4 2 2 2 3 2" xfId="30202" xr:uid="{A55007DD-44D4-4561-AF75-491EAC98EA1C}"/>
    <cellStyle name="Normal 11 2 2 5 4 2 2 2 4" xfId="30203" xr:uid="{CF882178-5965-4928-9EE3-72E59840A821}"/>
    <cellStyle name="Normal 11 2 2 5 4 2 2 3" xfId="30204" xr:uid="{7E5EA414-EF58-4B0E-A298-65044D6F4DFB}"/>
    <cellStyle name="Normal 11 2 2 5 4 2 2 3 2" xfId="30205" xr:uid="{8ABE48AB-57A9-4DC0-A3A8-25E950C525A2}"/>
    <cellStyle name="Normal 11 2 2 5 4 2 2 3 2 2" xfId="30206" xr:uid="{2EB9FBD6-2511-4113-8247-20F19DFAE01D}"/>
    <cellStyle name="Normal 11 2 2 5 4 2 2 3 3" xfId="30207" xr:uid="{69CDDB49-F545-4F81-833C-C326C82C28D9}"/>
    <cellStyle name="Normal 11 2 2 5 4 2 2 4" xfId="30208" xr:uid="{C26E13E1-A694-46F8-8690-5676A60E0049}"/>
    <cellStyle name="Normal 11 2 2 5 4 2 2 4 2" xfId="30209" xr:uid="{DF0536F0-3193-45ED-9A4B-371E498044A2}"/>
    <cellStyle name="Normal 11 2 2 5 4 2 2 5" xfId="30210" xr:uid="{35B0489E-0757-47F3-8A71-FE9B4C8053ED}"/>
    <cellStyle name="Normal 11 2 2 5 4 2 3" xfId="30211" xr:uid="{35AF7593-97AD-439A-8872-E1FCC39DBAE0}"/>
    <cellStyle name="Normal 11 2 2 5 4 2 3 2" xfId="30212" xr:uid="{E487A305-0E2D-4BCF-ACAD-C7CE766D14D2}"/>
    <cellStyle name="Normal 11 2 2 5 4 2 3 2 2" xfId="30213" xr:uid="{4FF89D1E-B5B2-43CA-A3E3-663B95F4F7B0}"/>
    <cellStyle name="Normal 11 2 2 5 4 2 3 2 2 2" xfId="30214" xr:uid="{3E197BA2-21FA-41ED-A67E-B93E71D4A986}"/>
    <cellStyle name="Normal 11 2 2 5 4 2 3 2 3" xfId="30215" xr:uid="{DB070C72-9143-46D6-908B-2404C4A26FD4}"/>
    <cellStyle name="Normal 11 2 2 5 4 2 3 3" xfId="30216" xr:uid="{9B605355-94C8-4B3B-9C02-B6298833BE9B}"/>
    <cellStyle name="Normal 11 2 2 5 4 2 3 3 2" xfId="30217" xr:uid="{2E522904-8DC7-42B1-8660-79BBAFDEF9A9}"/>
    <cellStyle name="Normal 11 2 2 5 4 2 3 4" xfId="30218" xr:uid="{43F2D3CB-0646-453F-ADC3-99BB571F1B4E}"/>
    <cellStyle name="Normal 11 2 2 5 4 2 4" xfId="30219" xr:uid="{8E2B7EF8-4125-4AF2-8314-7978687D911A}"/>
    <cellStyle name="Normal 11 2 2 5 4 2 4 2" xfId="30220" xr:uid="{36D81B33-5F19-48B5-AC22-7F8F5B3BCDD3}"/>
    <cellStyle name="Normal 11 2 2 5 4 2 4 2 2" xfId="30221" xr:uid="{BE268091-E32D-4624-87E7-428E8D46D3D2}"/>
    <cellStyle name="Normal 11 2 2 5 4 2 4 3" xfId="30222" xr:uid="{50C2B647-813E-4CC5-AB6E-896CCE02B944}"/>
    <cellStyle name="Normal 11 2 2 5 4 2 5" xfId="30223" xr:uid="{DB2472E9-0FBF-4867-818B-9C276A11D41B}"/>
    <cellStyle name="Normal 11 2 2 5 4 2 5 2" xfId="30224" xr:uid="{BD0814F5-9D83-4BF5-877C-B78C827D4544}"/>
    <cellStyle name="Normal 11 2 2 5 4 2 6" xfId="30225" xr:uid="{7D8AB43D-06F6-4568-99D8-408E899E4E66}"/>
    <cellStyle name="Normal 11 2 2 5 4 3" xfId="30226" xr:uid="{6866F49C-E758-42E6-87B5-B8F04F6B1DB6}"/>
    <cellStyle name="Normal 11 2 2 5 4 3 2" xfId="30227" xr:uid="{93808C1B-42EC-458E-8D51-0E6CD795D7EF}"/>
    <cellStyle name="Normal 11 2 2 5 4 3 2 2" xfId="30228" xr:uid="{BAD29DFD-69AE-4977-8B4E-A15FA3D9693B}"/>
    <cellStyle name="Normal 11 2 2 5 4 3 2 2 2" xfId="30229" xr:uid="{14A7CBB8-417B-4146-A48E-A01E863D633A}"/>
    <cellStyle name="Normal 11 2 2 5 4 3 2 2 2 2" xfId="30230" xr:uid="{B393EFFD-F2A0-4076-8F58-5E979F43123E}"/>
    <cellStyle name="Normal 11 2 2 5 4 3 2 2 3" xfId="30231" xr:uid="{D485ABAC-56BA-4B9C-9D9D-1408E823C44F}"/>
    <cellStyle name="Normal 11 2 2 5 4 3 2 3" xfId="30232" xr:uid="{50C0B451-97EB-4D83-B678-D41BC39B9474}"/>
    <cellStyle name="Normal 11 2 2 5 4 3 2 3 2" xfId="30233" xr:uid="{74381C08-2FCB-42C9-93C4-5A813D9BDE12}"/>
    <cellStyle name="Normal 11 2 2 5 4 3 2 4" xfId="30234" xr:uid="{947047BC-B180-4A84-BA99-5F7BD26B1AFB}"/>
    <cellStyle name="Normal 11 2 2 5 4 3 3" xfId="30235" xr:uid="{EA08B05C-3324-44B6-9F06-3316EF62FD25}"/>
    <cellStyle name="Normal 11 2 2 5 4 3 3 2" xfId="30236" xr:uid="{C103F914-7DBF-46C1-86B3-B8B3EF5CA3C9}"/>
    <cellStyle name="Normal 11 2 2 5 4 3 3 2 2" xfId="30237" xr:uid="{0FB23F7A-CDD9-480B-8A8E-39F522ED3B19}"/>
    <cellStyle name="Normal 11 2 2 5 4 3 3 3" xfId="30238" xr:uid="{965D2DB4-92C5-4538-B75C-48EE63B3E2C8}"/>
    <cellStyle name="Normal 11 2 2 5 4 3 4" xfId="30239" xr:uid="{930D58FB-6D28-4B49-B517-AB21299E6493}"/>
    <cellStyle name="Normal 11 2 2 5 4 3 4 2" xfId="30240" xr:uid="{406EBE2D-81A1-408B-9CA2-166AC8A634C2}"/>
    <cellStyle name="Normal 11 2 2 5 4 3 5" xfId="30241" xr:uid="{AA10C9F8-478F-4B2F-8980-896843BD839F}"/>
    <cellStyle name="Normal 11 2 2 5 4 4" xfId="30242" xr:uid="{4F98CAD3-87D6-4415-B87E-F7E9B1626A2C}"/>
    <cellStyle name="Normal 11 2 2 5 4 4 2" xfId="30243" xr:uid="{5626AC00-BDD3-4A96-A95B-DDCE57EB2DE3}"/>
    <cellStyle name="Normal 11 2 2 5 4 4 2 2" xfId="30244" xr:uid="{9370047F-5216-4610-B65A-C9BFFB581A6D}"/>
    <cellStyle name="Normal 11 2 2 5 4 4 2 2 2" xfId="30245" xr:uid="{72455A9E-9895-400B-82F8-3A0922DD06DF}"/>
    <cellStyle name="Normal 11 2 2 5 4 4 2 3" xfId="30246" xr:uid="{660B4207-931A-4FCC-A8F1-C984C16D7DBD}"/>
    <cellStyle name="Normal 11 2 2 5 4 4 3" xfId="30247" xr:uid="{9B3EFA63-1906-4ADA-AAC6-3D577646BD40}"/>
    <cellStyle name="Normal 11 2 2 5 4 4 3 2" xfId="30248" xr:uid="{01779466-4B70-4F39-8461-924E1F03AAA5}"/>
    <cellStyle name="Normal 11 2 2 5 4 4 4" xfId="30249" xr:uid="{2ECD7E87-AA09-4744-BB29-BA74DEAFE36E}"/>
    <cellStyle name="Normal 11 2 2 5 4 5" xfId="30250" xr:uid="{FD139FA3-222D-4D53-A29B-052FE4C421AA}"/>
    <cellStyle name="Normal 11 2 2 5 4 5 2" xfId="30251" xr:uid="{D160A304-F330-4DF2-AA91-0A4EB5749EAF}"/>
    <cellStyle name="Normal 11 2 2 5 4 5 2 2" xfId="30252" xr:uid="{24903D81-A759-40DA-87EE-69DC3A8D10F8}"/>
    <cellStyle name="Normal 11 2 2 5 4 5 3" xfId="30253" xr:uid="{D70DB735-8CCC-4513-8F2D-FAFCED63B8A3}"/>
    <cellStyle name="Normal 11 2 2 5 4 6" xfId="30254" xr:uid="{5888463F-5D8E-4BE1-8F5D-CF86FA3C4D7A}"/>
    <cellStyle name="Normal 11 2 2 5 4 6 2" xfId="30255" xr:uid="{3AADB964-2487-499D-ABD2-6932DD293301}"/>
    <cellStyle name="Normal 11 2 2 5 4 7" xfId="30256" xr:uid="{F075EB8B-F1B3-491C-9BE2-C9D390F04FB8}"/>
    <cellStyle name="Normal 11 2 2 5 5" xfId="30257" xr:uid="{2CAEAAC2-3170-4D55-9EEB-8EB8FC59720B}"/>
    <cellStyle name="Normal 11 2 2 5 5 2" xfId="30258" xr:uid="{5C0A46BC-72EB-4807-9DF0-858316DD9BA1}"/>
    <cellStyle name="Normal 11 2 2 5 5 2 2" xfId="30259" xr:uid="{3A488ABA-6DEE-4BE3-A31D-D1560331926C}"/>
    <cellStyle name="Normal 11 2 2 5 5 2 2 2" xfId="30260" xr:uid="{4A819122-F042-4EF5-8B48-DF29BF4A3134}"/>
    <cellStyle name="Normal 11 2 2 5 5 2 2 2 2" xfId="30261" xr:uid="{2A780A1F-8964-4835-BCE2-72420ED2ECB0}"/>
    <cellStyle name="Normal 11 2 2 5 5 2 2 2 2 2" xfId="30262" xr:uid="{B86DAEF8-17B1-4030-BE5D-94FC826D1CB2}"/>
    <cellStyle name="Normal 11 2 2 5 5 2 2 2 3" xfId="30263" xr:uid="{65133557-7654-4230-9F86-E436C9F285BF}"/>
    <cellStyle name="Normal 11 2 2 5 5 2 2 3" xfId="30264" xr:uid="{6639976C-DBFF-46F8-80E5-54442DD10DD0}"/>
    <cellStyle name="Normal 11 2 2 5 5 2 2 3 2" xfId="30265" xr:uid="{0EC46750-2542-4D92-91BC-A3CA94C53E31}"/>
    <cellStyle name="Normal 11 2 2 5 5 2 2 4" xfId="30266" xr:uid="{0DA42536-5753-43A8-AAD8-225D781A5919}"/>
    <cellStyle name="Normal 11 2 2 5 5 2 3" xfId="30267" xr:uid="{CCCBABA9-4FE7-414E-8F1A-6C4BCE3573A9}"/>
    <cellStyle name="Normal 11 2 2 5 5 2 3 2" xfId="30268" xr:uid="{09B00311-2AF9-4397-80EE-19C5BDB871D2}"/>
    <cellStyle name="Normal 11 2 2 5 5 2 3 2 2" xfId="30269" xr:uid="{ECDD7DAC-9C9F-4015-8471-7E97E8FF986F}"/>
    <cellStyle name="Normal 11 2 2 5 5 2 3 3" xfId="30270" xr:uid="{D507861F-2D79-4B7F-87A0-1DD75AD101E0}"/>
    <cellStyle name="Normal 11 2 2 5 5 2 4" xfId="30271" xr:uid="{CD10E870-AC35-4EAF-BE0D-4ED5C28DE4E4}"/>
    <cellStyle name="Normal 11 2 2 5 5 2 4 2" xfId="30272" xr:uid="{E122F784-24E7-4059-9955-285D5372D4B7}"/>
    <cellStyle name="Normal 11 2 2 5 5 2 5" xfId="30273" xr:uid="{900BB484-5A08-403B-A119-85CEEB7E93A2}"/>
    <cellStyle name="Normal 11 2 2 5 5 3" xfId="30274" xr:uid="{C5BC0D20-ADA7-437F-AE25-810A447EAC8A}"/>
    <cellStyle name="Normal 11 2 2 5 5 3 2" xfId="30275" xr:uid="{1146729F-BB7B-4AD4-AC43-5A22AACDE750}"/>
    <cellStyle name="Normal 11 2 2 5 5 3 2 2" xfId="30276" xr:uid="{5083294F-39D7-4BFA-AFBD-586080C3CAF6}"/>
    <cellStyle name="Normal 11 2 2 5 5 3 2 2 2" xfId="30277" xr:uid="{9DC4B3D4-4410-4397-A4B0-A4A6CE67701B}"/>
    <cellStyle name="Normal 11 2 2 5 5 3 2 3" xfId="30278" xr:uid="{698BAED7-0DAE-46E3-99B9-EDEB89FD2AC5}"/>
    <cellStyle name="Normal 11 2 2 5 5 3 3" xfId="30279" xr:uid="{9164223A-1584-49C5-8511-DAD9252B0689}"/>
    <cellStyle name="Normal 11 2 2 5 5 3 3 2" xfId="30280" xr:uid="{B3918DD4-8C05-4501-A4E8-9E12C1295E9F}"/>
    <cellStyle name="Normal 11 2 2 5 5 3 4" xfId="30281" xr:uid="{DA2BBE97-4188-43F3-A1A7-2BD134957544}"/>
    <cellStyle name="Normal 11 2 2 5 5 4" xfId="30282" xr:uid="{CB4D3278-DFEC-4454-90E9-BD65A27A46AB}"/>
    <cellStyle name="Normal 11 2 2 5 5 4 2" xfId="30283" xr:uid="{2E977105-914C-4EE2-AA25-64924DC3381A}"/>
    <cellStyle name="Normal 11 2 2 5 5 4 2 2" xfId="30284" xr:uid="{C7793008-EEE1-4FBB-AE0A-BCBC6ECD7A31}"/>
    <cellStyle name="Normal 11 2 2 5 5 4 3" xfId="30285" xr:uid="{B3454317-BB96-4913-A549-C71D9641D23A}"/>
    <cellStyle name="Normal 11 2 2 5 5 5" xfId="30286" xr:uid="{4A26A862-D332-400E-91BA-452366C8A57B}"/>
    <cellStyle name="Normal 11 2 2 5 5 5 2" xfId="30287" xr:uid="{A98F813D-135B-4387-8C5D-A14EC651270C}"/>
    <cellStyle name="Normal 11 2 2 5 5 6" xfId="30288" xr:uid="{012DA021-0F63-4C0F-B90F-873C898EEB25}"/>
    <cellStyle name="Normal 11 2 2 5 6" xfId="30289" xr:uid="{0EB5E25A-69D4-41D8-8032-E2B4314EC700}"/>
    <cellStyle name="Normal 11 2 2 5 6 2" xfId="30290" xr:uid="{FB6ABACF-3DE4-4D7F-BEF4-689E7CC48C0F}"/>
    <cellStyle name="Normal 11 2 2 5 6 2 2" xfId="30291" xr:uid="{81819CA3-F793-4380-855A-C7EF365B4FE5}"/>
    <cellStyle name="Normal 11 2 2 5 6 2 2 2" xfId="30292" xr:uid="{FADDFB0E-78D0-4F29-9834-4BCE10967307}"/>
    <cellStyle name="Normal 11 2 2 5 6 2 2 2 2" xfId="30293" xr:uid="{B03B96AC-C672-474E-A8C5-810E5B16B676}"/>
    <cellStyle name="Normal 11 2 2 5 6 2 2 3" xfId="30294" xr:uid="{DF7E70E2-39C5-4F43-9034-83785E059D79}"/>
    <cellStyle name="Normal 11 2 2 5 6 2 3" xfId="30295" xr:uid="{608A97AA-0B7A-4388-AF72-D3C39BAC4014}"/>
    <cellStyle name="Normal 11 2 2 5 6 2 3 2" xfId="30296" xr:uid="{58E5D4E6-9588-4D70-8C34-7FFBBDDC8915}"/>
    <cellStyle name="Normal 11 2 2 5 6 2 4" xfId="30297" xr:uid="{6A3CF329-CC24-42F7-B60C-45F1E340E369}"/>
    <cellStyle name="Normal 11 2 2 5 6 3" xfId="30298" xr:uid="{1AD29DDE-7F3A-4F03-B63C-C85FBC058065}"/>
    <cellStyle name="Normal 11 2 2 5 6 3 2" xfId="30299" xr:uid="{BBEA11FB-0AD6-4037-AEB4-409593BF2CB0}"/>
    <cellStyle name="Normal 11 2 2 5 6 3 2 2" xfId="30300" xr:uid="{12159E14-41AB-4124-AE93-92FBB7A11C48}"/>
    <cellStyle name="Normal 11 2 2 5 6 3 3" xfId="30301" xr:uid="{ACC36FF2-082F-4109-93ED-042BD4D7A7EA}"/>
    <cellStyle name="Normal 11 2 2 5 6 4" xfId="30302" xr:uid="{AFE84ACE-3EF2-417D-B22E-EA42ADCE6921}"/>
    <cellStyle name="Normal 11 2 2 5 6 4 2" xfId="30303" xr:uid="{00F1C6FA-9482-4068-AFB6-22A95EF8ED39}"/>
    <cellStyle name="Normal 11 2 2 5 6 5" xfId="30304" xr:uid="{CD8DFE0C-9A84-4FDF-B47F-0CDBA31B297F}"/>
    <cellStyle name="Normal 11 2 2 5 7" xfId="30305" xr:uid="{E6670AE8-0ED3-4471-91BC-C01385DB3DA1}"/>
    <cellStyle name="Normal 11 2 2 5 7 2" xfId="30306" xr:uid="{7731F652-1582-4E0C-93D2-3F9C7541B990}"/>
    <cellStyle name="Normal 11 2 2 5 7 2 2" xfId="30307" xr:uid="{1C09BEF3-DF00-48CA-8E00-159171DDC4A8}"/>
    <cellStyle name="Normal 11 2 2 5 7 2 2 2" xfId="30308" xr:uid="{2F420FCA-D012-49AE-9EB6-6ED4006723F6}"/>
    <cellStyle name="Normal 11 2 2 5 7 2 3" xfId="30309" xr:uid="{A8FC2937-715D-4283-A56B-4CD101668295}"/>
    <cellStyle name="Normal 11 2 2 5 7 3" xfId="30310" xr:uid="{0B1F94A0-BB61-4069-B36E-058D2CA489D9}"/>
    <cellStyle name="Normal 11 2 2 5 7 3 2" xfId="30311" xr:uid="{2C2AF009-C7BE-47B9-B86F-7A121FEA40E5}"/>
    <cellStyle name="Normal 11 2 2 5 7 4" xfId="30312" xr:uid="{1355F169-5FC5-4575-B6B9-7D33D6B845C0}"/>
    <cellStyle name="Normal 11 2 2 5 8" xfId="30313" xr:uid="{828E3D5B-2B8C-4386-B143-6F3C77A6A111}"/>
    <cellStyle name="Normal 11 2 2 5 8 2" xfId="30314" xr:uid="{EBCE73B3-7822-445C-A77F-F4E6A9C6B4B6}"/>
    <cellStyle name="Normal 11 2 2 5 8 2 2" xfId="30315" xr:uid="{D2A11D99-182E-47D5-9894-F71D73AE734B}"/>
    <cellStyle name="Normal 11 2 2 5 8 3" xfId="30316" xr:uid="{F1D5AF5D-B7A3-44BC-89E9-3136E670D2BF}"/>
    <cellStyle name="Normal 11 2 2 5 9" xfId="30317" xr:uid="{065AE66D-2662-461A-9B33-37F78B197A4B}"/>
    <cellStyle name="Normal 11 2 2 5 9 2" xfId="30318" xr:uid="{0B5FDA49-60C7-4F9D-86B3-5422CAB2EA3E}"/>
    <cellStyle name="Normal 11 2 2 6" xfId="272" xr:uid="{18370582-4F97-4AA5-8C83-BEBE5F238B49}"/>
    <cellStyle name="Normal 11 2 2 6 10" xfId="30319" xr:uid="{5360337A-DE10-478B-81FA-207FB31B9DCA}"/>
    <cellStyle name="Normal 11 2 2 6 11" xfId="582" xr:uid="{993A143E-FC1A-4F28-9D65-105F011D32DA}"/>
    <cellStyle name="Normal 11 2 2 6 2" xfId="359" xr:uid="{EE9E8301-992C-417A-96FB-130F8F966D50}"/>
    <cellStyle name="Normal 11 2 2 6 2 10" xfId="30320" xr:uid="{EC024247-F9F3-45ED-BF3F-414F3A96A0BA}"/>
    <cellStyle name="Normal 11 2 2 6 2 2" xfId="30321" xr:uid="{510B99C8-AD23-4471-9E3D-A55E7C508E23}"/>
    <cellStyle name="Normal 11 2 2 6 2 2 2" xfId="30322" xr:uid="{5A663F44-AB3E-4312-9DC1-A5B61C8A8941}"/>
    <cellStyle name="Normal 11 2 2 6 2 2 2 2" xfId="30323" xr:uid="{F02879C0-0486-464F-9649-76637E9BF305}"/>
    <cellStyle name="Normal 11 2 2 6 2 2 2 2 2" xfId="30324" xr:uid="{B42EB9C6-C1FC-405E-A979-2A2D19489F71}"/>
    <cellStyle name="Normal 11 2 2 6 2 2 2 2 2 2" xfId="30325" xr:uid="{AC755FD7-13D6-4418-8706-7EB72BEBD660}"/>
    <cellStyle name="Normal 11 2 2 6 2 2 2 2 2 2 2" xfId="30326" xr:uid="{FDD5F142-A035-4B80-80C8-400ECDA4C776}"/>
    <cellStyle name="Normal 11 2 2 6 2 2 2 2 2 2 2 2" xfId="30327" xr:uid="{9CED395E-6082-4C92-A965-2E189CF8061D}"/>
    <cellStyle name="Normal 11 2 2 6 2 2 2 2 2 2 2 2 2" xfId="30328" xr:uid="{C50A2E80-28F5-4C65-BC5B-C4B0CFC8F1A0}"/>
    <cellStyle name="Normal 11 2 2 6 2 2 2 2 2 2 2 3" xfId="30329" xr:uid="{594F295F-CFBF-4B59-837F-A9E1155B9C9B}"/>
    <cellStyle name="Normal 11 2 2 6 2 2 2 2 2 2 3" xfId="30330" xr:uid="{F167FFA7-63BF-4A57-AFBE-EA2E4605135A}"/>
    <cellStyle name="Normal 11 2 2 6 2 2 2 2 2 2 3 2" xfId="30331" xr:uid="{567EB04B-D195-4CC4-882F-467F8CAFE09F}"/>
    <cellStyle name="Normal 11 2 2 6 2 2 2 2 2 2 4" xfId="30332" xr:uid="{E1BD0207-B991-4D20-8BA9-F99B9472FB6A}"/>
    <cellStyle name="Normal 11 2 2 6 2 2 2 2 2 3" xfId="30333" xr:uid="{009058DC-4087-490C-9FC7-057E6B3E0A1D}"/>
    <cellStyle name="Normal 11 2 2 6 2 2 2 2 2 3 2" xfId="30334" xr:uid="{5FBE9CFC-660F-4A1C-A0C0-F169E9E5D5C9}"/>
    <cellStyle name="Normal 11 2 2 6 2 2 2 2 2 3 2 2" xfId="30335" xr:uid="{C5DBC385-1413-4456-8ACE-84A52639BAFB}"/>
    <cellStyle name="Normal 11 2 2 6 2 2 2 2 2 3 3" xfId="30336" xr:uid="{5ADBFCDE-D5DE-4CAA-957E-306907A9AABF}"/>
    <cellStyle name="Normal 11 2 2 6 2 2 2 2 2 4" xfId="30337" xr:uid="{3A967760-1343-4131-AA88-7874C316A585}"/>
    <cellStyle name="Normal 11 2 2 6 2 2 2 2 2 4 2" xfId="30338" xr:uid="{189AE511-C4A0-432F-9287-F89634FE7794}"/>
    <cellStyle name="Normal 11 2 2 6 2 2 2 2 2 5" xfId="30339" xr:uid="{4B41C937-1DA7-4177-B743-F82F0EB6209F}"/>
    <cellStyle name="Normal 11 2 2 6 2 2 2 2 3" xfId="30340" xr:uid="{061BFA93-BD37-4C64-94E2-1A4FDC6C47EF}"/>
    <cellStyle name="Normal 11 2 2 6 2 2 2 2 3 2" xfId="30341" xr:uid="{4E620BE7-DC58-44BA-A3BC-630F9C375A1C}"/>
    <cellStyle name="Normal 11 2 2 6 2 2 2 2 3 2 2" xfId="30342" xr:uid="{0F607042-34E2-4134-82A3-3CE1EEB4FD62}"/>
    <cellStyle name="Normal 11 2 2 6 2 2 2 2 3 2 2 2" xfId="30343" xr:uid="{C6D5F169-62F7-4D21-A8CD-C68656C3C901}"/>
    <cellStyle name="Normal 11 2 2 6 2 2 2 2 3 2 3" xfId="30344" xr:uid="{92C277AE-760B-4A41-9073-70FA55DC1645}"/>
    <cellStyle name="Normal 11 2 2 6 2 2 2 2 3 3" xfId="30345" xr:uid="{8E0F9DA0-F517-4164-A28E-8F25A52E685C}"/>
    <cellStyle name="Normal 11 2 2 6 2 2 2 2 3 3 2" xfId="30346" xr:uid="{9060C511-364C-43B6-A067-2500D8472AE6}"/>
    <cellStyle name="Normal 11 2 2 6 2 2 2 2 3 4" xfId="30347" xr:uid="{48175A02-816E-4A70-B28C-CBCC73FDF08D}"/>
    <cellStyle name="Normal 11 2 2 6 2 2 2 2 4" xfId="30348" xr:uid="{CE338E09-B897-46D1-BF0C-3042F759613E}"/>
    <cellStyle name="Normal 11 2 2 6 2 2 2 2 4 2" xfId="30349" xr:uid="{D6EE3E93-BAB9-4825-A00D-65008E37C4D8}"/>
    <cellStyle name="Normal 11 2 2 6 2 2 2 2 4 2 2" xfId="30350" xr:uid="{C37B8D5F-8612-4D35-AF68-950329449C8F}"/>
    <cellStyle name="Normal 11 2 2 6 2 2 2 2 4 3" xfId="30351" xr:uid="{5CEF7E32-0253-4EF3-9EED-ED5D2EBD34A2}"/>
    <cellStyle name="Normal 11 2 2 6 2 2 2 2 5" xfId="30352" xr:uid="{360CA1D9-56E6-44CE-8F2E-4E6131792F95}"/>
    <cellStyle name="Normal 11 2 2 6 2 2 2 2 5 2" xfId="30353" xr:uid="{A3F961A4-0F3D-49AC-BB2F-2B37CE144EF5}"/>
    <cellStyle name="Normal 11 2 2 6 2 2 2 2 6" xfId="30354" xr:uid="{E790795E-A003-49CF-AF72-5A3603BDB14E}"/>
    <cellStyle name="Normal 11 2 2 6 2 2 2 3" xfId="30355" xr:uid="{F4AC8805-BC42-469F-8C28-6025230767FE}"/>
    <cellStyle name="Normal 11 2 2 6 2 2 2 3 2" xfId="30356" xr:uid="{034242AE-28F9-42B2-9188-1CBBC53293DE}"/>
    <cellStyle name="Normal 11 2 2 6 2 2 2 3 2 2" xfId="30357" xr:uid="{0E419757-C5BF-4F3A-BF2E-43B164E279A8}"/>
    <cellStyle name="Normal 11 2 2 6 2 2 2 3 2 2 2" xfId="30358" xr:uid="{27234C02-F3F3-4793-AB72-3B165B2EE6F1}"/>
    <cellStyle name="Normal 11 2 2 6 2 2 2 3 2 2 2 2" xfId="30359" xr:uid="{F0250FF8-85BA-46F1-A9CD-A244C6D1BA9D}"/>
    <cellStyle name="Normal 11 2 2 6 2 2 2 3 2 2 3" xfId="30360" xr:uid="{07B3559F-1299-40A6-A2DD-9729B3B76A1D}"/>
    <cellStyle name="Normal 11 2 2 6 2 2 2 3 2 3" xfId="30361" xr:uid="{397EA25A-7F99-43AB-9086-32A31DF7A726}"/>
    <cellStyle name="Normal 11 2 2 6 2 2 2 3 2 3 2" xfId="30362" xr:uid="{C4F4D156-0491-46D1-8D77-A5A6E10209C9}"/>
    <cellStyle name="Normal 11 2 2 6 2 2 2 3 2 4" xfId="30363" xr:uid="{751A4CEB-8899-4973-A969-5F487F893FE4}"/>
    <cellStyle name="Normal 11 2 2 6 2 2 2 3 3" xfId="30364" xr:uid="{F5ECE521-3BAA-406A-9980-76E1F9E62C1A}"/>
    <cellStyle name="Normal 11 2 2 6 2 2 2 3 3 2" xfId="30365" xr:uid="{74B33EF3-7BA3-4269-8F30-1B3733FCC043}"/>
    <cellStyle name="Normal 11 2 2 6 2 2 2 3 3 2 2" xfId="30366" xr:uid="{68309056-BB62-4D9A-BF1A-5DDD6E7469F1}"/>
    <cellStyle name="Normal 11 2 2 6 2 2 2 3 3 3" xfId="30367" xr:uid="{F181D1B9-5E88-41C4-A5F6-D0BEC9E83BA1}"/>
    <cellStyle name="Normal 11 2 2 6 2 2 2 3 4" xfId="30368" xr:uid="{9BF69D9D-AF84-4AFB-905F-6569E176BE29}"/>
    <cellStyle name="Normal 11 2 2 6 2 2 2 3 4 2" xfId="30369" xr:uid="{7856CB49-DFEC-404B-A8B3-2B93D9B12C67}"/>
    <cellStyle name="Normal 11 2 2 6 2 2 2 3 5" xfId="30370" xr:uid="{067620C4-9136-4EF7-B378-1BB3845EBA4B}"/>
    <cellStyle name="Normal 11 2 2 6 2 2 2 4" xfId="30371" xr:uid="{6FFADC61-3EE3-4948-A6AA-8A57FA8CB9D5}"/>
    <cellStyle name="Normal 11 2 2 6 2 2 2 4 2" xfId="30372" xr:uid="{5F4F9EB2-D1B4-482C-BE49-2F39162558CA}"/>
    <cellStyle name="Normal 11 2 2 6 2 2 2 4 2 2" xfId="30373" xr:uid="{FE7F1BAA-19E8-4084-8002-5F2004BFC392}"/>
    <cellStyle name="Normal 11 2 2 6 2 2 2 4 2 2 2" xfId="30374" xr:uid="{75774E80-5F72-47FA-8B28-B0521432120C}"/>
    <cellStyle name="Normal 11 2 2 6 2 2 2 4 2 3" xfId="30375" xr:uid="{D38E443C-7E44-4FB8-BFD3-F8ED332A030C}"/>
    <cellStyle name="Normal 11 2 2 6 2 2 2 4 3" xfId="30376" xr:uid="{0349DAE5-183F-45A7-989D-61C70954D6BE}"/>
    <cellStyle name="Normal 11 2 2 6 2 2 2 4 3 2" xfId="30377" xr:uid="{5A5F1F99-87AC-42BD-A618-5C17471A05C6}"/>
    <cellStyle name="Normal 11 2 2 6 2 2 2 4 4" xfId="30378" xr:uid="{72FF478D-647D-47AD-8207-90283F88A884}"/>
    <cellStyle name="Normal 11 2 2 6 2 2 2 5" xfId="30379" xr:uid="{5CA5FE76-E2D4-4881-9FE1-F45FB9A3345C}"/>
    <cellStyle name="Normal 11 2 2 6 2 2 2 5 2" xfId="30380" xr:uid="{BA8AB721-52D9-4E96-B238-51D61E0D3D9F}"/>
    <cellStyle name="Normal 11 2 2 6 2 2 2 5 2 2" xfId="30381" xr:uid="{846EE380-85D2-48EF-82F6-C22C5A5BAF4E}"/>
    <cellStyle name="Normal 11 2 2 6 2 2 2 5 3" xfId="30382" xr:uid="{85B0FEA8-119E-44DD-A1A7-BE489995E350}"/>
    <cellStyle name="Normal 11 2 2 6 2 2 2 6" xfId="30383" xr:uid="{BC50F302-9A95-4637-AEE3-8ED924283D37}"/>
    <cellStyle name="Normal 11 2 2 6 2 2 2 6 2" xfId="30384" xr:uid="{051A34B0-7E33-46C1-B053-7F84B1A9378C}"/>
    <cellStyle name="Normal 11 2 2 6 2 2 2 7" xfId="30385" xr:uid="{B4AF8E92-E6D6-4726-8CE3-46334AFE56D1}"/>
    <cellStyle name="Normal 11 2 2 6 2 2 3" xfId="30386" xr:uid="{7D76A0C0-F8D8-4D89-9E94-C4A1B71AE384}"/>
    <cellStyle name="Normal 11 2 2 6 2 2 3 2" xfId="30387" xr:uid="{60C32725-4218-4E25-AAA8-261F7A952B32}"/>
    <cellStyle name="Normal 11 2 2 6 2 2 3 2 2" xfId="30388" xr:uid="{86B1900F-2F86-4728-AF7C-7D3135736708}"/>
    <cellStyle name="Normal 11 2 2 6 2 2 3 2 2 2" xfId="30389" xr:uid="{5EF14E81-0ADB-4BF6-B1CA-5D51F68F0E73}"/>
    <cellStyle name="Normal 11 2 2 6 2 2 3 2 2 2 2" xfId="30390" xr:uid="{9BA01801-1EF1-46C1-BAA0-D4B468AF3997}"/>
    <cellStyle name="Normal 11 2 2 6 2 2 3 2 2 2 2 2" xfId="30391" xr:uid="{66FBCA31-60B2-4FC6-A6CE-640B2DD4B98B}"/>
    <cellStyle name="Normal 11 2 2 6 2 2 3 2 2 2 3" xfId="30392" xr:uid="{B7A5520A-BFAB-42BE-A2A3-E73BCCB8E70A}"/>
    <cellStyle name="Normal 11 2 2 6 2 2 3 2 2 3" xfId="30393" xr:uid="{D8811A03-D07E-4223-A5FC-9D23DE189976}"/>
    <cellStyle name="Normal 11 2 2 6 2 2 3 2 2 3 2" xfId="30394" xr:uid="{5F7C5A0A-0691-4ECF-8D02-842494712280}"/>
    <cellStyle name="Normal 11 2 2 6 2 2 3 2 2 4" xfId="30395" xr:uid="{649F1FE9-7C8F-4137-B404-644EDB72988E}"/>
    <cellStyle name="Normal 11 2 2 6 2 2 3 2 3" xfId="30396" xr:uid="{6F8945A3-B0C2-47F6-9667-D14171E31004}"/>
    <cellStyle name="Normal 11 2 2 6 2 2 3 2 3 2" xfId="30397" xr:uid="{8CE54350-18D5-4304-9474-8E043B03267B}"/>
    <cellStyle name="Normal 11 2 2 6 2 2 3 2 3 2 2" xfId="30398" xr:uid="{8520930C-A40B-4052-A82B-F6FD68F8FB99}"/>
    <cellStyle name="Normal 11 2 2 6 2 2 3 2 3 3" xfId="30399" xr:uid="{7E1E12DA-DF5B-4B23-9A08-5057CA44CD64}"/>
    <cellStyle name="Normal 11 2 2 6 2 2 3 2 4" xfId="30400" xr:uid="{968F9AA7-EF84-485B-BB3A-8600462BD353}"/>
    <cellStyle name="Normal 11 2 2 6 2 2 3 2 4 2" xfId="30401" xr:uid="{A443C0B9-DB22-4741-A037-61798A94AC70}"/>
    <cellStyle name="Normal 11 2 2 6 2 2 3 2 5" xfId="30402" xr:uid="{1463C402-5EA3-4891-9636-2F17A2BCB2D0}"/>
    <cellStyle name="Normal 11 2 2 6 2 2 3 3" xfId="30403" xr:uid="{743A09A9-5024-4A8B-B366-D0054877E6AF}"/>
    <cellStyle name="Normal 11 2 2 6 2 2 3 3 2" xfId="30404" xr:uid="{C7B72230-3003-48AF-827E-E80235ECCF3E}"/>
    <cellStyle name="Normal 11 2 2 6 2 2 3 3 2 2" xfId="30405" xr:uid="{227B481E-CCF7-4D1A-938C-39CA2E6EE946}"/>
    <cellStyle name="Normal 11 2 2 6 2 2 3 3 2 2 2" xfId="30406" xr:uid="{1C71B3E9-DE91-4E64-96EA-736AC2CAF1BB}"/>
    <cellStyle name="Normal 11 2 2 6 2 2 3 3 2 3" xfId="30407" xr:uid="{BD586C40-CCA2-4F40-90BF-72850442BD8F}"/>
    <cellStyle name="Normal 11 2 2 6 2 2 3 3 3" xfId="30408" xr:uid="{21BC30C1-A6F7-440E-86A0-8D74A0351880}"/>
    <cellStyle name="Normal 11 2 2 6 2 2 3 3 3 2" xfId="30409" xr:uid="{E6FA52DF-FF19-4BB7-B538-A8B61BBABBA6}"/>
    <cellStyle name="Normal 11 2 2 6 2 2 3 3 4" xfId="30410" xr:uid="{A6A346FD-4D68-420B-9F91-79E0DB57CF0E}"/>
    <cellStyle name="Normal 11 2 2 6 2 2 3 4" xfId="30411" xr:uid="{8550247A-7D0A-4D87-A5F7-D84EB19EB12E}"/>
    <cellStyle name="Normal 11 2 2 6 2 2 3 4 2" xfId="30412" xr:uid="{9BFB246A-655D-40FD-91A6-80AF6DB4803F}"/>
    <cellStyle name="Normal 11 2 2 6 2 2 3 4 2 2" xfId="30413" xr:uid="{DD10C0A9-0B19-4B8A-B647-BC4D3E5E1AD8}"/>
    <cellStyle name="Normal 11 2 2 6 2 2 3 4 3" xfId="30414" xr:uid="{6F8EA846-B220-48FF-BFFF-5C54868A95C9}"/>
    <cellStyle name="Normal 11 2 2 6 2 2 3 5" xfId="30415" xr:uid="{37E96DCF-AAC4-4060-8F39-950F3D03C83E}"/>
    <cellStyle name="Normal 11 2 2 6 2 2 3 5 2" xfId="30416" xr:uid="{30F22337-DAAA-4749-90CC-4D0A856441F4}"/>
    <cellStyle name="Normal 11 2 2 6 2 2 3 6" xfId="30417" xr:uid="{99325D7A-252F-4304-93E8-6DAD6CA263A7}"/>
    <cellStyle name="Normal 11 2 2 6 2 2 4" xfId="30418" xr:uid="{A377EE52-3E7F-4EA7-B965-2C1F5B30E27D}"/>
    <cellStyle name="Normal 11 2 2 6 2 2 4 2" xfId="30419" xr:uid="{363B550D-836A-4EC4-AC2D-73A9E431C73A}"/>
    <cellStyle name="Normal 11 2 2 6 2 2 4 2 2" xfId="30420" xr:uid="{C7CAD9CD-45E5-457A-B300-8FCC3207C303}"/>
    <cellStyle name="Normal 11 2 2 6 2 2 4 2 2 2" xfId="30421" xr:uid="{3AB5D6AC-A7F0-4CFD-9145-89D3D1AA0702}"/>
    <cellStyle name="Normal 11 2 2 6 2 2 4 2 2 2 2" xfId="30422" xr:uid="{672D8FF6-54CD-485D-966A-93156ABEBBF6}"/>
    <cellStyle name="Normal 11 2 2 6 2 2 4 2 2 3" xfId="30423" xr:uid="{EA33BEBB-66AB-4DB8-BB5F-5CE3419D00B1}"/>
    <cellStyle name="Normal 11 2 2 6 2 2 4 2 3" xfId="30424" xr:uid="{6F0D3F98-08AF-4E56-A8DB-DB5184EBCA73}"/>
    <cellStyle name="Normal 11 2 2 6 2 2 4 2 3 2" xfId="30425" xr:uid="{3FAC660A-C080-481B-A81E-71CB27BAA1D7}"/>
    <cellStyle name="Normal 11 2 2 6 2 2 4 2 4" xfId="30426" xr:uid="{72A6DEAE-F617-4195-8878-2416AAE66E17}"/>
    <cellStyle name="Normal 11 2 2 6 2 2 4 3" xfId="30427" xr:uid="{6331D41E-3AD2-427E-A895-047CDF56AD2A}"/>
    <cellStyle name="Normal 11 2 2 6 2 2 4 3 2" xfId="30428" xr:uid="{08DE2A36-A063-4D66-82A8-DCB53B507540}"/>
    <cellStyle name="Normal 11 2 2 6 2 2 4 3 2 2" xfId="30429" xr:uid="{00AB614C-57BF-45E6-8C45-083639AC4AB7}"/>
    <cellStyle name="Normal 11 2 2 6 2 2 4 3 3" xfId="30430" xr:uid="{1E25FADB-57FC-430A-82A2-5D5584430B4C}"/>
    <cellStyle name="Normal 11 2 2 6 2 2 4 4" xfId="30431" xr:uid="{7FA34D0B-5044-4F50-A440-9F5198AE6245}"/>
    <cellStyle name="Normal 11 2 2 6 2 2 4 4 2" xfId="30432" xr:uid="{A1072E79-51B9-48E6-8A16-B021CB45F25F}"/>
    <cellStyle name="Normal 11 2 2 6 2 2 4 5" xfId="30433" xr:uid="{B2C9EBB3-563C-4F2D-977C-8F200E9E790C}"/>
    <cellStyle name="Normal 11 2 2 6 2 2 5" xfId="30434" xr:uid="{5054E170-F85B-4AD5-AF1A-5FCED5F659D3}"/>
    <cellStyle name="Normal 11 2 2 6 2 2 5 2" xfId="30435" xr:uid="{CF844DA1-6EDA-47B9-ADDA-C963C5408FC3}"/>
    <cellStyle name="Normal 11 2 2 6 2 2 5 2 2" xfId="30436" xr:uid="{D3FAEDAA-4ADF-408A-8298-FFD7B1B9E9B2}"/>
    <cellStyle name="Normal 11 2 2 6 2 2 5 2 2 2" xfId="30437" xr:uid="{F8A090F8-C116-4AED-A0B5-ED15DEF3312D}"/>
    <cellStyle name="Normal 11 2 2 6 2 2 5 2 3" xfId="30438" xr:uid="{0881E44D-EB02-4211-B700-8009F143D4F2}"/>
    <cellStyle name="Normal 11 2 2 6 2 2 5 3" xfId="30439" xr:uid="{C62A0CE9-993C-4135-A480-16250B8DEA0B}"/>
    <cellStyle name="Normal 11 2 2 6 2 2 5 3 2" xfId="30440" xr:uid="{D9E73ED2-3A50-46C1-BF35-A57608E8620C}"/>
    <cellStyle name="Normal 11 2 2 6 2 2 5 4" xfId="30441" xr:uid="{CAC22D35-8AF9-45FC-B743-300EEA8ECB15}"/>
    <cellStyle name="Normal 11 2 2 6 2 2 6" xfId="30442" xr:uid="{30281891-12F7-426C-AFA6-F965BEA88B81}"/>
    <cellStyle name="Normal 11 2 2 6 2 2 6 2" xfId="30443" xr:uid="{58907F23-3F1C-428D-A797-79489EAD1B62}"/>
    <cellStyle name="Normal 11 2 2 6 2 2 6 2 2" xfId="30444" xr:uid="{452B7D80-C061-4B7B-B6A5-D9BDD39D7089}"/>
    <cellStyle name="Normal 11 2 2 6 2 2 6 3" xfId="30445" xr:uid="{74FB0346-C958-4136-B8EB-8A2F9143E276}"/>
    <cellStyle name="Normal 11 2 2 6 2 2 7" xfId="30446" xr:uid="{D963E22E-E7FF-4610-ADF3-AF53AFCBCA18}"/>
    <cellStyle name="Normal 11 2 2 6 2 2 7 2" xfId="30447" xr:uid="{F6DC80DB-42B3-4E9E-81F3-78EFF1547477}"/>
    <cellStyle name="Normal 11 2 2 6 2 2 8" xfId="30448" xr:uid="{5367B48D-390F-43E4-BB57-BE49BC16E843}"/>
    <cellStyle name="Normal 11 2 2 6 2 3" xfId="30449" xr:uid="{9989200B-AABB-47CC-ADA0-6BF1CB0BE49B}"/>
    <cellStyle name="Normal 11 2 2 6 2 3 2" xfId="30450" xr:uid="{B35EC05E-DA05-457B-B349-F07D2406C773}"/>
    <cellStyle name="Normal 11 2 2 6 2 3 2 2" xfId="30451" xr:uid="{CB49E0F8-F2EC-4636-A675-2A4CEB00BBA9}"/>
    <cellStyle name="Normal 11 2 2 6 2 3 2 2 2" xfId="30452" xr:uid="{A585D971-FE77-4505-98A8-BF2284059F7F}"/>
    <cellStyle name="Normal 11 2 2 6 2 3 2 2 2 2" xfId="30453" xr:uid="{D9B890C0-3011-4EE8-86B3-3150E34488E8}"/>
    <cellStyle name="Normal 11 2 2 6 2 3 2 2 2 2 2" xfId="30454" xr:uid="{36BB75B3-6473-4E19-A849-4C60BC9BA996}"/>
    <cellStyle name="Normal 11 2 2 6 2 3 2 2 2 2 2 2" xfId="30455" xr:uid="{6A2C824F-1938-4C17-90EE-B8EDDF1916BE}"/>
    <cellStyle name="Normal 11 2 2 6 2 3 2 2 2 2 3" xfId="30456" xr:uid="{ED7A78CC-09AB-4F6C-943D-B5F7B183C09B}"/>
    <cellStyle name="Normal 11 2 2 6 2 3 2 2 2 3" xfId="30457" xr:uid="{619793DE-072E-4655-8F77-CE2AC25CA5B1}"/>
    <cellStyle name="Normal 11 2 2 6 2 3 2 2 2 3 2" xfId="30458" xr:uid="{C8463993-52D8-4A0A-9B56-1FBDF73BC829}"/>
    <cellStyle name="Normal 11 2 2 6 2 3 2 2 2 4" xfId="30459" xr:uid="{0BA329F9-9B83-494A-8EE7-3CB8B69D9995}"/>
    <cellStyle name="Normal 11 2 2 6 2 3 2 2 3" xfId="30460" xr:uid="{A1A71F6E-F96E-49F8-8700-49A768DAE506}"/>
    <cellStyle name="Normal 11 2 2 6 2 3 2 2 3 2" xfId="30461" xr:uid="{8C141B00-38C5-4BCF-99F2-ECD69B20250B}"/>
    <cellStyle name="Normal 11 2 2 6 2 3 2 2 3 2 2" xfId="30462" xr:uid="{E23B5B5B-9D6A-41D3-9AD3-94FF61750A5F}"/>
    <cellStyle name="Normal 11 2 2 6 2 3 2 2 3 3" xfId="30463" xr:uid="{B5DC8D5B-5145-4CD7-A445-27E37A7A4290}"/>
    <cellStyle name="Normal 11 2 2 6 2 3 2 2 4" xfId="30464" xr:uid="{DD660B21-2DCF-4F2D-AD1E-FD9398A90B50}"/>
    <cellStyle name="Normal 11 2 2 6 2 3 2 2 4 2" xfId="30465" xr:uid="{32DFA619-A6AA-49FB-80E1-A893C44B6D48}"/>
    <cellStyle name="Normal 11 2 2 6 2 3 2 2 5" xfId="30466" xr:uid="{B95440C9-FAA7-4B7C-9EAA-9ED48D9CA06D}"/>
    <cellStyle name="Normal 11 2 2 6 2 3 2 3" xfId="30467" xr:uid="{B4381E00-716C-45A5-9E03-31C092EE8C9E}"/>
    <cellStyle name="Normal 11 2 2 6 2 3 2 3 2" xfId="30468" xr:uid="{0D901C89-CDBE-438A-BF01-2E5B35A7E9A6}"/>
    <cellStyle name="Normal 11 2 2 6 2 3 2 3 2 2" xfId="30469" xr:uid="{C4BD4D81-09E0-43D2-858B-301C8DDF1319}"/>
    <cellStyle name="Normal 11 2 2 6 2 3 2 3 2 2 2" xfId="30470" xr:uid="{8887F619-4999-48D4-BCFF-1C89A2515684}"/>
    <cellStyle name="Normal 11 2 2 6 2 3 2 3 2 3" xfId="30471" xr:uid="{4696BA83-E54B-4D70-BEF7-606177C6197C}"/>
    <cellStyle name="Normal 11 2 2 6 2 3 2 3 3" xfId="30472" xr:uid="{F5F130EA-D761-4D50-99DD-B74BE5191AB2}"/>
    <cellStyle name="Normal 11 2 2 6 2 3 2 3 3 2" xfId="30473" xr:uid="{DC0A9915-5936-4A40-AAD7-9D4ACB4714C7}"/>
    <cellStyle name="Normal 11 2 2 6 2 3 2 3 4" xfId="30474" xr:uid="{C7F92BAA-B73C-41BD-9ED6-D6DA5F8C94E6}"/>
    <cellStyle name="Normal 11 2 2 6 2 3 2 4" xfId="30475" xr:uid="{84196DB9-FE9F-4B90-8C3A-1D9003317A17}"/>
    <cellStyle name="Normal 11 2 2 6 2 3 2 4 2" xfId="30476" xr:uid="{97CAD39F-F562-44DA-9C42-C76E9BD7FE14}"/>
    <cellStyle name="Normal 11 2 2 6 2 3 2 4 2 2" xfId="30477" xr:uid="{BA279671-C7CC-4028-A5CA-3A1A24CD9926}"/>
    <cellStyle name="Normal 11 2 2 6 2 3 2 4 3" xfId="30478" xr:uid="{AD4A912C-3EC8-42D0-903B-9F64A01DE175}"/>
    <cellStyle name="Normal 11 2 2 6 2 3 2 5" xfId="30479" xr:uid="{B599573B-9B5D-4479-8CF4-F448812A7A2B}"/>
    <cellStyle name="Normal 11 2 2 6 2 3 2 5 2" xfId="30480" xr:uid="{24E3C291-9F08-45D7-86D6-2003ABD79B4C}"/>
    <cellStyle name="Normal 11 2 2 6 2 3 2 6" xfId="30481" xr:uid="{4EF5355B-4F46-480C-AFBB-5322073B267B}"/>
    <cellStyle name="Normal 11 2 2 6 2 3 3" xfId="30482" xr:uid="{DC1B3BEC-84D2-4AC6-8401-91087976B040}"/>
    <cellStyle name="Normal 11 2 2 6 2 3 3 2" xfId="30483" xr:uid="{C15F426A-3945-4396-93C0-6C3B1272E88F}"/>
    <cellStyle name="Normal 11 2 2 6 2 3 3 2 2" xfId="30484" xr:uid="{47DEE140-9DCD-4179-96D0-E39DEB0B4B8B}"/>
    <cellStyle name="Normal 11 2 2 6 2 3 3 2 2 2" xfId="30485" xr:uid="{71928D76-8398-4E32-8A20-A31AF4C47F6F}"/>
    <cellStyle name="Normal 11 2 2 6 2 3 3 2 2 2 2" xfId="30486" xr:uid="{8B0A5EA2-BF2E-4682-AF16-8CA2183FAC56}"/>
    <cellStyle name="Normal 11 2 2 6 2 3 3 2 2 3" xfId="30487" xr:uid="{2DFA6577-00A5-4491-B96C-749E5558D26D}"/>
    <cellStyle name="Normal 11 2 2 6 2 3 3 2 3" xfId="30488" xr:uid="{19628DFF-61EC-48EA-BF68-A5215A943440}"/>
    <cellStyle name="Normal 11 2 2 6 2 3 3 2 3 2" xfId="30489" xr:uid="{A92FC325-0350-4E5A-AA26-375A2C627128}"/>
    <cellStyle name="Normal 11 2 2 6 2 3 3 2 4" xfId="30490" xr:uid="{BDC72728-487C-46DA-845D-B8D74C966B88}"/>
    <cellStyle name="Normal 11 2 2 6 2 3 3 3" xfId="30491" xr:uid="{9781C5A1-D0BD-4317-A800-B2CBBA730230}"/>
    <cellStyle name="Normal 11 2 2 6 2 3 3 3 2" xfId="30492" xr:uid="{F419D3DC-3835-409C-BFFD-32C645505EF5}"/>
    <cellStyle name="Normal 11 2 2 6 2 3 3 3 2 2" xfId="30493" xr:uid="{E0F8469A-F664-4473-8BEF-CB79145D368C}"/>
    <cellStyle name="Normal 11 2 2 6 2 3 3 3 3" xfId="30494" xr:uid="{98FA53B3-35BD-4BE3-BC43-124415846791}"/>
    <cellStyle name="Normal 11 2 2 6 2 3 3 4" xfId="30495" xr:uid="{7097C0A0-4FEF-416A-8424-EBA7F43BDE11}"/>
    <cellStyle name="Normal 11 2 2 6 2 3 3 4 2" xfId="30496" xr:uid="{059FB2CB-CC04-4DDA-B9DD-CC8FD36CE6AB}"/>
    <cellStyle name="Normal 11 2 2 6 2 3 3 5" xfId="30497" xr:uid="{059145C6-779A-4BD2-B8F3-22029453B5F3}"/>
    <cellStyle name="Normal 11 2 2 6 2 3 4" xfId="30498" xr:uid="{5A0A252B-6ABF-4B63-A23E-15CB7D46353C}"/>
    <cellStyle name="Normal 11 2 2 6 2 3 4 2" xfId="30499" xr:uid="{3E63A3C4-DF44-4891-AF03-EF5EA5F46925}"/>
    <cellStyle name="Normal 11 2 2 6 2 3 4 2 2" xfId="30500" xr:uid="{9A66F5AA-8FE3-4A8F-B22D-BC627734E545}"/>
    <cellStyle name="Normal 11 2 2 6 2 3 4 2 2 2" xfId="30501" xr:uid="{CD5522F8-7012-41F0-B59A-E6377B2AFFA8}"/>
    <cellStyle name="Normal 11 2 2 6 2 3 4 2 3" xfId="30502" xr:uid="{01ECE779-F5DD-46FE-9912-7A1C268D8408}"/>
    <cellStyle name="Normal 11 2 2 6 2 3 4 3" xfId="30503" xr:uid="{2E94D5C6-BD7D-4560-B0E7-8B4CF613179C}"/>
    <cellStyle name="Normal 11 2 2 6 2 3 4 3 2" xfId="30504" xr:uid="{D8BC7E03-C1EA-4A62-975F-1534679E77A2}"/>
    <cellStyle name="Normal 11 2 2 6 2 3 4 4" xfId="30505" xr:uid="{DEAF8107-621F-4D29-A38E-8584C38C0861}"/>
    <cellStyle name="Normal 11 2 2 6 2 3 5" xfId="30506" xr:uid="{882E7891-68A9-4810-93F5-EEC3D282FC16}"/>
    <cellStyle name="Normal 11 2 2 6 2 3 5 2" xfId="30507" xr:uid="{BC42230C-4E13-4CB0-BEB3-8A91431BC441}"/>
    <cellStyle name="Normal 11 2 2 6 2 3 5 2 2" xfId="30508" xr:uid="{0B1F77CB-4BC8-4981-952A-A124799F81D9}"/>
    <cellStyle name="Normal 11 2 2 6 2 3 5 3" xfId="30509" xr:uid="{95DB8D4F-FC3B-403E-AED3-C5D7C28D3016}"/>
    <cellStyle name="Normal 11 2 2 6 2 3 6" xfId="30510" xr:uid="{73EF5537-7D86-45CD-83C1-852AC9B3431F}"/>
    <cellStyle name="Normal 11 2 2 6 2 3 6 2" xfId="30511" xr:uid="{F6AFFE4F-05E1-46C3-AA69-BBDC33331AA1}"/>
    <cellStyle name="Normal 11 2 2 6 2 3 7" xfId="30512" xr:uid="{80F8A860-8EF9-4B83-8917-77CC8A926541}"/>
    <cellStyle name="Normal 11 2 2 6 2 4" xfId="30513" xr:uid="{884AB233-7B42-4797-8E73-D0C8647E36AB}"/>
    <cellStyle name="Normal 11 2 2 6 2 4 2" xfId="30514" xr:uid="{15ED5E8C-737D-4EE3-A6DC-65D0E2465109}"/>
    <cellStyle name="Normal 11 2 2 6 2 4 2 2" xfId="30515" xr:uid="{A8165462-7CD5-452D-8708-64235816D4F1}"/>
    <cellStyle name="Normal 11 2 2 6 2 4 2 2 2" xfId="30516" xr:uid="{FE975DFB-375E-4784-959D-B1FCC4E5909A}"/>
    <cellStyle name="Normal 11 2 2 6 2 4 2 2 2 2" xfId="30517" xr:uid="{93112425-3968-414B-85A0-A3508E4DFE65}"/>
    <cellStyle name="Normal 11 2 2 6 2 4 2 2 2 2 2" xfId="30518" xr:uid="{9A7DE4A9-CFF6-40A3-84B1-770748AC6D64}"/>
    <cellStyle name="Normal 11 2 2 6 2 4 2 2 2 3" xfId="30519" xr:uid="{197EA163-B836-410C-9040-64F16920BC32}"/>
    <cellStyle name="Normal 11 2 2 6 2 4 2 2 3" xfId="30520" xr:uid="{FDB51689-E24F-4852-86EA-6AE78E92A34A}"/>
    <cellStyle name="Normal 11 2 2 6 2 4 2 2 3 2" xfId="30521" xr:uid="{5B1BB5A8-0D1E-4C9C-A186-3569154CD9B6}"/>
    <cellStyle name="Normal 11 2 2 6 2 4 2 2 4" xfId="30522" xr:uid="{69CF47E5-0FDF-423B-BEF9-EB0779F14217}"/>
    <cellStyle name="Normal 11 2 2 6 2 4 2 3" xfId="30523" xr:uid="{56029DB4-3F6C-4886-BBD7-04F61066D2FD}"/>
    <cellStyle name="Normal 11 2 2 6 2 4 2 3 2" xfId="30524" xr:uid="{303DD771-9A22-4477-BC40-635A1A5422D3}"/>
    <cellStyle name="Normal 11 2 2 6 2 4 2 3 2 2" xfId="30525" xr:uid="{480DE3B6-C665-475A-9E9A-FA597861739B}"/>
    <cellStyle name="Normal 11 2 2 6 2 4 2 3 3" xfId="30526" xr:uid="{27399B8D-1134-4AA2-A693-919537D180B2}"/>
    <cellStyle name="Normal 11 2 2 6 2 4 2 4" xfId="30527" xr:uid="{7E36466C-7D2E-4F93-B6A0-0EE199EBE3D4}"/>
    <cellStyle name="Normal 11 2 2 6 2 4 2 4 2" xfId="30528" xr:uid="{27D7448F-B33C-47F8-9CA5-0F9553CEBDE3}"/>
    <cellStyle name="Normal 11 2 2 6 2 4 2 5" xfId="30529" xr:uid="{3E68F5B6-F331-490A-8DF5-54A65A81980E}"/>
    <cellStyle name="Normal 11 2 2 6 2 4 3" xfId="30530" xr:uid="{26022EB2-834E-4722-AB5E-459DACCD09A3}"/>
    <cellStyle name="Normal 11 2 2 6 2 4 3 2" xfId="30531" xr:uid="{D470A068-52FB-4DCA-BB87-0E90CDF7AFDC}"/>
    <cellStyle name="Normal 11 2 2 6 2 4 3 2 2" xfId="30532" xr:uid="{C8DB27C5-AD5F-4482-83E3-9596E99089E7}"/>
    <cellStyle name="Normal 11 2 2 6 2 4 3 2 2 2" xfId="30533" xr:uid="{76F70504-6F3B-4A81-81CF-8259F31E5677}"/>
    <cellStyle name="Normal 11 2 2 6 2 4 3 2 3" xfId="30534" xr:uid="{A76AC196-CF93-4E96-A82D-76F882C4130A}"/>
    <cellStyle name="Normal 11 2 2 6 2 4 3 3" xfId="30535" xr:uid="{01EE6B35-CCAA-4152-9273-4E2CD8A385E4}"/>
    <cellStyle name="Normal 11 2 2 6 2 4 3 3 2" xfId="30536" xr:uid="{00B5EC14-9E32-4C49-BA58-0526C0B5B1D9}"/>
    <cellStyle name="Normal 11 2 2 6 2 4 3 4" xfId="30537" xr:uid="{275C477A-B1C7-4C8E-AFDC-30368852DC73}"/>
    <cellStyle name="Normal 11 2 2 6 2 4 4" xfId="30538" xr:uid="{3BB0A4D4-3330-4740-B4BD-66B92510C38D}"/>
    <cellStyle name="Normal 11 2 2 6 2 4 4 2" xfId="30539" xr:uid="{FA42516F-07A2-4F38-92E1-837812A070CF}"/>
    <cellStyle name="Normal 11 2 2 6 2 4 4 2 2" xfId="30540" xr:uid="{D48F5EA7-B0FC-4B77-857F-3CD76F37D8BD}"/>
    <cellStyle name="Normal 11 2 2 6 2 4 4 3" xfId="30541" xr:uid="{BCB8A62D-C914-4926-B2DA-D62F8074F232}"/>
    <cellStyle name="Normal 11 2 2 6 2 4 5" xfId="30542" xr:uid="{100C10BF-61C0-49D2-A0DC-9684C73CBD57}"/>
    <cellStyle name="Normal 11 2 2 6 2 4 5 2" xfId="30543" xr:uid="{A76AD3FE-3877-46E0-AD9D-5716973E096F}"/>
    <cellStyle name="Normal 11 2 2 6 2 4 6" xfId="30544" xr:uid="{0FB7BB07-9BCF-43FF-B89F-91567E969160}"/>
    <cellStyle name="Normal 11 2 2 6 2 5" xfId="30545" xr:uid="{817F180E-ABB9-4CF2-A476-3397D6C30A6F}"/>
    <cellStyle name="Normal 11 2 2 6 2 5 2" xfId="30546" xr:uid="{5029005D-DEF5-4C52-A8C9-9FD9749DF8DB}"/>
    <cellStyle name="Normal 11 2 2 6 2 5 2 2" xfId="30547" xr:uid="{E67D2B0C-99CF-4D7E-92E5-F4209AD35FCC}"/>
    <cellStyle name="Normal 11 2 2 6 2 5 2 2 2" xfId="30548" xr:uid="{CA9E0D8F-FA5F-4B41-B4D5-A84B909462BA}"/>
    <cellStyle name="Normal 11 2 2 6 2 5 2 2 2 2" xfId="30549" xr:uid="{2AAC42CE-F0A5-414D-B6DE-A5FE02195780}"/>
    <cellStyle name="Normal 11 2 2 6 2 5 2 2 3" xfId="30550" xr:uid="{AFA507E1-7C5B-42D9-95AD-27165CE6F9E5}"/>
    <cellStyle name="Normal 11 2 2 6 2 5 2 3" xfId="30551" xr:uid="{BAC61794-3558-48FC-BFAA-1A5E8587AD62}"/>
    <cellStyle name="Normal 11 2 2 6 2 5 2 3 2" xfId="30552" xr:uid="{C280E87B-A1B9-4FF9-AE23-7DC3FF78B08C}"/>
    <cellStyle name="Normal 11 2 2 6 2 5 2 4" xfId="30553" xr:uid="{8654E7D7-E8E5-4348-AD5F-5920838D6C71}"/>
    <cellStyle name="Normal 11 2 2 6 2 5 3" xfId="30554" xr:uid="{52E1329F-C5B0-4506-A413-9B20AD2FA00F}"/>
    <cellStyle name="Normal 11 2 2 6 2 5 3 2" xfId="30555" xr:uid="{24D32C83-5488-406D-850A-713BBC60F48D}"/>
    <cellStyle name="Normal 11 2 2 6 2 5 3 2 2" xfId="30556" xr:uid="{B0BE8C10-8286-4D08-879D-B9222E0A5125}"/>
    <cellStyle name="Normal 11 2 2 6 2 5 3 3" xfId="30557" xr:uid="{91EC6EE4-CFD1-4D5E-B6CB-0C4658CDAF9F}"/>
    <cellStyle name="Normal 11 2 2 6 2 5 4" xfId="30558" xr:uid="{6F570FC4-36D5-4AB6-9807-384677ED0F97}"/>
    <cellStyle name="Normal 11 2 2 6 2 5 4 2" xfId="30559" xr:uid="{0A4B6B4C-8A31-407A-BBA2-A0D326BE774D}"/>
    <cellStyle name="Normal 11 2 2 6 2 5 5" xfId="30560" xr:uid="{018793BF-F5CC-4A26-8959-336AF694D245}"/>
    <cellStyle name="Normal 11 2 2 6 2 6" xfId="30561" xr:uid="{8379C3E5-B5EA-4FD7-8333-BDB2242A483F}"/>
    <cellStyle name="Normal 11 2 2 6 2 6 2" xfId="30562" xr:uid="{749FF80D-9E7C-4F8A-887F-213B7B043995}"/>
    <cellStyle name="Normal 11 2 2 6 2 6 2 2" xfId="30563" xr:uid="{FD2122F2-0C94-412B-AF5C-F34D8C761CA0}"/>
    <cellStyle name="Normal 11 2 2 6 2 6 2 2 2" xfId="30564" xr:uid="{D7983ECA-569D-4D02-8863-372D862C1EDB}"/>
    <cellStyle name="Normal 11 2 2 6 2 6 2 3" xfId="30565" xr:uid="{6BD22D08-3503-4FFF-8583-7DDA05632E63}"/>
    <cellStyle name="Normal 11 2 2 6 2 6 3" xfId="30566" xr:uid="{CCF11E04-3BE7-481B-9D84-9B7C9FD39417}"/>
    <cellStyle name="Normal 11 2 2 6 2 6 3 2" xfId="30567" xr:uid="{8E3FB33D-F526-40BC-B4B9-778AF41F006F}"/>
    <cellStyle name="Normal 11 2 2 6 2 6 4" xfId="30568" xr:uid="{32937536-D0E7-4361-9B97-190F040A8AA3}"/>
    <cellStyle name="Normal 11 2 2 6 2 7" xfId="30569" xr:uid="{1AA2DCA1-5585-4210-883A-4DDD1102DCBF}"/>
    <cellStyle name="Normal 11 2 2 6 2 7 2" xfId="30570" xr:uid="{752CE732-E70C-4CC9-AA26-EC91026CFBA2}"/>
    <cellStyle name="Normal 11 2 2 6 2 7 2 2" xfId="30571" xr:uid="{85281516-FE33-44B8-A4FD-87DE6999B87F}"/>
    <cellStyle name="Normal 11 2 2 6 2 7 3" xfId="30572" xr:uid="{F994B3B2-76F0-4397-8B1A-8B006CFFF083}"/>
    <cellStyle name="Normal 11 2 2 6 2 8" xfId="30573" xr:uid="{510CBDEA-333B-41FA-ADEA-C87B771108F7}"/>
    <cellStyle name="Normal 11 2 2 6 2 8 2" xfId="30574" xr:uid="{01063C1A-206D-45A7-A7E7-57C6E85317A7}"/>
    <cellStyle name="Normal 11 2 2 6 2 9" xfId="30575" xr:uid="{57DCDD86-84E6-4F40-815F-0F557D93AD86}"/>
    <cellStyle name="Normal 11 2 2 6 3" xfId="507" xr:uid="{9D272500-1A2A-44F4-B81D-B8DB5589B96C}"/>
    <cellStyle name="Normal 11 2 2 6 3 2" xfId="30577" xr:uid="{E79394AE-B4B5-4B59-8575-5AA1B5A81208}"/>
    <cellStyle name="Normal 11 2 2 6 3 2 2" xfId="30578" xr:uid="{3031C803-EB20-4B23-A49D-548372CC14AE}"/>
    <cellStyle name="Normal 11 2 2 6 3 2 2 2" xfId="30579" xr:uid="{BED95947-CE4E-4763-85D3-5FAFA14302BB}"/>
    <cellStyle name="Normal 11 2 2 6 3 2 2 2 2" xfId="30580" xr:uid="{4C2CC86C-4F02-4ADF-815C-89FC31BA6838}"/>
    <cellStyle name="Normal 11 2 2 6 3 2 2 2 2 2" xfId="30581" xr:uid="{3AB11C18-2B6B-49EC-A019-F77BBCAD9663}"/>
    <cellStyle name="Normal 11 2 2 6 3 2 2 2 2 2 2" xfId="30582" xr:uid="{070180C3-75DF-4E0D-8CB3-93D0B928594F}"/>
    <cellStyle name="Normal 11 2 2 6 3 2 2 2 2 2 2 2" xfId="30583" xr:uid="{8C43D44C-A05C-448E-9907-E181301284A3}"/>
    <cellStyle name="Normal 11 2 2 6 3 2 2 2 2 2 3" xfId="30584" xr:uid="{838C988F-B89D-4BEF-B08B-1A19EAF9CFD7}"/>
    <cellStyle name="Normal 11 2 2 6 3 2 2 2 2 3" xfId="30585" xr:uid="{A13A9048-B8A5-4EAF-8EAD-33E0EE0DC0DC}"/>
    <cellStyle name="Normal 11 2 2 6 3 2 2 2 2 3 2" xfId="30586" xr:uid="{425A3F6F-59CF-4770-B418-54D69281E92C}"/>
    <cellStyle name="Normal 11 2 2 6 3 2 2 2 2 4" xfId="30587" xr:uid="{6A661C7B-2FC4-4F65-8269-144D071CF23C}"/>
    <cellStyle name="Normal 11 2 2 6 3 2 2 2 3" xfId="30588" xr:uid="{20F74849-3271-4871-9526-DCD90777A183}"/>
    <cellStyle name="Normal 11 2 2 6 3 2 2 2 3 2" xfId="30589" xr:uid="{282B6B55-4463-46CC-9925-77F004B3B8DA}"/>
    <cellStyle name="Normal 11 2 2 6 3 2 2 2 3 2 2" xfId="30590" xr:uid="{589A64B2-AFC1-4CA1-8F28-F1DDF9794516}"/>
    <cellStyle name="Normal 11 2 2 6 3 2 2 2 3 3" xfId="30591" xr:uid="{9067A677-D64A-4230-BF57-F47530ADE3FA}"/>
    <cellStyle name="Normal 11 2 2 6 3 2 2 2 4" xfId="30592" xr:uid="{3508828B-7937-485D-8A76-9ECE982A16D8}"/>
    <cellStyle name="Normal 11 2 2 6 3 2 2 2 4 2" xfId="30593" xr:uid="{F522BEFA-9F1C-4028-BA14-6001BEDF444E}"/>
    <cellStyle name="Normal 11 2 2 6 3 2 2 2 5" xfId="30594" xr:uid="{1479F232-8B4C-4215-B8E9-D5107EF5DC0E}"/>
    <cellStyle name="Normal 11 2 2 6 3 2 2 3" xfId="30595" xr:uid="{0A31F127-670E-46F8-BAC5-891D400C41E8}"/>
    <cellStyle name="Normal 11 2 2 6 3 2 2 3 2" xfId="30596" xr:uid="{51798875-5913-47E2-9500-54741B5173B8}"/>
    <cellStyle name="Normal 11 2 2 6 3 2 2 3 2 2" xfId="30597" xr:uid="{264F10A4-1552-4E26-A8AD-AEAF2C156EFA}"/>
    <cellStyle name="Normal 11 2 2 6 3 2 2 3 2 2 2" xfId="30598" xr:uid="{A6F586D5-7E20-44C7-BA67-6D2D8AE105B9}"/>
    <cellStyle name="Normal 11 2 2 6 3 2 2 3 2 3" xfId="30599" xr:uid="{68BB73FB-C416-4D19-BEB4-C1C865A07E37}"/>
    <cellStyle name="Normal 11 2 2 6 3 2 2 3 3" xfId="30600" xr:uid="{CF35FF41-3A29-4CCD-9534-B3ADFDA20ACA}"/>
    <cellStyle name="Normal 11 2 2 6 3 2 2 3 3 2" xfId="30601" xr:uid="{C3E1C1A3-83B6-4202-80D8-FF8A7E6A28E7}"/>
    <cellStyle name="Normal 11 2 2 6 3 2 2 3 4" xfId="30602" xr:uid="{9F251681-DA68-4842-BF3F-F726363B170D}"/>
    <cellStyle name="Normal 11 2 2 6 3 2 2 4" xfId="30603" xr:uid="{E16A9080-6922-47F7-A90D-D30687E585BF}"/>
    <cellStyle name="Normal 11 2 2 6 3 2 2 4 2" xfId="30604" xr:uid="{FA974A46-3139-4033-94B9-35FCE0412C15}"/>
    <cellStyle name="Normal 11 2 2 6 3 2 2 4 2 2" xfId="30605" xr:uid="{254F1D82-8B47-4244-9D0B-20E2BD1557DE}"/>
    <cellStyle name="Normal 11 2 2 6 3 2 2 4 3" xfId="30606" xr:uid="{0699288A-068F-47F7-9BAC-A9F122021B54}"/>
    <cellStyle name="Normal 11 2 2 6 3 2 2 5" xfId="30607" xr:uid="{D1AD295F-500A-4F7E-9180-B691A2054E1A}"/>
    <cellStyle name="Normal 11 2 2 6 3 2 2 5 2" xfId="30608" xr:uid="{69CA1BC8-EB01-47D1-B58C-30E578B1DC5F}"/>
    <cellStyle name="Normal 11 2 2 6 3 2 2 6" xfId="30609" xr:uid="{42E69005-CE61-49C9-870C-FBEC69D6B81C}"/>
    <cellStyle name="Normal 11 2 2 6 3 2 3" xfId="30610" xr:uid="{05FB2D24-5450-43E1-AD5D-0D88F6FBB484}"/>
    <cellStyle name="Normal 11 2 2 6 3 2 3 2" xfId="30611" xr:uid="{3FE1725E-860D-4B75-A5C6-67A06E2E8BE2}"/>
    <cellStyle name="Normal 11 2 2 6 3 2 3 2 2" xfId="30612" xr:uid="{5C8E3CCA-73F3-4577-824F-CF0837253A76}"/>
    <cellStyle name="Normal 11 2 2 6 3 2 3 2 2 2" xfId="30613" xr:uid="{59CA6132-D2C0-45A2-90CB-A2EB683997D6}"/>
    <cellStyle name="Normal 11 2 2 6 3 2 3 2 2 2 2" xfId="30614" xr:uid="{FCD70C13-A1E2-4E8F-AB87-D48A95F78962}"/>
    <cellStyle name="Normal 11 2 2 6 3 2 3 2 2 3" xfId="30615" xr:uid="{2CBEA22C-6363-44B5-B1EA-850F9CD6312C}"/>
    <cellStyle name="Normal 11 2 2 6 3 2 3 2 3" xfId="30616" xr:uid="{99F63891-2180-4D40-B07D-1B85DBE972BA}"/>
    <cellStyle name="Normal 11 2 2 6 3 2 3 2 3 2" xfId="30617" xr:uid="{D28BF011-20D8-4218-868E-9CA6BD6F908F}"/>
    <cellStyle name="Normal 11 2 2 6 3 2 3 2 4" xfId="30618" xr:uid="{039B2881-AB93-4FE6-8CCF-8BB14F7C5E33}"/>
    <cellStyle name="Normal 11 2 2 6 3 2 3 3" xfId="30619" xr:uid="{519F9D33-430C-4CE1-B235-2478C5E575AF}"/>
    <cellStyle name="Normal 11 2 2 6 3 2 3 3 2" xfId="30620" xr:uid="{AB5E1FAE-55A8-467E-BB95-214425BE2416}"/>
    <cellStyle name="Normal 11 2 2 6 3 2 3 3 2 2" xfId="30621" xr:uid="{0AA69EF2-5BB8-4AA2-B1CC-99CF1386554B}"/>
    <cellStyle name="Normal 11 2 2 6 3 2 3 3 3" xfId="30622" xr:uid="{3178E119-9C25-4B95-9D07-64BE22736FF7}"/>
    <cellStyle name="Normal 11 2 2 6 3 2 3 4" xfId="30623" xr:uid="{912DF85F-5F2E-4FAE-A7E3-AE7A1E27CC23}"/>
    <cellStyle name="Normal 11 2 2 6 3 2 3 4 2" xfId="30624" xr:uid="{DF0C9E14-A7AE-4713-853E-2301C421C8A6}"/>
    <cellStyle name="Normal 11 2 2 6 3 2 3 5" xfId="30625" xr:uid="{D3949210-E4C0-4DDB-BCB4-43FD39E3F8A7}"/>
    <cellStyle name="Normal 11 2 2 6 3 2 4" xfId="30626" xr:uid="{30F06E6E-6F4B-4673-8BB3-D8ED794EBEA5}"/>
    <cellStyle name="Normal 11 2 2 6 3 2 4 2" xfId="30627" xr:uid="{BD94357F-348E-4657-BF73-6BFE7498DCAA}"/>
    <cellStyle name="Normal 11 2 2 6 3 2 4 2 2" xfId="30628" xr:uid="{0369538A-F3C9-4036-AC69-CBCF5E9538C2}"/>
    <cellStyle name="Normal 11 2 2 6 3 2 4 2 2 2" xfId="30629" xr:uid="{69A9E15D-35CB-4F9E-AEE7-F42CCFE921BE}"/>
    <cellStyle name="Normal 11 2 2 6 3 2 4 2 3" xfId="30630" xr:uid="{4E8B5065-B8FE-4923-B886-19ACD657E276}"/>
    <cellStyle name="Normal 11 2 2 6 3 2 4 3" xfId="30631" xr:uid="{94D7B6F9-0CA3-402D-A286-4F92112616B3}"/>
    <cellStyle name="Normal 11 2 2 6 3 2 4 3 2" xfId="30632" xr:uid="{FE7C44F5-F6CB-4548-8E3F-D590BC4141CA}"/>
    <cellStyle name="Normal 11 2 2 6 3 2 4 4" xfId="30633" xr:uid="{80B28680-A306-425A-A13E-7777B670CCFD}"/>
    <cellStyle name="Normal 11 2 2 6 3 2 5" xfId="30634" xr:uid="{E98C5D37-EA44-4139-A288-891A3DD80A7C}"/>
    <cellStyle name="Normal 11 2 2 6 3 2 5 2" xfId="30635" xr:uid="{A6F5E66B-E415-4D7C-AE83-31E3C49EDD5E}"/>
    <cellStyle name="Normal 11 2 2 6 3 2 5 2 2" xfId="30636" xr:uid="{0DDB0DCA-D723-41C3-9F44-CFAA805E38D6}"/>
    <cellStyle name="Normal 11 2 2 6 3 2 5 3" xfId="30637" xr:uid="{5C4F6897-DC50-4E36-858A-391308A8AB75}"/>
    <cellStyle name="Normal 11 2 2 6 3 2 6" xfId="30638" xr:uid="{49D7127F-0436-41FD-A506-6AE914AB16AC}"/>
    <cellStyle name="Normal 11 2 2 6 3 2 6 2" xfId="30639" xr:uid="{C24C59EB-328B-4481-B36F-4A2FA3FE7984}"/>
    <cellStyle name="Normal 11 2 2 6 3 2 7" xfId="30640" xr:uid="{F0640865-5E0D-4889-B277-12362F8E90BD}"/>
    <cellStyle name="Normal 11 2 2 6 3 3" xfId="30641" xr:uid="{59B7FC30-7AAE-44A4-A100-8301BA29FCFC}"/>
    <cellStyle name="Normal 11 2 2 6 3 3 2" xfId="30642" xr:uid="{7F29B85B-F908-4939-B2F6-9C429040664A}"/>
    <cellStyle name="Normal 11 2 2 6 3 3 2 2" xfId="30643" xr:uid="{744AA03A-1005-40CA-B701-84B4D48D9BE9}"/>
    <cellStyle name="Normal 11 2 2 6 3 3 2 2 2" xfId="30644" xr:uid="{DD267F87-75D0-4976-8289-921C179008E9}"/>
    <cellStyle name="Normal 11 2 2 6 3 3 2 2 2 2" xfId="30645" xr:uid="{3A3EADDF-1FF0-4FFA-A01C-63227C943BB2}"/>
    <cellStyle name="Normal 11 2 2 6 3 3 2 2 2 2 2" xfId="30646" xr:uid="{011665AA-71E0-4A65-B7A8-DD6704007B6F}"/>
    <cellStyle name="Normal 11 2 2 6 3 3 2 2 2 3" xfId="30647" xr:uid="{5949651A-1C5E-4047-9E20-A5F81F68199F}"/>
    <cellStyle name="Normal 11 2 2 6 3 3 2 2 3" xfId="30648" xr:uid="{25B538DD-4035-4563-80CC-844DE45E741C}"/>
    <cellStyle name="Normal 11 2 2 6 3 3 2 2 3 2" xfId="30649" xr:uid="{96BB7731-C5A5-46B6-A6D6-2ECF7A823BEE}"/>
    <cellStyle name="Normal 11 2 2 6 3 3 2 2 4" xfId="30650" xr:uid="{D4E9B15A-1FAE-4EDB-89F9-8A7B2AED211A}"/>
    <cellStyle name="Normal 11 2 2 6 3 3 2 3" xfId="30651" xr:uid="{8CFCF600-5629-474C-B59B-D04DC15BE33F}"/>
    <cellStyle name="Normal 11 2 2 6 3 3 2 3 2" xfId="30652" xr:uid="{712908A7-F66C-4F26-9074-44CAD2D90174}"/>
    <cellStyle name="Normal 11 2 2 6 3 3 2 3 2 2" xfId="30653" xr:uid="{B333EF3A-C45D-4F13-BC61-DEC6B6FD50A7}"/>
    <cellStyle name="Normal 11 2 2 6 3 3 2 3 3" xfId="30654" xr:uid="{4F0BC73A-9F22-4E96-BE00-4257D989373D}"/>
    <cellStyle name="Normal 11 2 2 6 3 3 2 4" xfId="30655" xr:uid="{02730CE2-30B2-4803-B6CD-90CD83B1B8FE}"/>
    <cellStyle name="Normal 11 2 2 6 3 3 2 4 2" xfId="30656" xr:uid="{D443A6F2-1BE3-4894-92BD-66E2BA966C71}"/>
    <cellStyle name="Normal 11 2 2 6 3 3 2 5" xfId="30657" xr:uid="{33E55532-1FD8-477D-AA06-88DDF8EF0E73}"/>
    <cellStyle name="Normal 11 2 2 6 3 3 3" xfId="30658" xr:uid="{257C2EB8-0F95-4A1F-B916-19848CCE24C0}"/>
    <cellStyle name="Normal 11 2 2 6 3 3 3 2" xfId="30659" xr:uid="{18F815AE-6DEE-4FB4-BBCE-4FA2A50DB90A}"/>
    <cellStyle name="Normal 11 2 2 6 3 3 3 2 2" xfId="30660" xr:uid="{D8CF9DBA-C0E6-43E9-8E93-797FBA3DDA13}"/>
    <cellStyle name="Normal 11 2 2 6 3 3 3 2 2 2" xfId="30661" xr:uid="{BBBFD89A-5A6F-4AAD-A180-C393CACF4615}"/>
    <cellStyle name="Normal 11 2 2 6 3 3 3 2 3" xfId="30662" xr:uid="{A22C3D55-4E18-4ACC-A1BB-B38E3E14E590}"/>
    <cellStyle name="Normal 11 2 2 6 3 3 3 3" xfId="30663" xr:uid="{CD63AE40-69DB-4A1C-9A50-006FC5CEC7F9}"/>
    <cellStyle name="Normal 11 2 2 6 3 3 3 3 2" xfId="30664" xr:uid="{7DA06500-1B4B-473C-9F42-EF21424310D5}"/>
    <cellStyle name="Normal 11 2 2 6 3 3 3 4" xfId="30665" xr:uid="{B38767DE-9C33-4EEF-A89E-23E15F4D85FD}"/>
    <cellStyle name="Normal 11 2 2 6 3 3 4" xfId="30666" xr:uid="{3191E598-17DB-4DF1-B15F-EE91DE463EDD}"/>
    <cellStyle name="Normal 11 2 2 6 3 3 4 2" xfId="30667" xr:uid="{766982FF-8A53-4693-98B8-305DE976121B}"/>
    <cellStyle name="Normal 11 2 2 6 3 3 4 2 2" xfId="30668" xr:uid="{D4EADB50-DE2A-45AC-B1ED-91D889A16543}"/>
    <cellStyle name="Normal 11 2 2 6 3 3 4 3" xfId="30669" xr:uid="{8B036549-36D7-4835-B860-D09289C69C1E}"/>
    <cellStyle name="Normal 11 2 2 6 3 3 5" xfId="30670" xr:uid="{5AFF38FD-00A2-460F-B639-A373D9BC12DA}"/>
    <cellStyle name="Normal 11 2 2 6 3 3 5 2" xfId="30671" xr:uid="{0557D68F-ECD2-4F98-ADB3-566913D44AFF}"/>
    <cellStyle name="Normal 11 2 2 6 3 3 6" xfId="30672" xr:uid="{3C7612D0-908B-4896-AE43-C0748D76AD33}"/>
    <cellStyle name="Normal 11 2 2 6 3 4" xfId="30673" xr:uid="{A01A5090-694B-4C74-9045-CD78E34FDC83}"/>
    <cellStyle name="Normal 11 2 2 6 3 4 2" xfId="30674" xr:uid="{8A1E9CA8-0B3D-4DFD-AA26-8B0DE3D4105B}"/>
    <cellStyle name="Normal 11 2 2 6 3 4 2 2" xfId="30675" xr:uid="{1525D14D-B5D9-4741-B5E3-BF4841531003}"/>
    <cellStyle name="Normal 11 2 2 6 3 4 2 2 2" xfId="30676" xr:uid="{D764E207-1765-4F74-87EB-CF3BF9CBC2C7}"/>
    <cellStyle name="Normal 11 2 2 6 3 4 2 2 2 2" xfId="30677" xr:uid="{88E1FB54-C7F5-4F2F-87E4-15DF21942C54}"/>
    <cellStyle name="Normal 11 2 2 6 3 4 2 2 3" xfId="30678" xr:uid="{14E28071-8E65-408B-A263-AD1E7A7F44E2}"/>
    <cellStyle name="Normal 11 2 2 6 3 4 2 3" xfId="30679" xr:uid="{672AAF70-2A7A-4920-A739-9EDDE302E2B3}"/>
    <cellStyle name="Normal 11 2 2 6 3 4 2 3 2" xfId="30680" xr:uid="{EEFDE0FF-623B-4BDD-BE8E-9DA6DC279E12}"/>
    <cellStyle name="Normal 11 2 2 6 3 4 2 4" xfId="30681" xr:uid="{6C149FA8-3A75-4554-9AE8-F5C2D90C542D}"/>
    <cellStyle name="Normal 11 2 2 6 3 4 3" xfId="30682" xr:uid="{F01E8262-E4C5-4189-862F-392073546A6A}"/>
    <cellStyle name="Normal 11 2 2 6 3 4 3 2" xfId="30683" xr:uid="{B5B48438-C55F-44D6-956F-F2129F696960}"/>
    <cellStyle name="Normal 11 2 2 6 3 4 3 2 2" xfId="30684" xr:uid="{CD69A5D8-D233-4B09-B32B-77F72378D437}"/>
    <cellStyle name="Normal 11 2 2 6 3 4 3 3" xfId="30685" xr:uid="{9BDCF25A-D1EB-40E1-A574-5BC85E9C82B7}"/>
    <cellStyle name="Normal 11 2 2 6 3 4 4" xfId="30686" xr:uid="{168E147D-44FA-4180-995F-9BCCADFB6724}"/>
    <cellStyle name="Normal 11 2 2 6 3 4 4 2" xfId="30687" xr:uid="{CCDA2DDC-C84E-4A95-943E-D3F554D2EDB9}"/>
    <cellStyle name="Normal 11 2 2 6 3 4 5" xfId="30688" xr:uid="{2C4CE7DB-023F-436D-A9FB-475DA9DC5189}"/>
    <cellStyle name="Normal 11 2 2 6 3 5" xfId="30689" xr:uid="{BD6FB912-7243-4FE9-844C-200CC1262BBE}"/>
    <cellStyle name="Normal 11 2 2 6 3 5 2" xfId="30690" xr:uid="{62C482DD-4BA1-4327-A2F2-3240C8D5C431}"/>
    <cellStyle name="Normal 11 2 2 6 3 5 2 2" xfId="30691" xr:uid="{D0441A6B-6899-48C1-8938-27A361BD1DAE}"/>
    <cellStyle name="Normal 11 2 2 6 3 5 2 2 2" xfId="30692" xr:uid="{B58EF9EB-8EDD-4E38-8BB9-0957800B55C2}"/>
    <cellStyle name="Normal 11 2 2 6 3 5 2 3" xfId="30693" xr:uid="{67907B7D-F362-4DA5-A822-0B2B5CEEC2A6}"/>
    <cellStyle name="Normal 11 2 2 6 3 5 3" xfId="30694" xr:uid="{369F217E-6ACA-41A5-A8C8-F913FB4B8E25}"/>
    <cellStyle name="Normal 11 2 2 6 3 5 3 2" xfId="30695" xr:uid="{3731A335-4C2E-4277-AE65-F69097F771E3}"/>
    <cellStyle name="Normal 11 2 2 6 3 5 4" xfId="30696" xr:uid="{0431E13B-CEEB-4E6B-A2A4-AA27B881F4AF}"/>
    <cellStyle name="Normal 11 2 2 6 3 6" xfId="30697" xr:uid="{3EF04B86-9DA1-4338-B8E5-0C07BFA9615E}"/>
    <cellStyle name="Normal 11 2 2 6 3 6 2" xfId="30698" xr:uid="{18782A32-CEED-4C8B-B4EF-4019148EE7CB}"/>
    <cellStyle name="Normal 11 2 2 6 3 6 2 2" xfId="30699" xr:uid="{8AAD6645-31D3-4F0B-9321-F7937D6B2E25}"/>
    <cellStyle name="Normal 11 2 2 6 3 6 3" xfId="30700" xr:uid="{DF5D2D20-2135-4AF0-B0A9-27EA8014296A}"/>
    <cellStyle name="Normal 11 2 2 6 3 7" xfId="30701" xr:uid="{DAC1F643-1643-48C0-B96D-E8B39E479E9A}"/>
    <cellStyle name="Normal 11 2 2 6 3 7 2" xfId="30702" xr:uid="{14F294B8-0435-4569-8BED-819FF51748F7}"/>
    <cellStyle name="Normal 11 2 2 6 3 8" xfId="30703" xr:uid="{DA1768DE-DD34-4D8A-889F-262701D6D351}"/>
    <cellStyle name="Normal 11 2 2 6 3 9" xfId="30576" xr:uid="{A11568D5-946A-4C68-A04C-E8AE3765CEF6}"/>
    <cellStyle name="Normal 11 2 2 6 4" xfId="30704" xr:uid="{71A50521-4539-40D2-A4E4-6A4675EE1789}"/>
    <cellStyle name="Normal 11 2 2 6 4 2" xfId="30705" xr:uid="{20AB314C-7333-4447-8285-C55589BB93DB}"/>
    <cellStyle name="Normal 11 2 2 6 4 2 2" xfId="30706" xr:uid="{880D4CBD-C409-4CE8-A9A4-496A6A71CC73}"/>
    <cellStyle name="Normal 11 2 2 6 4 2 2 2" xfId="30707" xr:uid="{966922AF-7D83-4B68-ACEF-63771B8A3916}"/>
    <cellStyle name="Normal 11 2 2 6 4 2 2 2 2" xfId="30708" xr:uid="{4C6E16F0-AFC8-4769-81E6-F91D736227CF}"/>
    <cellStyle name="Normal 11 2 2 6 4 2 2 2 2 2" xfId="30709" xr:uid="{6A38662C-DFCA-48CA-861A-02AD2236FC34}"/>
    <cellStyle name="Normal 11 2 2 6 4 2 2 2 2 2 2" xfId="30710" xr:uid="{045E1159-B35C-42CA-B168-3C482FB3EE30}"/>
    <cellStyle name="Normal 11 2 2 6 4 2 2 2 2 3" xfId="30711" xr:uid="{31478234-C8F0-4996-94BA-BC3E78C593FA}"/>
    <cellStyle name="Normal 11 2 2 6 4 2 2 2 3" xfId="30712" xr:uid="{9907EA54-CDBC-4CDB-8B17-D88FB6E6EC07}"/>
    <cellStyle name="Normal 11 2 2 6 4 2 2 2 3 2" xfId="30713" xr:uid="{BB72627A-325E-4A0A-912E-B63CC7508B0C}"/>
    <cellStyle name="Normal 11 2 2 6 4 2 2 2 4" xfId="30714" xr:uid="{BE47FBBF-4A8B-4E9C-8B44-6A081267726C}"/>
    <cellStyle name="Normal 11 2 2 6 4 2 2 3" xfId="30715" xr:uid="{1F43F27B-D1B3-46EC-8202-58CB93F2E0C9}"/>
    <cellStyle name="Normal 11 2 2 6 4 2 2 3 2" xfId="30716" xr:uid="{E77B7B13-2FA3-4FA0-997C-38D56D54DC49}"/>
    <cellStyle name="Normal 11 2 2 6 4 2 2 3 2 2" xfId="30717" xr:uid="{3E2B57DE-B52F-4F1C-AE74-8473D99DF395}"/>
    <cellStyle name="Normal 11 2 2 6 4 2 2 3 3" xfId="30718" xr:uid="{A799635A-6360-42BD-B75F-8A652CDC419E}"/>
    <cellStyle name="Normal 11 2 2 6 4 2 2 4" xfId="30719" xr:uid="{0AA0D4AA-86C2-4059-A448-F3F9D1DDCF6C}"/>
    <cellStyle name="Normal 11 2 2 6 4 2 2 4 2" xfId="30720" xr:uid="{774D5362-A05C-49DD-85AD-017BD5FEA39B}"/>
    <cellStyle name="Normal 11 2 2 6 4 2 2 5" xfId="30721" xr:uid="{6265626A-B080-4417-BF9B-2287E3659438}"/>
    <cellStyle name="Normal 11 2 2 6 4 2 3" xfId="30722" xr:uid="{EE878F4D-54A0-4CA2-A1FC-8388C90C74A1}"/>
    <cellStyle name="Normal 11 2 2 6 4 2 3 2" xfId="30723" xr:uid="{72B267EB-2F0D-4667-9635-9808BFEF24E6}"/>
    <cellStyle name="Normal 11 2 2 6 4 2 3 2 2" xfId="30724" xr:uid="{02DAF4C8-6048-4B2B-9B14-E1745450596E}"/>
    <cellStyle name="Normal 11 2 2 6 4 2 3 2 2 2" xfId="30725" xr:uid="{4229991E-422A-4487-B81D-4DF83E72AFDE}"/>
    <cellStyle name="Normal 11 2 2 6 4 2 3 2 3" xfId="30726" xr:uid="{D8E435E4-D584-4EA9-9692-DB7A6396BFE4}"/>
    <cellStyle name="Normal 11 2 2 6 4 2 3 3" xfId="30727" xr:uid="{4F6F3DA8-1782-4790-93AA-771376C9970E}"/>
    <cellStyle name="Normal 11 2 2 6 4 2 3 3 2" xfId="30728" xr:uid="{0A026086-EB34-4FC1-B3E5-7F752287AFF6}"/>
    <cellStyle name="Normal 11 2 2 6 4 2 3 4" xfId="30729" xr:uid="{9031D469-CB97-4AFC-A5B6-41A3EE297D5B}"/>
    <cellStyle name="Normal 11 2 2 6 4 2 4" xfId="30730" xr:uid="{EA04B0C8-6746-4BAF-8980-95EEB9D31E54}"/>
    <cellStyle name="Normal 11 2 2 6 4 2 4 2" xfId="30731" xr:uid="{82F3AF22-87D5-472C-8373-9BA80979BB56}"/>
    <cellStyle name="Normal 11 2 2 6 4 2 4 2 2" xfId="30732" xr:uid="{7A250B59-48A4-40CE-A84A-822D62928501}"/>
    <cellStyle name="Normal 11 2 2 6 4 2 4 3" xfId="30733" xr:uid="{765F78D7-8D08-41A5-8CE0-6629C06F9B91}"/>
    <cellStyle name="Normal 11 2 2 6 4 2 5" xfId="30734" xr:uid="{60FBDF6E-02BB-467D-9B65-7A948CC0CE10}"/>
    <cellStyle name="Normal 11 2 2 6 4 2 5 2" xfId="30735" xr:uid="{01D51306-1491-45B1-AD81-D65F37C7E507}"/>
    <cellStyle name="Normal 11 2 2 6 4 2 6" xfId="30736" xr:uid="{4A467A03-2D7A-4ABB-9EE6-A400A321F91A}"/>
    <cellStyle name="Normal 11 2 2 6 4 3" xfId="30737" xr:uid="{88A81B2B-25D7-43B7-8146-BEEC87FB41A6}"/>
    <cellStyle name="Normal 11 2 2 6 4 3 2" xfId="30738" xr:uid="{81B4ACAD-BB06-466B-9769-B7407E21E10A}"/>
    <cellStyle name="Normal 11 2 2 6 4 3 2 2" xfId="30739" xr:uid="{444F8B7B-B332-48A0-A0AC-CFDF10C60F3E}"/>
    <cellStyle name="Normal 11 2 2 6 4 3 2 2 2" xfId="30740" xr:uid="{38D9F7F0-740E-468A-8142-CF0538E6211F}"/>
    <cellStyle name="Normal 11 2 2 6 4 3 2 2 2 2" xfId="30741" xr:uid="{2B019877-BCC7-44E8-BA96-1E313707BAA6}"/>
    <cellStyle name="Normal 11 2 2 6 4 3 2 2 3" xfId="30742" xr:uid="{CA251E8D-E8D7-41E2-ABC1-F2FE5D8DA624}"/>
    <cellStyle name="Normal 11 2 2 6 4 3 2 3" xfId="30743" xr:uid="{FBFDF3CD-4B2D-4939-B239-A640C11AD8ED}"/>
    <cellStyle name="Normal 11 2 2 6 4 3 2 3 2" xfId="30744" xr:uid="{605919FC-10A3-4F52-92BF-A74794FB7492}"/>
    <cellStyle name="Normal 11 2 2 6 4 3 2 4" xfId="30745" xr:uid="{ACB08257-5796-4B45-BA05-C1064E7D6E49}"/>
    <cellStyle name="Normal 11 2 2 6 4 3 3" xfId="30746" xr:uid="{3738181D-D0B1-4285-A75B-9E5A02A0B73C}"/>
    <cellStyle name="Normal 11 2 2 6 4 3 3 2" xfId="30747" xr:uid="{8756C741-5EFF-48E0-B98E-10C713570D3E}"/>
    <cellStyle name="Normal 11 2 2 6 4 3 3 2 2" xfId="30748" xr:uid="{ED0D3E07-D5EC-4CB6-B537-97E22AE7BE97}"/>
    <cellStyle name="Normal 11 2 2 6 4 3 3 3" xfId="30749" xr:uid="{BE63DCA5-6899-4795-B6DD-8379768C8756}"/>
    <cellStyle name="Normal 11 2 2 6 4 3 4" xfId="30750" xr:uid="{3B269753-C49C-4255-B20C-32DA911724A1}"/>
    <cellStyle name="Normal 11 2 2 6 4 3 4 2" xfId="30751" xr:uid="{BB1543F4-F5DB-4A65-959F-5BFC69ECD73D}"/>
    <cellStyle name="Normal 11 2 2 6 4 3 5" xfId="30752" xr:uid="{1C8D8F84-3BDB-41D5-BAE7-A41D679D1ABA}"/>
    <cellStyle name="Normal 11 2 2 6 4 4" xfId="30753" xr:uid="{4CC494AC-D8CA-4303-8E86-808429FDA343}"/>
    <cellStyle name="Normal 11 2 2 6 4 4 2" xfId="30754" xr:uid="{052D3F81-9DDF-4BCB-BB2D-9EE84A638F24}"/>
    <cellStyle name="Normal 11 2 2 6 4 4 2 2" xfId="30755" xr:uid="{9E7CA070-940E-49CA-9E12-EEA2D496E4A6}"/>
    <cellStyle name="Normal 11 2 2 6 4 4 2 2 2" xfId="30756" xr:uid="{2F78EF9B-AB4A-4722-857E-3FA1535CDF8E}"/>
    <cellStyle name="Normal 11 2 2 6 4 4 2 3" xfId="30757" xr:uid="{D431D4F9-080C-4D2F-B879-3EDCB592E125}"/>
    <cellStyle name="Normal 11 2 2 6 4 4 3" xfId="30758" xr:uid="{6D2B6C50-56E2-4ACF-9232-DD4D16414DA9}"/>
    <cellStyle name="Normal 11 2 2 6 4 4 3 2" xfId="30759" xr:uid="{C3DB2835-0217-4498-AD83-4C52EC654145}"/>
    <cellStyle name="Normal 11 2 2 6 4 4 4" xfId="30760" xr:uid="{18DE4176-9499-41A1-A244-9B3D5008FF14}"/>
    <cellStyle name="Normal 11 2 2 6 4 5" xfId="30761" xr:uid="{13669522-1135-45AE-8C98-0594B2A6AB60}"/>
    <cellStyle name="Normal 11 2 2 6 4 5 2" xfId="30762" xr:uid="{D022DDEA-92B1-4A00-A886-CF8DE9A524FA}"/>
    <cellStyle name="Normal 11 2 2 6 4 5 2 2" xfId="30763" xr:uid="{AC272D33-089F-4894-B43B-88F94A3C6B39}"/>
    <cellStyle name="Normal 11 2 2 6 4 5 3" xfId="30764" xr:uid="{1E25B754-528E-414E-9A67-694FF061CDD0}"/>
    <cellStyle name="Normal 11 2 2 6 4 6" xfId="30765" xr:uid="{E25B4C22-21AF-4FDF-A73E-C10B502B1ABF}"/>
    <cellStyle name="Normal 11 2 2 6 4 6 2" xfId="30766" xr:uid="{E2714D87-8A40-491E-9BC8-4EB1B0A2F68B}"/>
    <cellStyle name="Normal 11 2 2 6 4 7" xfId="30767" xr:uid="{6BE5DE72-370A-4F76-84E4-22FBEB2ACDAE}"/>
    <cellStyle name="Normal 11 2 2 6 5" xfId="30768" xr:uid="{58D18454-FF55-4E5F-8386-5E3C3D8B4B50}"/>
    <cellStyle name="Normal 11 2 2 6 5 2" xfId="30769" xr:uid="{F6ACA1D9-2EBD-4D5F-8973-B757EF7A2B5F}"/>
    <cellStyle name="Normal 11 2 2 6 5 2 2" xfId="30770" xr:uid="{B062DB4F-9D66-41C9-AEBE-BAFC60E017E1}"/>
    <cellStyle name="Normal 11 2 2 6 5 2 2 2" xfId="30771" xr:uid="{14B13A66-9CAB-4CB5-AD11-F3D9CA10BD8B}"/>
    <cellStyle name="Normal 11 2 2 6 5 2 2 2 2" xfId="30772" xr:uid="{D8138C4C-A7EC-4FB3-938B-7355E10EF828}"/>
    <cellStyle name="Normal 11 2 2 6 5 2 2 2 2 2" xfId="30773" xr:uid="{8BD84AEA-F6FD-4D41-ADC4-FEEACA386594}"/>
    <cellStyle name="Normal 11 2 2 6 5 2 2 2 3" xfId="30774" xr:uid="{4F290CDC-5D5C-4F4E-97C0-0F24AED23C24}"/>
    <cellStyle name="Normal 11 2 2 6 5 2 2 3" xfId="30775" xr:uid="{D69FF02C-6918-4983-A089-0F9E7F1884A9}"/>
    <cellStyle name="Normal 11 2 2 6 5 2 2 3 2" xfId="30776" xr:uid="{2A084DF0-E838-4E92-A110-A76F60527B08}"/>
    <cellStyle name="Normal 11 2 2 6 5 2 2 4" xfId="30777" xr:uid="{1554454E-F528-4093-AEAA-A8D205D2B4FF}"/>
    <cellStyle name="Normal 11 2 2 6 5 2 3" xfId="30778" xr:uid="{3638D267-8B2F-4FC3-9370-B1D54916384F}"/>
    <cellStyle name="Normal 11 2 2 6 5 2 3 2" xfId="30779" xr:uid="{FD487398-8A31-4CDD-8FAB-50C24070B0B7}"/>
    <cellStyle name="Normal 11 2 2 6 5 2 3 2 2" xfId="30780" xr:uid="{C1DC567D-E415-4CB9-A2FF-364F4AC9A2F1}"/>
    <cellStyle name="Normal 11 2 2 6 5 2 3 3" xfId="30781" xr:uid="{B2168181-5BA8-4210-9C45-79AC14FB4248}"/>
    <cellStyle name="Normal 11 2 2 6 5 2 4" xfId="30782" xr:uid="{96CEB096-C914-470D-874B-10706EEE4008}"/>
    <cellStyle name="Normal 11 2 2 6 5 2 4 2" xfId="30783" xr:uid="{B7A30E66-3B3C-4BF1-8F8D-9DFF0C8927B9}"/>
    <cellStyle name="Normal 11 2 2 6 5 2 5" xfId="30784" xr:uid="{14ADC972-F9F1-4AC8-9C1D-10F4529AECC4}"/>
    <cellStyle name="Normal 11 2 2 6 5 3" xfId="30785" xr:uid="{11F7F38F-4B5B-4A9A-8A8F-DE09F38AB5C6}"/>
    <cellStyle name="Normal 11 2 2 6 5 3 2" xfId="30786" xr:uid="{394EE165-C621-49C3-9938-5DD5142A782A}"/>
    <cellStyle name="Normal 11 2 2 6 5 3 2 2" xfId="30787" xr:uid="{737B7783-85BF-44C1-8BD3-C0C5817B5F87}"/>
    <cellStyle name="Normal 11 2 2 6 5 3 2 2 2" xfId="30788" xr:uid="{E6F3DB03-ACEF-405A-9BA4-71809C014305}"/>
    <cellStyle name="Normal 11 2 2 6 5 3 2 3" xfId="30789" xr:uid="{29F7A05A-DB6D-42CA-9A8F-6D8C5FC439BA}"/>
    <cellStyle name="Normal 11 2 2 6 5 3 3" xfId="30790" xr:uid="{C7185E93-719A-4655-AC87-C597F60B0C64}"/>
    <cellStyle name="Normal 11 2 2 6 5 3 3 2" xfId="30791" xr:uid="{FD53A415-BEBD-4C34-8891-EDF10071B78C}"/>
    <cellStyle name="Normal 11 2 2 6 5 3 4" xfId="30792" xr:uid="{A0D1D7EF-0738-4151-A582-CC3B94203581}"/>
    <cellStyle name="Normal 11 2 2 6 5 4" xfId="30793" xr:uid="{55B081B6-15D1-4FF3-902A-012FD2DEC41C}"/>
    <cellStyle name="Normal 11 2 2 6 5 4 2" xfId="30794" xr:uid="{98EB8D6F-46BD-4703-AE8C-9EB7F84560F9}"/>
    <cellStyle name="Normal 11 2 2 6 5 4 2 2" xfId="30795" xr:uid="{D9C263E5-77CF-47BD-9C5D-61F46AB63A54}"/>
    <cellStyle name="Normal 11 2 2 6 5 4 3" xfId="30796" xr:uid="{59C59D3F-F093-47E6-A036-2290F4D8248D}"/>
    <cellStyle name="Normal 11 2 2 6 5 5" xfId="30797" xr:uid="{6F733404-25C7-41E9-85B8-04641EE4CA93}"/>
    <cellStyle name="Normal 11 2 2 6 5 5 2" xfId="30798" xr:uid="{CA5A7EFD-D32F-4A65-8432-F768830A60C5}"/>
    <cellStyle name="Normal 11 2 2 6 5 6" xfId="30799" xr:uid="{3CC0371E-7F49-4EFC-8523-535CBC0E8DA4}"/>
    <cellStyle name="Normal 11 2 2 6 6" xfId="30800" xr:uid="{AAD24AB2-FF11-4730-96AF-40D7CD3F4CB9}"/>
    <cellStyle name="Normal 11 2 2 6 6 2" xfId="30801" xr:uid="{EA40F5E6-2C29-4307-A3F3-22A20F4CE4D0}"/>
    <cellStyle name="Normal 11 2 2 6 6 2 2" xfId="30802" xr:uid="{C5A604E6-995D-47B3-81E1-4BD5B7DCC25E}"/>
    <cellStyle name="Normal 11 2 2 6 6 2 2 2" xfId="30803" xr:uid="{C83D1A11-4480-41AB-8DD3-23CA20B8068A}"/>
    <cellStyle name="Normal 11 2 2 6 6 2 2 2 2" xfId="30804" xr:uid="{60F335D1-EFAA-4A37-AFA4-77CEB11C6FF0}"/>
    <cellStyle name="Normal 11 2 2 6 6 2 2 3" xfId="30805" xr:uid="{4CFC0B33-3540-4A40-9D14-4AE9E94E6BEE}"/>
    <cellStyle name="Normal 11 2 2 6 6 2 3" xfId="30806" xr:uid="{D26713F3-AB59-4816-BA5A-867814053641}"/>
    <cellStyle name="Normal 11 2 2 6 6 2 3 2" xfId="30807" xr:uid="{401E9C86-0681-482B-A584-DE0EC03CE1AE}"/>
    <cellStyle name="Normal 11 2 2 6 6 2 4" xfId="30808" xr:uid="{B6AB288A-6E1B-40B3-B98B-1F09B333A0E9}"/>
    <cellStyle name="Normal 11 2 2 6 6 3" xfId="30809" xr:uid="{AF392092-2B32-455D-B786-7681AF82D7D3}"/>
    <cellStyle name="Normal 11 2 2 6 6 3 2" xfId="30810" xr:uid="{3C891424-B8A4-40C1-9327-206927D71803}"/>
    <cellStyle name="Normal 11 2 2 6 6 3 2 2" xfId="30811" xr:uid="{DFBA34BF-304A-4DF8-A5A3-90A5988F4376}"/>
    <cellStyle name="Normal 11 2 2 6 6 3 3" xfId="30812" xr:uid="{4090F0DF-97E1-4FD2-903C-930C41E3AA32}"/>
    <cellStyle name="Normal 11 2 2 6 6 4" xfId="30813" xr:uid="{3DFC8FF6-90AE-43B4-AA89-BFE51140DE03}"/>
    <cellStyle name="Normal 11 2 2 6 6 4 2" xfId="30814" xr:uid="{73022E02-427E-4314-9047-6A047CD9EF56}"/>
    <cellStyle name="Normal 11 2 2 6 6 5" xfId="30815" xr:uid="{DFAD1AF5-B6D5-45A1-8C9D-3ADF43B9B430}"/>
    <cellStyle name="Normal 11 2 2 6 7" xfId="30816" xr:uid="{BA565C22-5F55-4475-A8E5-E40795485364}"/>
    <cellStyle name="Normal 11 2 2 6 7 2" xfId="30817" xr:uid="{434E7B43-AACE-4D5D-B439-E2E13DF393BC}"/>
    <cellStyle name="Normal 11 2 2 6 7 2 2" xfId="30818" xr:uid="{0AEAD127-05A0-480E-88EF-E2A2BC29F610}"/>
    <cellStyle name="Normal 11 2 2 6 7 2 2 2" xfId="30819" xr:uid="{72A78E3F-25FC-4BB3-A24B-B0458446C1F5}"/>
    <cellStyle name="Normal 11 2 2 6 7 2 3" xfId="30820" xr:uid="{0F3B09D2-1D8D-47EC-9EBF-F257E12A4E3A}"/>
    <cellStyle name="Normal 11 2 2 6 7 3" xfId="30821" xr:uid="{B19CB6B0-EECB-4D7C-987E-9A0120BA2233}"/>
    <cellStyle name="Normal 11 2 2 6 7 3 2" xfId="30822" xr:uid="{A44DE304-CE40-4D5E-AFAE-A857275C40C4}"/>
    <cellStyle name="Normal 11 2 2 6 7 4" xfId="30823" xr:uid="{B2CC7A8C-526D-4B28-8EED-C817797B8BFE}"/>
    <cellStyle name="Normal 11 2 2 6 8" xfId="30824" xr:uid="{AD6F2004-27EA-4396-AFB6-E63DCDCB5A57}"/>
    <cellStyle name="Normal 11 2 2 6 8 2" xfId="30825" xr:uid="{9D90DBD7-7FE8-4867-ACFF-2A911796C072}"/>
    <cellStyle name="Normal 11 2 2 6 8 2 2" xfId="30826" xr:uid="{42F13983-AC91-4095-BFF3-9EE623E169DA}"/>
    <cellStyle name="Normal 11 2 2 6 8 3" xfId="30827" xr:uid="{97BEDBF0-0415-4B3B-85A0-5BD796DB615A}"/>
    <cellStyle name="Normal 11 2 2 6 9" xfId="30828" xr:uid="{B527B9E1-EC92-46A9-B3A7-3CC302E6C5BC}"/>
    <cellStyle name="Normal 11 2 2 6 9 2" xfId="30829" xr:uid="{834324B8-6402-4CFF-B195-7127FDA7105B}"/>
    <cellStyle name="Normal 11 2 2 7" xfId="350" xr:uid="{FF4482F4-7357-4D58-8346-D261E0FEEE89}"/>
    <cellStyle name="Normal 11 2 2 7 10" xfId="30830" xr:uid="{DF035786-5269-45DA-8BBD-25CC97ACAFB5}"/>
    <cellStyle name="Normal 11 2 2 7 2" xfId="30831" xr:uid="{5317EAED-B5B2-426D-8D92-7D89A75B868D}"/>
    <cellStyle name="Normal 11 2 2 7 2 2" xfId="30832" xr:uid="{60FE7113-B041-4E34-8A8F-1D4C45143D45}"/>
    <cellStyle name="Normal 11 2 2 7 2 2 2" xfId="30833" xr:uid="{EFA4B8A8-F80C-4F55-996E-BB2194CC9069}"/>
    <cellStyle name="Normal 11 2 2 7 2 2 2 2" xfId="30834" xr:uid="{B3F730A4-796D-4734-A1DD-CBC34A439946}"/>
    <cellStyle name="Normal 11 2 2 7 2 2 2 2 2" xfId="30835" xr:uid="{C72CA753-28FE-4828-9C33-F15162034488}"/>
    <cellStyle name="Normal 11 2 2 7 2 2 2 2 2 2" xfId="30836" xr:uid="{55E49E33-503B-4312-A16D-5A1D56F2E8A6}"/>
    <cellStyle name="Normal 11 2 2 7 2 2 2 2 2 2 2" xfId="30837" xr:uid="{C167988D-B4D0-4153-B8FF-DBE9DB2A502E}"/>
    <cellStyle name="Normal 11 2 2 7 2 2 2 2 2 2 2 2" xfId="30838" xr:uid="{D5DFE506-C259-4321-942F-FBB8972ABAA6}"/>
    <cellStyle name="Normal 11 2 2 7 2 2 2 2 2 2 3" xfId="30839" xr:uid="{8C5D9AA7-8828-48F1-BB2E-09630C6F2292}"/>
    <cellStyle name="Normal 11 2 2 7 2 2 2 2 2 3" xfId="30840" xr:uid="{5E9B7FF1-43EC-4A5C-BC6F-1FC51FC56639}"/>
    <cellStyle name="Normal 11 2 2 7 2 2 2 2 2 3 2" xfId="30841" xr:uid="{D347E691-176B-454A-ABF5-CA1AF1F29037}"/>
    <cellStyle name="Normal 11 2 2 7 2 2 2 2 2 4" xfId="30842" xr:uid="{F37E425A-A9DD-467B-8B76-EBC160D0AB6E}"/>
    <cellStyle name="Normal 11 2 2 7 2 2 2 2 3" xfId="30843" xr:uid="{E3075441-6B6F-403D-952A-2C6F882EC03D}"/>
    <cellStyle name="Normal 11 2 2 7 2 2 2 2 3 2" xfId="30844" xr:uid="{37A28F28-300F-44A2-A799-69DC384B8D43}"/>
    <cellStyle name="Normal 11 2 2 7 2 2 2 2 3 2 2" xfId="30845" xr:uid="{D5AC1646-EE5C-4EF5-82A8-8BF9054D9F3A}"/>
    <cellStyle name="Normal 11 2 2 7 2 2 2 2 3 3" xfId="30846" xr:uid="{3FA5771E-377E-42DC-93EC-E196557DDE51}"/>
    <cellStyle name="Normal 11 2 2 7 2 2 2 2 4" xfId="30847" xr:uid="{543F356E-690F-46CE-B758-86FA08D6A663}"/>
    <cellStyle name="Normal 11 2 2 7 2 2 2 2 4 2" xfId="30848" xr:uid="{4BF792FE-9081-4FB1-B6AD-938E260417F6}"/>
    <cellStyle name="Normal 11 2 2 7 2 2 2 2 5" xfId="30849" xr:uid="{10F86B76-7EA0-4C07-973A-50AAE4E37FF5}"/>
    <cellStyle name="Normal 11 2 2 7 2 2 2 3" xfId="30850" xr:uid="{F0EF8581-CF5F-4F60-8E73-EC46BF57E820}"/>
    <cellStyle name="Normal 11 2 2 7 2 2 2 3 2" xfId="30851" xr:uid="{24EA121C-2D5C-4BDA-9639-BD0CEA4FA9CC}"/>
    <cellStyle name="Normal 11 2 2 7 2 2 2 3 2 2" xfId="30852" xr:uid="{618BDD7E-2BBD-495D-AFF2-CF0BE4C47FD7}"/>
    <cellStyle name="Normal 11 2 2 7 2 2 2 3 2 2 2" xfId="30853" xr:uid="{483F0DC4-FDD8-483D-82CA-DC244E06B96F}"/>
    <cellStyle name="Normal 11 2 2 7 2 2 2 3 2 3" xfId="30854" xr:uid="{2B0FBC3B-CEBB-419C-A5AC-61F13DC66BDF}"/>
    <cellStyle name="Normal 11 2 2 7 2 2 2 3 3" xfId="30855" xr:uid="{F3570C7E-D7AA-41ED-A0F9-A694AC546D99}"/>
    <cellStyle name="Normal 11 2 2 7 2 2 2 3 3 2" xfId="30856" xr:uid="{2D63B644-C443-4FFA-9AAD-BD6210D285BF}"/>
    <cellStyle name="Normal 11 2 2 7 2 2 2 3 4" xfId="30857" xr:uid="{D9B64BD9-FE23-4E09-8E13-39CD7277F606}"/>
    <cellStyle name="Normal 11 2 2 7 2 2 2 4" xfId="30858" xr:uid="{734B373E-7D2A-4DB8-82E3-42B175E2AC97}"/>
    <cellStyle name="Normal 11 2 2 7 2 2 2 4 2" xfId="30859" xr:uid="{9A4FF897-DD0C-42B0-A81D-0C986C02CA78}"/>
    <cellStyle name="Normal 11 2 2 7 2 2 2 4 2 2" xfId="30860" xr:uid="{9076810C-6C13-4948-B8E7-438BC6EB1702}"/>
    <cellStyle name="Normal 11 2 2 7 2 2 2 4 3" xfId="30861" xr:uid="{D8C8938A-8110-43E9-9456-55DBB0D7171D}"/>
    <cellStyle name="Normal 11 2 2 7 2 2 2 5" xfId="30862" xr:uid="{3BA6D559-FFAB-4C16-B4FB-8444B385E2C7}"/>
    <cellStyle name="Normal 11 2 2 7 2 2 2 5 2" xfId="30863" xr:uid="{8521641E-962C-4DEB-9712-102D3EBBB636}"/>
    <cellStyle name="Normal 11 2 2 7 2 2 2 6" xfId="30864" xr:uid="{EAF92F22-3BDD-468D-84A7-C014914FD61F}"/>
    <cellStyle name="Normal 11 2 2 7 2 2 3" xfId="30865" xr:uid="{47195A2E-FDCE-4E94-9F4D-39D0D22510FE}"/>
    <cellStyle name="Normal 11 2 2 7 2 2 3 2" xfId="30866" xr:uid="{2AF1EE20-94C1-431F-9529-8400CAF5E030}"/>
    <cellStyle name="Normal 11 2 2 7 2 2 3 2 2" xfId="30867" xr:uid="{9506FEB7-30FE-4E49-B677-F59D06F887E1}"/>
    <cellStyle name="Normal 11 2 2 7 2 2 3 2 2 2" xfId="30868" xr:uid="{2859AEB4-0FF7-4DEC-B98D-F4D8D22083F7}"/>
    <cellStyle name="Normal 11 2 2 7 2 2 3 2 2 2 2" xfId="30869" xr:uid="{2BC28674-AC02-4E17-AD80-309D57DCA078}"/>
    <cellStyle name="Normal 11 2 2 7 2 2 3 2 2 3" xfId="30870" xr:uid="{59A1F54E-6FEE-4D25-A9C1-13F46ECE4E75}"/>
    <cellStyle name="Normal 11 2 2 7 2 2 3 2 3" xfId="30871" xr:uid="{92725DC0-EF78-4CC4-AF45-D53D784136AB}"/>
    <cellStyle name="Normal 11 2 2 7 2 2 3 2 3 2" xfId="30872" xr:uid="{50B0E4BB-BC99-4E3F-86A7-5ABEFFBB1F41}"/>
    <cellStyle name="Normal 11 2 2 7 2 2 3 2 4" xfId="30873" xr:uid="{B7732769-8603-471C-B0D6-92084B67004C}"/>
    <cellStyle name="Normal 11 2 2 7 2 2 3 3" xfId="30874" xr:uid="{804063D5-D7B2-4C0E-B255-44152BBA0B0E}"/>
    <cellStyle name="Normal 11 2 2 7 2 2 3 3 2" xfId="30875" xr:uid="{03963D32-6CF6-4327-BA7D-1D48CB127C82}"/>
    <cellStyle name="Normal 11 2 2 7 2 2 3 3 2 2" xfId="30876" xr:uid="{12B9C0EB-B223-43DD-84AF-52680DD9930F}"/>
    <cellStyle name="Normal 11 2 2 7 2 2 3 3 3" xfId="30877" xr:uid="{0FF2159D-428C-4299-973C-467EBEDB225C}"/>
    <cellStyle name="Normal 11 2 2 7 2 2 3 4" xfId="30878" xr:uid="{1A791508-B2B3-4E5B-B1AD-4E8ACF59FCC3}"/>
    <cellStyle name="Normal 11 2 2 7 2 2 3 4 2" xfId="30879" xr:uid="{27EDF9EC-48C4-41AC-890E-45CFFEDA0D73}"/>
    <cellStyle name="Normal 11 2 2 7 2 2 3 5" xfId="30880" xr:uid="{75CE93DD-6579-4F98-AB65-BE6A74D164DF}"/>
    <cellStyle name="Normal 11 2 2 7 2 2 4" xfId="30881" xr:uid="{926CFEF0-7107-4FD5-876D-CD85621EB9A0}"/>
    <cellStyle name="Normal 11 2 2 7 2 2 4 2" xfId="30882" xr:uid="{A3DD48C6-1AFD-408D-93E2-8FCA147EFB5B}"/>
    <cellStyle name="Normal 11 2 2 7 2 2 4 2 2" xfId="30883" xr:uid="{64562CBC-E314-42F1-A475-58272AD980BF}"/>
    <cellStyle name="Normal 11 2 2 7 2 2 4 2 2 2" xfId="30884" xr:uid="{ADE0850D-BC95-4192-B550-C3218E0D66DB}"/>
    <cellStyle name="Normal 11 2 2 7 2 2 4 2 3" xfId="30885" xr:uid="{35C25410-9212-4064-BD27-AC04F5828B23}"/>
    <cellStyle name="Normal 11 2 2 7 2 2 4 3" xfId="30886" xr:uid="{B324C55F-2F94-4CAE-B803-3BD7EC82D1BA}"/>
    <cellStyle name="Normal 11 2 2 7 2 2 4 3 2" xfId="30887" xr:uid="{35AC479D-707A-4792-87FD-3C6AA0C1BB31}"/>
    <cellStyle name="Normal 11 2 2 7 2 2 4 4" xfId="30888" xr:uid="{596B44DB-A010-4CC7-B9A8-2E37925032DF}"/>
    <cellStyle name="Normal 11 2 2 7 2 2 5" xfId="30889" xr:uid="{8336520D-D4B4-47F3-A225-F04099332B4C}"/>
    <cellStyle name="Normal 11 2 2 7 2 2 5 2" xfId="30890" xr:uid="{EDF71719-935B-4DDD-A2A8-DED9371BCA7D}"/>
    <cellStyle name="Normal 11 2 2 7 2 2 5 2 2" xfId="30891" xr:uid="{B6013758-EAD8-41BB-8732-3B7678B12D53}"/>
    <cellStyle name="Normal 11 2 2 7 2 2 5 3" xfId="30892" xr:uid="{6AA17301-9EFE-4D42-A852-EDACB789C895}"/>
    <cellStyle name="Normal 11 2 2 7 2 2 6" xfId="30893" xr:uid="{AA521220-7DAE-43AF-A901-8E074DE59D5B}"/>
    <cellStyle name="Normal 11 2 2 7 2 2 6 2" xfId="30894" xr:uid="{21447429-FD45-49F3-BED8-1F297A3D9DD3}"/>
    <cellStyle name="Normal 11 2 2 7 2 2 7" xfId="30895" xr:uid="{82355ABE-12E2-41CE-AE17-A9A6B109D8E8}"/>
    <cellStyle name="Normal 11 2 2 7 2 3" xfId="30896" xr:uid="{332DCD38-9812-44D7-A864-DD55DFA6B226}"/>
    <cellStyle name="Normal 11 2 2 7 2 3 2" xfId="30897" xr:uid="{1FA29AD9-FCB2-4FC9-8DD8-7379DFB5D65D}"/>
    <cellStyle name="Normal 11 2 2 7 2 3 2 2" xfId="30898" xr:uid="{C3347767-9DA9-4072-9E0E-5CCE43E5D7D6}"/>
    <cellStyle name="Normal 11 2 2 7 2 3 2 2 2" xfId="30899" xr:uid="{98FA7E28-D256-4F6C-8512-8643EB010BEF}"/>
    <cellStyle name="Normal 11 2 2 7 2 3 2 2 2 2" xfId="30900" xr:uid="{9BB513C5-EE53-4C72-B909-516729E3873A}"/>
    <cellStyle name="Normal 11 2 2 7 2 3 2 2 2 2 2" xfId="30901" xr:uid="{6BA84690-D869-4C54-B528-FDFBC176867F}"/>
    <cellStyle name="Normal 11 2 2 7 2 3 2 2 2 3" xfId="30902" xr:uid="{B1B7B9A5-FE23-405D-B99B-116D8022C4F0}"/>
    <cellStyle name="Normal 11 2 2 7 2 3 2 2 3" xfId="30903" xr:uid="{889399BF-D97F-4732-BD56-CF5C8FE82E2F}"/>
    <cellStyle name="Normal 11 2 2 7 2 3 2 2 3 2" xfId="30904" xr:uid="{460E08C5-5FE7-461B-803B-5A9EC15BDDB3}"/>
    <cellStyle name="Normal 11 2 2 7 2 3 2 2 4" xfId="30905" xr:uid="{CCBCEF5F-D783-411D-B1F8-31EFD8BE805B}"/>
    <cellStyle name="Normal 11 2 2 7 2 3 2 3" xfId="30906" xr:uid="{CF35E272-6D62-47ED-ABD3-EAD17B57FA8A}"/>
    <cellStyle name="Normal 11 2 2 7 2 3 2 3 2" xfId="30907" xr:uid="{9B867FAE-6B9C-492F-BFAD-FF97F8014F40}"/>
    <cellStyle name="Normal 11 2 2 7 2 3 2 3 2 2" xfId="30908" xr:uid="{03FF254D-50A0-417F-9E87-45FDB7419F3E}"/>
    <cellStyle name="Normal 11 2 2 7 2 3 2 3 3" xfId="30909" xr:uid="{541DC9FB-E42F-4738-A781-E051B88F3A4B}"/>
    <cellStyle name="Normal 11 2 2 7 2 3 2 4" xfId="30910" xr:uid="{6D62CDC2-20F5-4BF7-B8D7-5036BD76F8BA}"/>
    <cellStyle name="Normal 11 2 2 7 2 3 2 4 2" xfId="30911" xr:uid="{F0160928-D481-47D4-B9E2-1023BD6C1FDC}"/>
    <cellStyle name="Normal 11 2 2 7 2 3 2 5" xfId="30912" xr:uid="{1F21EB44-553F-46DE-93C2-1C8123E9C021}"/>
    <cellStyle name="Normal 11 2 2 7 2 3 3" xfId="30913" xr:uid="{11CF21B7-01D4-4087-82C0-E5DF9C58ECA1}"/>
    <cellStyle name="Normal 11 2 2 7 2 3 3 2" xfId="30914" xr:uid="{5A783CB8-E022-4ED9-87D2-67212374F8DA}"/>
    <cellStyle name="Normal 11 2 2 7 2 3 3 2 2" xfId="30915" xr:uid="{4F6A9034-1744-4481-9B7C-78FD718E4C8D}"/>
    <cellStyle name="Normal 11 2 2 7 2 3 3 2 2 2" xfId="30916" xr:uid="{A29DB972-41BB-4987-90A9-61D59C6713A3}"/>
    <cellStyle name="Normal 11 2 2 7 2 3 3 2 3" xfId="30917" xr:uid="{84504A8A-62EF-4DE8-8A78-6A8EDF26765A}"/>
    <cellStyle name="Normal 11 2 2 7 2 3 3 3" xfId="30918" xr:uid="{C74D98C8-1410-4942-AEE2-944ACFD8050A}"/>
    <cellStyle name="Normal 11 2 2 7 2 3 3 3 2" xfId="30919" xr:uid="{724ACBD6-98C4-481F-8C78-7AB934161435}"/>
    <cellStyle name="Normal 11 2 2 7 2 3 3 4" xfId="30920" xr:uid="{5A4FD12A-65AE-43BC-8E29-7F24E7C7A341}"/>
    <cellStyle name="Normal 11 2 2 7 2 3 4" xfId="30921" xr:uid="{C9DEEF57-B744-476B-B174-20D434E0D0C0}"/>
    <cellStyle name="Normal 11 2 2 7 2 3 4 2" xfId="30922" xr:uid="{58583E05-6D42-4425-83BF-379A1ADDD2FD}"/>
    <cellStyle name="Normal 11 2 2 7 2 3 4 2 2" xfId="30923" xr:uid="{CF4629FE-EFE7-4783-BCDF-CBBD98BEC6DD}"/>
    <cellStyle name="Normal 11 2 2 7 2 3 4 3" xfId="30924" xr:uid="{EB5E5460-02EE-4328-957A-66792177FC36}"/>
    <cellStyle name="Normal 11 2 2 7 2 3 5" xfId="30925" xr:uid="{DF6280A4-6DE8-4F8C-807A-1F45376073CE}"/>
    <cellStyle name="Normal 11 2 2 7 2 3 5 2" xfId="30926" xr:uid="{2AC6BAD9-2A0E-43BD-B84F-B8FF6ACC6E57}"/>
    <cellStyle name="Normal 11 2 2 7 2 3 6" xfId="30927" xr:uid="{DA0A249C-2A2E-4740-A2BA-120665448462}"/>
    <cellStyle name="Normal 11 2 2 7 2 4" xfId="30928" xr:uid="{440EE44C-8062-460C-A8B8-F4F575479E21}"/>
    <cellStyle name="Normal 11 2 2 7 2 4 2" xfId="30929" xr:uid="{7562402F-5F0F-4711-AFCD-19005009EEE7}"/>
    <cellStyle name="Normal 11 2 2 7 2 4 2 2" xfId="30930" xr:uid="{CC853469-2B1C-492F-9A29-EE9A8F452DE3}"/>
    <cellStyle name="Normal 11 2 2 7 2 4 2 2 2" xfId="30931" xr:uid="{835E90F9-4E6A-4192-9970-F1191C7C11B1}"/>
    <cellStyle name="Normal 11 2 2 7 2 4 2 2 2 2" xfId="30932" xr:uid="{E83D4EC7-1AE6-45AE-AED0-5C9FAD920E4A}"/>
    <cellStyle name="Normal 11 2 2 7 2 4 2 2 3" xfId="30933" xr:uid="{2CAB4A1A-F40A-4EF7-A660-9695C22F7462}"/>
    <cellStyle name="Normal 11 2 2 7 2 4 2 3" xfId="30934" xr:uid="{C0419EB7-C70F-4953-A70E-AE3740C8DFC0}"/>
    <cellStyle name="Normal 11 2 2 7 2 4 2 3 2" xfId="30935" xr:uid="{481B6A11-E5A4-42ED-A6B4-0C74E4F239B0}"/>
    <cellStyle name="Normal 11 2 2 7 2 4 2 4" xfId="30936" xr:uid="{BC3A8F72-E8F2-48CF-8899-E3C62A1A2776}"/>
    <cellStyle name="Normal 11 2 2 7 2 4 3" xfId="30937" xr:uid="{BE0BDED0-FC69-4BB8-B00B-94EF87E725E8}"/>
    <cellStyle name="Normal 11 2 2 7 2 4 3 2" xfId="30938" xr:uid="{989D91BC-461B-463B-B5B1-E025D50B6B0B}"/>
    <cellStyle name="Normal 11 2 2 7 2 4 3 2 2" xfId="30939" xr:uid="{F3B04D10-7ADC-49F6-BD8F-D0BF7548FC50}"/>
    <cellStyle name="Normal 11 2 2 7 2 4 3 3" xfId="30940" xr:uid="{C8D25DA3-F5C4-4E59-BD95-39E9E8FC5A45}"/>
    <cellStyle name="Normal 11 2 2 7 2 4 4" xfId="30941" xr:uid="{989C17BD-5E56-4F49-BA75-0FC1575112C3}"/>
    <cellStyle name="Normal 11 2 2 7 2 4 4 2" xfId="30942" xr:uid="{AA84249E-64FB-441B-B6FD-27D875991D2C}"/>
    <cellStyle name="Normal 11 2 2 7 2 4 5" xfId="30943" xr:uid="{747EA787-5370-46CF-B74F-427D841A9343}"/>
    <cellStyle name="Normal 11 2 2 7 2 5" xfId="30944" xr:uid="{4D287B31-1B21-4A40-B024-FBD0CEF3D539}"/>
    <cellStyle name="Normal 11 2 2 7 2 5 2" xfId="30945" xr:uid="{74923C1A-3623-480B-B068-67C6C6805D9F}"/>
    <cellStyle name="Normal 11 2 2 7 2 5 2 2" xfId="30946" xr:uid="{77F53DB7-B4F0-44C1-9F24-9B3EA20B54BF}"/>
    <cellStyle name="Normal 11 2 2 7 2 5 2 2 2" xfId="30947" xr:uid="{E8B729B3-94B6-4A64-A8DE-EEA223AC04EE}"/>
    <cellStyle name="Normal 11 2 2 7 2 5 2 3" xfId="30948" xr:uid="{EB12AD9A-F5D2-452B-AC59-4E47C005AD44}"/>
    <cellStyle name="Normal 11 2 2 7 2 5 3" xfId="30949" xr:uid="{AB26B376-9CED-480C-A267-050ECE7612EA}"/>
    <cellStyle name="Normal 11 2 2 7 2 5 3 2" xfId="30950" xr:uid="{FD1326F7-5103-4DD4-9667-3EED1DD8762F}"/>
    <cellStyle name="Normal 11 2 2 7 2 5 4" xfId="30951" xr:uid="{1D32557C-A2A6-45ED-85E2-07B1F82892D0}"/>
    <cellStyle name="Normal 11 2 2 7 2 6" xfId="30952" xr:uid="{38A31D02-F2D2-44E9-A513-E875C9429776}"/>
    <cellStyle name="Normal 11 2 2 7 2 6 2" xfId="30953" xr:uid="{C4ACF9DD-3538-42CD-AB3C-7900FE803DEF}"/>
    <cellStyle name="Normal 11 2 2 7 2 6 2 2" xfId="30954" xr:uid="{A068071E-8174-4FF0-A398-18E01A7D38AF}"/>
    <cellStyle name="Normal 11 2 2 7 2 6 3" xfId="30955" xr:uid="{BB053E71-B7DE-4BF5-9A10-D668BDE6435A}"/>
    <cellStyle name="Normal 11 2 2 7 2 7" xfId="30956" xr:uid="{E9AEEE98-F42A-422D-8F02-A6CA885A974D}"/>
    <cellStyle name="Normal 11 2 2 7 2 7 2" xfId="30957" xr:uid="{2EC1512E-C7AA-4468-B4A7-79792E7D54A7}"/>
    <cellStyle name="Normal 11 2 2 7 2 8" xfId="30958" xr:uid="{2B75AEE7-FA8E-42B5-94D3-796CB7EA7903}"/>
    <cellStyle name="Normal 11 2 2 7 3" xfId="30959" xr:uid="{9DC28146-9C60-40B8-A5E3-AE179E1F35CA}"/>
    <cellStyle name="Normal 11 2 2 7 3 2" xfId="30960" xr:uid="{603B0234-7FCD-44D8-9956-041EB2394F09}"/>
    <cellStyle name="Normal 11 2 2 7 3 2 2" xfId="30961" xr:uid="{ABB50A42-3E09-4E29-9706-D3F10BC106DF}"/>
    <cellStyle name="Normal 11 2 2 7 3 2 2 2" xfId="30962" xr:uid="{A72BAB3F-ECD9-4F24-82F0-5CCFF0563BBB}"/>
    <cellStyle name="Normal 11 2 2 7 3 2 2 2 2" xfId="30963" xr:uid="{756A3913-4E64-43F6-B7DB-A83855512997}"/>
    <cellStyle name="Normal 11 2 2 7 3 2 2 2 2 2" xfId="30964" xr:uid="{9C1FA0F0-F53D-47E1-A60C-3502709181E3}"/>
    <cellStyle name="Normal 11 2 2 7 3 2 2 2 2 2 2" xfId="30965" xr:uid="{5332E27A-9DA9-4CE3-8FFC-E835050DA9D1}"/>
    <cellStyle name="Normal 11 2 2 7 3 2 2 2 2 3" xfId="30966" xr:uid="{E6D3D7EE-0D47-4FD2-BC00-6F490254BB46}"/>
    <cellStyle name="Normal 11 2 2 7 3 2 2 2 3" xfId="30967" xr:uid="{7A061179-4711-4C29-B5FA-992EB9D27A28}"/>
    <cellStyle name="Normal 11 2 2 7 3 2 2 2 3 2" xfId="30968" xr:uid="{D63AD52F-BB56-4630-A0F3-B155A2BF6BCD}"/>
    <cellStyle name="Normal 11 2 2 7 3 2 2 2 4" xfId="30969" xr:uid="{EAA3F6AE-4FED-4FEC-83DD-041649966D13}"/>
    <cellStyle name="Normal 11 2 2 7 3 2 2 3" xfId="30970" xr:uid="{7FE1D0BE-7A15-4A50-8CF8-41470D8ECED0}"/>
    <cellStyle name="Normal 11 2 2 7 3 2 2 3 2" xfId="30971" xr:uid="{AD0AC52F-8200-4662-8EAF-9804B5C9D88A}"/>
    <cellStyle name="Normal 11 2 2 7 3 2 2 3 2 2" xfId="30972" xr:uid="{E9BE006F-5A1B-48ED-AB73-119188719F1C}"/>
    <cellStyle name="Normal 11 2 2 7 3 2 2 3 3" xfId="30973" xr:uid="{4E927F7B-D77B-4F0E-BFE4-EA4789E1E950}"/>
    <cellStyle name="Normal 11 2 2 7 3 2 2 4" xfId="30974" xr:uid="{79ED1D8D-2DCF-4FE5-A7A9-61D3DDE90E77}"/>
    <cellStyle name="Normal 11 2 2 7 3 2 2 4 2" xfId="30975" xr:uid="{E9DE768C-4D75-4FC8-A491-356BCC9340BC}"/>
    <cellStyle name="Normal 11 2 2 7 3 2 2 5" xfId="30976" xr:uid="{3F17EA5B-FF8A-455D-93B7-7C14F52A11F2}"/>
    <cellStyle name="Normal 11 2 2 7 3 2 3" xfId="30977" xr:uid="{7DF61632-1E2F-4E91-9570-ADA30BD6818D}"/>
    <cellStyle name="Normal 11 2 2 7 3 2 3 2" xfId="30978" xr:uid="{576DAA80-A482-4758-82EB-1CB129A07A82}"/>
    <cellStyle name="Normal 11 2 2 7 3 2 3 2 2" xfId="30979" xr:uid="{C1C4FDCB-D994-4FE3-B17C-9EA41125E25A}"/>
    <cellStyle name="Normal 11 2 2 7 3 2 3 2 2 2" xfId="30980" xr:uid="{464A23D2-F6C0-4412-8125-18858CB44219}"/>
    <cellStyle name="Normal 11 2 2 7 3 2 3 2 3" xfId="30981" xr:uid="{272F08BF-03E4-41B3-85A8-A816FEDC7CEF}"/>
    <cellStyle name="Normal 11 2 2 7 3 2 3 3" xfId="30982" xr:uid="{A99F9601-363F-4132-8DCB-04F10C3D99C2}"/>
    <cellStyle name="Normal 11 2 2 7 3 2 3 3 2" xfId="30983" xr:uid="{5B5C90CB-D4A1-44E4-93F6-4ADB8FC5F3D2}"/>
    <cellStyle name="Normal 11 2 2 7 3 2 3 4" xfId="30984" xr:uid="{03DBAF65-EC05-404B-A730-B1FDADB37C19}"/>
    <cellStyle name="Normal 11 2 2 7 3 2 4" xfId="30985" xr:uid="{D7402E93-CB33-4DB5-B934-AA017B95924F}"/>
    <cellStyle name="Normal 11 2 2 7 3 2 4 2" xfId="30986" xr:uid="{59F862BB-149E-42A4-B096-F3EC531D5A3E}"/>
    <cellStyle name="Normal 11 2 2 7 3 2 4 2 2" xfId="30987" xr:uid="{39317099-92CB-4D3C-BD45-A12A542FDEAB}"/>
    <cellStyle name="Normal 11 2 2 7 3 2 4 3" xfId="30988" xr:uid="{E5D879F9-6354-488C-945C-3D6C9BEC2044}"/>
    <cellStyle name="Normal 11 2 2 7 3 2 5" xfId="30989" xr:uid="{A1DDE9C7-04D1-46DC-9543-9E64C52140C1}"/>
    <cellStyle name="Normal 11 2 2 7 3 2 5 2" xfId="30990" xr:uid="{A46DC3AA-D748-447D-AFF0-3B1DD3955DC3}"/>
    <cellStyle name="Normal 11 2 2 7 3 2 6" xfId="30991" xr:uid="{223E7D58-2626-46AB-9534-5B65CC49B685}"/>
    <cellStyle name="Normal 11 2 2 7 3 3" xfId="30992" xr:uid="{6A6059A9-E0F8-4DB7-BDD2-957244697E16}"/>
    <cellStyle name="Normal 11 2 2 7 3 3 2" xfId="30993" xr:uid="{D63FB217-06EE-4B22-A95C-7B785FFA6A3D}"/>
    <cellStyle name="Normal 11 2 2 7 3 3 2 2" xfId="30994" xr:uid="{B7CAB0B3-A0D7-4AD4-9F14-3B7DDFA5F58F}"/>
    <cellStyle name="Normal 11 2 2 7 3 3 2 2 2" xfId="30995" xr:uid="{12638CCF-C3FB-413F-B4C0-B42688D2BA69}"/>
    <cellStyle name="Normal 11 2 2 7 3 3 2 2 2 2" xfId="30996" xr:uid="{61221AF2-436A-45B3-97B4-0FB5194586A0}"/>
    <cellStyle name="Normal 11 2 2 7 3 3 2 2 3" xfId="30997" xr:uid="{86FBCD9A-73E2-4948-8B08-E74D59B2B6B3}"/>
    <cellStyle name="Normal 11 2 2 7 3 3 2 3" xfId="30998" xr:uid="{16F1642D-2FEE-42BA-A4D2-BE6F81A90B9D}"/>
    <cellStyle name="Normal 11 2 2 7 3 3 2 3 2" xfId="30999" xr:uid="{999B7570-6B22-429B-AF6F-586200796E97}"/>
    <cellStyle name="Normal 11 2 2 7 3 3 2 4" xfId="31000" xr:uid="{E8D14EA7-22C7-4122-8BCC-448DC334D667}"/>
    <cellStyle name="Normal 11 2 2 7 3 3 3" xfId="31001" xr:uid="{3FE44AA0-5FFC-4CB7-96FE-12FF31E35859}"/>
    <cellStyle name="Normal 11 2 2 7 3 3 3 2" xfId="31002" xr:uid="{B2B52A91-CB67-40F0-9201-5F4B4B8BD121}"/>
    <cellStyle name="Normal 11 2 2 7 3 3 3 2 2" xfId="31003" xr:uid="{09DC8312-804E-451A-B041-5C593756EF81}"/>
    <cellStyle name="Normal 11 2 2 7 3 3 3 3" xfId="31004" xr:uid="{68489544-7CE1-4129-80B4-FB9E5295856E}"/>
    <cellStyle name="Normal 11 2 2 7 3 3 4" xfId="31005" xr:uid="{4D986B2E-BCA6-48B3-B5C5-33AE741DBF83}"/>
    <cellStyle name="Normal 11 2 2 7 3 3 4 2" xfId="31006" xr:uid="{F311534C-DA9A-42DB-BB5D-40D6835991A7}"/>
    <cellStyle name="Normal 11 2 2 7 3 3 5" xfId="31007" xr:uid="{8E29A22F-3024-4FC9-824E-77958BA482B1}"/>
    <cellStyle name="Normal 11 2 2 7 3 4" xfId="31008" xr:uid="{8EEE1F23-1A63-4E4B-9306-583CE7261CDA}"/>
    <cellStyle name="Normal 11 2 2 7 3 4 2" xfId="31009" xr:uid="{B14F2E50-8DB9-49B5-BD4F-634590BDD0F0}"/>
    <cellStyle name="Normal 11 2 2 7 3 4 2 2" xfId="31010" xr:uid="{BDB51159-14D8-4CC1-B180-3E5615B98520}"/>
    <cellStyle name="Normal 11 2 2 7 3 4 2 2 2" xfId="31011" xr:uid="{52DE5AE7-5DE8-4B35-8163-9B16A324420C}"/>
    <cellStyle name="Normal 11 2 2 7 3 4 2 3" xfId="31012" xr:uid="{583D3471-15D6-4CA1-8487-E37D569D4C54}"/>
    <cellStyle name="Normal 11 2 2 7 3 4 3" xfId="31013" xr:uid="{8062AFE7-81DC-4D06-8CA1-A0A3F4978DF6}"/>
    <cellStyle name="Normal 11 2 2 7 3 4 3 2" xfId="31014" xr:uid="{C70F7889-D716-44BB-9933-08A2A8DE5487}"/>
    <cellStyle name="Normal 11 2 2 7 3 4 4" xfId="31015" xr:uid="{0EEC134E-DA52-4578-B5AF-8D6B18D1C64A}"/>
    <cellStyle name="Normal 11 2 2 7 3 5" xfId="31016" xr:uid="{BC9FCEC3-5728-49BB-9DBD-6DA87F82DF57}"/>
    <cellStyle name="Normal 11 2 2 7 3 5 2" xfId="31017" xr:uid="{A070A35B-6E17-438F-B3EE-DEEDAC234034}"/>
    <cellStyle name="Normal 11 2 2 7 3 5 2 2" xfId="31018" xr:uid="{9E5B44C3-59A9-445A-A9AE-323006391053}"/>
    <cellStyle name="Normal 11 2 2 7 3 5 3" xfId="31019" xr:uid="{34E32F5C-C8BA-4399-BED5-A924F52E668F}"/>
    <cellStyle name="Normal 11 2 2 7 3 6" xfId="31020" xr:uid="{0BE14450-3FC0-4EE2-8DB9-6E425DB48D48}"/>
    <cellStyle name="Normal 11 2 2 7 3 6 2" xfId="31021" xr:uid="{81865977-14A1-43EE-8D8B-649C14CD750D}"/>
    <cellStyle name="Normal 11 2 2 7 3 7" xfId="31022" xr:uid="{CA3C5971-951A-4414-BCAE-4D7AEE080F63}"/>
    <cellStyle name="Normal 11 2 2 7 4" xfId="31023" xr:uid="{66CE80E2-1CD5-40CF-BB5E-9D15F595C9C5}"/>
    <cellStyle name="Normal 11 2 2 7 4 2" xfId="31024" xr:uid="{3A5733C6-4993-4560-A931-17FE5A4AC51F}"/>
    <cellStyle name="Normal 11 2 2 7 4 2 2" xfId="31025" xr:uid="{EF076DD6-9946-455C-BA82-60A4117063D9}"/>
    <cellStyle name="Normal 11 2 2 7 4 2 2 2" xfId="31026" xr:uid="{D1053325-1484-4D1C-A84E-7D777B13182E}"/>
    <cellStyle name="Normal 11 2 2 7 4 2 2 2 2" xfId="31027" xr:uid="{4FBE84F3-6F0F-490D-8844-17A115A566D7}"/>
    <cellStyle name="Normal 11 2 2 7 4 2 2 2 2 2" xfId="31028" xr:uid="{A11D7DA5-33D7-4905-ACDA-4A1A7F47C976}"/>
    <cellStyle name="Normal 11 2 2 7 4 2 2 2 3" xfId="31029" xr:uid="{A5E94E5E-6E0A-40F1-9499-9E0DCF589FD4}"/>
    <cellStyle name="Normal 11 2 2 7 4 2 2 3" xfId="31030" xr:uid="{B9BAC2A1-93DC-4C76-BEB0-3129372F32C1}"/>
    <cellStyle name="Normal 11 2 2 7 4 2 2 3 2" xfId="31031" xr:uid="{8B2D4743-BFE9-4414-984C-FECE367F3B8D}"/>
    <cellStyle name="Normal 11 2 2 7 4 2 2 4" xfId="31032" xr:uid="{EC61459B-7AFA-4E5B-B211-4954B44A2868}"/>
    <cellStyle name="Normal 11 2 2 7 4 2 3" xfId="31033" xr:uid="{8CDE5942-9315-4BBF-8E68-DAF14EE1BADF}"/>
    <cellStyle name="Normal 11 2 2 7 4 2 3 2" xfId="31034" xr:uid="{35655392-2A24-4C90-AD25-B693500AB8A8}"/>
    <cellStyle name="Normal 11 2 2 7 4 2 3 2 2" xfId="31035" xr:uid="{8F8A0D36-17BC-4611-9971-B1D6E3B38106}"/>
    <cellStyle name="Normal 11 2 2 7 4 2 3 3" xfId="31036" xr:uid="{011A4D25-47E1-4332-A3F1-0794A87C1460}"/>
    <cellStyle name="Normal 11 2 2 7 4 2 4" xfId="31037" xr:uid="{88674748-1F09-4B18-8AB0-82A93565A0CE}"/>
    <cellStyle name="Normal 11 2 2 7 4 2 4 2" xfId="31038" xr:uid="{AA673E6E-583E-4F93-8605-802F73B7B278}"/>
    <cellStyle name="Normal 11 2 2 7 4 2 5" xfId="31039" xr:uid="{30848305-CF87-481F-91B9-53C986A8BFB0}"/>
    <cellStyle name="Normal 11 2 2 7 4 3" xfId="31040" xr:uid="{36B7CDB6-D4B7-43D4-8BB2-F78819D70593}"/>
    <cellStyle name="Normal 11 2 2 7 4 3 2" xfId="31041" xr:uid="{28CCC315-4227-4F0D-BF3E-208F16E00ECC}"/>
    <cellStyle name="Normal 11 2 2 7 4 3 2 2" xfId="31042" xr:uid="{C443C16D-B44D-4FAE-8DF9-F973670E9BC8}"/>
    <cellStyle name="Normal 11 2 2 7 4 3 2 2 2" xfId="31043" xr:uid="{7B975A06-C25F-4506-A6C2-E64E93C50ACB}"/>
    <cellStyle name="Normal 11 2 2 7 4 3 2 3" xfId="31044" xr:uid="{764408ED-6131-4CAC-BE2E-F0D21510B10D}"/>
    <cellStyle name="Normal 11 2 2 7 4 3 3" xfId="31045" xr:uid="{D2F8395B-4018-4592-96B9-906F4DDBCE03}"/>
    <cellStyle name="Normal 11 2 2 7 4 3 3 2" xfId="31046" xr:uid="{D69A034C-42E6-4E27-BD91-6CF835793AE5}"/>
    <cellStyle name="Normal 11 2 2 7 4 3 4" xfId="31047" xr:uid="{6DB17DBD-60C2-40AC-ACB2-EF3DB49B59A9}"/>
    <cellStyle name="Normal 11 2 2 7 4 4" xfId="31048" xr:uid="{A903022D-E3BC-4512-947A-71952FE4B040}"/>
    <cellStyle name="Normal 11 2 2 7 4 4 2" xfId="31049" xr:uid="{6A314A0D-5DB8-472B-A686-43664FD8755F}"/>
    <cellStyle name="Normal 11 2 2 7 4 4 2 2" xfId="31050" xr:uid="{E53CB721-E48D-4B71-A19A-B3F8DF4CBD4C}"/>
    <cellStyle name="Normal 11 2 2 7 4 4 3" xfId="31051" xr:uid="{225DD598-6FBA-46D6-B5B3-31CA98272349}"/>
    <cellStyle name="Normal 11 2 2 7 4 5" xfId="31052" xr:uid="{BA2CD22D-1F49-42A0-9E69-B6F6D4BA5281}"/>
    <cellStyle name="Normal 11 2 2 7 4 5 2" xfId="31053" xr:uid="{B3D7A4B0-616F-4E94-BCDD-A1FC7F0F036C}"/>
    <cellStyle name="Normal 11 2 2 7 4 6" xfId="31054" xr:uid="{AA1D6FB8-8637-4751-829F-58D87822D026}"/>
    <cellStyle name="Normal 11 2 2 7 5" xfId="31055" xr:uid="{79C31D55-4493-4B27-9B0C-6F689B46AE84}"/>
    <cellStyle name="Normal 11 2 2 7 5 2" xfId="31056" xr:uid="{6505C1C6-7CBA-4BEC-ADC6-9074BC77B503}"/>
    <cellStyle name="Normal 11 2 2 7 5 2 2" xfId="31057" xr:uid="{8CE2DEED-917E-43CD-89A4-8C1E9C3ED4FE}"/>
    <cellStyle name="Normal 11 2 2 7 5 2 2 2" xfId="31058" xr:uid="{FB8C1796-A623-4862-B6EB-ACA8F853EF11}"/>
    <cellStyle name="Normal 11 2 2 7 5 2 2 2 2" xfId="31059" xr:uid="{F7DB34E9-8769-4844-9700-164BA8ED9F92}"/>
    <cellStyle name="Normal 11 2 2 7 5 2 2 3" xfId="31060" xr:uid="{5F206018-8D7D-413E-8BA9-4D76DEB34E02}"/>
    <cellStyle name="Normal 11 2 2 7 5 2 3" xfId="31061" xr:uid="{E2873025-BE1D-4445-83E1-20A3568B4A65}"/>
    <cellStyle name="Normal 11 2 2 7 5 2 3 2" xfId="31062" xr:uid="{ED943F76-337B-49AA-BA73-883F72942497}"/>
    <cellStyle name="Normal 11 2 2 7 5 2 4" xfId="31063" xr:uid="{1C3A320D-FFA3-415C-9556-0C3198B3E936}"/>
    <cellStyle name="Normal 11 2 2 7 5 3" xfId="31064" xr:uid="{43450C15-7602-487F-8BAD-4B368CC65E41}"/>
    <cellStyle name="Normal 11 2 2 7 5 3 2" xfId="31065" xr:uid="{65ECFCD4-2D91-4584-BE19-4EBF4EC36F89}"/>
    <cellStyle name="Normal 11 2 2 7 5 3 2 2" xfId="31066" xr:uid="{2DFCFB17-D29E-467E-849A-282734D4326E}"/>
    <cellStyle name="Normal 11 2 2 7 5 3 3" xfId="31067" xr:uid="{E32178F0-ECE6-48A3-920C-601B3AC375BE}"/>
    <cellStyle name="Normal 11 2 2 7 5 4" xfId="31068" xr:uid="{83450B80-7FBC-4D3B-95FC-D9FEB9C72F92}"/>
    <cellStyle name="Normal 11 2 2 7 5 4 2" xfId="31069" xr:uid="{4E3D5A0F-F7ED-4238-BB56-EA2DEE64689F}"/>
    <cellStyle name="Normal 11 2 2 7 5 5" xfId="31070" xr:uid="{5B70CF06-C024-479C-A337-332D62D4D998}"/>
    <cellStyle name="Normal 11 2 2 7 6" xfId="31071" xr:uid="{B556DF6E-D203-4B5D-BD5B-D9690109D15F}"/>
    <cellStyle name="Normal 11 2 2 7 6 2" xfId="31072" xr:uid="{186626AA-1844-47C3-8AEA-CAD2774601E3}"/>
    <cellStyle name="Normal 11 2 2 7 6 2 2" xfId="31073" xr:uid="{3BC02E89-149F-493A-A612-1A55F0203689}"/>
    <cellStyle name="Normal 11 2 2 7 6 2 2 2" xfId="31074" xr:uid="{50F1096F-CA03-4867-9D11-CEFA6DE5802F}"/>
    <cellStyle name="Normal 11 2 2 7 6 2 3" xfId="31075" xr:uid="{E69EC1C3-800B-47B8-8449-5EA44764E2F1}"/>
    <cellStyle name="Normal 11 2 2 7 6 3" xfId="31076" xr:uid="{90A2A3CD-B8F8-4C00-B953-9E2E2221D498}"/>
    <cellStyle name="Normal 11 2 2 7 6 3 2" xfId="31077" xr:uid="{1FF41E99-D393-4EB0-8613-E10F45164B50}"/>
    <cellStyle name="Normal 11 2 2 7 6 4" xfId="31078" xr:uid="{A7D97165-D23E-4534-8E77-71504C9410C5}"/>
    <cellStyle name="Normal 11 2 2 7 7" xfId="31079" xr:uid="{F3DB182D-6BB3-4407-9A0C-7A391943FFB2}"/>
    <cellStyle name="Normal 11 2 2 7 7 2" xfId="31080" xr:uid="{382EABD6-D232-453E-84C9-153C15B61D09}"/>
    <cellStyle name="Normal 11 2 2 7 7 2 2" xfId="31081" xr:uid="{8B673CC2-4FBE-4D45-9AD1-956283BC2BE4}"/>
    <cellStyle name="Normal 11 2 2 7 7 3" xfId="31082" xr:uid="{F1448F0E-F663-4EBC-B29E-A6D87523FD19}"/>
    <cellStyle name="Normal 11 2 2 7 8" xfId="31083" xr:uid="{A176D63C-B79B-4236-8A1C-8E35E0C32108}"/>
    <cellStyle name="Normal 11 2 2 7 8 2" xfId="31084" xr:uid="{D53A392B-8A74-4E90-90E7-862C3103EBB3}"/>
    <cellStyle name="Normal 11 2 2 7 9" xfId="31085" xr:uid="{5BBB9391-48C7-4924-815A-8968918603D2}"/>
    <cellStyle name="Normal 11 2 2 8" xfId="443" xr:uid="{F8B4CA48-A3A6-4B81-AE24-EE8B0F796B06}"/>
    <cellStyle name="Normal 11 2 2 8 2" xfId="31087" xr:uid="{D4E1E258-9E18-41F5-AADE-78AA522E757F}"/>
    <cellStyle name="Normal 11 2 2 8 2 2" xfId="31088" xr:uid="{7637EF58-8FE7-4258-97DA-9C086078983C}"/>
    <cellStyle name="Normal 11 2 2 8 2 2 2" xfId="31089" xr:uid="{52E8AE3F-2BA1-45DC-9EE0-EF54C08D37AC}"/>
    <cellStyle name="Normal 11 2 2 8 2 2 2 2" xfId="31090" xr:uid="{6209BD39-660F-4802-8412-9338B8B8BFE1}"/>
    <cellStyle name="Normal 11 2 2 8 2 2 2 2 2" xfId="31091" xr:uid="{B2155D60-3BEE-462D-85E5-D77BC4234222}"/>
    <cellStyle name="Normal 11 2 2 8 2 2 2 2 2 2" xfId="31092" xr:uid="{97EDA321-97B8-448A-9662-5B507D705766}"/>
    <cellStyle name="Normal 11 2 2 8 2 2 2 2 2 2 2" xfId="31093" xr:uid="{C63BF21C-363C-44F0-9D28-B70BA0E19343}"/>
    <cellStyle name="Normal 11 2 2 8 2 2 2 2 2 3" xfId="31094" xr:uid="{AA76F779-B444-4049-9475-CCF72926678F}"/>
    <cellStyle name="Normal 11 2 2 8 2 2 2 2 3" xfId="31095" xr:uid="{E0B114DC-195B-4510-A37F-FC305E68F1F5}"/>
    <cellStyle name="Normal 11 2 2 8 2 2 2 2 3 2" xfId="31096" xr:uid="{5A3DCF9A-B58B-4B67-B9C7-8F1589575534}"/>
    <cellStyle name="Normal 11 2 2 8 2 2 2 2 4" xfId="31097" xr:uid="{DC7E97B0-00EF-4D1F-BCBF-E54F15C24231}"/>
    <cellStyle name="Normal 11 2 2 8 2 2 2 3" xfId="31098" xr:uid="{08DF3587-8822-4B3B-A885-DC6190BE0EE5}"/>
    <cellStyle name="Normal 11 2 2 8 2 2 2 3 2" xfId="31099" xr:uid="{701CB8DE-EE7B-4F3A-AAAB-69F6B3A1B897}"/>
    <cellStyle name="Normal 11 2 2 8 2 2 2 3 2 2" xfId="31100" xr:uid="{2C21A310-D461-47D8-BCBB-A80D37A3557D}"/>
    <cellStyle name="Normal 11 2 2 8 2 2 2 3 3" xfId="31101" xr:uid="{A78759E0-E153-4C9F-81C1-6DF709ABD5A3}"/>
    <cellStyle name="Normal 11 2 2 8 2 2 2 4" xfId="31102" xr:uid="{E6C9A7F3-C148-4FF5-B9E2-F0C1BB64C3A0}"/>
    <cellStyle name="Normal 11 2 2 8 2 2 2 4 2" xfId="31103" xr:uid="{4EDBA290-17D4-49D8-A869-D815F9DE8888}"/>
    <cellStyle name="Normal 11 2 2 8 2 2 2 5" xfId="31104" xr:uid="{3606CC17-4B0F-4DDC-9483-6A8B2DF04B62}"/>
    <cellStyle name="Normal 11 2 2 8 2 2 3" xfId="31105" xr:uid="{014D60BB-5D4B-4F8E-99B7-A1D2D9B9577E}"/>
    <cellStyle name="Normal 11 2 2 8 2 2 3 2" xfId="31106" xr:uid="{40953C0F-037B-4BD1-A1BA-584D464DC22A}"/>
    <cellStyle name="Normal 11 2 2 8 2 2 3 2 2" xfId="31107" xr:uid="{B82CA006-3A9F-40A0-802D-A876354D5434}"/>
    <cellStyle name="Normal 11 2 2 8 2 2 3 2 2 2" xfId="31108" xr:uid="{2EC3DDF3-BF1B-4438-B016-889D7491C8AA}"/>
    <cellStyle name="Normal 11 2 2 8 2 2 3 2 3" xfId="31109" xr:uid="{7119FF80-B625-4221-95CF-B433176B76C9}"/>
    <cellStyle name="Normal 11 2 2 8 2 2 3 3" xfId="31110" xr:uid="{F6D6A602-F930-4E29-ACB5-B82352CD0307}"/>
    <cellStyle name="Normal 11 2 2 8 2 2 3 3 2" xfId="31111" xr:uid="{7ECD102C-A8BB-4443-98F9-74BC32B415A2}"/>
    <cellStyle name="Normal 11 2 2 8 2 2 3 4" xfId="31112" xr:uid="{76489E41-A55D-4A26-BD85-AF52A15C0161}"/>
    <cellStyle name="Normal 11 2 2 8 2 2 4" xfId="31113" xr:uid="{F8FE0FA2-DE1E-4DAD-8584-17065A946B35}"/>
    <cellStyle name="Normal 11 2 2 8 2 2 4 2" xfId="31114" xr:uid="{D73417CD-3971-4CD2-87C3-9634986BB50A}"/>
    <cellStyle name="Normal 11 2 2 8 2 2 4 2 2" xfId="31115" xr:uid="{4AF5DF25-BEE0-42DE-B3E5-4C1AB240B1B9}"/>
    <cellStyle name="Normal 11 2 2 8 2 2 4 3" xfId="31116" xr:uid="{712EF81A-78B6-4500-A2DB-88072E08049D}"/>
    <cellStyle name="Normal 11 2 2 8 2 2 5" xfId="31117" xr:uid="{DB4FDD2F-C389-43E9-8CEF-DA29AE16E7DE}"/>
    <cellStyle name="Normal 11 2 2 8 2 2 5 2" xfId="31118" xr:uid="{A47C1A02-DB69-4621-97FB-B1E96BE5AC0A}"/>
    <cellStyle name="Normal 11 2 2 8 2 2 6" xfId="31119" xr:uid="{4069BEB1-4A83-49F1-9564-84F1B452092F}"/>
    <cellStyle name="Normal 11 2 2 8 2 3" xfId="31120" xr:uid="{DD22288F-84C6-490B-B114-65B2FF802E49}"/>
    <cellStyle name="Normal 11 2 2 8 2 3 2" xfId="31121" xr:uid="{8EAF9B5D-4C9C-46BC-B93D-B83E7B0C3071}"/>
    <cellStyle name="Normal 11 2 2 8 2 3 2 2" xfId="31122" xr:uid="{1AB2BB58-2153-4218-AD25-4C8D949148EB}"/>
    <cellStyle name="Normal 11 2 2 8 2 3 2 2 2" xfId="31123" xr:uid="{A0FA1EEE-DCB0-4E6A-AD75-54E182D06ED1}"/>
    <cellStyle name="Normal 11 2 2 8 2 3 2 2 2 2" xfId="31124" xr:uid="{8D435E23-F26B-4AA0-BA76-56DBCB05F7AF}"/>
    <cellStyle name="Normal 11 2 2 8 2 3 2 2 3" xfId="31125" xr:uid="{A383FCEA-A6AA-4CEB-98FE-B9DDDA29A07D}"/>
    <cellStyle name="Normal 11 2 2 8 2 3 2 3" xfId="31126" xr:uid="{3A0C83C4-80A2-4636-9E88-C35A29D4EBED}"/>
    <cellStyle name="Normal 11 2 2 8 2 3 2 3 2" xfId="31127" xr:uid="{64579E42-3818-466E-A9E7-F6E07E68DE35}"/>
    <cellStyle name="Normal 11 2 2 8 2 3 2 4" xfId="31128" xr:uid="{DD797D6C-255C-41CC-A8D9-C1A9F6CED58E}"/>
    <cellStyle name="Normal 11 2 2 8 2 3 3" xfId="31129" xr:uid="{B7953826-779E-4EAA-A3BB-402E445C89AE}"/>
    <cellStyle name="Normal 11 2 2 8 2 3 3 2" xfId="31130" xr:uid="{E80674F8-3699-4E07-B0CB-65F8AA75C1F7}"/>
    <cellStyle name="Normal 11 2 2 8 2 3 3 2 2" xfId="31131" xr:uid="{3C6F3F03-B764-4C37-A4F9-7A349A3205EE}"/>
    <cellStyle name="Normal 11 2 2 8 2 3 3 3" xfId="31132" xr:uid="{34BC9192-C16F-40F8-8960-D61AA78FCBC7}"/>
    <cellStyle name="Normal 11 2 2 8 2 3 4" xfId="31133" xr:uid="{1844D9D3-2394-4A2A-9E91-E3FB2CD6A780}"/>
    <cellStyle name="Normal 11 2 2 8 2 3 4 2" xfId="31134" xr:uid="{DF4B7620-A9A5-4778-B800-F910170F87DA}"/>
    <cellStyle name="Normal 11 2 2 8 2 3 5" xfId="31135" xr:uid="{0A4990EC-2711-48BD-8E5F-405F0B7CAFE0}"/>
    <cellStyle name="Normal 11 2 2 8 2 4" xfId="31136" xr:uid="{FD988085-5D9E-4FD8-8BBC-1D16FF0499B6}"/>
    <cellStyle name="Normal 11 2 2 8 2 4 2" xfId="31137" xr:uid="{08EF1491-A0C7-4369-A7C4-090DD800B290}"/>
    <cellStyle name="Normal 11 2 2 8 2 4 2 2" xfId="31138" xr:uid="{8A627C50-C3CA-4079-AA90-F613474A3C10}"/>
    <cellStyle name="Normal 11 2 2 8 2 4 2 2 2" xfId="31139" xr:uid="{B9A582B9-4E11-45E4-AC12-C252536FB041}"/>
    <cellStyle name="Normal 11 2 2 8 2 4 2 3" xfId="31140" xr:uid="{0D92FA28-2B27-4384-BACC-D2F5C7850598}"/>
    <cellStyle name="Normal 11 2 2 8 2 4 3" xfId="31141" xr:uid="{FCD77332-80B2-4863-93CA-22D0EF5AE576}"/>
    <cellStyle name="Normal 11 2 2 8 2 4 3 2" xfId="31142" xr:uid="{CDDCFC70-A3DA-4A71-995D-EF970F98245C}"/>
    <cellStyle name="Normal 11 2 2 8 2 4 4" xfId="31143" xr:uid="{713C6D09-6AAB-4954-A046-8ED393491DDD}"/>
    <cellStyle name="Normal 11 2 2 8 2 5" xfId="31144" xr:uid="{678F27A4-2D1E-4FB6-B892-4BA402796556}"/>
    <cellStyle name="Normal 11 2 2 8 2 5 2" xfId="31145" xr:uid="{C96A7DC6-B26F-4F2A-B097-599F1B7C4188}"/>
    <cellStyle name="Normal 11 2 2 8 2 5 2 2" xfId="31146" xr:uid="{A3D960E8-56D2-473C-AE4F-8EB40FF57810}"/>
    <cellStyle name="Normal 11 2 2 8 2 5 3" xfId="31147" xr:uid="{C70D8BE2-0A8B-4792-BD20-2B924D4722D0}"/>
    <cellStyle name="Normal 11 2 2 8 2 6" xfId="31148" xr:uid="{F2539847-4A00-4D81-8F98-6CF11B798B90}"/>
    <cellStyle name="Normal 11 2 2 8 2 6 2" xfId="31149" xr:uid="{C7D13A7A-89EC-4E6B-AAF0-88AB245E3029}"/>
    <cellStyle name="Normal 11 2 2 8 2 7" xfId="31150" xr:uid="{FE825BE2-09A2-4A97-81F5-B51659BD5BA3}"/>
    <cellStyle name="Normal 11 2 2 8 3" xfId="31151" xr:uid="{346FCDD8-384C-40AB-A0CD-78D4050D6A36}"/>
    <cellStyle name="Normal 11 2 2 8 3 2" xfId="31152" xr:uid="{C6424950-05F4-440A-965C-0C4DB1CD7E6F}"/>
    <cellStyle name="Normal 11 2 2 8 3 2 2" xfId="31153" xr:uid="{DEC1F13D-6001-40BF-9668-5E52A366F534}"/>
    <cellStyle name="Normal 11 2 2 8 3 2 2 2" xfId="31154" xr:uid="{BF48954D-F7CE-4B36-87FE-88C17DAEE0F7}"/>
    <cellStyle name="Normal 11 2 2 8 3 2 2 2 2" xfId="31155" xr:uid="{1DB391F9-37D2-4747-8AC2-8EEFAA2BE7D7}"/>
    <cellStyle name="Normal 11 2 2 8 3 2 2 2 2 2" xfId="31156" xr:uid="{9EB53EE9-C61F-4031-8800-5CD5517F8576}"/>
    <cellStyle name="Normal 11 2 2 8 3 2 2 2 3" xfId="31157" xr:uid="{2247658C-C269-41BF-8B25-76135F2FF83A}"/>
    <cellStyle name="Normal 11 2 2 8 3 2 2 3" xfId="31158" xr:uid="{2865D55F-9544-4F73-92FF-2372D72901F3}"/>
    <cellStyle name="Normal 11 2 2 8 3 2 2 3 2" xfId="31159" xr:uid="{6A79DABA-D8A4-436A-AFD5-D9B123201142}"/>
    <cellStyle name="Normal 11 2 2 8 3 2 2 4" xfId="31160" xr:uid="{03D21BF8-6758-49B3-8FA3-36C8A4139858}"/>
    <cellStyle name="Normal 11 2 2 8 3 2 3" xfId="31161" xr:uid="{567B5FAA-CB32-4E20-9FB9-E6E892E4B028}"/>
    <cellStyle name="Normal 11 2 2 8 3 2 3 2" xfId="31162" xr:uid="{529A24B1-8DDE-40BC-9F16-F0CDB17512F1}"/>
    <cellStyle name="Normal 11 2 2 8 3 2 3 2 2" xfId="31163" xr:uid="{7565C3A5-4F0E-4E43-954A-41F2301733BB}"/>
    <cellStyle name="Normal 11 2 2 8 3 2 3 3" xfId="31164" xr:uid="{0A46BF58-6A7C-4540-ADDE-02935AF830C1}"/>
    <cellStyle name="Normal 11 2 2 8 3 2 4" xfId="31165" xr:uid="{B4B0658D-C18D-42CE-8625-8B2C0569E7B1}"/>
    <cellStyle name="Normal 11 2 2 8 3 2 4 2" xfId="31166" xr:uid="{AD7078DA-ADB1-4F87-AD2D-0F5916E04C15}"/>
    <cellStyle name="Normal 11 2 2 8 3 2 5" xfId="31167" xr:uid="{53999598-2A55-44D1-9731-DD932B1D5B47}"/>
    <cellStyle name="Normal 11 2 2 8 3 3" xfId="31168" xr:uid="{E16BCEA2-46E2-476E-A7CA-9B773162884B}"/>
    <cellStyle name="Normal 11 2 2 8 3 3 2" xfId="31169" xr:uid="{76F29DDD-8524-414A-9C0F-E5BABDE06269}"/>
    <cellStyle name="Normal 11 2 2 8 3 3 2 2" xfId="31170" xr:uid="{DE1F6F54-B08D-460B-A332-E7E29D0C53CC}"/>
    <cellStyle name="Normal 11 2 2 8 3 3 2 2 2" xfId="31171" xr:uid="{BA2AB25E-B975-4C4B-8C69-A7633D41031F}"/>
    <cellStyle name="Normal 11 2 2 8 3 3 2 3" xfId="31172" xr:uid="{025749F8-1B10-41BD-AF87-CB06DE02D3C9}"/>
    <cellStyle name="Normal 11 2 2 8 3 3 3" xfId="31173" xr:uid="{7EFE62EC-82ED-4A5A-86D8-B6E24C2042E6}"/>
    <cellStyle name="Normal 11 2 2 8 3 3 3 2" xfId="31174" xr:uid="{D390545A-0D63-4F9E-889C-14B106C5FB7F}"/>
    <cellStyle name="Normal 11 2 2 8 3 3 4" xfId="31175" xr:uid="{8423D2B1-EA2F-4542-BF91-D988E5536EF5}"/>
    <cellStyle name="Normal 11 2 2 8 3 4" xfId="31176" xr:uid="{48346180-15B5-4AA6-8FB0-5FD86147A27E}"/>
    <cellStyle name="Normal 11 2 2 8 3 4 2" xfId="31177" xr:uid="{BFC8D447-7712-4836-B923-0A84C5AAD2DA}"/>
    <cellStyle name="Normal 11 2 2 8 3 4 2 2" xfId="31178" xr:uid="{699A7080-0391-4CA2-BF3F-E0B8411BDAC9}"/>
    <cellStyle name="Normal 11 2 2 8 3 4 3" xfId="31179" xr:uid="{86C04380-AEEF-4DB4-8E17-EEC6196916C1}"/>
    <cellStyle name="Normal 11 2 2 8 3 5" xfId="31180" xr:uid="{1117B431-D491-4799-8D22-2DC385283F4A}"/>
    <cellStyle name="Normal 11 2 2 8 3 5 2" xfId="31181" xr:uid="{31FDE728-9E16-4479-AD06-61848978C20E}"/>
    <cellStyle name="Normal 11 2 2 8 3 6" xfId="31182" xr:uid="{959B4D5A-303F-4C8F-BAB9-0CC4E92808F7}"/>
    <cellStyle name="Normal 11 2 2 8 4" xfId="31183" xr:uid="{6648F32E-41A2-4E3E-8D76-E6130826A98B}"/>
    <cellStyle name="Normal 11 2 2 8 4 2" xfId="31184" xr:uid="{2E09D62D-1B91-47B1-A295-4E35C528F0F4}"/>
    <cellStyle name="Normal 11 2 2 8 4 2 2" xfId="31185" xr:uid="{18779D50-9780-4102-9D20-FC2A41536C77}"/>
    <cellStyle name="Normal 11 2 2 8 4 2 2 2" xfId="31186" xr:uid="{BF9188F4-E3B8-497C-B340-420E6780902C}"/>
    <cellStyle name="Normal 11 2 2 8 4 2 2 2 2" xfId="31187" xr:uid="{F27BE52B-A693-452B-972C-372AAA430DAE}"/>
    <cellStyle name="Normal 11 2 2 8 4 2 2 3" xfId="31188" xr:uid="{B971E90F-B794-45C8-B925-8B2B4A6ED6B8}"/>
    <cellStyle name="Normal 11 2 2 8 4 2 3" xfId="31189" xr:uid="{4420B75B-9AE2-499A-8E0D-5B7EED287941}"/>
    <cellStyle name="Normal 11 2 2 8 4 2 3 2" xfId="31190" xr:uid="{AB73DC6A-F5EC-44D0-B42C-90BAC71E4DB6}"/>
    <cellStyle name="Normal 11 2 2 8 4 2 4" xfId="31191" xr:uid="{20604D2F-BEE1-4A83-AE89-CCA77850304D}"/>
    <cellStyle name="Normal 11 2 2 8 4 3" xfId="31192" xr:uid="{81AFDAAC-B8B2-44DC-AC18-F6104453B182}"/>
    <cellStyle name="Normal 11 2 2 8 4 3 2" xfId="31193" xr:uid="{D48ACDA1-19EB-4D39-ABB4-EE278D91B49A}"/>
    <cellStyle name="Normal 11 2 2 8 4 3 2 2" xfId="31194" xr:uid="{BE78AFD5-4D0A-4F58-97C7-66D26EA0A2C9}"/>
    <cellStyle name="Normal 11 2 2 8 4 3 3" xfId="31195" xr:uid="{136A3820-36C5-4304-BD77-901AE52BAAC7}"/>
    <cellStyle name="Normal 11 2 2 8 4 4" xfId="31196" xr:uid="{C8D9DC5B-F947-464A-AF99-53B606D19586}"/>
    <cellStyle name="Normal 11 2 2 8 4 4 2" xfId="31197" xr:uid="{C8FF53E4-F7EB-4E8C-9118-A5E82CF51182}"/>
    <cellStyle name="Normal 11 2 2 8 4 5" xfId="31198" xr:uid="{9DCE396E-B8BA-4E4F-889E-4613218FD490}"/>
    <cellStyle name="Normal 11 2 2 8 5" xfId="31199" xr:uid="{1614F9F7-ECD4-4CE0-9752-13B67255D8D5}"/>
    <cellStyle name="Normal 11 2 2 8 5 2" xfId="31200" xr:uid="{8168620E-202D-4AFF-A6AE-036E661C33D9}"/>
    <cellStyle name="Normal 11 2 2 8 5 2 2" xfId="31201" xr:uid="{0AC08F6B-7E59-4CE9-8AA1-BEA4048D43A8}"/>
    <cellStyle name="Normal 11 2 2 8 5 2 2 2" xfId="31202" xr:uid="{97018674-CF9F-409A-8FAD-CB4928C66B3A}"/>
    <cellStyle name="Normal 11 2 2 8 5 2 3" xfId="31203" xr:uid="{66FF5A96-70ED-4B60-90DD-A3812FE5F1F8}"/>
    <cellStyle name="Normal 11 2 2 8 5 3" xfId="31204" xr:uid="{B0BC98F2-6C26-49AC-9DB7-BD34874CC0D5}"/>
    <cellStyle name="Normal 11 2 2 8 5 3 2" xfId="31205" xr:uid="{EE28A3FD-B83C-4304-A971-0B3774177979}"/>
    <cellStyle name="Normal 11 2 2 8 5 4" xfId="31206" xr:uid="{6FDEE742-6AB3-4BCF-AB40-D2C599B955F2}"/>
    <cellStyle name="Normal 11 2 2 8 6" xfId="31207" xr:uid="{F24ECD93-C6F1-480E-9959-ACE9935F1299}"/>
    <cellStyle name="Normal 11 2 2 8 6 2" xfId="31208" xr:uid="{9B6F9C02-6CBD-412B-8D22-90BA96B6EBE5}"/>
    <cellStyle name="Normal 11 2 2 8 6 2 2" xfId="31209" xr:uid="{C5BC3557-C64D-4B54-A223-FCB403600224}"/>
    <cellStyle name="Normal 11 2 2 8 6 3" xfId="31210" xr:uid="{B0D64B4B-D34B-43C1-8376-16EBC61EA070}"/>
    <cellStyle name="Normal 11 2 2 8 7" xfId="31211" xr:uid="{F4D72DAE-9894-4911-BDD3-EF326ABD0342}"/>
    <cellStyle name="Normal 11 2 2 8 7 2" xfId="31212" xr:uid="{C94B19FE-3B9A-4199-9B92-82B5907F14D8}"/>
    <cellStyle name="Normal 11 2 2 8 8" xfId="31213" xr:uid="{A022EAA3-EE49-4278-B3E4-58E1AE824274}"/>
    <cellStyle name="Normal 11 2 2 8 9" xfId="31086" xr:uid="{82443BEC-45B9-450B-90A1-DEC4D1785810}"/>
    <cellStyle name="Normal 11 2 2 9" xfId="31214" xr:uid="{3F9FA619-F689-4F57-A562-C2B77C950156}"/>
    <cellStyle name="Normal 11 2 2 9 2" xfId="31215" xr:uid="{88C739B6-5D2E-43FC-93F1-731BAFD0B778}"/>
    <cellStyle name="Normal 11 2 2 9 2 2" xfId="31216" xr:uid="{1F8E9989-5BF8-4B19-B3AF-40ABA149D661}"/>
    <cellStyle name="Normal 11 2 2 9 2 2 2" xfId="31217" xr:uid="{41F6608A-6917-480B-94A2-3D7819FFBC81}"/>
    <cellStyle name="Normal 11 2 2 9 2 2 2 2" xfId="31218" xr:uid="{C0603F7D-FE68-4B29-B2FD-15BE56211E9E}"/>
    <cellStyle name="Normal 11 2 2 9 2 2 2 2 2" xfId="31219" xr:uid="{B4634603-8835-426A-8FDA-F3C402725E2B}"/>
    <cellStyle name="Normal 11 2 2 9 2 2 2 2 2 2" xfId="31220" xr:uid="{5D75B9B3-02A7-48F7-9C54-C380655DB63A}"/>
    <cellStyle name="Normal 11 2 2 9 2 2 2 2 3" xfId="31221" xr:uid="{EEF58D52-6484-49E5-BAEF-D1E39785B3F6}"/>
    <cellStyle name="Normal 11 2 2 9 2 2 2 3" xfId="31222" xr:uid="{33CD5B5D-F85F-4477-9745-1A368B71398D}"/>
    <cellStyle name="Normal 11 2 2 9 2 2 2 3 2" xfId="31223" xr:uid="{42CD9ACC-9606-4AD4-8DD2-2B654B49FF9A}"/>
    <cellStyle name="Normal 11 2 2 9 2 2 2 4" xfId="31224" xr:uid="{1854E6B8-A040-4654-8490-16DC51192353}"/>
    <cellStyle name="Normal 11 2 2 9 2 2 3" xfId="31225" xr:uid="{2510436D-7BAC-4C42-B177-9D7882BFD7FF}"/>
    <cellStyle name="Normal 11 2 2 9 2 2 3 2" xfId="31226" xr:uid="{6EC38B71-98A6-41E3-B45A-7193A02049ED}"/>
    <cellStyle name="Normal 11 2 2 9 2 2 3 2 2" xfId="31227" xr:uid="{F769B1FE-6269-41E4-AD66-F8A39C5622E7}"/>
    <cellStyle name="Normal 11 2 2 9 2 2 3 3" xfId="31228" xr:uid="{CD6A3142-64F8-4A42-BBA5-3FF123B23BC2}"/>
    <cellStyle name="Normal 11 2 2 9 2 2 4" xfId="31229" xr:uid="{5200B0B3-E14C-418C-A8B8-776F5A7B22DC}"/>
    <cellStyle name="Normal 11 2 2 9 2 2 4 2" xfId="31230" xr:uid="{BBA2873D-1CA8-4EA4-8EFE-A00541461A37}"/>
    <cellStyle name="Normal 11 2 2 9 2 2 5" xfId="31231" xr:uid="{640B019E-1CC3-44CE-9071-8E3082077767}"/>
    <cellStyle name="Normal 11 2 2 9 2 3" xfId="31232" xr:uid="{2CACD767-5CA7-46EA-8116-8DED690191CC}"/>
    <cellStyle name="Normal 11 2 2 9 2 3 2" xfId="31233" xr:uid="{469BF4C0-A8A2-477D-ABC8-A20027CC9CFC}"/>
    <cellStyle name="Normal 11 2 2 9 2 3 2 2" xfId="31234" xr:uid="{5732E6D6-C622-4B09-BD2F-55332EB2E57A}"/>
    <cellStyle name="Normal 11 2 2 9 2 3 2 2 2" xfId="31235" xr:uid="{C816A075-27EC-41E9-A9C9-D138388D3DA6}"/>
    <cellStyle name="Normal 11 2 2 9 2 3 2 3" xfId="31236" xr:uid="{B3C721C3-30BA-4AC4-AABC-412BE4721BBE}"/>
    <cellStyle name="Normal 11 2 2 9 2 3 3" xfId="31237" xr:uid="{D83C0ECD-DF3E-42DF-949A-C1FA4AD53194}"/>
    <cellStyle name="Normal 11 2 2 9 2 3 3 2" xfId="31238" xr:uid="{CC7B73BE-CE8C-4888-B3AE-E97BDFD1AAC7}"/>
    <cellStyle name="Normal 11 2 2 9 2 3 4" xfId="31239" xr:uid="{39E1984E-B475-4023-85B4-E51E1F4BDDB4}"/>
    <cellStyle name="Normal 11 2 2 9 2 4" xfId="31240" xr:uid="{420B67A5-DB0F-4DAA-B51C-4F05772B8630}"/>
    <cellStyle name="Normal 11 2 2 9 2 4 2" xfId="31241" xr:uid="{A8F93167-BA76-4823-B795-AEB7961A650C}"/>
    <cellStyle name="Normal 11 2 2 9 2 4 2 2" xfId="31242" xr:uid="{EF6C8AB2-E496-4A57-BA5A-C32189CA6F36}"/>
    <cellStyle name="Normal 11 2 2 9 2 4 3" xfId="31243" xr:uid="{A789E934-24DD-434D-AB8F-B157814C6C91}"/>
    <cellStyle name="Normal 11 2 2 9 2 5" xfId="31244" xr:uid="{70F74A11-224F-4B7E-B7B5-D98B87AE2D9E}"/>
    <cellStyle name="Normal 11 2 2 9 2 5 2" xfId="31245" xr:uid="{D3DA2FEC-173F-4A04-9739-59584F7457A8}"/>
    <cellStyle name="Normal 11 2 2 9 2 6" xfId="31246" xr:uid="{F00AEC45-7DFB-40A5-99A1-3099BB441DBD}"/>
    <cellStyle name="Normal 11 2 2 9 3" xfId="31247" xr:uid="{113F1E24-491C-4E6D-939B-9FEAE70A1CFE}"/>
    <cellStyle name="Normal 11 2 2 9 3 2" xfId="31248" xr:uid="{26EBF27B-3F21-4E21-8D6C-3834E57D716B}"/>
    <cellStyle name="Normal 11 2 2 9 3 2 2" xfId="31249" xr:uid="{B39CDBD6-7F55-46FC-BC28-EF3A0648D6C9}"/>
    <cellStyle name="Normal 11 2 2 9 3 2 2 2" xfId="31250" xr:uid="{C327E57F-D453-48C9-8DB3-73CD6316DD96}"/>
    <cellStyle name="Normal 11 2 2 9 3 2 2 2 2" xfId="31251" xr:uid="{84EB7E83-D96A-4BBA-9600-A9FC54934E98}"/>
    <cellStyle name="Normal 11 2 2 9 3 2 2 3" xfId="31252" xr:uid="{6A6D23FA-90C3-446F-8985-278352A93F6A}"/>
    <cellStyle name="Normal 11 2 2 9 3 2 3" xfId="31253" xr:uid="{4C7B08F9-2A59-4E33-A717-01F83BDA7C25}"/>
    <cellStyle name="Normal 11 2 2 9 3 2 3 2" xfId="31254" xr:uid="{2D5D27A7-EAC5-49EC-873B-1A4944A0BD36}"/>
    <cellStyle name="Normal 11 2 2 9 3 2 4" xfId="31255" xr:uid="{B4ECD764-F996-473C-BF33-A30A496AFD22}"/>
    <cellStyle name="Normal 11 2 2 9 3 3" xfId="31256" xr:uid="{A6F93393-ECD9-4AAE-9483-A30328645C9D}"/>
    <cellStyle name="Normal 11 2 2 9 3 3 2" xfId="31257" xr:uid="{5DF007FA-4C52-4CEC-B9CC-CF2E11113FCE}"/>
    <cellStyle name="Normal 11 2 2 9 3 3 2 2" xfId="31258" xr:uid="{D9A70B0F-874A-4A18-BD75-51CC67574F4D}"/>
    <cellStyle name="Normal 11 2 2 9 3 3 3" xfId="31259" xr:uid="{A22E42EE-C735-4F20-B2D6-265C3C06EC2F}"/>
    <cellStyle name="Normal 11 2 2 9 3 4" xfId="31260" xr:uid="{E239C6BA-6EF8-4570-B1A4-1511274153EC}"/>
    <cellStyle name="Normal 11 2 2 9 3 4 2" xfId="31261" xr:uid="{09FD21C1-EF87-4DFD-A85F-4A09931C28E1}"/>
    <cellStyle name="Normal 11 2 2 9 3 5" xfId="31262" xr:uid="{AF91F94E-0AD2-4049-9465-5641C2EFAE7E}"/>
    <cellStyle name="Normal 11 2 2 9 4" xfId="31263" xr:uid="{4EC91E97-5B55-4DDC-A839-D38AC1A6CBC1}"/>
    <cellStyle name="Normal 11 2 2 9 4 2" xfId="31264" xr:uid="{3146AB08-CD7D-4D1C-96DC-06A9EDA979D5}"/>
    <cellStyle name="Normal 11 2 2 9 4 2 2" xfId="31265" xr:uid="{2CBAEFF3-2B34-4C0F-B912-8FA7D280DE07}"/>
    <cellStyle name="Normal 11 2 2 9 4 2 2 2" xfId="31266" xr:uid="{0B504CB8-6639-4E5A-BD93-98A8C80E9124}"/>
    <cellStyle name="Normal 11 2 2 9 4 2 3" xfId="31267" xr:uid="{3D499799-1EA0-479E-9EC7-E4DA86DDC210}"/>
    <cellStyle name="Normal 11 2 2 9 4 3" xfId="31268" xr:uid="{F8FC6CAC-AEF1-4C7F-8F03-567334D7A73F}"/>
    <cellStyle name="Normal 11 2 2 9 4 3 2" xfId="31269" xr:uid="{62E64FA9-9897-4D00-BD04-B9E7E512A9B9}"/>
    <cellStyle name="Normal 11 2 2 9 4 4" xfId="31270" xr:uid="{81737B53-42B3-4411-BF18-CB181B045FC6}"/>
    <cellStyle name="Normal 11 2 2 9 5" xfId="31271" xr:uid="{79B8277E-1147-49D8-9B55-DEEEB7C0B292}"/>
    <cellStyle name="Normal 11 2 2 9 5 2" xfId="31272" xr:uid="{BE5BC28F-194B-4FAA-819F-E611968210A6}"/>
    <cellStyle name="Normal 11 2 2 9 5 2 2" xfId="31273" xr:uid="{43B01D66-7D70-407E-9341-124F5BF2CD3F}"/>
    <cellStyle name="Normal 11 2 2 9 5 3" xfId="31274" xr:uid="{8EE7124D-0F89-485F-A85D-45AA299C599C}"/>
    <cellStyle name="Normal 11 2 2 9 6" xfId="31275" xr:uid="{0D4C39C6-611B-4BC5-BA80-2EE26F299876}"/>
    <cellStyle name="Normal 11 2 2 9 6 2" xfId="31276" xr:uid="{C2E02EBF-1C92-4822-8383-1C7D9567409B}"/>
    <cellStyle name="Normal 11 2 2 9 7" xfId="31277" xr:uid="{45027941-F7EE-4656-974C-E175A8F05C0D}"/>
    <cellStyle name="Normal 11 2 3" xfId="211" xr:uid="{38E630B0-41C7-4AAB-9294-6DEF5B6CC825}"/>
    <cellStyle name="Normal 11 2 3 10" xfId="31278" xr:uid="{9B8A9721-23D5-49E1-BD0C-FBBA29916CA7}"/>
    <cellStyle name="Normal 11 2 3 10 2" xfId="31279" xr:uid="{FC9F1390-E19B-4445-9B7E-900199803BBF}"/>
    <cellStyle name="Normal 11 2 3 10 2 2" xfId="31280" xr:uid="{7A01A14A-27E2-4E51-9214-1794A13D1556}"/>
    <cellStyle name="Normal 11 2 3 10 2 2 2" xfId="31281" xr:uid="{D336AA97-5D43-427B-AF05-7DA1C8290580}"/>
    <cellStyle name="Normal 11 2 3 10 2 2 2 2" xfId="31282" xr:uid="{0106CDEA-9EFB-4C22-B83A-41C28ACC8465}"/>
    <cellStyle name="Normal 11 2 3 10 2 2 3" xfId="31283" xr:uid="{E85C36A3-CBF1-4154-A8D2-7B94E006428A}"/>
    <cellStyle name="Normal 11 2 3 10 2 3" xfId="31284" xr:uid="{74907B3E-ECB5-41EB-AC8B-8F1C9E7E9FDA}"/>
    <cellStyle name="Normal 11 2 3 10 2 3 2" xfId="31285" xr:uid="{20A60143-E2FB-4824-BB13-C64B8AF2544B}"/>
    <cellStyle name="Normal 11 2 3 10 2 4" xfId="31286" xr:uid="{03B88087-B1CA-4E73-A444-D02018BF3246}"/>
    <cellStyle name="Normal 11 2 3 10 3" xfId="31287" xr:uid="{7AA9DA93-F6D9-4413-817D-727FEF27BDF0}"/>
    <cellStyle name="Normal 11 2 3 10 3 2" xfId="31288" xr:uid="{43442A3F-B5BD-4B1E-9792-C5EDA86F6111}"/>
    <cellStyle name="Normal 11 2 3 10 3 2 2" xfId="31289" xr:uid="{853D702B-AEFA-4CB8-B201-FA7D9E197EC2}"/>
    <cellStyle name="Normal 11 2 3 10 3 3" xfId="31290" xr:uid="{DDD9FC8D-C660-4D80-B4E7-8EB460C9BCE8}"/>
    <cellStyle name="Normal 11 2 3 10 4" xfId="31291" xr:uid="{5C13A520-B9F0-415E-9321-B25D81B2C312}"/>
    <cellStyle name="Normal 11 2 3 10 4 2" xfId="31292" xr:uid="{54F216F8-292A-4717-9EEE-AB9B99B1B614}"/>
    <cellStyle name="Normal 11 2 3 10 5" xfId="31293" xr:uid="{DAF6D28F-0422-4661-99E6-E9F7535EF9EE}"/>
    <cellStyle name="Normal 11 2 3 11" xfId="31294" xr:uid="{583948F1-1989-4EAE-9922-E2F1ED5BC5E8}"/>
    <cellStyle name="Normal 11 2 3 11 2" xfId="31295" xr:uid="{46139744-FAFC-4612-8BD8-FB9D5B6CDA50}"/>
    <cellStyle name="Normal 11 2 3 11 2 2" xfId="31296" xr:uid="{5E4A08A1-8B3B-4306-AECC-463B99567C77}"/>
    <cellStyle name="Normal 11 2 3 11 2 2 2" xfId="31297" xr:uid="{1D32CAD3-CC97-4D4E-9BAC-F53E033724EE}"/>
    <cellStyle name="Normal 11 2 3 11 2 3" xfId="31298" xr:uid="{1BC0455C-DE45-451F-AAB4-1EE70EA91026}"/>
    <cellStyle name="Normal 11 2 3 11 3" xfId="31299" xr:uid="{C89F0283-87C5-4360-ADF3-83769A2F5F43}"/>
    <cellStyle name="Normal 11 2 3 11 3 2" xfId="31300" xr:uid="{5D3551B9-7882-49E1-95C5-982435C77A7A}"/>
    <cellStyle name="Normal 11 2 3 11 4" xfId="31301" xr:uid="{A2DB1988-A126-4B68-9779-7509C2CC332D}"/>
    <cellStyle name="Normal 11 2 3 12" xfId="31302" xr:uid="{A91761E6-F40E-4697-B4BC-65EAF4A3283A}"/>
    <cellStyle name="Normal 11 2 3 12 2" xfId="31303" xr:uid="{81F22778-03C4-4614-B3D6-89C72E4E4283}"/>
    <cellStyle name="Normal 11 2 3 12 2 2" xfId="31304" xr:uid="{D81F8585-A9A9-4AB9-A875-20A227D50ADC}"/>
    <cellStyle name="Normal 11 2 3 12 3" xfId="31305" xr:uid="{0B8AC455-B3EE-4AB0-92E1-2409879B8C2B}"/>
    <cellStyle name="Normal 11 2 3 13" xfId="31306" xr:uid="{B59173D8-B997-4800-B3B5-D96C3769681B}"/>
    <cellStyle name="Normal 11 2 3 13 2" xfId="31307" xr:uid="{E235DB34-AAA1-45C1-8811-8C33EFBCE204}"/>
    <cellStyle name="Normal 11 2 3 14" xfId="31308" xr:uid="{A3B3F1D4-72CC-4D75-855C-578D9B6025DE}"/>
    <cellStyle name="Normal 11 2 3 15" xfId="535" xr:uid="{F060136D-698A-4D1A-8B18-B88730EBA312}"/>
    <cellStyle name="Normal 11 2 3 2" xfId="228" xr:uid="{5F7FAEF6-2CAB-4682-90B2-9D2969CAEC8A}"/>
    <cellStyle name="Normal 11 2 3 2 10" xfId="31309" xr:uid="{2AB93EBD-15A9-4DE8-8362-D04D17154108}"/>
    <cellStyle name="Normal 11 2 3 2 11" xfId="583" xr:uid="{6A9046FF-F962-418D-AC58-B9D8682F8D6D}"/>
    <cellStyle name="Normal 11 2 3 2 2" xfId="361" xr:uid="{4EB54D4F-CA13-4A99-9BF8-D88092397EC9}"/>
    <cellStyle name="Normal 11 2 3 2 2 10" xfId="31310" xr:uid="{928B5D8C-03F6-48F2-99B1-1D131749A7F1}"/>
    <cellStyle name="Normal 11 2 3 2 2 2" xfId="31311" xr:uid="{E3CDA708-26BB-4D1D-A05E-708ED554D7E8}"/>
    <cellStyle name="Normal 11 2 3 2 2 2 2" xfId="31312" xr:uid="{3D21F168-E03A-4E6A-9F87-AEFE90BE66C7}"/>
    <cellStyle name="Normal 11 2 3 2 2 2 2 2" xfId="31313" xr:uid="{DB447722-4D05-421F-9470-EE3D29C1E57F}"/>
    <cellStyle name="Normal 11 2 3 2 2 2 2 2 2" xfId="31314" xr:uid="{233762FF-5408-46B2-9284-3BDCE7A1D663}"/>
    <cellStyle name="Normal 11 2 3 2 2 2 2 2 2 2" xfId="31315" xr:uid="{33AEA235-B053-4954-9996-0D580E8E4AF2}"/>
    <cellStyle name="Normal 11 2 3 2 2 2 2 2 2 2 2" xfId="31316" xr:uid="{248F25EA-A29B-4AB9-B7FC-ED9CF5421307}"/>
    <cellStyle name="Normal 11 2 3 2 2 2 2 2 2 2 2 2" xfId="31317" xr:uid="{B121DE72-654F-4E56-AE6B-4D5138EEB1F1}"/>
    <cellStyle name="Normal 11 2 3 2 2 2 2 2 2 2 2 2 2" xfId="31318" xr:uid="{CBF9137C-B9A0-41F2-9030-85C9A1AD3A7D}"/>
    <cellStyle name="Normal 11 2 3 2 2 2 2 2 2 2 2 3" xfId="31319" xr:uid="{D45431C8-4353-4AE6-8407-2B8ADABDD748}"/>
    <cellStyle name="Normal 11 2 3 2 2 2 2 2 2 2 3" xfId="31320" xr:uid="{86963414-C852-485E-A365-27CFBC045A07}"/>
    <cellStyle name="Normal 11 2 3 2 2 2 2 2 2 2 3 2" xfId="31321" xr:uid="{B50F2753-3324-4770-90F5-8F80104B4C72}"/>
    <cellStyle name="Normal 11 2 3 2 2 2 2 2 2 2 4" xfId="31322" xr:uid="{E6B2D60F-5ED2-4551-96B7-CEC4A861FC6E}"/>
    <cellStyle name="Normal 11 2 3 2 2 2 2 2 2 3" xfId="31323" xr:uid="{D72330AC-8ABB-4EB1-BD99-57A231CC9CA4}"/>
    <cellStyle name="Normal 11 2 3 2 2 2 2 2 2 3 2" xfId="31324" xr:uid="{AD705F2C-D675-404E-B801-CABE6B942132}"/>
    <cellStyle name="Normal 11 2 3 2 2 2 2 2 2 3 2 2" xfId="31325" xr:uid="{58830D12-2DED-4124-95BB-02D9CCA19624}"/>
    <cellStyle name="Normal 11 2 3 2 2 2 2 2 2 3 3" xfId="31326" xr:uid="{89832C38-9A5D-4479-AB4C-4D69E678D40A}"/>
    <cellStyle name="Normal 11 2 3 2 2 2 2 2 2 4" xfId="31327" xr:uid="{E88B7EB6-BD91-4960-BE9E-7BDB4B5F4538}"/>
    <cellStyle name="Normal 11 2 3 2 2 2 2 2 2 4 2" xfId="31328" xr:uid="{C5DA5454-256D-431C-AD68-19C1D1244120}"/>
    <cellStyle name="Normal 11 2 3 2 2 2 2 2 2 5" xfId="31329" xr:uid="{EAA9EB57-0D2D-4CC9-9081-B6B872EFE16A}"/>
    <cellStyle name="Normal 11 2 3 2 2 2 2 2 3" xfId="31330" xr:uid="{20655037-1535-4D08-A409-A0983C02A04E}"/>
    <cellStyle name="Normal 11 2 3 2 2 2 2 2 3 2" xfId="31331" xr:uid="{F4B5D62A-E61A-4632-9E73-6E1846EDA232}"/>
    <cellStyle name="Normal 11 2 3 2 2 2 2 2 3 2 2" xfId="31332" xr:uid="{A73B274D-BB0C-40E0-BF65-C3656BEA8434}"/>
    <cellStyle name="Normal 11 2 3 2 2 2 2 2 3 2 2 2" xfId="31333" xr:uid="{BA651C83-73C6-47A7-A19A-AAD62039F62E}"/>
    <cellStyle name="Normal 11 2 3 2 2 2 2 2 3 2 3" xfId="31334" xr:uid="{ADEBF885-BD77-4199-8D53-E4FFC7D9FC9B}"/>
    <cellStyle name="Normal 11 2 3 2 2 2 2 2 3 3" xfId="31335" xr:uid="{665916FE-BEF2-47B7-AF17-7228765A3954}"/>
    <cellStyle name="Normal 11 2 3 2 2 2 2 2 3 3 2" xfId="31336" xr:uid="{8099E212-8911-496F-9B0B-77F96336A92B}"/>
    <cellStyle name="Normal 11 2 3 2 2 2 2 2 3 4" xfId="31337" xr:uid="{D12B5B1F-7CEA-46B8-906E-D232D468BFBD}"/>
    <cellStyle name="Normal 11 2 3 2 2 2 2 2 4" xfId="31338" xr:uid="{E5BB3BD7-C71B-4754-9CB2-57804D42C2ED}"/>
    <cellStyle name="Normal 11 2 3 2 2 2 2 2 4 2" xfId="31339" xr:uid="{356E7BB6-901B-42A9-A0AF-1251F3E500B2}"/>
    <cellStyle name="Normal 11 2 3 2 2 2 2 2 4 2 2" xfId="31340" xr:uid="{FA950B32-BEA2-40A8-AF98-ACEC68634ADE}"/>
    <cellStyle name="Normal 11 2 3 2 2 2 2 2 4 3" xfId="31341" xr:uid="{65B633FE-491E-445A-AF80-A8E1CD448B3A}"/>
    <cellStyle name="Normal 11 2 3 2 2 2 2 2 5" xfId="31342" xr:uid="{5342CBAE-B05B-4533-999A-C34ECB0919A9}"/>
    <cellStyle name="Normal 11 2 3 2 2 2 2 2 5 2" xfId="31343" xr:uid="{9FB9A987-3EE1-4C1B-BCEA-5A606813B106}"/>
    <cellStyle name="Normal 11 2 3 2 2 2 2 2 6" xfId="31344" xr:uid="{F3E2CB7C-2BF4-426A-A134-4DB3DBD6F16A}"/>
    <cellStyle name="Normal 11 2 3 2 2 2 2 3" xfId="31345" xr:uid="{E6B32B6F-A3AC-448A-8B01-BAC051DD50AD}"/>
    <cellStyle name="Normal 11 2 3 2 2 2 2 3 2" xfId="31346" xr:uid="{FFD9A394-520B-4BEB-9FDC-78C32F814FAE}"/>
    <cellStyle name="Normal 11 2 3 2 2 2 2 3 2 2" xfId="31347" xr:uid="{B4D34878-4C47-4F41-B8D9-C962B78E6F92}"/>
    <cellStyle name="Normal 11 2 3 2 2 2 2 3 2 2 2" xfId="31348" xr:uid="{76C55D3F-A571-4893-AE38-C822CA1E4785}"/>
    <cellStyle name="Normal 11 2 3 2 2 2 2 3 2 2 2 2" xfId="31349" xr:uid="{CB30FBB5-50B3-4535-888B-902390B8B90E}"/>
    <cellStyle name="Normal 11 2 3 2 2 2 2 3 2 2 3" xfId="31350" xr:uid="{B929AD28-8614-419A-8387-A4EAF8B830AC}"/>
    <cellStyle name="Normal 11 2 3 2 2 2 2 3 2 3" xfId="31351" xr:uid="{583E3A61-6A6F-44A2-A8B6-B6CC58DEE03E}"/>
    <cellStyle name="Normal 11 2 3 2 2 2 2 3 2 3 2" xfId="31352" xr:uid="{973F419B-21D3-46B6-8380-A38A7C988000}"/>
    <cellStyle name="Normal 11 2 3 2 2 2 2 3 2 4" xfId="31353" xr:uid="{FF76D66C-7ACE-4E92-AB65-DD95B940E5BE}"/>
    <cellStyle name="Normal 11 2 3 2 2 2 2 3 3" xfId="31354" xr:uid="{8B21D919-CD12-41AF-9659-7502395B8A3C}"/>
    <cellStyle name="Normal 11 2 3 2 2 2 2 3 3 2" xfId="31355" xr:uid="{19C07F57-3C28-4EBF-B32F-22F45932F758}"/>
    <cellStyle name="Normal 11 2 3 2 2 2 2 3 3 2 2" xfId="31356" xr:uid="{1C766639-E899-493B-BE4D-CED74A96A70C}"/>
    <cellStyle name="Normal 11 2 3 2 2 2 2 3 3 3" xfId="31357" xr:uid="{A6CBCE51-DB19-45EE-BF11-72B18A69A8A2}"/>
    <cellStyle name="Normal 11 2 3 2 2 2 2 3 4" xfId="31358" xr:uid="{259E174E-6440-4AB3-A36D-549049F5D869}"/>
    <cellStyle name="Normal 11 2 3 2 2 2 2 3 4 2" xfId="31359" xr:uid="{8F6C94AA-53DE-4A9E-A924-DB4A3ECB2A2B}"/>
    <cellStyle name="Normal 11 2 3 2 2 2 2 3 5" xfId="31360" xr:uid="{F272619B-46E2-487D-A3C5-E7421BCB14CF}"/>
    <cellStyle name="Normal 11 2 3 2 2 2 2 4" xfId="31361" xr:uid="{BEA812F1-AD25-4C92-8837-1C06F03386A7}"/>
    <cellStyle name="Normal 11 2 3 2 2 2 2 4 2" xfId="31362" xr:uid="{0148F527-FF1F-479D-A05C-F55DB33C47BD}"/>
    <cellStyle name="Normal 11 2 3 2 2 2 2 4 2 2" xfId="31363" xr:uid="{7FABC6AA-AD37-42EA-AC4E-A62A2F103703}"/>
    <cellStyle name="Normal 11 2 3 2 2 2 2 4 2 2 2" xfId="31364" xr:uid="{2FE07143-4985-4F4A-A899-899251DCEAC8}"/>
    <cellStyle name="Normal 11 2 3 2 2 2 2 4 2 3" xfId="31365" xr:uid="{BE2F9A79-7349-4605-B14D-A8DADCF9F5E6}"/>
    <cellStyle name="Normal 11 2 3 2 2 2 2 4 3" xfId="31366" xr:uid="{1CDD98D3-0B2B-4FDF-82A6-84F79EEEE475}"/>
    <cellStyle name="Normal 11 2 3 2 2 2 2 4 3 2" xfId="31367" xr:uid="{A44D4B7C-48A4-47F0-9538-3C8042845E15}"/>
    <cellStyle name="Normal 11 2 3 2 2 2 2 4 4" xfId="31368" xr:uid="{275F4FB7-85A3-4A57-B086-3BEABF8F277D}"/>
    <cellStyle name="Normal 11 2 3 2 2 2 2 5" xfId="31369" xr:uid="{A1324843-3528-4384-98C1-D2E8C83C5FDB}"/>
    <cellStyle name="Normal 11 2 3 2 2 2 2 5 2" xfId="31370" xr:uid="{DB18A043-C511-4163-AE4E-025BD1FD6FD2}"/>
    <cellStyle name="Normal 11 2 3 2 2 2 2 5 2 2" xfId="31371" xr:uid="{24B7D64A-873F-4CB3-98FF-7D705E28BA99}"/>
    <cellStyle name="Normal 11 2 3 2 2 2 2 5 3" xfId="31372" xr:uid="{10F7AB88-29D3-4FDB-8F49-626CE17AEC39}"/>
    <cellStyle name="Normal 11 2 3 2 2 2 2 6" xfId="31373" xr:uid="{60E85DBB-1BF0-41CE-AE4E-4D03E7B10D77}"/>
    <cellStyle name="Normal 11 2 3 2 2 2 2 6 2" xfId="31374" xr:uid="{4EBC090B-4FA8-46B4-87AB-F022647A1DA7}"/>
    <cellStyle name="Normal 11 2 3 2 2 2 2 7" xfId="31375" xr:uid="{FE266787-33E5-4E62-98A0-6CD69AB019E6}"/>
    <cellStyle name="Normal 11 2 3 2 2 2 3" xfId="31376" xr:uid="{B4563C28-F10B-44B6-AF4D-FA04B3BDC7E5}"/>
    <cellStyle name="Normal 11 2 3 2 2 2 3 2" xfId="31377" xr:uid="{F013987B-3D5F-4E8B-9013-71BA592C57AF}"/>
    <cellStyle name="Normal 11 2 3 2 2 2 3 2 2" xfId="31378" xr:uid="{9D37520B-DB48-4DC0-8CAD-1C0E801F4855}"/>
    <cellStyle name="Normal 11 2 3 2 2 2 3 2 2 2" xfId="31379" xr:uid="{BAAD56E2-B76D-4414-8988-00E358392DC4}"/>
    <cellStyle name="Normal 11 2 3 2 2 2 3 2 2 2 2" xfId="31380" xr:uid="{4820EAE8-8692-47A1-B0C2-43C9857F55ED}"/>
    <cellStyle name="Normal 11 2 3 2 2 2 3 2 2 2 2 2" xfId="31381" xr:uid="{0C17EB2D-6C90-4C55-AA8F-B3C7E454F858}"/>
    <cellStyle name="Normal 11 2 3 2 2 2 3 2 2 2 3" xfId="31382" xr:uid="{B73ED4FE-94A4-4ABE-B8AE-391574DB781D}"/>
    <cellStyle name="Normal 11 2 3 2 2 2 3 2 2 3" xfId="31383" xr:uid="{7A058009-8EFE-4BA1-9B60-BA841C340752}"/>
    <cellStyle name="Normal 11 2 3 2 2 2 3 2 2 3 2" xfId="31384" xr:uid="{399C1812-C297-4D78-A093-05541BB48107}"/>
    <cellStyle name="Normal 11 2 3 2 2 2 3 2 2 4" xfId="31385" xr:uid="{13C3BB28-D7A1-45BD-A008-6F9C3D5D764C}"/>
    <cellStyle name="Normal 11 2 3 2 2 2 3 2 3" xfId="31386" xr:uid="{8DB84E69-4F7D-45CE-A78A-6B28B866B57D}"/>
    <cellStyle name="Normal 11 2 3 2 2 2 3 2 3 2" xfId="31387" xr:uid="{D10DB757-4A08-4B52-810A-5AEA8CD0E2CA}"/>
    <cellStyle name="Normal 11 2 3 2 2 2 3 2 3 2 2" xfId="31388" xr:uid="{16C237F4-D246-4270-A961-4702955EF8ED}"/>
    <cellStyle name="Normal 11 2 3 2 2 2 3 2 3 3" xfId="31389" xr:uid="{64630058-109E-462F-A3F0-E39EAD6B4439}"/>
    <cellStyle name="Normal 11 2 3 2 2 2 3 2 4" xfId="31390" xr:uid="{C15B61C1-EA3B-4AB6-AD31-D4413B8CDEB7}"/>
    <cellStyle name="Normal 11 2 3 2 2 2 3 2 4 2" xfId="31391" xr:uid="{03E2E2CA-CB2C-499A-9440-C9C7C6F137A5}"/>
    <cellStyle name="Normal 11 2 3 2 2 2 3 2 5" xfId="31392" xr:uid="{CBC8A46E-13D9-43A4-8A9D-7643587DC7C2}"/>
    <cellStyle name="Normal 11 2 3 2 2 2 3 3" xfId="31393" xr:uid="{CA4D89FF-34A8-416B-890D-30DDA2949083}"/>
    <cellStyle name="Normal 11 2 3 2 2 2 3 3 2" xfId="31394" xr:uid="{16D48CCF-C6D9-46B1-9A3B-C84DB06778F1}"/>
    <cellStyle name="Normal 11 2 3 2 2 2 3 3 2 2" xfId="31395" xr:uid="{E5259977-0E30-42A4-AA10-7D88022BA352}"/>
    <cellStyle name="Normal 11 2 3 2 2 2 3 3 2 2 2" xfId="31396" xr:uid="{2C1C529D-882C-40D3-B640-26093CD10255}"/>
    <cellStyle name="Normal 11 2 3 2 2 2 3 3 2 3" xfId="31397" xr:uid="{314958CE-1582-47BF-8C2D-7E243F415CF1}"/>
    <cellStyle name="Normal 11 2 3 2 2 2 3 3 3" xfId="31398" xr:uid="{79E69C4A-F4C9-408E-83AB-9DE37A74C5A8}"/>
    <cellStyle name="Normal 11 2 3 2 2 2 3 3 3 2" xfId="31399" xr:uid="{5A573DB8-2ADE-4484-AD25-4B3116E811FB}"/>
    <cellStyle name="Normal 11 2 3 2 2 2 3 3 4" xfId="31400" xr:uid="{79EA3545-6EDC-4065-B20D-0B530C7D2695}"/>
    <cellStyle name="Normal 11 2 3 2 2 2 3 4" xfId="31401" xr:uid="{4175E2AA-FD8C-4D90-BBBF-9FBC5CEA69BF}"/>
    <cellStyle name="Normal 11 2 3 2 2 2 3 4 2" xfId="31402" xr:uid="{0CC30086-C163-48E0-BD81-76B40B892395}"/>
    <cellStyle name="Normal 11 2 3 2 2 2 3 4 2 2" xfId="31403" xr:uid="{427F05C9-8D13-42E8-9720-8B2C784C4A31}"/>
    <cellStyle name="Normal 11 2 3 2 2 2 3 4 3" xfId="31404" xr:uid="{6331CF1B-305D-4501-893B-F469A68CFDFA}"/>
    <cellStyle name="Normal 11 2 3 2 2 2 3 5" xfId="31405" xr:uid="{4B076FF0-E159-469F-8E1D-F113374C4911}"/>
    <cellStyle name="Normal 11 2 3 2 2 2 3 5 2" xfId="31406" xr:uid="{E0AF9DAF-AD32-42E4-A16C-C9ED428C830F}"/>
    <cellStyle name="Normal 11 2 3 2 2 2 3 6" xfId="31407" xr:uid="{63DA7790-E65B-4995-B1EE-571F81BF9014}"/>
    <cellStyle name="Normal 11 2 3 2 2 2 4" xfId="31408" xr:uid="{E555743F-190B-4C3D-9900-5A3324C57B90}"/>
    <cellStyle name="Normal 11 2 3 2 2 2 4 2" xfId="31409" xr:uid="{4B4538F0-3920-4C17-975C-E19987B3B035}"/>
    <cellStyle name="Normal 11 2 3 2 2 2 4 2 2" xfId="31410" xr:uid="{F7278B0D-8824-4F08-B8D4-36C8603B2DDB}"/>
    <cellStyle name="Normal 11 2 3 2 2 2 4 2 2 2" xfId="31411" xr:uid="{753BEEAA-C9EE-45FF-A23C-7DEE2BD134C7}"/>
    <cellStyle name="Normal 11 2 3 2 2 2 4 2 2 2 2" xfId="31412" xr:uid="{000C2780-9B06-4EC8-B523-4AAF05BAB14E}"/>
    <cellStyle name="Normal 11 2 3 2 2 2 4 2 2 3" xfId="31413" xr:uid="{7B9E5A7D-1109-43A8-956F-F305F6A6747D}"/>
    <cellStyle name="Normal 11 2 3 2 2 2 4 2 3" xfId="31414" xr:uid="{9ED3F495-702E-40E3-BF35-8CFB2A2EB787}"/>
    <cellStyle name="Normal 11 2 3 2 2 2 4 2 3 2" xfId="31415" xr:uid="{D8E56DC5-F7D4-4FF4-85B9-F2ED5D075FBE}"/>
    <cellStyle name="Normal 11 2 3 2 2 2 4 2 4" xfId="31416" xr:uid="{A04A78BB-E068-4A76-B38B-4F3BDC853B16}"/>
    <cellStyle name="Normal 11 2 3 2 2 2 4 3" xfId="31417" xr:uid="{3B40F9FF-21B7-4FBC-AD06-79A308523565}"/>
    <cellStyle name="Normal 11 2 3 2 2 2 4 3 2" xfId="31418" xr:uid="{7117CECF-1F82-441F-881A-D708DE9EA3A7}"/>
    <cellStyle name="Normal 11 2 3 2 2 2 4 3 2 2" xfId="31419" xr:uid="{414B803E-0AFF-4017-B3B9-E2CB8E9AE9C2}"/>
    <cellStyle name="Normal 11 2 3 2 2 2 4 3 3" xfId="31420" xr:uid="{0CE7D972-1A9D-4D20-BC97-BD2938757D1E}"/>
    <cellStyle name="Normal 11 2 3 2 2 2 4 4" xfId="31421" xr:uid="{C6888E95-CE57-4CB1-AEAF-324BDFF394D8}"/>
    <cellStyle name="Normal 11 2 3 2 2 2 4 4 2" xfId="31422" xr:uid="{2B164781-152C-48EA-81C7-BD5217AB0643}"/>
    <cellStyle name="Normal 11 2 3 2 2 2 4 5" xfId="31423" xr:uid="{B7C74604-3EE3-405D-A110-CB92348F3AD8}"/>
    <cellStyle name="Normal 11 2 3 2 2 2 5" xfId="31424" xr:uid="{FE0204D3-403E-43C9-8934-4208DB2A896E}"/>
    <cellStyle name="Normal 11 2 3 2 2 2 5 2" xfId="31425" xr:uid="{3840B5CD-2912-4529-911D-5D5293D2663D}"/>
    <cellStyle name="Normal 11 2 3 2 2 2 5 2 2" xfId="31426" xr:uid="{75260D94-3B5A-4465-BF0E-21C97057785E}"/>
    <cellStyle name="Normal 11 2 3 2 2 2 5 2 2 2" xfId="31427" xr:uid="{ED5EE029-0B9C-44A0-809C-40CD3AA1E808}"/>
    <cellStyle name="Normal 11 2 3 2 2 2 5 2 3" xfId="31428" xr:uid="{6A889A5B-C938-497C-9436-AA74D17B27E0}"/>
    <cellStyle name="Normal 11 2 3 2 2 2 5 3" xfId="31429" xr:uid="{20E6E3B3-4B53-4E45-91AA-0425F752F582}"/>
    <cellStyle name="Normal 11 2 3 2 2 2 5 3 2" xfId="31430" xr:uid="{369FF1CB-C7CF-4A30-A8DF-A6F3DE91FB8B}"/>
    <cellStyle name="Normal 11 2 3 2 2 2 5 4" xfId="31431" xr:uid="{B4A06B8C-E6CB-4869-88CF-6F9E4FDA1589}"/>
    <cellStyle name="Normal 11 2 3 2 2 2 6" xfId="31432" xr:uid="{2D86B328-59E9-4B3A-B694-7E64BD8D2B21}"/>
    <cellStyle name="Normal 11 2 3 2 2 2 6 2" xfId="31433" xr:uid="{98DB0FC8-C9FF-40C9-93CF-6A5455C5CA19}"/>
    <cellStyle name="Normal 11 2 3 2 2 2 6 2 2" xfId="31434" xr:uid="{3ABD3412-FF1C-434F-802B-FBD48D064763}"/>
    <cellStyle name="Normal 11 2 3 2 2 2 6 3" xfId="31435" xr:uid="{B9C48A88-A1C8-4B86-BFD0-9C1A1FB0BBE6}"/>
    <cellStyle name="Normal 11 2 3 2 2 2 7" xfId="31436" xr:uid="{F6635B40-6E30-48C2-98B9-A505BEC02C38}"/>
    <cellStyle name="Normal 11 2 3 2 2 2 7 2" xfId="31437" xr:uid="{7DD68EB8-6627-46E9-8DB2-57FC6C8094E5}"/>
    <cellStyle name="Normal 11 2 3 2 2 2 8" xfId="31438" xr:uid="{90CCC201-1895-4D7B-8CD0-6BF62E869943}"/>
    <cellStyle name="Normal 11 2 3 2 2 3" xfId="31439" xr:uid="{5C669306-2134-499D-8047-E98F17EC4F28}"/>
    <cellStyle name="Normal 11 2 3 2 2 3 2" xfId="31440" xr:uid="{2CF9CA84-767D-49CE-98F2-38C2DCBDA744}"/>
    <cellStyle name="Normal 11 2 3 2 2 3 2 2" xfId="31441" xr:uid="{F35D238A-6623-45B7-8B0B-7AC21D41B155}"/>
    <cellStyle name="Normal 11 2 3 2 2 3 2 2 2" xfId="31442" xr:uid="{9DEA84CE-EDA7-40F3-95C7-2DDFF4158212}"/>
    <cellStyle name="Normal 11 2 3 2 2 3 2 2 2 2" xfId="31443" xr:uid="{E8FA2567-1292-4298-A9D8-D44DEADCF1B8}"/>
    <cellStyle name="Normal 11 2 3 2 2 3 2 2 2 2 2" xfId="31444" xr:uid="{31220FDF-FA93-4B4B-A04C-7200B0E591C3}"/>
    <cellStyle name="Normal 11 2 3 2 2 3 2 2 2 2 2 2" xfId="31445" xr:uid="{5BA7C231-8C84-40B6-AE04-04B77FC9D48E}"/>
    <cellStyle name="Normal 11 2 3 2 2 3 2 2 2 2 3" xfId="31446" xr:uid="{496A7054-65C1-490C-B622-2E699265E3E4}"/>
    <cellStyle name="Normal 11 2 3 2 2 3 2 2 2 3" xfId="31447" xr:uid="{F50B2BAD-B32B-4656-90C7-A67D7219D7B6}"/>
    <cellStyle name="Normal 11 2 3 2 2 3 2 2 2 3 2" xfId="31448" xr:uid="{C5363F49-6C6D-4706-8B1C-A4BA948E446B}"/>
    <cellStyle name="Normal 11 2 3 2 2 3 2 2 2 4" xfId="31449" xr:uid="{5E9CD44D-F8FF-4283-BB6E-31D11B72360F}"/>
    <cellStyle name="Normal 11 2 3 2 2 3 2 2 3" xfId="31450" xr:uid="{CD68BF46-30C4-405F-844E-3F9E576BDA56}"/>
    <cellStyle name="Normal 11 2 3 2 2 3 2 2 3 2" xfId="31451" xr:uid="{6D9BC480-347A-414A-AFB8-61C458108FA8}"/>
    <cellStyle name="Normal 11 2 3 2 2 3 2 2 3 2 2" xfId="31452" xr:uid="{4EDC9AB2-3F9E-4CC5-ACDE-E76154CDC44A}"/>
    <cellStyle name="Normal 11 2 3 2 2 3 2 2 3 3" xfId="31453" xr:uid="{643EFE3D-DA1C-4A17-B3A6-C757D5706633}"/>
    <cellStyle name="Normal 11 2 3 2 2 3 2 2 4" xfId="31454" xr:uid="{A387C4F2-A8D1-4293-827B-8508D84735B3}"/>
    <cellStyle name="Normal 11 2 3 2 2 3 2 2 4 2" xfId="31455" xr:uid="{38C70115-1B29-4735-8A4F-1A034FB27064}"/>
    <cellStyle name="Normal 11 2 3 2 2 3 2 2 5" xfId="31456" xr:uid="{7F45DE4F-6D6D-4AA7-829A-A3635536478F}"/>
    <cellStyle name="Normal 11 2 3 2 2 3 2 3" xfId="31457" xr:uid="{4BDE0AA6-D376-495B-BF7B-BD75E4451E5F}"/>
    <cellStyle name="Normal 11 2 3 2 2 3 2 3 2" xfId="31458" xr:uid="{7637B4B8-FAB8-4A04-8BA0-50C7A539CF71}"/>
    <cellStyle name="Normal 11 2 3 2 2 3 2 3 2 2" xfId="31459" xr:uid="{A024447F-9D95-4A57-94F4-9F7D1E710A7D}"/>
    <cellStyle name="Normal 11 2 3 2 2 3 2 3 2 2 2" xfId="31460" xr:uid="{A0D0A3B6-CA3C-4B4F-B20E-06A1CE78CFC9}"/>
    <cellStyle name="Normal 11 2 3 2 2 3 2 3 2 3" xfId="31461" xr:uid="{CFBDDB20-0AD1-488B-8B84-B89A8C41BCD4}"/>
    <cellStyle name="Normal 11 2 3 2 2 3 2 3 3" xfId="31462" xr:uid="{DBB57C79-D70A-44B0-BD75-924B52E57B89}"/>
    <cellStyle name="Normal 11 2 3 2 2 3 2 3 3 2" xfId="31463" xr:uid="{7C28321E-AFED-4845-9E53-1E3781FC6A30}"/>
    <cellStyle name="Normal 11 2 3 2 2 3 2 3 4" xfId="31464" xr:uid="{74DB70DB-8D18-4B42-B0F7-6556C0F7E09A}"/>
    <cellStyle name="Normal 11 2 3 2 2 3 2 4" xfId="31465" xr:uid="{E2EC5BA1-A05E-482B-82BF-CFEC4D948D90}"/>
    <cellStyle name="Normal 11 2 3 2 2 3 2 4 2" xfId="31466" xr:uid="{2FAB8723-0EE1-4D57-82E8-4F8D4368A9DD}"/>
    <cellStyle name="Normal 11 2 3 2 2 3 2 4 2 2" xfId="31467" xr:uid="{67ADF9E3-D6BE-47D0-B53D-09C091F25CC9}"/>
    <cellStyle name="Normal 11 2 3 2 2 3 2 4 3" xfId="31468" xr:uid="{127F1FE7-D9AD-46FE-B0D9-15E55945C986}"/>
    <cellStyle name="Normal 11 2 3 2 2 3 2 5" xfId="31469" xr:uid="{43F16880-3BA6-43C1-929D-CF157ECA4D4F}"/>
    <cellStyle name="Normal 11 2 3 2 2 3 2 5 2" xfId="31470" xr:uid="{5185B97B-F147-4996-9902-0D5BEF216132}"/>
    <cellStyle name="Normal 11 2 3 2 2 3 2 6" xfId="31471" xr:uid="{922D9AE9-467B-4D31-B3D1-999A96F0EAB6}"/>
    <cellStyle name="Normal 11 2 3 2 2 3 3" xfId="31472" xr:uid="{21D0A0AB-645A-40AB-83D2-29CB6238CDF1}"/>
    <cellStyle name="Normal 11 2 3 2 2 3 3 2" xfId="31473" xr:uid="{6571E0F3-797D-4B27-92E5-7A451220B046}"/>
    <cellStyle name="Normal 11 2 3 2 2 3 3 2 2" xfId="31474" xr:uid="{3C53C61D-C737-4296-BA78-81144A74CBBF}"/>
    <cellStyle name="Normal 11 2 3 2 2 3 3 2 2 2" xfId="31475" xr:uid="{3E6D289E-44DA-4E80-80AF-9B5E0789809E}"/>
    <cellStyle name="Normal 11 2 3 2 2 3 3 2 2 2 2" xfId="31476" xr:uid="{AF6B54D3-C789-42DE-BB90-158192E76BD7}"/>
    <cellStyle name="Normal 11 2 3 2 2 3 3 2 2 3" xfId="31477" xr:uid="{E4409CDC-C2CA-40DA-8F2C-CF89344E5A77}"/>
    <cellStyle name="Normal 11 2 3 2 2 3 3 2 3" xfId="31478" xr:uid="{FB2EE228-9D40-4664-85BE-114E68920912}"/>
    <cellStyle name="Normal 11 2 3 2 2 3 3 2 3 2" xfId="31479" xr:uid="{35444FC9-0FF0-44C8-A31A-C6D5D4515AFD}"/>
    <cellStyle name="Normal 11 2 3 2 2 3 3 2 4" xfId="31480" xr:uid="{D9850911-7699-4C7B-A783-039B838DA6D4}"/>
    <cellStyle name="Normal 11 2 3 2 2 3 3 3" xfId="31481" xr:uid="{752F2E73-2FAD-4045-AAB7-8B3DE09087E2}"/>
    <cellStyle name="Normal 11 2 3 2 2 3 3 3 2" xfId="31482" xr:uid="{B3276961-25B6-428D-A497-87DB322D40B4}"/>
    <cellStyle name="Normal 11 2 3 2 2 3 3 3 2 2" xfId="31483" xr:uid="{B892CCDD-E274-42F6-8A66-2D4F3DA8648D}"/>
    <cellStyle name="Normal 11 2 3 2 2 3 3 3 3" xfId="31484" xr:uid="{D32F499F-ACCE-4FD8-AF2C-CE39CFAB6DEF}"/>
    <cellStyle name="Normal 11 2 3 2 2 3 3 4" xfId="31485" xr:uid="{42B1E529-1112-40EB-A45C-6AC7D146033A}"/>
    <cellStyle name="Normal 11 2 3 2 2 3 3 4 2" xfId="31486" xr:uid="{1DFCD3CC-1227-4582-896E-7310AA7DDF31}"/>
    <cellStyle name="Normal 11 2 3 2 2 3 3 5" xfId="31487" xr:uid="{8ECDB1D5-14D8-424D-9A4C-15CA6CA9D20E}"/>
    <cellStyle name="Normal 11 2 3 2 2 3 4" xfId="31488" xr:uid="{A987985C-C930-4A19-AC87-ADCC3E72EE50}"/>
    <cellStyle name="Normal 11 2 3 2 2 3 4 2" xfId="31489" xr:uid="{01F61C20-8F34-477A-B8BB-50EF5A4E747F}"/>
    <cellStyle name="Normal 11 2 3 2 2 3 4 2 2" xfId="31490" xr:uid="{D38AEF97-0FDD-4FC0-ADB2-60E430361EBF}"/>
    <cellStyle name="Normal 11 2 3 2 2 3 4 2 2 2" xfId="31491" xr:uid="{2F7DFABC-D12B-4BFB-B14F-212C7DA41D0F}"/>
    <cellStyle name="Normal 11 2 3 2 2 3 4 2 3" xfId="31492" xr:uid="{1B1B6600-5E37-4354-BD7C-8C408B57BD7C}"/>
    <cellStyle name="Normal 11 2 3 2 2 3 4 3" xfId="31493" xr:uid="{9A4BAF71-ACA0-4372-89EA-F931A5524EAA}"/>
    <cellStyle name="Normal 11 2 3 2 2 3 4 3 2" xfId="31494" xr:uid="{933C7B49-44F0-45F0-B474-ADCFBD77BD4B}"/>
    <cellStyle name="Normal 11 2 3 2 2 3 4 4" xfId="31495" xr:uid="{C748564C-481A-4C5D-B6C5-D9DA6EA9B5F2}"/>
    <cellStyle name="Normal 11 2 3 2 2 3 5" xfId="31496" xr:uid="{707AE935-B504-48BF-A2FB-44FB42DF8516}"/>
    <cellStyle name="Normal 11 2 3 2 2 3 5 2" xfId="31497" xr:uid="{C115C3C0-B4ED-4383-95F1-EDD4FF351662}"/>
    <cellStyle name="Normal 11 2 3 2 2 3 5 2 2" xfId="31498" xr:uid="{6F50848E-0C8F-4C86-BD7C-9892E6947C43}"/>
    <cellStyle name="Normal 11 2 3 2 2 3 5 3" xfId="31499" xr:uid="{CC6A7B00-8F8F-4F36-87CE-ABA2895DFC8C}"/>
    <cellStyle name="Normal 11 2 3 2 2 3 6" xfId="31500" xr:uid="{AB1774D3-AB32-4490-8DD7-F3071C737CE5}"/>
    <cellStyle name="Normal 11 2 3 2 2 3 6 2" xfId="31501" xr:uid="{B06C186B-599C-41F8-9D39-07A3C86129E5}"/>
    <cellStyle name="Normal 11 2 3 2 2 3 7" xfId="31502" xr:uid="{CCDB6DDD-07A7-4DFF-A0F6-7661569386FD}"/>
    <cellStyle name="Normal 11 2 3 2 2 4" xfId="31503" xr:uid="{EF67E41D-1092-4756-AB5E-1824C9E8764B}"/>
    <cellStyle name="Normal 11 2 3 2 2 4 2" xfId="31504" xr:uid="{2D31259C-60A4-42ED-B417-FCE190B9D0E6}"/>
    <cellStyle name="Normal 11 2 3 2 2 4 2 2" xfId="31505" xr:uid="{6FF08EF4-238C-4C91-98A5-6AF73B5AAE53}"/>
    <cellStyle name="Normal 11 2 3 2 2 4 2 2 2" xfId="31506" xr:uid="{CF161F45-6F49-41E6-AE47-3C65B63C2E04}"/>
    <cellStyle name="Normal 11 2 3 2 2 4 2 2 2 2" xfId="31507" xr:uid="{4F16570C-A096-485A-BE52-9445AD79303A}"/>
    <cellStyle name="Normal 11 2 3 2 2 4 2 2 2 2 2" xfId="31508" xr:uid="{20AD6257-77EE-4495-A15A-2AA7C89B8365}"/>
    <cellStyle name="Normal 11 2 3 2 2 4 2 2 2 3" xfId="31509" xr:uid="{7974FCD0-E35A-4494-9C1A-8DE64BEC366A}"/>
    <cellStyle name="Normal 11 2 3 2 2 4 2 2 3" xfId="31510" xr:uid="{09C5A5CA-5BEB-47B1-B02A-A4B85442C5D6}"/>
    <cellStyle name="Normal 11 2 3 2 2 4 2 2 3 2" xfId="31511" xr:uid="{8978FE0C-F17C-426A-A7C2-391FEEC12894}"/>
    <cellStyle name="Normal 11 2 3 2 2 4 2 2 4" xfId="31512" xr:uid="{5A217B8A-5284-424A-90C5-4F539BAFF69B}"/>
    <cellStyle name="Normal 11 2 3 2 2 4 2 3" xfId="31513" xr:uid="{D2A04887-0DBA-4FA6-B059-45126527DF63}"/>
    <cellStyle name="Normal 11 2 3 2 2 4 2 3 2" xfId="31514" xr:uid="{E6DFD4B2-FB51-41A6-A785-9A6835680D6C}"/>
    <cellStyle name="Normal 11 2 3 2 2 4 2 3 2 2" xfId="31515" xr:uid="{33DCCAB9-AF8F-4957-B859-0BFFA67C566C}"/>
    <cellStyle name="Normal 11 2 3 2 2 4 2 3 3" xfId="31516" xr:uid="{A5A0CC21-D4E1-443A-9923-BFFDBC08104F}"/>
    <cellStyle name="Normal 11 2 3 2 2 4 2 4" xfId="31517" xr:uid="{65D08C22-B449-4E2F-B78C-9DFCEC2ADEE9}"/>
    <cellStyle name="Normal 11 2 3 2 2 4 2 4 2" xfId="31518" xr:uid="{0DC0C66D-0198-492D-B738-2BF6B469D0ED}"/>
    <cellStyle name="Normal 11 2 3 2 2 4 2 5" xfId="31519" xr:uid="{86FB9A46-3657-46A1-984A-590D19E9D7B4}"/>
    <cellStyle name="Normal 11 2 3 2 2 4 3" xfId="31520" xr:uid="{C94C07AF-5779-42F4-9BA2-C6CFD171425C}"/>
    <cellStyle name="Normal 11 2 3 2 2 4 3 2" xfId="31521" xr:uid="{B08D4A46-6598-47C5-9A3A-70A2B655AB62}"/>
    <cellStyle name="Normal 11 2 3 2 2 4 3 2 2" xfId="31522" xr:uid="{4FD33C89-7734-47E4-BC91-D50DBC21BC21}"/>
    <cellStyle name="Normal 11 2 3 2 2 4 3 2 2 2" xfId="31523" xr:uid="{7E37125E-A609-442F-9F45-1F0E933D99DE}"/>
    <cellStyle name="Normal 11 2 3 2 2 4 3 2 3" xfId="31524" xr:uid="{EAE24A27-27C4-400D-864D-A6083648930A}"/>
    <cellStyle name="Normal 11 2 3 2 2 4 3 3" xfId="31525" xr:uid="{F729CD1B-AD24-4676-B03C-ED49C4B18C1D}"/>
    <cellStyle name="Normal 11 2 3 2 2 4 3 3 2" xfId="31526" xr:uid="{D8DD867F-A3A2-43F9-8E60-83AA04442722}"/>
    <cellStyle name="Normal 11 2 3 2 2 4 3 4" xfId="31527" xr:uid="{372B2A36-7C95-4CF0-85AF-BA9E86A7E7A9}"/>
    <cellStyle name="Normal 11 2 3 2 2 4 4" xfId="31528" xr:uid="{B4EE979D-7425-4E12-87E1-1227FFB13CC6}"/>
    <cellStyle name="Normal 11 2 3 2 2 4 4 2" xfId="31529" xr:uid="{036698B4-5BEF-4EC1-BA5E-80939CDAA0D6}"/>
    <cellStyle name="Normal 11 2 3 2 2 4 4 2 2" xfId="31530" xr:uid="{80646339-7CBE-455F-844A-7082854B1D33}"/>
    <cellStyle name="Normal 11 2 3 2 2 4 4 3" xfId="31531" xr:uid="{456F3073-11CF-4FB0-95BD-EFB96B5047AA}"/>
    <cellStyle name="Normal 11 2 3 2 2 4 5" xfId="31532" xr:uid="{DE874898-E9B4-47B0-BC4A-9BABBCCC3EBF}"/>
    <cellStyle name="Normal 11 2 3 2 2 4 5 2" xfId="31533" xr:uid="{F581C8DD-7233-4BEA-90EB-7188D85AE5C0}"/>
    <cellStyle name="Normal 11 2 3 2 2 4 6" xfId="31534" xr:uid="{583896C3-CAEE-412C-8A07-7C65B4F8EEA7}"/>
    <cellStyle name="Normal 11 2 3 2 2 5" xfId="31535" xr:uid="{DC5A3070-6A4E-4096-A159-487E35A2B320}"/>
    <cellStyle name="Normal 11 2 3 2 2 5 2" xfId="31536" xr:uid="{926AA5F0-E69C-470F-9C89-38616631833F}"/>
    <cellStyle name="Normal 11 2 3 2 2 5 2 2" xfId="31537" xr:uid="{5FF141B0-A648-4C11-A534-C8F5058458B2}"/>
    <cellStyle name="Normal 11 2 3 2 2 5 2 2 2" xfId="31538" xr:uid="{781DFD36-7B07-46AE-BBC7-4061B76CBCD7}"/>
    <cellStyle name="Normal 11 2 3 2 2 5 2 2 2 2" xfId="31539" xr:uid="{2506B1EC-A2D2-4C20-8A23-C08850A267D3}"/>
    <cellStyle name="Normal 11 2 3 2 2 5 2 2 3" xfId="31540" xr:uid="{1F012C70-FB85-4D29-A381-4537BB3914DA}"/>
    <cellStyle name="Normal 11 2 3 2 2 5 2 3" xfId="31541" xr:uid="{219D6730-59CA-4C42-8470-8585DAF0322A}"/>
    <cellStyle name="Normal 11 2 3 2 2 5 2 3 2" xfId="31542" xr:uid="{63C263AF-C479-483F-A7BC-5910371D030F}"/>
    <cellStyle name="Normal 11 2 3 2 2 5 2 4" xfId="31543" xr:uid="{F3F28E02-61EF-4709-A8FD-B5EDA0EAC5BD}"/>
    <cellStyle name="Normal 11 2 3 2 2 5 3" xfId="31544" xr:uid="{3683FD40-0CDE-496D-84F0-9518076229AF}"/>
    <cellStyle name="Normal 11 2 3 2 2 5 3 2" xfId="31545" xr:uid="{83CFD885-CB5C-469B-8D99-C99DDCCA43A8}"/>
    <cellStyle name="Normal 11 2 3 2 2 5 3 2 2" xfId="31546" xr:uid="{1DFBC96A-933C-49CC-A45D-42D18E719F7E}"/>
    <cellStyle name="Normal 11 2 3 2 2 5 3 3" xfId="31547" xr:uid="{C3E1E18D-7627-4CC4-B681-61A0A312B22C}"/>
    <cellStyle name="Normal 11 2 3 2 2 5 4" xfId="31548" xr:uid="{B61B4390-C9D2-4A85-A7CB-CD7182A88F88}"/>
    <cellStyle name="Normal 11 2 3 2 2 5 4 2" xfId="31549" xr:uid="{B417FBDD-1C66-4ADC-8D30-B40447C4D17F}"/>
    <cellStyle name="Normal 11 2 3 2 2 5 5" xfId="31550" xr:uid="{AA4A2032-B1AF-4636-856C-70EB92F584DF}"/>
    <cellStyle name="Normal 11 2 3 2 2 6" xfId="31551" xr:uid="{26213026-749F-45A6-AD87-209247621B32}"/>
    <cellStyle name="Normal 11 2 3 2 2 6 2" xfId="31552" xr:uid="{4E2D8538-CD84-46DB-A47A-02CC39D3F14A}"/>
    <cellStyle name="Normal 11 2 3 2 2 6 2 2" xfId="31553" xr:uid="{52323C05-EA11-4ABB-9F51-0362B10876D9}"/>
    <cellStyle name="Normal 11 2 3 2 2 6 2 2 2" xfId="31554" xr:uid="{DCD099CC-40E9-4875-ABBE-33C4B4B715F5}"/>
    <cellStyle name="Normal 11 2 3 2 2 6 2 3" xfId="31555" xr:uid="{CF94F6BB-5B5D-4387-BE9C-54B13DA54D66}"/>
    <cellStyle name="Normal 11 2 3 2 2 6 3" xfId="31556" xr:uid="{BE0562EB-0D6B-4B02-81AD-48F7D13F65C1}"/>
    <cellStyle name="Normal 11 2 3 2 2 6 3 2" xfId="31557" xr:uid="{F50DFB9B-251B-4400-B313-7F9CA6E2262C}"/>
    <cellStyle name="Normal 11 2 3 2 2 6 4" xfId="31558" xr:uid="{C7DA2CFE-D18E-4BED-93D3-1BD1523F3599}"/>
    <cellStyle name="Normal 11 2 3 2 2 7" xfId="31559" xr:uid="{2BBE9BD4-3A09-4E42-935D-1EE15DF6000A}"/>
    <cellStyle name="Normal 11 2 3 2 2 7 2" xfId="31560" xr:uid="{C3F1786E-7639-4755-B4A9-D727DB9BEE7F}"/>
    <cellStyle name="Normal 11 2 3 2 2 7 2 2" xfId="31561" xr:uid="{74704B86-3902-4C38-8326-23E3F7C26744}"/>
    <cellStyle name="Normal 11 2 3 2 2 7 3" xfId="31562" xr:uid="{B1B066B9-43A8-4506-BCCF-9C5F542C94EF}"/>
    <cellStyle name="Normal 11 2 3 2 2 8" xfId="31563" xr:uid="{B7EE5F7F-1071-4D55-B90D-1E3A046D385D}"/>
    <cellStyle name="Normal 11 2 3 2 2 8 2" xfId="31564" xr:uid="{17814755-3B28-4CEB-9302-68E451EF87AE}"/>
    <cellStyle name="Normal 11 2 3 2 2 9" xfId="31565" xr:uid="{971636E5-09E9-4178-9169-8FA5AC01EB31}"/>
    <cellStyle name="Normal 11 2 3 2 3" xfId="463" xr:uid="{D443018D-6437-4BFB-A28B-25BD81B132E6}"/>
    <cellStyle name="Normal 11 2 3 2 3 2" xfId="31567" xr:uid="{FABCFDE7-C295-41AD-B82C-AB9E6BB79AF4}"/>
    <cellStyle name="Normal 11 2 3 2 3 2 2" xfId="31568" xr:uid="{DC1E7493-4153-4941-AFF4-E4E1E3A015E8}"/>
    <cellStyle name="Normal 11 2 3 2 3 2 2 2" xfId="31569" xr:uid="{937C8D10-9B79-4C78-A4A0-DA839D82AB96}"/>
    <cellStyle name="Normal 11 2 3 2 3 2 2 2 2" xfId="31570" xr:uid="{A8D337D5-2ADB-40AB-8A42-DD86EC4A06DB}"/>
    <cellStyle name="Normal 11 2 3 2 3 2 2 2 2 2" xfId="31571" xr:uid="{D278F0D2-5257-4DFE-A776-CFB407D02F3E}"/>
    <cellStyle name="Normal 11 2 3 2 3 2 2 2 2 2 2" xfId="31572" xr:uid="{66E329C3-A09F-425C-A6FA-C2661BE05360}"/>
    <cellStyle name="Normal 11 2 3 2 3 2 2 2 2 2 2 2" xfId="31573" xr:uid="{5DAB51D1-0D5E-497B-8FA3-EF531079424C}"/>
    <cellStyle name="Normal 11 2 3 2 3 2 2 2 2 2 3" xfId="31574" xr:uid="{ACCE705E-1740-461A-9CBA-5C854A21CBEC}"/>
    <cellStyle name="Normal 11 2 3 2 3 2 2 2 2 3" xfId="31575" xr:uid="{F458E704-CF07-4C8E-A006-B0F8A74F167E}"/>
    <cellStyle name="Normal 11 2 3 2 3 2 2 2 2 3 2" xfId="31576" xr:uid="{4BC3408D-4399-4A3C-9A95-313C050AE1A7}"/>
    <cellStyle name="Normal 11 2 3 2 3 2 2 2 2 4" xfId="31577" xr:uid="{C4617D64-738B-4BDB-BA59-C724855CDF8A}"/>
    <cellStyle name="Normal 11 2 3 2 3 2 2 2 3" xfId="31578" xr:uid="{30A099FA-36CD-48EE-80B5-31E6F2DF1233}"/>
    <cellStyle name="Normal 11 2 3 2 3 2 2 2 3 2" xfId="31579" xr:uid="{EF23DDA9-2BF8-4BC0-A0E5-4A688398CDF0}"/>
    <cellStyle name="Normal 11 2 3 2 3 2 2 2 3 2 2" xfId="31580" xr:uid="{65301674-BD96-490E-8E97-4124577C113B}"/>
    <cellStyle name="Normal 11 2 3 2 3 2 2 2 3 3" xfId="31581" xr:uid="{3E85F18F-E829-4F4C-A90C-612DB964CD7C}"/>
    <cellStyle name="Normal 11 2 3 2 3 2 2 2 4" xfId="31582" xr:uid="{B22266B9-BCFD-42AC-9272-AA2835164692}"/>
    <cellStyle name="Normal 11 2 3 2 3 2 2 2 4 2" xfId="31583" xr:uid="{ED0172DC-3AFE-43D0-92D7-E3F007B623DC}"/>
    <cellStyle name="Normal 11 2 3 2 3 2 2 2 5" xfId="31584" xr:uid="{3156EEDE-A4BE-4E60-B688-2A1C8F6333F1}"/>
    <cellStyle name="Normal 11 2 3 2 3 2 2 3" xfId="31585" xr:uid="{9A6328AA-F567-4B6A-B32C-E1FD74CB9E61}"/>
    <cellStyle name="Normal 11 2 3 2 3 2 2 3 2" xfId="31586" xr:uid="{C43052AA-EC28-4BEF-935C-79F30643DFCD}"/>
    <cellStyle name="Normal 11 2 3 2 3 2 2 3 2 2" xfId="31587" xr:uid="{C3B58EC5-39AC-4E48-B941-56D95A76A3EE}"/>
    <cellStyle name="Normal 11 2 3 2 3 2 2 3 2 2 2" xfId="31588" xr:uid="{D439DBEB-1DE0-4EDE-A10C-0012566FA9B4}"/>
    <cellStyle name="Normal 11 2 3 2 3 2 2 3 2 3" xfId="31589" xr:uid="{F794E87F-D409-4F44-AA9B-B8C1BEFD3547}"/>
    <cellStyle name="Normal 11 2 3 2 3 2 2 3 3" xfId="31590" xr:uid="{138F603B-24C3-41CA-BB84-57363DAAA0E6}"/>
    <cellStyle name="Normal 11 2 3 2 3 2 2 3 3 2" xfId="31591" xr:uid="{74206582-19B4-4E44-BEC5-6D75CEA071D8}"/>
    <cellStyle name="Normal 11 2 3 2 3 2 2 3 4" xfId="31592" xr:uid="{6E0585A1-0C5B-4A40-8595-DFE2042B799C}"/>
    <cellStyle name="Normal 11 2 3 2 3 2 2 4" xfId="31593" xr:uid="{4B9738A2-F50C-4C53-86EB-578DB11A4D05}"/>
    <cellStyle name="Normal 11 2 3 2 3 2 2 4 2" xfId="31594" xr:uid="{A0F3B17F-C31B-42D1-B094-BE80C9ED0E29}"/>
    <cellStyle name="Normal 11 2 3 2 3 2 2 4 2 2" xfId="31595" xr:uid="{A2BDAA3C-81F0-4CD6-9192-53C484776E93}"/>
    <cellStyle name="Normal 11 2 3 2 3 2 2 4 3" xfId="31596" xr:uid="{95E7BBD3-4CE0-4600-B5F3-8EE29A8B9FE4}"/>
    <cellStyle name="Normal 11 2 3 2 3 2 2 5" xfId="31597" xr:uid="{BD7B78EA-4F1C-4A3A-AACF-6F9B94C71F01}"/>
    <cellStyle name="Normal 11 2 3 2 3 2 2 5 2" xfId="31598" xr:uid="{C4DB6E01-7823-4B2F-9167-55DBCF131731}"/>
    <cellStyle name="Normal 11 2 3 2 3 2 2 6" xfId="31599" xr:uid="{132D194F-41CC-4FBD-AEBE-13E6C2945D7F}"/>
    <cellStyle name="Normal 11 2 3 2 3 2 3" xfId="31600" xr:uid="{B177DAF2-769B-4133-8343-858B29A2620D}"/>
    <cellStyle name="Normal 11 2 3 2 3 2 3 2" xfId="31601" xr:uid="{99FE5D5D-2B53-4586-83B4-F4FB6996AB92}"/>
    <cellStyle name="Normal 11 2 3 2 3 2 3 2 2" xfId="31602" xr:uid="{EBDFDFC3-184F-4AF5-BC35-58C32EDB7070}"/>
    <cellStyle name="Normal 11 2 3 2 3 2 3 2 2 2" xfId="31603" xr:uid="{27329C4E-A0FD-432C-9E87-AB68D181EEC3}"/>
    <cellStyle name="Normal 11 2 3 2 3 2 3 2 2 2 2" xfId="31604" xr:uid="{37AF0FA4-344D-4AA3-8C1F-D415EAFA99F1}"/>
    <cellStyle name="Normal 11 2 3 2 3 2 3 2 2 3" xfId="31605" xr:uid="{D0E7F035-1F4E-4EC3-B4EB-F8896006AD31}"/>
    <cellStyle name="Normal 11 2 3 2 3 2 3 2 3" xfId="31606" xr:uid="{3F254C1C-DFF1-4A01-B71A-41B7130FC7B9}"/>
    <cellStyle name="Normal 11 2 3 2 3 2 3 2 3 2" xfId="31607" xr:uid="{72475510-2B52-468F-9C86-9BC364972FFF}"/>
    <cellStyle name="Normal 11 2 3 2 3 2 3 2 4" xfId="31608" xr:uid="{666B0BDD-F4A1-49F6-8B7B-DC239A20A43E}"/>
    <cellStyle name="Normal 11 2 3 2 3 2 3 3" xfId="31609" xr:uid="{6DE050FF-4CA4-4864-A8AC-76AA8917985E}"/>
    <cellStyle name="Normal 11 2 3 2 3 2 3 3 2" xfId="31610" xr:uid="{C48EA574-8D64-47A1-8D6E-CDDE396DBA75}"/>
    <cellStyle name="Normal 11 2 3 2 3 2 3 3 2 2" xfId="31611" xr:uid="{485D34AB-0EEB-4B9B-A050-341A841BD2D0}"/>
    <cellStyle name="Normal 11 2 3 2 3 2 3 3 3" xfId="31612" xr:uid="{73309346-E986-4DD3-B71D-8E43129FC725}"/>
    <cellStyle name="Normal 11 2 3 2 3 2 3 4" xfId="31613" xr:uid="{42A2133A-FA90-473E-BBBE-895B9525632A}"/>
    <cellStyle name="Normal 11 2 3 2 3 2 3 4 2" xfId="31614" xr:uid="{8055CFF0-E213-4CE1-80FA-40CDC8FB2B7D}"/>
    <cellStyle name="Normal 11 2 3 2 3 2 3 5" xfId="31615" xr:uid="{EC0DDE8B-66F3-417D-91A8-9764E7B968E7}"/>
    <cellStyle name="Normal 11 2 3 2 3 2 4" xfId="31616" xr:uid="{C2F5B5FE-0D52-468B-BA46-43D4F3E545DF}"/>
    <cellStyle name="Normal 11 2 3 2 3 2 4 2" xfId="31617" xr:uid="{C2842EF5-17DF-434B-BBA8-2AB8C3A69AA8}"/>
    <cellStyle name="Normal 11 2 3 2 3 2 4 2 2" xfId="31618" xr:uid="{695A4501-F1FC-47AD-9DFB-18C741968007}"/>
    <cellStyle name="Normal 11 2 3 2 3 2 4 2 2 2" xfId="31619" xr:uid="{CB8599CF-2D07-4E95-ADED-A5E0F02E543D}"/>
    <cellStyle name="Normal 11 2 3 2 3 2 4 2 3" xfId="31620" xr:uid="{5682E68D-0067-4C81-B8BF-FC356027A1DA}"/>
    <cellStyle name="Normal 11 2 3 2 3 2 4 3" xfId="31621" xr:uid="{659BC9A5-6C13-4FE4-83D6-74AF0E5B8C03}"/>
    <cellStyle name="Normal 11 2 3 2 3 2 4 3 2" xfId="31622" xr:uid="{100D9DF7-CD15-45F7-917F-7808713E847D}"/>
    <cellStyle name="Normal 11 2 3 2 3 2 4 4" xfId="31623" xr:uid="{9C686F4C-799A-43B2-9E19-E48D3DBD5081}"/>
    <cellStyle name="Normal 11 2 3 2 3 2 5" xfId="31624" xr:uid="{31AC4300-99FE-459A-A6D7-2D747894E7FF}"/>
    <cellStyle name="Normal 11 2 3 2 3 2 5 2" xfId="31625" xr:uid="{75F137B6-A6F8-4C5C-9C5D-21AC6795AEF3}"/>
    <cellStyle name="Normal 11 2 3 2 3 2 5 2 2" xfId="31626" xr:uid="{6AE6C075-3CAE-4825-8B36-73528741B141}"/>
    <cellStyle name="Normal 11 2 3 2 3 2 5 3" xfId="31627" xr:uid="{9A622629-84E2-4770-8173-F81BA362C86A}"/>
    <cellStyle name="Normal 11 2 3 2 3 2 6" xfId="31628" xr:uid="{D217098B-8C7F-439B-83F2-57DDFE76804A}"/>
    <cellStyle name="Normal 11 2 3 2 3 2 6 2" xfId="31629" xr:uid="{AF6EB1F8-07C8-482F-8C57-C3F08BF6D0A8}"/>
    <cellStyle name="Normal 11 2 3 2 3 2 7" xfId="31630" xr:uid="{2A516476-3B97-42D8-B422-7422F1F88ECC}"/>
    <cellStyle name="Normal 11 2 3 2 3 3" xfId="31631" xr:uid="{793FD661-C35F-495A-8530-9C2CE68BAF8F}"/>
    <cellStyle name="Normal 11 2 3 2 3 3 2" xfId="31632" xr:uid="{1352B519-CA83-4419-B6FA-6ECC7472B928}"/>
    <cellStyle name="Normal 11 2 3 2 3 3 2 2" xfId="31633" xr:uid="{094CF363-E139-4F84-A19E-87B0ECD55DB7}"/>
    <cellStyle name="Normal 11 2 3 2 3 3 2 2 2" xfId="31634" xr:uid="{87F65637-F9DD-48C9-BEC8-798F40E3C7E1}"/>
    <cellStyle name="Normal 11 2 3 2 3 3 2 2 2 2" xfId="31635" xr:uid="{808EFAAF-E46F-47DE-9AA3-7325F383CAD6}"/>
    <cellStyle name="Normal 11 2 3 2 3 3 2 2 2 2 2" xfId="31636" xr:uid="{4924F0D6-08F1-4A3B-9931-A256838123FB}"/>
    <cellStyle name="Normal 11 2 3 2 3 3 2 2 2 3" xfId="31637" xr:uid="{38692B19-363A-4894-8A06-9104F6657669}"/>
    <cellStyle name="Normal 11 2 3 2 3 3 2 2 3" xfId="31638" xr:uid="{8A621F53-9422-47D4-B179-241C28B6043C}"/>
    <cellStyle name="Normal 11 2 3 2 3 3 2 2 3 2" xfId="31639" xr:uid="{6ACB90E0-EF57-478A-8B99-0B947C2F42A3}"/>
    <cellStyle name="Normal 11 2 3 2 3 3 2 2 4" xfId="31640" xr:uid="{3F054E17-B841-4181-A3D4-B54458553356}"/>
    <cellStyle name="Normal 11 2 3 2 3 3 2 3" xfId="31641" xr:uid="{6807441B-F381-4ABE-A6A1-71C390992F8C}"/>
    <cellStyle name="Normal 11 2 3 2 3 3 2 3 2" xfId="31642" xr:uid="{F686F9AC-66A5-4A71-A336-42DA4A62F38F}"/>
    <cellStyle name="Normal 11 2 3 2 3 3 2 3 2 2" xfId="31643" xr:uid="{33398FA0-8017-4372-85F7-F380102E19A2}"/>
    <cellStyle name="Normal 11 2 3 2 3 3 2 3 3" xfId="31644" xr:uid="{B424AF68-CC92-4DEF-BAFF-D6034C9DCF0B}"/>
    <cellStyle name="Normal 11 2 3 2 3 3 2 4" xfId="31645" xr:uid="{69C1D6B8-974F-4032-AE5B-BC9E97317F15}"/>
    <cellStyle name="Normal 11 2 3 2 3 3 2 4 2" xfId="31646" xr:uid="{88F5BB01-2B30-4521-9AFB-7E86DD69F22F}"/>
    <cellStyle name="Normal 11 2 3 2 3 3 2 5" xfId="31647" xr:uid="{C188E874-42EA-4586-B895-7F5F6E804E86}"/>
    <cellStyle name="Normal 11 2 3 2 3 3 3" xfId="31648" xr:uid="{2A75884D-313C-4ECA-8FF1-A9936A139114}"/>
    <cellStyle name="Normal 11 2 3 2 3 3 3 2" xfId="31649" xr:uid="{F7B4B828-A8D9-45B4-B9A6-89475E521B73}"/>
    <cellStyle name="Normal 11 2 3 2 3 3 3 2 2" xfId="31650" xr:uid="{0A114A30-89C1-457C-9DA5-6422C7428C53}"/>
    <cellStyle name="Normal 11 2 3 2 3 3 3 2 2 2" xfId="31651" xr:uid="{418F2727-CD51-4D3D-B616-5290DC011A07}"/>
    <cellStyle name="Normal 11 2 3 2 3 3 3 2 3" xfId="31652" xr:uid="{3678266F-0B9E-4C72-AEDF-C74A837B3D4A}"/>
    <cellStyle name="Normal 11 2 3 2 3 3 3 3" xfId="31653" xr:uid="{662C3F8D-7A9A-46C6-A11B-B3B3F85EF568}"/>
    <cellStyle name="Normal 11 2 3 2 3 3 3 3 2" xfId="31654" xr:uid="{C0E79B7A-56D5-4D52-A96C-B4C37C1F7BD1}"/>
    <cellStyle name="Normal 11 2 3 2 3 3 3 4" xfId="31655" xr:uid="{5F19A9A4-BC8F-4E7B-8EAF-41CBD05649F5}"/>
    <cellStyle name="Normal 11 2 3 2 3 3 4" xfId="31656" xr:uid="{059675AE-47CC-4E8E-9A96-3D5E7065D857}"/>
    <cellStyle name="Normal 11 2 3 2 3 3 4 2" xfId="31657" xr:uid="{EE0D6F93-981A-4A57-9FF4-0556039C841F}"/>
    <cellStyle name="Normal 11 2 3 2 3 3 4 2 2" xfId="31658" xr:uid="{7FB96CB5-1813-4E35-8B02-F96294E65FD2}"/>
    <cellStyle name="Normal 11 2 3 2 3 3 4 3" xfId="31659" xr:uid="{9467439F-E772-4847-B3C5-3C0979911D9D}"/>
    <cellStyle name="Normal 11 2 3 2 3 3 5" xfId="31660" xr:uid="{61895518-6EDE-431E-9368-868607F6B2FB}"/>
    <cellStyle name="Normal 11 2 3 2 3 3 5 2" xfId="31661" xr:uid="{282DFF18-E93C-4260-9000-6EF2E8D6058B}"/>
    <cellStyle name="Normal 11 2 3 2 3 3 6" xfId="31662" xr:uid="{D96D9CFE-E06B-497B-838F-58D9A44B9C93}"/>
    <cellStyle name="Normal 11 2 3 2 3 4" xfId="31663" xr:uid="{EBE20550-D227-45D9-9943-1E14AF7739CA}"/>
    <cellStyle name="Normal 11 2 3 2 3 4 2" xfId="31664" xr:uid="{9C3819C0-8007-413D-8540-28986BC438ED}"/>
    <cellStyle name="Normal 11 2 3 2 3 4 2 2" xfId="31665" xr:uid="{6263D51F-4C86-41F8-ACEA-CD5FFD2A7D8E}"/>
    <cellStyle name="Normal 11 2 3 2 3 4 2 2 2" xfId="31666" xr:uid="{D099B260-E60F-4639-A9E0-3F3F93F89A22}"/>
    <cellStyle name="Normal 11 2 3 2 3 4 2 2 2 2" xfId="31667" xr:uid="{0F55FF70-EBB8-4F17-B74D-7D9695E9B936}"/>
    <cellStyle name="Normal 11 2 3 2 3 4 2 2 3" xfId="31668" xr:uid="{D990C877-B628-4C92-9331-388EC5A27E17}"/>
    <cellStyle name="Normal 11 2 3 2 3 4 2 3" xfId="31669" xr:uid="{79142ECB-39B8-43E4-ABB1-05D17E5FF65A}"/>
    <cellStyle name="Normal 11 2 3 2 3 4 2 3 2" xfId="31670" xr:uid="{A1D776B6-FAAD-46F8-9850-902220484F82}"/>
    <cellStyle name="Normal 11 2 3 2 3 4 2 4" xfId="31671" xr:uid="{DAAF2637-1276-4F14-BD81-92F3648C88A1}"/>
    <cellStyle name="Normal 11 2 3 2 3 4 3" xfId="31672" xr:uid="{A773391F-646E-4543-A230-AB91B8B56D94}"/>
    <cellStyle name="Normal 11 2 3 2 3 4 3 2" xfId="31673" xr:uid="{30016CD4-F099-47F1-BDBD-2A0F5CF6C48A}"/>
    <cellStyle name="Normal 11 2 3 2 3 4 3 2 2" xfId="31674" xr:uid="{7B96BF23-AB63-4550-B990-3DEE9BD5F49B}"/>
    <cellStyle name="Normal 11 2 3 2 3 4 3 3" xfId="31675" xr:uid="{B64779F9-F362-45DA-A35E-6AE9DD2798B7}"/>
    <cellStyle name="Normal 11 2 3 2 3 4 4" xfId="31676" xr:uid="{E49352B2-019C-4C1A-94E2-6D8BE17E5A67}"/>
    <cellStyle name="Normal 11 2 3 2 3 4 4 2" xfId="31677" xr:uid="{14588129-1967-435C-BB8B-074B8839B0E3}"/>
    <cellStyle name="Normal 11 2 3 2 3 4 5" xfId="31678" xr:uid="{D1F35129-4ECC-479A-93BF-AE8AEE4BF43B}"/>
    <cellStyle name="Normal 11 2 3 2 3 5" xfId="31679" xr:uid="{7BD6FA83-2754-4BAB-82E5-A043FDB3E815}"/>
    <cellStyle name="Normal 11 2 3 2 3 5 2" xfId="31680" xr:uid="{AF777E39-18CB-48B4-A66C-1893F3AA4095}"/>
    <cellStyle name="Normal 11 2 3 2 3 5 2 2" xfId="31681" xr:uid="{37B28861-FDBE-4BF3-A232-D18AB4832CE2}"/>
    <cellStyle name="Normal 11 2 3 2 3 5 2 2 2" xfId="31682" xr:uid="{2E6C9B29-FB8C-4E18-B688-57BD125D3FCA}"/>
    <cellStyle name="Normal 11 2 3 2 3 5 2 3" xfId="31683" xr:uid="{9A0CD6A8-43A4-4E00-8D6C-E75D0C2EFE1F}"/>
    <cellStyle name="Normal 11 2 3 2 3 5 3" xfId="31684" xr:uid="{E4E5DD7C-672F-480C-AE90-310615A431F2}"/>
    <cellStyle name="Normal 11 2 3 2 3 5 3 2" xfId="31685" xr:uid="{086D7142-48D5-4350-9EE6-054A7279760E}"/>
    <cellStyle name="Normal 11 2 3 2 3 5 4" xfId="31686" xr:uid="{0FDD4842-AE08-4814-8E34-7C5090941E5C}"/>
    <cellStyle name="Normal 11 2 3 2 3 6" xfId="31687" xr:uid="{7F9D365C-616D-42DC-8846-3E182DC5D925}"/>
    <cellStyle name="Normal 11 2 3 2 3 6 2" xfId="31688" xr:uid="{352961C8-DAD0-40D6-A8FD-6929B8DCC83F}"/>
    <cellStyle name="Normal 11 2 3 2 3 6 2 2" xfId="31689" xr:uid="{EE233C41-22FD-45D2-9DAA-96572085FD35}"/>
    <cellStyle name="Normal 11 2 3 2 3 6 3" xfId="31690" xr:uid="{C5365DA8-1DF3-4C16-B7DE-2C4FE632434B}"/>
    <cellStyle name="Normal 11 2 3 2 3 7" xfId="31691" xr:uid="{802EEFF3-D1AC-4D13-9021-6C01D86B15B5}"/>
    <cellStyle name="Normal 11 2 3 2 3 7 2" xfId="31692" xr:uid="{33197DF9-E470-4F65-A08C-BCD6E82EF548}"/>
    <cellStyle name="Normal 11 2 3 2 3 8" xfId="31693" xr:uid="{D3868EC5-C8EF-4D96-A232-973C3BA57381}"/>
    <cellStyle name="Normal 11 2 3 2 3 9" xfId="31566" xr:uid="{5D87C361-E383-4A06-9EC6-BEF1BA28C9B5}"/>
    <cellStyle name="Normal 11 2 3 2 4" xfId="31694" xr:uid="{EFC42357-734E-491E-85E2-D2675DDD7150}"/>
    <cellStyle name="Normal 11 2 3 2 4 2" xfId="31695" xr:uid="{7C9AD07C-BC73-48F5-8BC8-40F5B0BD9C7A}"/>
    <cellStyle name="Normal 11 2 3 2 4 2 2" xfId="31696" xr:uid="{13B1A69E-FBAC-4516-9597-99736497FB8F}"/>
    <cellStyle name="Normal 11 2 3 2 4 2 2 2" xfId="31697" xr:uid="{46B67981-9642-4452-BD17-0F9BA0A5C655}"/>
    <cellStyle name="Normal 11 2 3 2 4 2 2 2 2" xfId="31698" xr:uid="{584A097A-7422-44FE-8406-13BD6765A8D9}"/>
    <cellStyle name="Normal 11 2 3 2 4 2 2 2 2 2" xfId="31699" xr:uid="{0CB6C4FC-2E1A-431E-86DF-7697D4B0B961}"/>
    <cellStyle name="Normal 11 2 3 2 4 2 2 2 2 2 2" xfId="31700" xr:uid="{28088EC1-E6A1-45DF-8D7D-41C339230E86}"/>
    <cellStyle name="Normal 11 2 3 2 4 2 2 2 2 3" xfId="31701" xr:uid="{70E54780-34BF-457F-AD85-CAB08BB118A2}"/>
    <cellStyle name="Normal 11 2 3 2 4 2 2 2 3" xfId="31702" xr:uid="{76894728-942D-4A2F-BE60-0AE6932B4C75}"/>
    <cellStyle name="Normal 11 2 3 2 4 2 2 2 3 2" xfId="31703" xr:uid="{BC130782-C002-48CF-831D-0A2FA13BE267}"/>
    <cellStyle name="Normal 11 2 3 2 4 2 2 2 4" xfId="31704" xr:uid="{B0ED7AE0-A80C-4023-AF47-2AE7E96A065C}"/>
    <cellStyle name="Normal 11 2 3 2 4 2 2 3" xfId="31705" xr:uid="{E627B750-3D4A-4EA6-9282-8577542D708C}"/>
    <cellStyle name="Normal 11 2 3 2 4 2 2 3 2" xfId="31706" xr:uid="{6C283548-2BAB-47C4-91F3-5ED4114A5778}"/>
    <cellStyle name="Normal 11 2 3 2 4 2 2 3 2 2" xfId="31707" xr:uid="{283A854D-3303-49E1-BD7C-C26F601793C6}"/>
    <cellStyle name="Normal 11 2 3 2 4 2 2 3 3" xfId="31708" xr:uid="{16A63D87-0EE8-4EF8-AE93-BE2D80F46849}"/>
    <cellStyle name="Normal 11 2 3 2 4 2 2 4" xfId="31709" xr:uid="{DF4EB009-A4E9-4524-806F-0DCD53213561}"/>
    <cellStyle name="Normal 11 2 3 2 4 2 2 4 2" xfId="31710" xr:uid="{B3E5B37F-9ECA-41AF-BD6B-10DB7726B1C6}"/>
    <cellStyle name="Normal 11 2 3 2 4 2 2 5" xfId="31711" xr:uid="{7799253C-9BE6-46FE-AD1D-303D86053116}"/>
    <cellStyle name="Normal 11 2 3 2 4 2 3" xfId="31712" xr:uid="{EA08A3FD-E6F4-40C8-9D8D-7A120111A2B1}"/>
    <cellStyle name="Normal 11 2 3 2 4 2 3 2" xfId="31713" xr:uid="{BD0ECAC7-2C68-421F-B04F-EA2F84F58DEF}"/>
    <cellStyle name="Normal 11 2 3 2 4 2 3 2 2" xfId="31714" xr:uid="{4BBD5426-BAA1-4D29-8252-AB27CF9C9E43}"/>
    <cellStyle name="Normal 11 2 3 2 4 2 3 2 2 2" xfId="31715" xr:uid="{40C4FF44-B407-4441-80FE-BA12AFB9154B}"/>
    <cellStyle name="Normal 11 2 3 2 4 2 3 2 3" xfId="31716" xr:uid="{AA3D5F5F-B0D9-41C8-92C9-E49742BEDB9D}"/>
    <cellStyle name="Normal 11 2 3 2 4 2 3 3" xfId="31717" xr:uid="{96576089-F74E-49D3-89F0-23D3FF108F65}"/>
    <cellStyle name="Normal 11 2 3 2 4 2 3 3 2" xfId="31718" xr:uid="{1E28F781-8064-4259-AE01-AB68E1B83A33}"/>
    <cellStyle name="Normal 11 2 3 2 4 2 3 4" xfId="31719" xr:uid="{3FD67D2C-CC64-48D3-90E0-013FB16948A5}"/>
    <cellStyle name="Normal 11 2 3 2 4 2 4" xfId="31720" xr:uid="{C4B3942D-3F58-4294-8D03-DB2529E17DED}"/>
    <cellStyle name="Normal 11 2 3 2 4 2 4 2" xfId="31721" xr:uid="{C3CD194F-A6FD-4A68-8B83-857F7B62B3AE}"/>
    <cellStyle name="Normal 11 2 3 2 4 2 4 2 2" xfId="31722" xr:uid="{0486899B-8CAE-4332-83FE-395C6536A53D}"/>
    <cellStyle name="Normal 11 2 3 2 4 2 4 3" xfId="31723" xr:uid="{435F9B43-3E1E-4F60-A02F-1D7DCDCAFDAB}"/>
    <cellStyle name="Normal 11 2 3 2 4 2 5" xfId="31724" xr:uid="{80FDD0A6-5642-4E68-A479-4C434F8FCD15}"/>
    <cellStyle name="Normal 11 2 3 2 4 2 5 2" xfId="31725" xr:uid="{11E98658-EE1A-4E97-9136-D15B02AAEA13}"/>
    <cellStyle name="Normal 11 2 3 2 4 2 6" xfId="31726" xr:uid="{73F4F0C3-0CCF-4723-A06B-A14199752EDE}"/>
    <cellStyle name="Normal 11 2 3 2 4 3" xfId="31727" xr:uid="{C7AFF9DA-9F84-44FC-A77E-E2AFC120984C}"/>
    <cellStyle name="Normal 11 2 3 2 4 3 2" xfId="31728" xr:uid="{50B57D0F-0C43-4EE1-A5A8-7A254A99BD4E}"/>
    <cellStyle name="Normal 11 2 3 2 4 3 2 2" xfId="31729" xr:uid="{FC901F65-C841-405F-B858-A27552D24FAF}"/>
    <cellStyle name="Normal 11 2 3 2 4 3 2 2 2" xfId="31730" xr:uid="{2F687B71-41E9-447C-800E-D06B0EADE9DA}"/>
    <cellStyle name="Normal 11 2 3 2 4 3 2 2 2 2" xfId="31731" xr:uid="{9BEF898A-A90B-4D22-9052-A01E2882D04F}"/>
    <cellStyle name="Normal 11 2 3 2 4 3 2 2 3" xfId="31732" xr:uid="{D982D944-571C-4420-862C-98FAC6B75594}"/>
    <cellStyle name="Normal 11 2 3 2 4 3 2 3" xfId="31733" xr:uid="{DFA3CBAE-5246-4BD7-BD96-68AF23E61AA7}"/>
    <cellStyle name="Normal 11 2 3 2 4 3 2 3 2" xfId="31734" xr:uid="{75CE1B27-4532-4687-9DB6-804EC509CC3F}"/>
    <cellStyle name="Normal 11 2 3 2 4 3 2 4" xfId="31735" xr:uid="{20672173-804F-4D27-8FFC-1AC9F174CA75}"/>
    <cellStyle name="Normal 11 2 3 2 4 3 3" xfId="31736" xr:uid="{0109A3C4-8977-497D-863E-38F5087ACE2E}"/>
    <cellStyle name="Normal 11 2 3 2 4 3 3 2" xfId="31737" xr:uid="{321AEFAE-340A-452B-A8DD-20244326EE48}"/>
    <cellStyle name="Normal 11 2 3 2 4 3 3 2 2" xfId="31738" xr:uid="{FA58B37B-DEE0-4FC6-8618-9E68027D9199}"/>
    <cellStyle name="Normal 11 2 3 2 4 3 3 3" xfId="31739" xr:uid="{2E066455-B827-4B5C-B8A2-83CD3ED7339A}"/>
    <cellStyle name="Normal 11 2 3 2 4 3 4" xfId="31740" xr:uid="{96DD1C61-F3F9-473B-A588-187A94853D3C}"/>
    <cellStyle name="Normal 11 2 3 2 4 3 4 2" xfId="31741" xr:uid="{FC36B1C6-8BDD-4CDB-B9B5-A8D6317A83A9}"/>
    <cellStyle name="Normal 11 2 3 2 4 3 5" xfId="31742" xr:uid="{EF875F86-C29F-44B0-B9B1-4DF47AA1A4B6}"/>
    <cellStyle name="Normal 11 2 3 2 4 4" xfId="31743" xr:uid="{92FC5BEF-A46F-477A-B0BD-F71D96D53A60}"/>
    <cellStyle name="Normal 11 2 3 2 4 4 2" xfId="31744" xr:uid="{B86DABD5-225B-4D55-98F9-A291484A8AEC}"/>
    <cellStyle name="Normal 11 2 3 2 4 4 2 2" xfId="31745" xr:uid="{445095BB-36AB-436E-826A-AF17592BFF2F}"/>
    <cellStyle name="Normal 11 2 3 2 4 4 2 2 2" xfId="31746" xr:uid="{017872B1-494D-4385-9AC6-4A2CAB770DDA}"/>
    <cellStyle name="Normal 11 2 3 2 4 4 2 3" xfId="31747" xr:uid="{2E3F7DD3-7E2C-4D5D-B00C-E5B6F188DF3E}"/>
    <cellStyle name="Normal 11 2 3 2 4 4 3" xfId="31748" xr:uid="{16D70E14-4798-44D5-AF24-C9BB4C85B2AD}"/>
    <cellStyle name="Normal 11 2 3 2 4 4 3 2" xfId="31749" xr:uid="{129AC2E9-7091-4DED-8E39-F0DD7C0D17A9}"/>
    <cellStyle name="Normal 11 2 3 2 4 4 4" xfId="31750" xr:uid="{FAFB2076-64B4-4BC5-BB0C-074275BCC04C}"/>
    <cellStyle name="Normal 11 2 3 2 4 5" xfId="31751" xr:uid="{6597463C-B1C9-41B3-AB3F-DF92B13AF14D}"/>
    <cellStyle name="Normal 11 2 3 2 4 5 2" xfId="31752" xr:uid="{7946FEB4-698C-4B25-B3F6-A1AE222BEB0B}"/>
    <cellStyle name="Normal 11 2 3 2 4 5 2 2" xfId="31753" xr:uid="{EA2CBED8-4E01-45E8-BC7D-BA2D383554DB}"/>
    <cellStyle name="Normal 11 2 3 2 4 5 3" xfId="31754" xr:uid="{87E1ABE4-C649-46B0-AC6D-3311008FFFB1}"/>
    <cellStyle name="Normal 11 2 3 2 4 6" xfId="31755" xr:uid="{6AEA875A-A36B-410A-80D5-B827CCAD7E76}"/>
    <cellStyle name="Normal 11 2 3 2 4 6 2" xfId="31756" xr:uid="{CABB1304-B8E2-4212-A3C0-46108E6001CC}"/>
    <cellStyle name="Normal 11 2 3 2 4 7" xfId="31757" xr:uid="{8897DFEC-2443-4D4E-85B7-AB4087EEDC36}"/>
    <cellStyle name="Normal 11 2 3 2 5" xfId="31758" xr:uid="{5A9E3C69-65EE-4816-9DCF-5F76F47FB0C2}"/>
    <cellStyle name="Normal 11 2 3 2 5 2" xfId="31759" xr:uid="{DD6B0BD3-B04A-4FF9-862F-A94C7F1838A4}"/>
    <cellStyle name="Normal 11 2 3 2 5 2 2" xfId="31760" xr:uid="{7BA2D7F7-2E09-41D3-A27C-729F501CAFF6}"/>
    <cellStyle name="Normal 11 2 3 2 5 2 2 2" xfId="31761" xr:uid="{A6DA1882-7D1B-4FF0-86FC-3555BD0503B2}"/>
    <cellStyle name="Normal 11 2 3 2 5 2 2 2 2" xfId="31762" xr:uid="{4E03C1A3-0F81-4F40-B80E-10776D384D53}"/>
    <cellStyle name="Normal 11 2 3 2 5 2 2 2 2 2" xfId="31763" xr:uid="{1C169765-0A46-49CC-A51A-B073B510C374}"/>
    <cellStyle name="Normal 11 2 3 2 5 2 2 2 3" xfId="31764" xr:uid="{5E41FDDB-128E-4BB2-BE4D-F3B5ADFAE963}"/>
    <cellStyle name="Normal 11 2 3 2 5 2 2 3" xfId="31765" xr:uid="{DDE0A0FC-07E2-4B0A-910D-94E12EF62C25}"/>
    <cellStyle name="Normal 11 2 3 2 5 2 2 3 2" xfId="31766" xr:uid="{788BEC95-CD2B-42B3-8413-A9202CEFE029}"/>
    <cellStyle name="Normal 11 2 3 2 5 2 2 4" xfId="31767" xr:uid="{A5478AC7-2E19-44DF-B117-936B42F2E924}"/>
    <cellStyle name="Normal 11 2 3 2 5 2 3" xfId="31768" xr:uid="{8CBF7E6A-7725-433D-9521-22DD9AA55567}"/>
    <cellStyle name="Normal 11 2 3 2 5 2 3 2" xfId="31769" xr:uid="{71AFFDDB-C62F-4C4D-9C6D-7F5D427D8C9B}"/>
    <cellStyle name="Normal 11 2 3 2 5 2 3 2 2" xfId="31770" xr:uid="{B8663DF1-3E2A-49D8-AD60-98D55435659A}"/>
    <cellStyle name="Normal 11 2 3 2 5 2 3 3" xfId="31771" xr:uid="{29920EB5-A606-4743-835F-3E3368F78287}"/>
    <cellStyle name="Normal 11 2 3 2 5 2 4" xfId="31772" xr:uid="{C046E764-E904-4C7F-99DC-2BF1DEB528A6}"/>
    <cellStyle name="Normal 11 2 3 2 5 2 4 2" xfId="31773" xr:uid="{E27D0AF9-4E68-4887-96D7-5A4C52EB2D8C}"/>
    <cellStyle name="Normal 11 2 3 2 5 2 5" xfId="31774" xr:uid="{F0A80B3D-2008-40AE-9657-5AFC89AD8B42}"/>
    <cellStyle name="Normal 11 2 3 2 5 3" xfId="31775" xr:uid="{381B5D92-B2D7-4D5E-B298-FC1D745D207A}"/>
    <cellStyle name="Normal 11 2 3 2 5 3 2" xfId="31776" xr:uid="{747F6210-F295-4E86-AD27-B57728228C3C}"/>
    <cellStyle name="Normal 11 2 3 2 5 3 2 2" xfId="31777" xr:uid="{03879D8A-D392-4FC4-A662-D55A21847FBD}"/>
    <cellStyle name="Normal 11 2 3 2 5 3 2 2 2" xfId="31778" xr:uid="{1398D9B0-A273-44C8-8158-9CDF8770FF78}"/>
    <cellStyle name="Normal 11 2 3 2 5 3 2 3" xfId="31779" xr:uid="{EC1BF359-B02E-46B4-8EBA-E9EE4661C4BF}"/>
    <cellStyle name="Normal 11 2 3 2 5 3 3" xfId="31780" xr:uid="{94F408AE-530F-42A0-A281-BC2F04D706A9}"/>
    <cellStyle name="Normal 11 2 3 2 5 3 3 2" xfId="31781" xr:uid="{68919E6F-AB8D-40BE-9E0C-1380317B17E9}"/>
    <cellStyle name="Normal 11 2 3 2 5 3 4" xfId="31782" xr:uid="{35DABAD7-02A5-4A39-8F6E-920F6A058E2C}"/>
    <cellStyle name="Normal 11 2 3 2 5 4" xfId="31783" xr:uid="{56313845-6F5B-4886-966F-EB76E9E99492}"/>
    <cellStyle name="Normal 11 2 3 2 5 4 2" xfId="31784" xr:uid="{9DDF2448-4F24-4730-AE20-4DC34559BA68}"/>
    <cellStyle name="Normal 11 2 3 2 5 4 2 2" xfId="31785" xr:uid="{C01E568E-C31B-451B-A99A-455C3978E388}"/>
    <cellStyle name="Normal 11 2 3 2 5 4 3" xfId="31786" xr:uid="{54F4B619-44D1-4B7F-8D1F-3DC5D2797CFB}"/>
    <cellStyle name="Normal 11 2 3 2 5 5" xfId="31787" xr:uid="{4077FAD7-0BC5-43A3-B42E-4890A838A326}"/>
    <cellStyle name="Normal 11 2 3 2 5 5 2" xfId="31788" xr:uid="{DB1C4D8C-2CF6-4384-B65C-035C49FB6EED}"/>
    <cellStyle name="Normal 11 2 3 2 5 6" xfId="31789" xr:uid="{DFC9D2F1-75FD-468D-B8C0-2BEF14CD1EF0}"/>
    <cellStyle name="Normal 11 2 3 2 6" xfId="31790" xr:uid="{D57EAE33-7A10-4DCC-B587-41952C69A3F6}"/>
    <cellStyle name="Normal 11 2 3 2 6 2" xfId="31791" xr:uid="{6236024C-73DC-4457-995E-05376FF39980}"/>
    <cellStyle name="Normal 11 2 3 2 6 2 2" xfId="31792" xr:uid="{4A8E220E-E27F-4359-BC64-CDA9AEA44627}"/>
    <cellStyle name="Normal 11 2 3 2 6 2 2 2" xfId="31793" xr:uid="{D0E06990-119C-48E4-BD32-EC78140AB3E2}"/>
    <cellStyle name="Normal 11 2 3 2 6 2 2 2 2" xfId="31794" xr:uid="{4AB567BA-D765-4A06-ADAF-FC2CD253116C}"/>
    <cellStyle name="Normal 11 2 3 2 6 2 2 3" xfId="31795" xr:uid="{74193A5E-A159-413B-8523-3EDD6BD81C17}"/>
    <cellStyle name="Normal 11 2 3 2 6 2 3" xfId="31796" xr:uid="{B740B9F2-C434-433A-8282-EFEE495B6F7B}"/>
    <cellStyle name="Normal 11 2 3 2 6 2 3 2" xfId="31797" xr:uid="{FF624A92-6711-46DB-85C4-E31DA17FA3C4}"/>
    <cellStyle name="Normal 11 2 3 2 6 2 4" xfId="31798" xr:uid="{EDA59C1A-FD59-43BA-B6D7-D6160AED2FE2}"/>
    <cellStyle name="Normal 11 2 3 2 6 3" xfId="31799" xr:uid="{77DCDC07-29B0-47FB-8665-8B069A01A31B}"/>
    <cellStyle name="Normal 11 2 3 2 6 3 2" xfId="31800" xr:uid="{459EE367-67D7-4564-9D3F-B6EE4ED09788}"/>
    <cellStyle name="Normal 11 2 3 2 6 3 2 2" xfId="31801" xr:uid="{F48E0C72-8C6F-4960-AA20-72424B30C19E}"/>
    <cellStyle name="Normal 11 2 3 2 6 3 3" xfId="31802" xr:uid="{A8219201-3A21-4CDB-B10E-A9206E534053}"/>
    <cellStyle name="Normal 11 2 3 2 6 4" xfId="31803" xr:uid="{6FB1EBE0-860D-4C1A-A2A7-22007F03E2C6}"/>
    <cellStyle name="Normal 11 2 3 2 6 4 2" xfId="31804" xr:uid="{20163E70-FDD2-4EEE-8619-C7A98E4D190C}"/>
    <cellStyle name="Normal 11 2 3 2 6 5" xfId="31805" xr:uid="{9F4B7946-F8B5-452E-9F97-DA474A6A15EA}"/>
    <cellStyle name="Normal 11 2 3 2 7" xfId="31806" xr:uid="{2A59D28C-BF9E-4A03-ACAC-110346B0A470}"/>
    <cellStyle name="Normal 11 2 3 2 7 2" xfId="31807" xr:uid="{22103142-164A-4514-9D61-2D8A494D46CF}"/>
    <cellStyle name="Normal 11 2 3 2 7 2 2" xfId="31808" xr:uid="{DA8C37D0-82FA-41FA-B847-CAEC06D04A9F}"/>
    <cellStyle name="Normal 11 2 3 2 7 2 2 2" xfId="31809" xr:uid="{B010B01A-DFA6-4278-98C1-F5333FC21F05}"/>
    <cellStyle name="Normal 11 2 3 2 7 2 3" xfId="31810" xr:uid="{FAE4E6A9-5EEB-41B5-95CE-A5AAE5319D87}"/>
    <cellStyle name="Normal 11 2 3 2 7 3" xfId="31811" xr:uid="{A1D0EFE9-D8CC-4B87-B73A-F6080BA6FA82}"/>
    <cellStyle name="Normal 11 2 3 2 7 3 2" xfId="31812" xr:uid="{0C51CC34-339C-4814-9A34-39DDFB337585}"/>
    <cellStyle name="Normal 11 2 3 2 7 4" xfId="31813" xr:uid="{E20EB66E-592D-40BC-8357-24B93E841122}"/>
    <cellStyle name="Normal 11 2 3 2 8" xfId="31814" xr:uid="{41287B62-82A6-40FE-A434-88E22271FAA9}"/>
    <cellStyle name="Normal 11 2 3 2 8 2" xfId="31815" xr:uid="{6285900B-EE74-4448-8CC4-87D77A4013F4}"/>
    <cellStyle name="Normal 11 2 3 2 8 2 2" xfId="31816" xr:uid="{8E3977ED-6CED-4B39-8E45-469CFA4E4C89}"/>
    <cellStyle name="Normal 11 2 3 2 8 3" xfId="31817" xr:uid="{30765781-4E64-497F-B8FA-56AFA1FD5D33}"/>
    <cellStyle name="Normal 11 2 3 2 9" xfId="31818" xr:uid="{1909C8AA-9C90-438C-A86B-513082B30879}"/>
    <cellStyle name="Normal 11 2 3 2 9 2" xfId="31819" xr:uid="{25591BE5-2B3C-4108-A6EB-64AAC55B59B6}"/>
    <cellStyle name="Normal 11 2 3 3" xfId="244" xr:uid="{0729C431-858C-4185-9B09-5765EA1AEAF4}"/>
    <cellStyle name="Normal 11 2 3 3 10" xfId="31820" xr:uid="{737E994F-CB1C-49DA-A6BF-89DC59841C15}"/>
    <cellStyle name="Normal 11 2 3 3 11" xfId="584" xr:uid="{A25B862D-E030-4897-A3DE-686FF901145E}"/>
    <cellStyle name="Normal 11 2 3 3 2" xfId="362" xr:uid="{E92ED34D-8018-4763-BB05-465F062B0A56}"/>
    <cellStyle name="Normal 11 2 3 3 2 10" xfId="31821" xr:uid="{C835A0C9-C162-42CF-8471-111BF122787C}"/>
    <cellStyle name="Normal 11 2 3 3 2 2" xfId="31822" xr:uid="{67EC30B5-73FE-4175-B705-410D5351E05F}"/>
    <cellStyle name="Normal 11 2 3 3 2 2 2" xfId="31823" xr:uid="{546780B7-7EAB-4685-B642-FBCCDD995639}"/>
    <cellStyle name="Normal 11 2 3 3 2 2 2 2" xfId="31824" xr:uid="{B6AE3664-67C2-4D8E-9EDB-476D8E7C1819}"/>
    <cellStyle name="Normal 11 2 3 3 2 2 2 2 2" xfId="31825" xr:uid="{46621A79-02AF-47A9-AB13-5DFA764B3F65}"/>
    <cellStyle name="Normal 11 2 3 3 2 2 2 2 2 2" xfId="31826" xr:uid="{6E44C7A5-8D7C-4B1B-83A0-0BBD809F70FE}"/>
    <cellStyle name="Normal 11 2 3 3 2 2 2 2 2 2 2" xfId="31827" xr:uid="{CC7730E9-8FF6-43B1-A5B2-A4B6AF234787}"/>
    <cellStyle name="Normal 11 2 3 3 2 2 2 2 2 2 2 2" xfId="31828" xr:uid="{E3AEE5C4-581F-409A-9297-9FB7D78E53A0}"/>
    <cellStyle name="Normal 11 2 3 3 2 2 2 2 2 2 2 2 2" xfId="31829" xr:uid="{7B6F64DD-81E9-41A8-B6BE-71D541C72132}"/>
    <cellStyle name="Normal 11 2 3 3 2 2 2 2 2 2 2 3" xfId="31830" xr:uid="{6969B664-E42B-4FD4-877E-37F4D30847CF}"/>
    <cellStyle name="Normal 11 2 3 3 2 2 2 2 2 2 3" xfId="31831" xr:uid="{2C37F1AB-ED97-4CF4-8D83-D9715D017FBA}"/>
    <cellStyle name="Normal 11 2 3 3 2 2 2 2 2 2 3 2" xfId="31832" xr:uid="{2A62811F-4EA0-4F93-AB80-94CF50358B44}"/>
    <cellStyle name="Normal 11 2 3 3 2 2 2 2 2 2 4" xfId="31833" xr:uid="{6D6CCEFD-401C-4AC0-B37B-24844D2B9378}"/>
    <cellStyle name="Normal 11 2 3 3 2 2 2 2 2 3" xfId="31834" xr:uid="{ABD091EB-E7C6-4ECC-B0D4-DEFCB134466D}"/>
    <cellStyle name="Normal 11 2 3 3 2 2 2 2 2 3 2" xfId="31835" xr:uid="{2DFD8D5E-F1DD-4071-AD7E-C7C4C154E721}"/>
    <cellStyle name="Normal 11 2 3 3 2 2 2 2 2 3 2 2" xfId="31836" xr:uid="{B7A7AD59-4F03-45E7-8192-0057B28933C7}"/>
    <cellStyle name="Normal 11 2 3 3 2 2 2 2 2 3 3" xfId="31837" xr:uid="{EF7C10E0-10C6-41D3-8153-6AD90BE03C22}"/>
    <cellStyle name="Normal 11 2 3 3 2 2 2 2 2 4" xfId="31838" xr:uid="{A2C97D98-80A6-4072-9292-4ADDBE6E4C71}"/>
    <cellStyle name="Normal 11 2 3 3 2 2 2 2 2 4 2" xfId="31839" xr:uid="{24486DA2-63E3-44F2-B448-0CE3329880BD}"/>
    <cellStyle name="Normal 11 2 3 3 2 2 2 2 2 5" xfId="31840" xr:uid="{AAD0E172-9768-46DE-807C-1E5C20E4DE46}"/>
    <cellStyle name="Normal 11 2 3 3 2 2 2 2 3" xfId="31841" xr:uid="{ED9E0BE4-7732-4B97-874E-7C1F74CDFCD8}"/>
    <cellStyle name="Normal 11 2 3 3 2 2 2 2 3 2" xfId="31842" xr:uid="{41DA8BF5-0D09-4206-B173-28311F4BECF1}"/>
    <cellStyle name="Normal 11 2 3 3 2 2 2 2 3 2 2" xfId="31843" xr:uid="{DAF698F8-4928-44A1-9E45-CEB983EA86F1}"/>
    <cellStyle name="Normal 11 2 3 3 2 2 2 2 3 2 2 2" xfId="31844" xr:uid="{CDE300E4-50E7-4AD1-BDFA-A689852698AC}"/>
    <cellStyle name="Normal 11 2 3 3 2 2 2 2 3 2 3" xfId="31845" xr:uid="{D3E6EC1F-0157-44DC-B3FA-B2461A71A3CA}"/>
    <cellStyle name="Normal 11 2 3 3 2 2 2 2 3 3" xfId="31846" xr:uid="{2FD03D1B-0606-4CFC-95F6-0D42AD17E3E4}"/>
    <cellStyle name="Normal 11 2 3 3 2 2 2 2 3 3 2" xfId="31847" xr:uid="{0471A9A9-88EC-4146-82EC-21D7AD87AE7D}"/>
    <cellStyle name="Normal 11 2 3 3 2 2 2 2 3 4" xfId="31848" xr:uid="{FFEF277F-8BD7-4D75-8D5B-7DC8EC0823FC}"/>
    <cellStyle name="Normal 11 2 3 3 2 2 2 2 4" xfId="31849" xr:uid="{1B70D0C5-6CA4-4846-8A7A-325CDE1D136B}"/>
    <cellStyle name="Normal 11 2 3 3 2 2 2 2 4 2" xfId="31850" xr:uid="{DBB50FD0-6590-451D-B3D6-9CA36764A720}"/>
    <cellStyle name="Normal 11 2 3 3 2 2 2 2 4 2 2" xfId="31851" xr:uid="{C72E15CA-35A2-4EC3-B79A-2242701D1B53}"/>
    <cellStyle name="Normal 11 2 3 3 2 2 2 2 4 3" xfId="31852" xr:uid="{7278165A-FF0B-48F4-A54D-A2F7119AF1BD}"/>
    <cellStyle name="Normal 11 2 3 3 2 2 2 2 5" xfId="31853" xr:uid="{47D8DE87-C46E-4DC7-9977-778F328F2287}"/>
    <cellStyle name="Normal 11 2 3 3 2 2 2 2 5 2" xfId="31854" xr:uid="{A67E9EFE-D909-4005-B2F0-0961693A93A8}"/>
    <cellStyle name="Normal 11 2 3 3 2 2 2 2 6" xfId="31855" xr:uid="{4010D59F-9DD9-4EBD-B4FB-2A41298FFD17}"/>
    <cellStyle name="Normal 11 2 3 3 2 2 2 3" xfId="31856" xr:uid="{7E7F3596-FB01-4BB1-917D-05012114549F}"/>
    <cellStyle name="Normal 11 2 3 3 2 2 2 3 2" xfId="31857" xr:uid="{61C1AA61-60F3-4979-9C6A-025B87AB6C4F}"/>
    <cellStyle name="Normal 11 2 3 3 2 2 2 3 2 2" xfId="31858" xr:uid="{6870C9C2-EBEF-4B38-8BCE-F89FB2334E81}"/>
    <cellStyle name="Normal 11 2 3 3 2 2 2 3 2 2 2" xfId="31859" xr:uid="{8EF41B63-7E4A-4CBD-9436-6FA04155AF83}"/>
    <cellStyle name="Normal 11 2 3 3 2 2 2 3 2 2 2 2" xfId="31860" xr:uid="{C547780D-736D-44C1-992A-E3ABB85AECE0}"/>
    <cellStyle name="Normal 11 2 3 3 2 2 2 3 2 2 3" xfId="31861" xr:uid="{0C816ADC-CFE3-43D6-AF42-33ACEAA5420D}"/>
    <cellStyle name="Normal 11 2 3 3 2 2 2 3 2 3" xfId="31862" xr:uid="{887EF56E-B2EE-485B-AAEB-49F5A0EAA168}"/>
    <cellStyle name="Normal 11 2 3 3 2 2 2 3 2 3 2" xfId="31863" xr:uid="{AF22058A-C373-483E-B198-13848CA90838}"/>
    <cellStyle name="Normal 11 2 3 3 2 2 2 3 2 4" xfId="31864" xr:uid="{3CE8BF1D-33CF-4557-8800-11F125CF7EB4}"/>
    <cellStyle name="Normal 11 2 3 3 2 2 2 3 3" xfId="31865" xr:uid="{E388DDCF-F74F-4CAC-B48B-DBF667B2F432}"/>
    <cellStyle name="Normal 11 2 3 3 2 2 2 3 3 2" xfId="31866" xr:uid="{8E3A463B-A560-4750-B37B-EF60D4A6390D}"/>
    <cellStyle name="Normal 11 2 3 3 2 2 2 3 3 2 2" xfId="31867" xr:uid="{B24F3EBE-8554-43E4-8E8A-1079261E673E}"/>
    <cellStyle name="Normal 11 2 3 3 2 2 2 3 3 3" xfId="31868" xr:uid="{71D49170-83A5-42F9-8623-F6BC995D8DCB}"/>
    <cellStyle name="Normal 11 2 3 3 2 2 2 3 4" xfId="31869" xr:uid="{5B9E6099-548D-44CF-B36D-ED2111FB0E1D}"/>
    <cellStyle name="Normal 11 2 3 3 2 2 2 3 4 2" xfId="31870" xr:uid="{C0BFCDFD-473C-4C65-A59D-6DAA40100734}"/>
    <cellStyle name="Normal 11 2 3 3 2 2 2 3 5" xfId="31871" xr:uid="{19A50992-8FB8-47E1-86B0-1B9A70D5AC13}"/>
    <cellStyle name="Normal 11 2 3 3 2 2 2 4" xfId="31872" xr:uid="{EA3E9998-2EF0-43F7-9FFF-A4D3DE08F91A}"/>
    <cellStyle name="Normal 11 2 3 3 2 2 2 4 2" xfId="31873" xr:uid="{20620F78-F409-4230-85B1-AAC49B745C67}"/>
    <cellStyle name="Normal 11 2 3 3 2 2 2 4 2 2" xfId="31874" xr:uid="{29C9DF52-B2B6-4828-B624-31A464925A13}"/>
    <cellStyle name="Normal 11 2 3 3 2 2 2 4 2 2 2" xfId="31875" xr:uid="{1E1832BA-0E23-4EFF-836E-E9D5D2957A7F}"/>
    <cellStyle name="Normal 11 2 3 3 2 2 2 4 2 3" xfId="31876" xr:uid="{55DF3718-DB2B-4A70-AEEE-3468AC57EAAD}"/>
    <cellStyle name="Normal 11 2 3 3 2 2 2 4 3" xfId="31877" xr:uid="{D9974D1A-C8B5-4487-9C22-D8A2B2B4D6E8}"/>
    <cellStyle name="Normal 11 2 3 3 2 2 2 4 3 2" xfId="31878" xr:uid="{2D0D3374-704F-46A0-9D73-0E0B6FBC133C}"/>
    <cellStyle name="Normal 11 2 3 3 2 2 2 4 4" xfId="31879" xr:uid="{4024B3C6-16FA-49EE-9F2C-1982B8CE8424}"/>
    <cellStyle name="Normal 11 2 3 3 2 2 2 5" xfId="31880" xr:uid="{A5E10BB0-2742-44F5-9991-8E2F5DC1798B}"/>
    <cellStyle name="Normal 11 2 3 3 2 2 2 5 2" xfId="31881" xr:uid="{9F0CB9D6-ABCA-4274-B0CD-FA6BC939389D}"/>
    <cellStyle name="Normal 11 2 3 3 2 2 2 5 2 2" xfId="31882" xr:uid="{BA49488D-605A-4BBA-8B30-8EC43E487DA5}"/>
    <cellStyle name="Normal 11 2 3 3 2 2 2 5 3" xfId="31883" xr:uid="{2554C16D-4D3F-4934-9EF2-F2C0E7E0F7D9}"/>
    <cellStyle name="Normal 11 2 3 3 2 2 2 6" xfId="31884" xr:uid="{714D8682-29E3-49F1-B4A0-22B82EF39525}"/>
    <cellStyle name="Normal 11 2 3 3 2 2 2 6 2" xfId="31885" xr:uid="{5D69C88B-AA46-4689-8ABD-047599A461A8}"/>
    <cellStyle name="Normal 11 2 3 3 2 2 2 7" xfId="31886" xr:uid="{9C79E1F8-6BA6-4A34-9D2C-70E31D80DBDA}"/>
    <cellStyle name="Normal 11 2 3 3 2 2 3" xfId="31887" xr:uid="{97C61485-89C7-48A2-9D3E-85A97F58E46C}"/>
    <cellStyle name="Normal 11 2 3 3 2 2 3 2" xfId="31888" xr:uid="{96FABFBD-5BB0-4C13-A5B4-5031B8C35244}"/>
    <cellStyle name="Normal 11 2 3 3 2 2 3 2 2" xfId="31889" xr:uid="{2183CCCF-4870-4249-9C2B-5BD3C6C9F74F}"/>
    <cellStyle name="Normal 11 2 3 3 2 2 3 2 2 2" xfId="31890" xr:uid="{E87EB569-DBB3-4276-910A-0AECC19B306E}"/>
    <cellStyle name="Normal 11 2 3 3 2 2 3 2 2 2 2" xfId="31891" xr:uid="{26B9FFDC-71AB-4560-9D01-10AA86C91A86}"/>
    <cellStyle name="Normal 11 2 3 3 2 2 3 2 2 2 2 2" xfId="31892" xr:uid="{3C125C4F-E74E-4E3C-97B7-FDF567A28494}"/>
    <cellStyle name="Normal 11 2 3 3 2 2 3 2 2 2 3" xfId="31893" xr:uid="{E49E228B-6910-4476-A030-9B7D0F6375B7}"/>
    <cellStyle name="Normal 11 2 3 3 2 2 3 2 2 3" xfId="31894" xr:uid="{6A9E2BBF-3345-42EC-B355-C928E03DCD71}"/>
    <cellStyle name="Normal 11 2 3 3 2 2 3 2 2 3 2" xfId="31895" xr:uid="{34F85404-8A39-4591-93E5-29C00069600B}"/>
    <cellStyle name="Normal 11 2 3 3 2 2 3 2 2 4" xfId="31896" xr:uid="{612FDE6D-2AEE-45FF-964A-D9B843D2D847}"/>
    <cellStyle name="Normal 11 2 3 3 2 2 3 2 3" xfId="31897" xr:uid="{A53C6D46-BE74-4809-8473-2C0247EA5920}"/>
    <cellStyle name="Normal 11 2 3 3 2 2 3 2 3 2" xfId="31898" xr:uid="{3DD9BD82-BB13-4074-A5E3-EA3E3C6D2B23}"/>
    <cellStyle name="Normal 11 2 3 3 2 2 3 2 3 2 2" xfId="31899" xr:uid="{E38F15D0-0058-4A67-9AF5-FAB96721CE04}"/>
    <cellStyle name="Normal 11 2 3 3 2 2 3 2 3 3" xfId="31900" xr:uid="{7964FFC2-0075-45F0-ADDE-1C28E4EE3433}"/>
    <cellStyle name="Normal 11 2 3 3 2 2 3 2 4" xfId="31901" xr:uid="{FE2F21F1-E6E2-462C-849C-86EF1D0CCC0C}"/>
    <cellStyle name="Normal 11 2 3 3 2 2 3 2 4 2" xfId="31902" xr:uid="{9C00E5EB-9D62-4F5D-83EE-874322EA5486}"/>
    <cellStyle name="Normal 11 2 3 3 2 2 3 2 5" xfId="31903" xr:uid="{ECB7B8FD-0228-418E-8CB3-6B02B7AABE5B}"/>
    <cellStyle name="Normal 11 2 3 3 2 2 3 3" xfId="31904" xr:uid="{44CFDA5C-218B-44A4-BF10-19AFC628E3CA}"/>
    <cellStyle name="Normal 11 2 3 3 2 2 3 3 2" xfId="31905" xr:uid="{C2190A4F-2FA7-4380-97FF-5E8B63174487}"/>
    <cellStyle name="Normal 11 2 3 3 2 2 3 3 2 2" xfId="31906" xr:uid="{2C588A61-7B89-4AFF-96E1-F33E8A82DA2D}"/>
    <cellStyle name="Normal 11 2 3 3 2 2 3 3 2 2 2" xfId="31907" xr:uid="{BB869102-7439-470E-85BF-CC3415336883}"/>
    <cellStyle name="Normal 11 2 3 3 2 2 3 3 2 3" xfId="31908" xr:uid="{83478EDD-30A7-482A-BD88-A22BCF08CA5A}"/>
    <cellStyle name="Normal 11 2 3 3 2 2 3 3 3" xfId="31909" xr:uid="{FD21B0A3-02B9-4CC4-AE59-EEFFE70058B1}"/>
    <cellStyle name="Normal 11 2 3 3 2 2 3 3 3 2" xfId="31910" xr:uid="{DE09E16B-E0F0-4817-8180-3D28FB461571}"/>
    <cellStyle name="Normal 11 2 3 3 2 2 3 3 4" xfId="31911" xr:uid="{DC6904CC-B2A3-44E6-8C53-EFA06495C0AB}"/>
    <cellStyle name="Normal 11 2 3 3 2 2 3 4" xfId="31912" xr:uid="{1177732A-25E9-4217-9F0D-631DF92B5F51}"/>
    <cellStyle name="Normal 11 2 3 3 2 2 3 4 2" xfId="31913" xr:uid="{912FE90E-218A-49FF-8CB6-5E22D080C311}"/>
    <cellStyle name="Normal 11 2 3 3 2 2 3 4 2 2" xfId="31914" xr:uid="{46B6B939-D437-468E-A521-6E48D33529C3}"/>
    <cellStyle name="Normal 11 2 3 3 2 2 3 4 3" xfId="31915" xr:uid="{730C4478-A804-435E-B80C-CDB8AE424FFB}"/>
    <cellStyle name="Normal 11 2 3 3 2 2 3 5" xfId="31916" xr:uid="{CCA35B7D-CF39-400B-95B3-AB75466125B6}"/>
    <cellStyle name="Normal 11 2 3 3 2 2 3 5 2" xfId="31917" xr:uid="{36751070-B90D-4B30-9601-900C802FA7C7}"/>
    <cellStyle name="Normal 11 2 3 3 2 2 3 6" xfId="31918" xr:uid="{E577353A-B879-4D2D-B985-ED5E462E415E}"/>
    <cellStyle name="Normal 11 2 3 3 2 2 4" xfId="31919" xr:uid="{1A392B9A-0852-4FD7-A073-E29EADDC5F8D}"/>
    <cellStyle name="Normal 11 2 3 3 2 2 4 2" xfId="31920" xr:uid="{66C77074-1154-4B9E-9E51-89E77F20FC66}"/>
    <cellStyle name="Normal 11 2 3 3 2 2 4 2 2" xfId="31921" xr:uid="{C078BA0F-719A-4BD6-AAF7-EB1CC686B8B1}"/>
    <cellStyle name="Normal 11 2 3 3 2 2 4 2 2 2" xfId="31922" xr:uid="{872AAECE-ADA7-4306-A044-5ED3D107750F}"/>
    <cellStyle name="Normal 11 2 3 3 2 2 4 2 2 2 2" xfId="31923" xr:uid="{BB427D6B-0F37-47A3-AF4D-B219E2D6F8F2}"/>
    <cellStyle name="Normal 11 2 3 3 2 2 4 2 2 3" xfId="31924" xr:uid="{2E660FA1-18CE-43A2-829E-5D4CB07B25BD}"/>
    <cellStyle name="Normal 11 2 3 3 2 2 4 2 3" xfId="31925" xr:uid="{BC8EA3A7-BAE0-4391-9F0A-DE9733FCB3F8}"/>
    <cellStyle name="Normal 11 2 3 3 2 2 4 2 3 2" xfId="31926" xr:uid="{7E815961-2B45-4600-A004-5668995081A1}"/>
    <cellStyle name="Normal 11 2 3 3 2 2 4 2 4" xfId="31927" xr:uid="{1EDA59D0-5461-4CB8-A48C-63BE06B861C7}"/>
    <cellStyle name="Normal 11 2 3 3 2 2 4 3" xfId="31928" xr:uid="{C7421EDD-8E45-40AD-9E67-9B72B86E062A}"/>
    <cellStyle name="Normal 11 2 3 3 2 2 4 3 2" xfId="31929" xr:uid="{C241E1B8-80A9-449A-97FE-076C245C25F3}"/>
    <cellStyle name="Normal 11 2 3 3 2 2 4 3 2 2" xfId="31930" xr:uid="{CD4AD0ED-C778-4AFE-9FFC-859ACDCAA213}"/>
    <cellStyle name="Normal 11 2 3 3 2 2 4 3 3" xfId="31931" xr:uid="{2C07C0B7-CBFB-47E1-8DE2-DFE76AA740C5}"/>
    <cellStyle name="Normal 11 2 3 3 2 2 4 4" xfId="31932" xr:uid="{50E1BAE9-4D12-472C-B4BF-FF2C64E8E1DB}"/>
    <cellStyle name="Normal 11 2 3 3 2 2 4 4 2" xfId="31933" xr:uid="{96C45A3E-F6E7-43C0-ABD2-F26505B7B236}"/>
    <cellStyle name="Normal 11 2 3 3 2 2 4 5" xfId="31934" xr:uid="{7BB005D9-3121-43FD-95D3-B47D15F9DA59}"/>
    <cellStyle name="Normal 11 2 3 3 2 2 5" xfId="31935" xr:uid="{D076C8D1-9454-4528-AF0F-B6EA9F2C49FF}"/>
    <cellStyle name="Normal 11 2 3 3 2 2 5 2" xfId="31936" xr:uid="{218C7277-8F67-4F74-B2D9-83D4E767D17B}"/>
    <cellStyle name="Normal 11 2 3 3 2 2 5 2 2" xfId="31937" xr:uid="{3AA267BB-A07E-486A-9D88-2DEA8D81BD0B}"/>
    <cellStyle name="Normal 11 2 3 3 2 2 5 2 2 2" xfId="31938" xr:uid="{678881AC-1079-4E61-A530-B8F4A4FF45DA}"/>
    <cellStyle name="Normal 11 2 3 3 2 2 5 2 3" xfId="31939" xr:uid="{34E7D321-5CE6-4738-ACE5-8BECCB174B4B}"/>
    <cellStyle name="Normal 11 2 3 3 2 2 5 3" xfId="31940" xr:uid="{D67C4909-CECC-4FB0-B4F9-8CD97F1743C1}"/>
    <cellStyle name="Normal 11 2 3 3 2 2 5 3 2" xfId="31941" xr:uid="{CE48F140-B8BE-42F0-B00A-12CE8B8333D5}"/>
    <cellStyle name="Normal 11 2 3 3 2 2 5 4" xfId="31942" xr:uid="{35F1C4CE-B3CA-49E1-BB4C-BC94E847F4ED}"/>
    <cellStyle name="Normal 11 2 3 3 2 2 6" xfId="31943" xr:uid="{5D3B27BD-DE13-41D8-B4F6-421AD3D11DB0}"/>
    <cellStyle name="Normal 11 2 3 3 2 2 6 2" xfId="31944" xr:uid="{3BC22C09-26A1-4315-B4C4-4BA61A9371D2}"/>
    <cellStyle name="Normal 11 2 3 3 2 2 6 2 2" xfId="31945" xr:uid="{6AA93C7C-63E9-470A-BE6C-0D99C5549836}"/>
    <cellStyle name="Normal 11 2 3 3 2 2 6 3" xfId="31946" xr:uid="{0D982EE2-02DF-40D4-87DD-C8261DB61278}"/>
    <cellStyle name="Normal 11 2 3 3 2 2 7" xfId="31947" xr:uid="{819D7F78-25DD-415D-A11D-E7DAA1D9BF07}"/>
    <cellStyle name="Normal 11 2 3 3 2 2 7 2" xfId="31948" xr:uid="{5163D5F0-4F1C-4AB3-A2F5-1FECC5B26793}"/>
    <cellStyle name="Normal 11 2 3 3 2 2 8" xfId="31949" xr:uid="{CA03B842-D82B-4228-B2EC-876F09D7C8A2}"/>
    <cellStyle name="Normal 11 2 3 3 2 3" xfId="31950" xr:uid="{C727D95A-ADD1-413B-81BF-48E127B5FA5F}"/>
    <cellStyle name="Normal 11 2 3 3 2 3 2" xfId="31951" xr:uid="{78841354-A8D6-4304-AEE4-EA5A83F80D64}"/>
    <cellStyle name="Normal 11 2 3 3 2 3 2 2" xfId="31952" xr:uid="{54ED10A0-E77F-4D70-9FDA-28D3BC787886}"/>
    <cellStyle name="Normal 11 2 3 3 2 3 2 2 2" xfId="31953" xr:uid="{2FF88EC5-2F9C-4F6D-8CB0-80500879DDD6}"/>
    <cellStyle name="Normal 11 2 3 3 2 3 2 2 2 2" xfId="31954" xr:uid="{475A5225-B253-4F05-992B-8EB6AB9A962E}"/>
    <cellStyle name="Normal 11 2 3 3 2 3 2 2 2 2 2" xfId="31955" xr:uid="{4C79EA43-722A-4C31-A373-7BDB44237509}"/>
    <cellStyle name="Normal 11 2 3 3 2 3 2 2 2 2 2 2" xfId="31956" xr:uid="{D9643980-FA87-4A88-A4EF-97AD9701CBE3}"/>
    <cellStyle name="Normal 11 2 3 3 2 3 2 2 2 2 3" xfId="31957" xr:uid="{5FB83A9E-7909-4919-8401-CAC40A6799E4}"/>
    <cellStyle name="Normal 11 2 3 3 2 3 2 2 2 3" xfId="31958" xr:uid="{16433F38-A03A-4699-90C8-98F37445C592}"/>
    <cellStyle name="Normal 11 2 3 3 2 3 2 2 2 3 2" xfId="31959" xr:uid="{B69858E8-36E8-48F0-98CF-D5EB62F251AF}"/>
    <cellStyle name="Normal 11 2 3 3 2 3 2 2 2 4" xfId="31960" xr:uid="{E13D888E-0459-4F37-A3C1-4973C34FD33B}"/>
    <cellStyle name="Normal 11 2 3 3 2 3 2 2 3" xfId="31961" xr:uid="{1459A6CC-84B5-46B2-8709-E23C9AE8A2F9}"/>
    <cellStyle name="Normal 11 2 3 3 2 3 2 2 3 2" xfId="31962" xr:uid="{BEDF3EBD-63B2-473F-B3DA-601B84BF6340}"/>
    <cellStyle name="Normal 11 2 3 3 2 3 2 2 3 2 2" xfId="31963" xr:uid="{FF69D7D4-7BAE-42C6-B8B8-CEABD48CBC8D}"/>
    <cellStyle name="Normal 11 2 3 3 2 3 2 2 3 3" xfId="31964" xr:uid="{BEF19A6E-F375-4AA6-9A99-2A526E49827F}"/>
    <cellStyle name="Normal 11 2 3 3 2 3 2 2 4" xfId="31965" xr:uid="{FC606C93-6E2F-4C1B-8C52-49C734638E49}"/>
    <cellStyle name="Normal 11 2 3 3 2 3 2 2 4 2" xfId="31966" xr:uid="{F883A2C0-F93A-4353-BEDF-3DA4D320565C}"/>
    <cellStyle name="Normal 11 2 3 3 2 3 2 2 5" xfId="31967" xr:uid="{9D94D184-B107-42AD-ABDA-24EA5D43FAC0}"/>
    <cellStyle name="Normal 11 2 3 3 2 3 2 3" xfId="31968" xr:uid="{A6B56978-53D6-4FA3-9441-4DC200DDEB19}"/>
    <cellStyle name="Normal 11 2 3 3 2 3 2 3 2" xfId="31969" xr:uid="{CB6332C8-CEBF-4945-987A-98BFB6795432}"/>
    <cellStyle name="Normal 11 2 3 3 2 3 2 3 2 2" xfId="31970" xr:uid="{A175CFFA-6F90-40BC-BCE0-C48EFACA9592}"/>
    <cellStyle name="Normal 11 2 3 3 2 3 2 3 2 2 2" xfId="31971" xr:uid="{4344D57B-4EA0-401B-9CC4-F20EC52F8A33}"/>
    <cellStyle name="Normal 11 2 3 3 2 3 2 3 2 3" xfId="31972" xr:uid="{8C228914-D32A-4526-AB83-152F711400FB}"/>
    <cellStyle name="Normal 11 2 3 3 2 3 2 3 3" xfId="31973" xr:uid="{2E09A26D-B9AD-42B7-BCCE-7744C6963C96}"/>
    <cellStyle name="Normal 11 2 3 3 2 3 2 3 3 2" xfId="31974" xr:uid="{FAE9F132-2CF3-4919-A57C-A98A397B7A52}"/>
    <cellStyle name="Normal 11 2 3 3 2 3 2 3 4" xfId="31975" xr:uid="{7AE494D6-2F89-4B7E-941F-91BCFA358953}"/>
    <cellStyle name="Normal 11 2 3 3 2 3 2 4" xfId="31976" xr:uid="{F0E1C1E0-DABC-4BBD-AAE4-F9F51CACDEFB}"/>
    <cellStyle name="Normal 11 2 3 3 2 3 2 4 2" xfId="31977" xr:uid="{55938B42-6E64-459E-9EC3-E4962ADA57C5}"/>
    <cellStyle name="Normal 11 2 3 3 2 3 2 4 2 2" xfId="31978" xr:uid="{94F9840B-E765-4DF4-8300-A7F34F154350}"/>
    <cellStyle name="Normal 11 2 3 3 2 3 2 4 3" xfId="31979" xr:uid="{8C4D3404-E583-4B3C-BF39-92C6D120B16E}"/>
    <cellStyle name="Normal 11 2 3 3 2 3 2 5" xfId="31980" xr:uid="{9321475E-9525-4332-8A52-AA27BA73B27F}"/>
    <cellStyle name="Normal 11 2 3 3 2 3 2 5 2" xfId="31981" xr:uid="{A425E349-1B60-4E6E-BFD2-2917963C70F3}"/>
    <cellStyle name="Normal 11 2 3 3 2 3 2 6" xfId="31982" xr:uid="{DB11ACA4-F4A7-4DF4-9B70-2E5D4198690F}"/>
    <cellStyle name="Normal 11 2 3 3 2 3 3" xfId="31983" xr:uid="{899EE325-3926-45FD-802D-EFA35782DE7A}"/>
    <cellStyle name="Normal 11 2 3 3 2 3 3 2" xfId="31984" xr:uid="{28937124-80BA-4FCF-8A79-6B595089F472}"/>
    <cellStyle name="Normal 11 2 3 3 2 3 3 2 2" xfId="31985" xr:uid="{F3F4AA70-7583-4940-8668-06C80CC383A3}"/>
    <cellStyle name="Normal 11 2 3 3 2 3 3 2 2 2" xfId="31986" xr:uid="{A2F1BE53-F7EE-48B0-8F3D-9C319F5D52D2}"/>
    <cellStyle name="Normal 11 2 3 3 2 3 3 2 2 2 2" xfId="31987" xr:uid="{F43EEA0D-CAD6-4DFC-A651-C34ADE852023}"/>
    <cellStyle name="Normal 11 2 3 3 2 3 3 2 2 3" xfId="31988" xr:uid="{2E0B27D4-9C92-4339-BE5F-A1ADC8EFDDE9}"/>
    <cellStyle name="Normal 11 2 3 3 2 3 3 2 3" xfId="31989" xr:uid="{53B17835-977C-4E30-BC50-C6096B77A3AB}"/>
    <cellStyle name="Normal 11 2 3 3 2 3 3 2 3 2" xfId="31990" xr:uid="{5A96469C-5427-443E-9438-FF13A999CBC2}"/>
    <cellStyle name="Normal 11 2 3 3 2 3 3 2 4" xfId="31991" xr:uid="{37D9B444-57FD-482D-B416-5F8E54E11B86}"/>
    <cellStyle name="Normal 11 2 3 3 2 3 3 3" xfId="31992" xr:uid="{9AB0F1FF-54A1-4714-A1D8-1C7D0A0E01F9}"/>
    <cellStyle name="Normal 11 2 3 3 2 3 3 3 2" xfId="31993" xr:uid="{6AD09A11-EBD9-4027-819B-251A836A2E15}"/>
    <cellStyle name="Normal 11 2 3 3 2 3 3 3 2 2" xfId="31994" xr:uid="{D63403B1-04EF-4414-AE41-96FD5628C5C2}"/>
    <cellStyle name="Normal 11 2 3 3 2 3 3 3 3" xfId="31995" xr:uid="{9F20F237-5FF7-46E6-8159-8B5D1F592219}"/>
    <cellStyle name="Normal 11 2 3 3 2 3 3 4" xfId="31996" xr:uid="{569CBAC5-0862-44A0-8634-F89DC7C1F5B9}"/>
    <cellStyle name="Normal 11 2 3 3 2 3 3 4 2" xfId="31997" xr:uid="{5CEE4CFA-040D-4218-92C5-07C649520872}"/>
    <cellStyle name="Normal 11 2 3 3 2 3 3 5" xfId="31998" xr:uid="{6EA5F1F0-568B-4928-8D88-C9347F074E78}"/>
    <cellStyle name="Normal 11 2 3 3 2 3 4" xfId="31999" xr:uid="{798DAEB0-6239-4D71-A26F-9AB76D17440B}"/>
    <cellStyle name="Normal 11 2 3 3 2 3 4 2" xfId="32000" xr:uid="{FC7DCFD4-8193-4839-AA81-AA805C27ED9B}"/>
    <cellStyle name="Normal 11 2 3 3 2 3 4 2 2" xfId="32001" xr:uid="{9AD7AE92-E030-4A40-AAD2-5F12B9E19BEF}"/>
    <cellStyle name="Normal 11 2 3 3 2 3 4 2 2 2" xfId="32002" xr:uid="{25124B14-046A-49E3-833F-83B3992147C4}"/>
    <cellStyle name="Normal 11 2 3 3 2 3 4 2 3" xfId="32003" xr:uid="{CD01C571-A0E2-48CA-BB8F-2A377AE35FB8}"/>
    <cellStyle name="Normal 11 2 3 3 2 3 4 3" xfId="32004" xr:uid="{D4A47ACC-A8FA-4A5F-9D10-1826B7C3D072}"/>
    <cellStyle name="Normal 11 2 3 3 2 3 4 3 2" xfId="32005" xr:uid="{1F58514F-FF2C-4C41-9830-E7A75AB997A8}"/>
    <cellStyle name="Normal 11 2 3 3 2 3 4 4" xfId="32006" xr:uid="{8C16EF83-C8F5-4C17-8E58-182AB1FD77DA}"/>
    <cellStyle name="Normal 11 2 3 3 2 3 5" xfId="32007" xr:uid="{5FFB8027-9587-4D31-A2CC-B4BD1B8A2E9E}"/>
    <cellStyle name="Normal 11 2 3 3 2 3 5 2" xfId="32008" xr:uid="{EBAB0712-7D02-4CBF-8259-2BF5CDA230F8}"/>
    <cellStyle name="Normal 11 2 3 3 2 3 5 2 2" xfId="32009" xr:uid="{E3487D67-E93D-4C96-806B-AB7FF293E750}"/>
    <cellStyle name="Normal 11 2 3 3 2 3 5 3" xfId="32010" xr:uid="{B335AB2F-BDAC-426B-92DA-B6DAAA6DF763}"/>
    <cellStyle name="Normal 11 2 3 3 2 3 6" xfId="32011" xr:uid="{DEBC4A5E-E8D1-4ED5-9B9D-596D5A8AC776}"/>
    <cellStyle name="Normal 11 2 3 3 2 3 6 2" xfId="32012" xr:uid="{1CCAC475-F915-45A2-A1DF-7796E329D994}"/>
    <cellStyle name="Normal 11 2 3 3 2 3 7" xfId="32013" xr:uid="{6245C102-BDBA-412F-8AD8-3CB97AC3AF63}"/>
    <cellStyle name="Normal 11 2 3 3 2 4" xfId="32014" xr:uid="{FF6C0C8B-AAFC-4D07-932A-4AFDEC9D859B}"/>
    <cellStyle name="Normal 11 2 3 3 2 4 2" xfId="32015" xr:uid="{14432C5F-C89D-4E69-B305-EB6D2C741DE8}"/>
    <cellStyle name="Normal 11 2 3 3 2 4 2 2" xfId="32016" xr:uid="{4BE8D8E9-F051-46F1-99D9-32E06C735A98}"/>
    <cellStyle name="Normal 11 2 3 3 2 4 2 2 2" xfId="32017" xr:uid="{0B710B11-749D-4852-ACF8-232D01B43742}"/>
    <cellStyle name="Normal 11 2 3 3 2 4 2 2 2 2" xfId="32018" xr:uid="{A152AFF5-E512-4C76-B3CE-92DC8780F398}"/>
    <cellStyle name="Normal 11 2 3 3 2 4 2 2 2 2 2" xfId="32019" xr:uid="{78FDDA16-094D-427F-931A-8190E983C3DF}"/>
    <cellStyle name="Normal 11 2 3 3 2 4 2 2 2 3" xfId="32020" xr:uid="{8D77A26A-775C-43B8-A232-739A316B4E10}"/>
    <cellStyle name="Normal 11 2 3 3 2 4 2 2 3" xfId="32021" xr:uid="{6827A7E2-FD63-47D5-A5C1-0EE107E716E4}"/>
    <cellStyle name="Normal 11 2 3 3 2 4 2 2 3 2" xfId="32022" xr:uid="{E5D15B32-129D-4C5E-B22E-07E669B3B59E}"/>
    <cellStyle name="Normal 11 2 3 3 2 4 2 2 4" xfId="32023" xr:uid="{CF53DCB2-7B10-4C9B-A506-7A531BDED0EF}"/>
    <cellStyle name="Normal 11 2 3 3 2 4 2 3" xfId="32024" xr:uid="{25F8E7A8-C19E-4689-B875-54901D628E44}"/>
    <cellStyle name="Normal 11 2 3 3 2 4 2 3 2" xfId="32025" xr:uid="{5A4D37B7-1313-43D1-8517-79C15C0712B5}"/>
    <cellStyle name="Normal 11 2 3 3 2 4 2 3 2 2" xfId="32026" xr:uid="{2E986842-DE34-49D7-8183-F3547800673A}"/>
    <cellStyle name="Normal 11 2 3 3 2 4 2 3 3" xfId="32027" xr:uid="{E8678194-E8D0-4069-A2B7-68EE75F3AB50}"/>
    <cellStyle name="Normal 11 2 3 3 2 4 2 4" xfId="32028" xr:uid="{C1C6E29A-279A-4004-9C2B-C2F78690438A}"/>
    <cellStyle name="Normal 11 2 3 3 2 4 2 4 2" xfId="32029" xr:uid="{F11435BB-0D75-4D18-8063-5698A499DEE7}"/>
    <cellStyle name="Normal 11 2 3 3 2 4 2 5" xfId="32030" xr:uid="{48737D7F-44DA-4FF0-9D37-EDA08FC51677}"/>
    <cellStyle name="Normal 11 2 3 3 2 4 3" xfId="32031" xr:uid="{6A62E9A6-1291-4415-AFC2-48E924DE7BA6}"/>
    <cellStyle name="Normal 11 2 3 3 2 4 3 2" xfId="32032" xr:uid="{D4ED19BB-67D6-4CD1-AEFD-64CABBB26010}"/>
    <cellStyle name="Normal 11 2 3 3 2 4 3 2 2" xfId="32033" xr:uid="{FEFB85CD-5573-4C30-860D-C7693B9F000F}"/>
    <cellStyle name="Normal 11 2 3 3 2 4 3 2 2 2" xfId="32034" xr:uid="{A8BB0634-8418-48A1-AF3A-CDE6DA800A8F}"/>
    <cellStyle name="Normal 11 2 3 3 2 4 3 2 3" xfId="32035" xr:uid="{0C05D462-7016-4480-96C1-AA4EDE7B0750}"/>
    <cellStyle name="Normal 11 2 3 3 2 4 3 3" xfId="32036" xr:uid="{7F4B2A81-7093-42F8-AA75-C1E5DF0AD549}"/>
    <cellStyle name="Normal 11 2 3 3 2 4 3 3 2" xfId="32037" xr:uid="{D638D840-7E0D-48B8-86C4-B8465AB829BA}"/>
    <cellStyle name="Normal 11 2 3 3 2 4 3 4" xfId="32038" xr:uid="{C3663B88-E28B-4E74-B81B-014E8094F0CF}"/>
    <cellStyle name="Normal 11 2 3 3 2 4 4" xfId="32039" xr:uid="{D746D4AC-1555-4812-839A-0A3F82E0B1B5}"/>
    <cellStyle name="Normal 11 2 3 3 2 4 4 2" xfId="32040" xr:uid="{B7668CD3-3079-45A7-9107-50D751011CF2}"/>
    <cellStyle name="Normal 11 2 3 3 2 4 4 2 2" xfId="32041" xr:uid="{3392C97F-4EAA-44F7-9B76-96312E7FC443}"/>
    <cellStyle name="Normal 11 2 3 3 2 4 4 3" xfId="32042" xr:uid="{3020A415-A6CA-4C95-8912-DB9BD02DBE3D}"/>
    <cellStyle name="Normal 11 2 3 3 2 4 5" xfId="32043" xr:uid="{E778F044-B65B-4A1A-B08C-3033F84C2602}"/>
    <cellStyle name="Normal 11 2 3 3 2 4 5 2" xfId="32044" xr:uid="{53F34B55-3CA8-4A0A-93BE-96F7A080626F}"/>
    <cellStyle name="Normal 11 2 3 3 2 4 6" xfId="32045" xr:uid="{E19274CF-9841-4EDB-BA30-DC15A633A7EE}"/>
    <cellStyle name="Normal 11 2 3 3 2 5" xfId="32046" xr:uid="{BFDCA97C-05DB-4BB4-A409-CC518CDEEE79}"/>
    <cellStyle name="Normal 11 2 3 3 2 5 2" xfId="32047" xr:uid="{C0EEF632-7BE5-46B9-8E76-77A3A3584021}"/>
    <cellStyle name="Normal 11 2 3 3 2 5 2 2" xfId="32048" xr:uid="{DF39E5F3-4F71-4409-8015-B275A9E3A66D}"/>
    <cellStyle name="Normal 11 2 3 3 2 5 2 2 2" xfId="32049" xr:uid="{69B3E638-B776-4769-AFCE-DADDCA7C4801}"/>
    <cellStyle name="Normal 11 2 3 3 2 5 2 2 2 2" xfId="32050" xr:uid="{9675B4AB-DBB3-494C-86EF-AF6D1A6B0EB4}"/>
    <cellStyle name="Normal 11 2 3 3 2 5 2 2 3" xfId="32051" xr:uid="{A831DB6D-A416-464C-8FF9-C00977794BF4}"/>
    <cellStyle name="Normal 11 2 3 3 2 5 2 3" xfId="32052" xr:uid="{DF7A5602-637C-4D79-BCE5-B7D6BAFD07A4}"/>
    <cellStyle name="Normal 11 2 3 3 2 5 2 3 2" xfId="32053" xr:uid="{1752785D-E7F0-40E4-8FFB-059C7ABA58EE}"/>
    <cellStyle name="Normal 11 2 3 3 2 5 2 4" xfId="32054" xr:uid="{9450EAF8-5F97-4EC3-90DD-35CE9E3381DA}"/>
    <cellStyle name="Normal 11 2 3 3 2 5 3" xfId="32055" xr:uid="{BBAD6088-F982-4CA1-B1FA-D8A07A2C310A}"/>
    <cellStyle name="Normal 11 2 3 3 2 5 3 2" xfId="32056" xr:uid="{695A263C-F956-4CB8-8D42-1CA604E4B994}"/>
    <cellStyle name="Normal 11 2 3 3 2 5 3 2 2" xfId="32057" xr:uid="{7BA02A3B-1AFC-4BA5-B2D7-8F769CCA4B6D}"/>
    <cellStyle name="Normal 11 2 3 3 2 5 3 3" xfId="32058" xr:uid="{CA897ECB-9E23-4DE0-9120-E2B7847409CB}"/>
    <cellStyle name="Normal 11 2 3 3 2 5 4" xfId="32059" xr:uid="{7CFBA9E4-C0B8-470D-B930-E64FC4A0BD2B}"/>
    <cellStyle name="Normal 11 2 3 3 2 5 4 2" xfId="32060" xr:uid="{E9A35FFB-903C-4FB4-8614-4987C428615F}"/>
    <cellStyle name="Normal 11 2 3 3 2 5 5" xfId="32061" xr:uid="{87665611-CA17-43BC-B67A-5C564E01D315}"/>
    <cellStyle name="Normal 11 2 3 3 2 6" xfId="32062" xr:uid="{215F09E2-83FF-4FB7-B667-B6E64193E503}"/>
    <cellStyle name="Normal 11 2 3 3 2 6 2" xfId="32063" xr:uid="{4309A4B6-6A2D-4744-A2F7-7CF1E6046043}"/>
    <cellStyle name="Normal 11 2 3 3 2 6 2 2" xfId="32064" xr:uid="{7FE5B139-4444-4CD9-97BA-E0C15C2DC531}"/>
    <cellStyle name="Normal 11 2 3 3 2 6 2 2 2" xfId="32065" xr:uid="{21032BB0-D7F8-4711-9480-876D34967741}"/>
    <cellStyle name="Normal 11 2 3 3 2 6 2 3" xfId="32066" xr:uid="{87D31B74-F973-4CAB-A3BD-823ED6133EA2}"/>
    <cellStyle name="Normal 11 2 3 3 2 6 3" xfId="32067" xr:uid="{88149FA0-3307-4E13-AE3E-16977C12FD49}"/>
    <cellStyle name="Normal 11 2 3 3 2 6 3 2" xfId="32068" xr:uid="{EEBE647D-A469-4520-8381-2C3348EECDE5}"/>
    <cellStyle name="Normal 11 2 3 3 2 6 4" xfId="32069" xr:uid="{0744F853-D944-413F-86A3-0E165E702724}"/>
    <cellStyle name="Normal 11 2 3 3 2 7" xfId="32070" xr:uid="{65C55822-2C49-4A1F-B1CE-6524AC94286E}"/>
    <cellStyle name="Normal 11 2 3 3 2 7 2" xfId="32071" xr:uid="{ED019645-8C11-44E9-A4C1-FDA19DB3DBF8}"/>
    <cellStyle name="Normal 11 2 3 3 2 7 2 2" xfId="32072" xr:uid="{C75B8B2C-68EC-4753-83BA-BA34A94EAB43}"/>
    <cellStyle name="Normal 11 2 3 3 2 7 3" xfId="32073" xr:uid="{5E844E89-B893-42CF-9D1A-15476CBCDAF6}"/>
    <cellStyle name="Normal 11 2 3 3 2 8" xfId="32074" xr:uid="{BF43E967-AD2F-48AA-8A76-14D547024FD3}"/>
    <cellStyle name="Normal 11 2 3 3 2 8 2" xfId="32075" xr:uid="{311DA8AC-6FD5-4FF2-9F9D-51ED0F2373E2}"/>
    <cellStyle name="Normal 11 2 3 3 2 9" xfId="32076" xr:uid="{90293585-D43B-4E93-806E-277AB48C193F}"/>
    <cellStyle name="Normal 11 2 3 3 3" xfId="479" xr:uid="{190872D8-2717-4F19-98D9-93890FF77E87}"/>
    <cellStyle name="Normal 11 2 3 3 3 2" xfId="32078" xr:uid="{984B074F-BE3D-4D4C-AEC4-236D0FEE5FF6}"/>
    <cellStyle name="Normal 11 2 3 3 3 2 2" xfId="32079" xr:uid="{001EB0DF-DC33-455A-B5F3-41813FAAC006}"/>
    <cellStyle name="Normal 11 2 3 3 3 2 2 2" xfId="32080" xr:uid="{83F4024D-6BB8-4D0A-9A5B-AC586CA448F3}"/>
    <cellStyle name="Normal 11 2 3 3 3 2 2 2 2" xfId="32081" xr:uid="{C0F137E9-1F13-4484-855D-89B5090B9F46}"/>
    <cellStyle name="Normal 11 2 3 3 3 2 2 2 2 2" xfId="32082" xr:uid="{5D2C2DFB-8A46-4924-BF81-C75FB2361709}"/>
    <cellStyle name="Normal 11 2 3 3 3 2 2 2 2 2 2" xfId="32083" xr:uid="{502782AF-8450-4538-9AF5-315EE88A11C2}"/>
    <cellStyle name="Normal 11 2 3 3 3 2 2 2 2 2 2 2" xfId="32084" xr:uid="{1D53C544-1F40-4B22-8359-35C0F06726BE}"/>
    <cellStyle name="Normal 11 2 3 3 3 2 2 2 2 2 3" xfId="32085" xr:uid="{96D4D910-5D01-4434-9E85-902C66F38E1A}"/>
    <cellStyle name="Normal 11 2 3 3 3 2 2 2 2 3" xfId="32086" xr:uid="{D874DF63-1B87-4023-B8AE-06E304A815B9}"/>
    <cellStyle name="Normal 11 2 3 3 3 2 2 2 2 3 2" xfId="32087" xr:uid="{BBDD1107-2FE0-49A8-9619-2CD96EDAD802}"/>
    <cellStyle name="Normal 11 2 3 3 3 2 2 2 2 4" xfId="32088" xr:uid="{BA514EBD-7FB0-4DC2-A65B-2474ECAF58D3}"/>
    <cellStyle name="Normal 11 2 3 3 3 2 2 2 3" xfId="32089" xr:uid="{ECAE1730-78E2-4BCA-B539-6DFEC1ED4ED8}"/>
    <cellStyle name="Normal 11 2 3 3 3 2 2 2 3 2" xfId="32090" xr:uid="{1A943704-99E2-433E-BA91-C961932F0491}"/>
    <cellStyle name="Normal 11 2 3 3 3 2 2 2 3 2 2" xfId="32091" xr:uid="{65800148-7392-4D9E-8907-2E06255FF17A}"/>
    <cellStyle name="Normal 11 2 3 3 3 2 2 2 3 3" xfId="32092" xr:uid="{74193ADB-1341-40E1-95D1-833FE6CC683A}"/>
    <cellStyle name="Normal 11 2 3 3 3 2 2 2 4" xfId="32093" xr:uid="{19FDBB49-146C-488B-A639-025FEABE42D6}"/>
    <cellStyle name="Normal 11 2 3 3 3 2 2 2 4 2" xfId="32094" xr:uid="{4DE714C6-8CC0-4675-AEF2-28899DC38B5D}"/>
    <cellStyle name="Normal 11 2 3 3 3 2 2 2 5" xfId="32095" xr:uid="{84F0C02F-941E-411E-9150-CFE074908272}"/>
    <cellStyle name="Normal 11 2 3 3 3 2 2 3" xfId="32096" xr:uid="{FE4EE431-F0DA-4D24-A070-CF85BB3D4B11}"/>
    <cellStyle name="Normal 11 2 3 3 3 2 2 3 2" xfId="32097" xr:uid="{89F07201-EEC0-4F93-AEBD-8997D4033924}"/>
    <cellStyle name="Normal 11 2 3 3 3 2 2 3 2 2" xfId="32098" xr:uid="{90C8BFF8-FFE5-4423-85A3-0AE18B2F0AF0}"/>
    <cellStyle name="Normal 11 2 3 3 3 2 2 3 2 2 2" xfId="32099" xr:uid="{597E174B-54E4-4EAF-87FD-54B1A9E5654D}"/>
    <cellStyle name="Normal 11 2 3 3 3 2 2 3 2 3" xfId="32100" xr:uid="{D99B0C95-5B3C-4D58-82CE-D155BCDB67ED}"/>
    <cellStyle name="Normal 11 2 3 3 3 2 2 3 3" xfId="32101" xr:uid="{B3B436B5-D71A-4A1F-A0EC-30DB15EEE835}"/>
    <cellStyle name="Normal 11 2 3 3 3 2 2 3 3 2" xfId="32102" xr:uid="{99BC68D6-09C6-44A9-9182-F8B1C3B1C4EA}"/>
    <cellStyle name="Normal 11 2 3 3 3 2 2 3 4" xfId="32103" xr:uid="{F102573C-C82B-418C-B3E5-F3E392356FCE}"/>
    <cellStyle name="Normal 11 2 3 3 3 2 2 4" xfId="32104" xr:uid="{51E6D068-4537-482F-8B54-D9480F4FCBC2}"/>
    <cellStyle name="Normal 11 2 3 3 3 2 2 4 2" xfId="32105" xr:uid="{80A8489E-D98D-4F6E-8763-1AB9D16F6D53}"/>
    <cellStyle name="Normal 11 2 3 3 3 2 2 4 2 2" xfId="32106" xr:uid="{A84685A5-31EA-4CB5-9F4C-9207A9522D8A}"/>
    <cellStyle name="Normal 11 2 3 3 3 2 2 4 3" xfId="32107" xr:uid="{AD5548D7-15B7-4B5A-AC54-72D45FF827A3}"/>
    <cellStyle name="Normal 11 2 3 3 3 2 2 5" xfId="32108" xr:uid="{BA8E2490-724D-4637-85BA-1CB12C05C1FD}"/>
    <cellStyle name="Normal 11 2 3 3 3 2 2 5 2" xfId="32109" xr:uid="{E82A9324-A278-4509-AD06-994FC46E0E7D}"/>
    <cellStyle name="Normal 11 2 3 3 3 2 2 6" xfId="32110" xr:uid="{29982B7E-D01B-472D-8238-CC2A816FD757}"/>
    <cellStyle name="Normal 11 2 3 3 3 2 3" xfId="32111" xr:uid="{1E8426FC-A444-414D-9C63-853879380C05}"/>
    <cellStyle name="Normal 11 2 3 3 3 2 3 2" xfId="32112" xr:uid="{3E8AE1E3-A534-4DEB-BBCF-D686EA4FD13D}"/>
    <cellStyle name="Normal 11 2 3 3 3 2 3 2 2" xfId="32113" xr:uid="{F1631ACE-E9AC-4B7E-9FB2-AF4F87732B24}"/>
    <cellStyle name="Normal 11 2 3 3 3 2 3 2 2 2" xfId="32114" xr:uid="{648A0449-00AD-4696-93F2-4C39D02937CF}"/>
    <cellStyle name="Normal 11 2 3 3 3 2 3 2 2 2 2" xfId="32115" xr:uid="{E1908368-E706-4855-95AB-6969900A7AFF}"/>
    <cellStyle name="Normal 11 2 3 3 3 2 3 2 2 3" xfId="32116" xr:uid="{0E6A6705-E65C-4984-9CC7-A506F1808406}"/>
    <cellStyle name="Normal 11 2 3 3 3 2 3 2 3" xfId="32117" xr:uid="{C6149FB9-F782-4B67-87E0-0A3F3C2AE8EB}"/>
    <cellStyle name="Normal 11 2 3 3 3 2 3 2 3 2" xfId="32118" xr:uid="{6B93EA9E-CA55-4B1C-9501-2866716BA762}"/>
    <cellStyle name="Normal 11 2 3 3 3 2 3 2 4" xfId="32119" xr:uid="{E8442ABA-57E1-4A7D-9992-10E64545431D}"/>
    <cellStyle name="Normal 11 2 3 3 3 2 3 3" xfId="32120" xr:uid="{E0B1E3BD-BDAF-4EE7-9B1D-722D8CFB474E}"/>
    <cellStyle name="Normal 11 2 3 3 3 2 3 3 2" xfId="32121" xr:uid="{990A7986-4DDC-4B22-9344-AE63C08EDA71}"/>
    <cellStyle name="Normal 11 2 3 3 3 2 3 3 2 2" xfId="32122" xr:uid="{C24E28E8-1FF5-429B-B371-CDF4730CCFEA}"/>
    <cellStyle name="Normal 11 2 3 3 3 2 3 3 3" xfId="32123" xr:uid="{F77139C3-E3CF-4E8A-A141-F74F714E73E1}"/>
    <cellStyle name="Normal 11 2 3 3 3 2 3 4" xfId="32124" xr:uid="{902CECC3-BA04-4D42-83A3-E06AF0E10F78}"/>
    <cellStyle name="Normal 11 2 3 3 3 2 3 4 2" xfId="32125" xr:uid="{7FB5C68F-4486-40A8-BE5F-C4ABA943913C}"/>
    <cellStyle name="Normal 11 2 3 3 3 2 3 5" xfId="32126" xr:uid="{5F01A84B-AAE4-421A-A6A6-50BE836F5000}"/>
    <cellStyle name="Normal 11 2 3 3 3 2 4" xfId="32127" xr:uid="{B047A053-2886-4D0B-85B1-BB333B1E67E3}"/>
    <cellStyle name="Normal 11 2 3 3 3 2 4 2" xfId="32128" xr:uid="{1315E76C-0539-4391-8DCA-629073EA1FE3}"/>
    <cellStyle name="Normal 11 2 3 3 3 2 4 2 2" xfId="32129" xr:uid="{E4393BB0-D963-4865-8F50-062469D65788}"/>
    <cellStyle name="Normal 11 2 3 3 3 2 4 2 2 2" xfId="32130" xr:uid="{3CBE8118-6538-41A1-849E-5F99637787A5}"/>
    <cellStyle name="Normal 11 2 3 3 3 2 4 2 3" xfId="32131" xr:uid="{6D96C823-8627-4DDF-80C1-7102E2F00055}"/>
    <cellStyle name="Normal 11 2 3 3 3 2 4 3" xfId="32132" xr:uid="{85273B98-6AAB-4C39-B055-47F75D1DBB28}"/>
    <cellStyle name="Normal 11 2 3 3 3 2 4 3 2" xfId="32133" xr:uid="{F441A628-35F0-47BB-9973-30DFFE20F89F}"/>
    <cellStyle name="Normal 11 2 3 3 3 2 4 4" xfId="32134" xr:uid="{D603E3B5-6D66-4239-A46E-0E912B9796DB}"/>
    <cellStyle name="Normal 11 2 3 3 3 2 5" xfId="32135" xr:uid="{2980CF8C-9247-40D5-A5ED-8C92CC36C455}"/>
    <cellStyle name="Normal 11 2 3 3 3 2 5 2" xfId="32136" xr:uid="{C24D0A4A-AFFB-4BD0-8797-9752F9CA91A3}"/>
    <cellStyle name="Normal 11 2 3 3 3 2 5 2 2" xfId="32137" xr:uid="{4515D06A-6E83-40F9-975C-A150B0429888}"/>
    <cellStyle name="Normal 11 2 3 3 3 2 5 3" xfId="32138" xr:uid="{699314CC-6712-42F0-8EA6-E7B5EE85C21F}"/>
    <cellStyle name="Normal 11 2 3 3 3 2 6" xfId="32139" xr:uid="{57E88A3B-106C-40BA-A612-F999FEFE1EC7}"/>
    <cellStyle name="Normal 11 2 3 3 3 2 6 2" xfId="32140" xr:uid="{2B5CE90B-C12A-431E-846F-A2A1F801B4CA}"/>
    <cellStyle name="Normal 11 2 3 3 3 2 7" xfId="32141" xr:uid="{24AA03D9-D255-46A2-8080-742E130C3628}"/>
    <cellStyle name="Normal 11 2 3 3 3 3" xfId="32142" xr:uid="{9331BA49-91D2-42DE-8B67-D153E670FD94}"/>
    <cellStyle name="Normal 11 2 3 3 3 3 2" xfId="32143" xr:uid="{B6C64118-4994-4E10-AEDE-E00357BC43D6}"/>
    <cellStyle name="Normal 11 2 3 3 3 3 2 2" xfId="32144" xr:uid="{7175F9BF-A48B-43EA-88D1-E5AFE71AE2DF}"/>
    <cellStyle name="Normal 11 2 3 3 3 3 2 2 2" xfId="32145" xr:uid="{6472730E-CDD7-4F6A-9FAF-6851E75B77CC}"/>
    <cellStyle name="Normal 11 2 3 3 3 3 2 2 2 2" xfId="32146" xr:uid="{9BD78A1A-1677-49EA-A8DB-E18B823AFC0D}"/>
    <cellStyle name="Normal 11 2 3 3 3 3 2 2 2 2 2" xfId="32147" xr:uid="{EFACF4EC-D48E-4616-A3C0-B3E386E1506A}"/>
    <cellStyle name="Normal 11 2 3 3 3 3 2 2 2 3" xfId="32148" xr:uid="{CA2C666C-C00C-4FF9-BA1F-489CDAF554AA}"/>
    <cellStyle name="Normal 11 2 3 3 3 3 2 2 3" xfId="32149" xr:uid="{3A8D1FBF-ABD1-4781-B8E3-A12271E484D9}"/>
    <cellStyle name="Normal 11 2 3 3 3 3 2 2 3 2" xfId="32150" xr:uid="{FA131053-9194-48CE-88EC-E8A476454CC9}"/>
    <cellStyle name="Normal 11 2 3 3 3 3 2 2 4" xfId="32151" xr:uid="{DC5854E4-2EFE-412D-A302-D6BA9CCD11ED}"/>
    <cellStyle name="Normal 11 2 3 3 3 3 2 3" xfId="32152" xr:uid="{66FD8355-047E-4FC2-8836-0C563F958423}"/>
    <cellStyle name="Normal 11 2 3 3 3 3 2 3 2" xfId="32153" xr:uid="{B5BF2337-AAD0-456F-BA75-DBA9135552BF}"/>
    <cellStyle name="Normal 11 2 3 3 3 3 2 3 2 2" xfId="32154" xr:uid="{62E4BED4-61EF-47D9-A7AD-9892A3377A6F}"/>
    <cellStyle name="Normal 11 2 3 3 3 3 2 3 3" xfId="32155" xr:uid="{67B04004-2140-4834-8B35-D38B6CA53533}"/>
    <cellStyle name="Normal 11 2 3 3 3 3 2 4" xfId="32156" xr:uid="{92B711B9-5FC1-42DD-A22C-855C281AB9FE}"/>
    <cellStyle name="Normal 11 2 3 3 3 3 2 4 2" xfId="32157" xr:uid="{471F65B7-86E8-4FF0-AD1F-E0743C115841}"/>
    <cellStyle name="Normal 11 2 3 3 3 3 2 5" xfId="32158" xr:uid="{759D259D-09A1-4D8A-8F3C-7E3985DF562A}"/>
    <cellStyle name="Normal 11 2 3 3 3 3 3" xfId="32159" xr:uid="{21B57086-F7B5-4A36-AED5-21F1F7938830}"/>
    <cellStyle name="Normal 11 2 3 3 3 3 3 2" xfId="32160" xr:uid="{C385040A-952D-4E73-BA06-E9316F4064E5}"/>
    <cellStyle name="Normal 11 2 3 3 3 3 3 2 2" xfId="32161" xr:uid="{7BBFFD70-D44E-422F-8EB6-415856716899}"/>
    <cellStyle name="Normal 11 2 3 3 3 3 3 2 2 2" xfId="32162" xr:uid="{47245004-07E1-40C1-8664-C30B9954C126}"/>
    <cellStyle name="Normal 11 2 3 3 3 3 3 2 3" xfId="32163" xr:uid="{691DAA08-8FAC-4719-AEDD-333950AEEB04}"/>
    <cellStyle name="Normal 11 2 3 3 3 3 3 3" xfId="32164" xr:uid="{308A52A9-FB0C-4648-9566-36FBBDF94D68}"/>
    <cellStyle name="Normal 11 2 3 3 3 3 3 3 2" xfId="32165" xr:uid="{28F8AC85-6554-4547-8ABA-6EA38AF9DBEA}"/>
    <cellStyle name="Normal 11 2 3 3 3 3 3 4" xfId="32166" xr:uid="{BAF8EBA9-CB90-4158-B5B1-535959E49C58}"/>
    <cellStyle name="Normal 11 2 3 3 3 3 4" xfId="32167" xr:uid="{F8C7F47C-EDCB-4648-9574-87814685D1CF}"/>
    <cellStyle name="Normal 11 2 3 3 3 3 4 2" xfId="32168" xr:uid="{B7A5A20D-9F18-4F2B-BD64-29B02D26F873}"/>
    <cellStyle name="Normal 11 2 3 3 3 3 4 2 2" xfId="32169" xr:uid="{91C9B6B6-6F86-4671-9A1E-9790F6A725EE}"/>
    <cellStyle name="Normal 11 2 3 3 3 3 4 3" xfId="32170" xr:uid="{E9BBBB72-8298-4BBF-A46F-9656BDF039D7}"/>
    <cellStyle name="Normal 11 2 3 3 3 3 5" xfId="32171" xr:uid="{879A53BC-CBAF-41E9-A0DB-748952E5DB77}"/>
    <cellStyle name="Normal 11 2 3 3 3 3 5 2" xfId="32172" xr:uid="{27E646F2-FA38-4149-94E7-2F0AFB540D6D}"/>
    <cellStyle name="Normal 11 2 3 3 3 3 6" xfId="32173" xr:uid="{E8854D3E-B0ED-4AB3-B642-42C9BCFF2363}"/>
    <cellStyle name="Normal 11 2 3 3 3 4" xfId="32174" xr:uid="{17ADA80B-C54E-4445-8DF0-8C2E9381C061}"/>
    <cellStyle name="Normal 11 2 3 3 3 4 2" xfId="32175" xr:uid="{D73EC851-619C-418E-B02B-E45B2594C351}"/>
    <cellStyle name="Normal 11 2 3 3 3 4 2 2" xfId="32176" xr:uid="{1329DA38-93DF-4DEC-B716-9186B0F12BCE}"/>
    <cellStyle name="Normal 11 2 3 3 3 4 2 2 2" xfId="32177" xr:uid="{A1C20CB6-2205-4EE5-A089-30902773522A}"/>
    <cellStyle name="Normal 11 2 3 3 3 4 2 2 2 2" xfId="32178" xr:uid="{3AD00B27-A979-46BC-B22C-10FD0B16D339}"/>
    <cellStyle name="Normal 11 2 3 3 3 4 2 2 3" xfId="32179" xr:uid="{CB77D1C6-BDFD-4951-B699-A76EC35DAE53}"/>
    <cellStyle name="Normal 11 2 3 3 3 4 2 3" xfId="32180" xr:uid="{3E538F96-05D7-45C7-9888-4AF1DC4D0A5E}"/>
    <cellStyle name="Normal 11 2 3 3 3 4 2 3 2" xfId="32181" xr:uid="{504B9732-D981-4906-8096-2C4C7DEC83CE}"/>
    <cellStyle name="Normal 11 2 3 3 3 4 2 4" xfId="32182" xr:uid="{A6E253ED-3DAC-4749-AFB8-E37C21D9ADBC}"/>
    <cellStyle name="Normal 11 2 3 3 3 4 3" xfId="32183" xr:uid="{689692E2-E86C-49E4-84D7-DEF02306D80E}"/>
    <cellStyle name="Normal 11 2 3 3 3 4 3 2" xfId="32184" xr:uid="{1925936B-D6B7-4B49-96D2-1527D3DE4F0C}"/>
    <cellStyle name="Normal 11 2 3 3 3 4 3 2 2" xfId="32185" xr:uid="{35802420-AE09-42D2-A1B8-10909C6D26A7}"/>
    <cellStyle name="Normal 11 2 3 3 3 4 3 3" xfId="32186" xr:uid="{1F72F09A-14B0-4408-A034-F805E57D6BF0}"/>
    <cellStyle name="Normal 11 2 3 3 3 4 4" xfId="32187" xr:uid="{856BF381-4D94-448D-80C6-DE4F2FC77368}"/>
    <cellStyle name="Normal 11 2 3 3 3 4 4 2" xfId="32188" xr:uid="{60BBC639-952B-47F8-8B06-2C4615E828ED}"/>
    <cellStyle name="Normal 11 2 3 3 3 4 5" xfId="32189" xr:uid="{C8E670EB-ABD0-4A42-BE06-9BEC99217B38}"/>
    <cellStyle name="Normal 11 2 3 3 3 5" xfId="32190" xr:uid="{9442015A-BD18-4C36-B89E-DF37AEDE5ACD}"/>
    <cellStyle name="Normal 11 2 3 3 3 5 2" xfId="32191" xr:uid="{7AB9245C-E2B4-4BCC-BD80-943FB267780C}"/>
    <cellStyle name="Normal 11 2 3 3 3 5 2 2" xfId="32192" xr:uid="{26C5CDEA-5136-44F7-9536-12E41037D870}"/>
    <cellStyle name="Normal 11 2 3 3 3 5 2 2 2" xfId="32193" xr:uid="{26A7A685-5217-4B59-886B-A5C2A00614F0}"/>
    <cellStyle name="Normal 11 2 3 3 3 5 2 3" xfId="32194" xr:uid="{A4B85416-E011-4AE3-B216-38192D54BE61}"/>
    <cellStyle name="Normal 11 2 3 3 3 5 3" xfId="32195" xr:uid="{AFEEAED4-0655-4A13-945D-0B080E207803}"/>
    <cellStyle name="Normal 11 2 3 3 3 5 3 2" xfId="32196" xr:uid="{E315FCAA-0989-4493-A54D-9522F978B14F}"/>
    <cellStyle name="Normal 11 2 3 3 3 5 4" xfId="32197" xr:uid="{6896B8FD-3B6D-4683-BCE0-CF3614B10A61}"/>
    <cellStyle name="Normal 11 2 3 3 3 6" xfId="32198" xr:uid="{680D86D0-F923-481F-900F-75BCD6425788}"/>
    <cellStyle name="Normal 11 2 3 3 3 6 2" xfId="32199" xr:uid="{3C2915F1-2DC3-478A-97ED-38B3E78D1AEF}"/>
    <cellStyle name="Normal 11 2 3 3 3 6 2 2" xfId="32200" xr:uid="{FE212FB5-2D52-4047-B895-247B89DD579D}"/>
    <cellStyle name="Normal 11 2 3 3 3 6 3" xfId="32201" xr:uid="{DA45C796-A9D9-4D30-A69D-C965860B7D95}"/>
    <cellStyle name="Normal 11 2 3 3 3 7" xfId="32202" xr:uid="{C7E1506A-72C6-4106-B0AE-1BE12F115C12}"/>
    <cellStyle name="Normal 11 2 3 3 3 7 2" xfId="32203" xr:uid="{69C758A7-9886-4B31-997A-A65E551F7DD4}"/>
    <cellStyle name="Normal 11 2 3 3 3 8" xfId="32204" xr:uid="{9C65F71A-C55E-4D33-AF96-E2888B25DCBA}"/>
    <cellStyle name="Normal 11 2 3 3 3 9" xfId="32077" xr:uid="{FE4C08EC-6F1C-4E4A-89E6-CA2E7FD1B2DC}"/>
    <cellStyle name="Normal 11 2 3 3 4" xfId="32205" xr:uid="{55C3C453-48C3-43D7-A3AD-CC5CBE73FD12}"/>
    <cellStyle name="Normal 11 2 3 3 4 2" xfId="32206" xr:uid="{B80E14A6-0C4C-4A5E-A1CC-665AAE1E680B}"/>
    <cellStyle name="Normal 11 2 3 3 4 2 2" xfId="32207" xr:uid="{F5ED1239-020A-4784-8F85-B81C16858139}"/>
    <cellStyle name="Normal 11 2 3 3 4 2 2 2" xfId="32208" xr:uid="{50B6CE9D-BD72-40D5-BB66-49A02193DF4C}"/>
    <cellStyle name="Normal 11 2 3 3 4 2 2 2 2" xfId="32209" xr:uid="{CE628BFF-102D-47F0-9223-F3CFD8FB950B}"/>
    <cellStyle name="Normal 11 2 3 3 4 2 2 2 2 2" xfId="32210" xr:uid="{E85E1C7D-1A06-483B-9FC5-46FBC75B004F}"/>
    <cellStyle name="Normal 11 2 3 3 4 2 2 2 2 2 2" xfId="32211" xr:uid="{D2950F8E-2EBF-490A-953A-E76CE7BB4884}"/>
    <cellStyle name="Normal 11 2 3 3 4 2 2 2 2 3" xfId="32212" xr:uid="{296B17E1-7AC8-4D6D-B00E-FB945097D1FD}"/>
    <cellStyle name="Normal 11 2 3 3 4 2 2 2 3" xfId="32213" xr:uid="{E28461AC-5AAA-4B34-A6DC-2514C6386FDD}"/>
    <cellStyle name="Normal 11 2 3 3 4 2 2 2 3 2" xfId="32214" xr:uid="{E2369376-04C1-4CB1-B437-8038F6E25C99}"/>
    <cellStyle name="Normal 11 2 3 3 4 2 2 2 4" xfId="32215" xr:uid="{65A9D576-4207-49E4-AFFB-B7E083D9D418}"/>
    <cellStyle name="Normal 11 2 3 3 4 2 2 3" xfId="32216" xr:uid="{5DFC4A1B-DCDC-4040-863D-A10B55FFCB5A}"/>
    <cellStyle name="Normal 11 2 3 3 4 2 2 3 2" xfId="32217" xr:uid="{188ED36F-B7F8-4088-9BBA-577C2E5972C9}"/>
    <cellStyle name="Normal 11 2 3 3 4 2 2 3 2 2" xfId="32218" xr:uid="{523033CB-6D18-4E02-8F64-E1CB34A0E403}"/>
    <cellStyle name="Normal 11 2 3 3 4 2 2 3 3" xfId="32219" xr:uid="{F166C05E-24CF-495D-821D-FA592817469F}"/>
    <cellStyle name="Normal 11 2 3 3 4 2 2 4" xfId="32220" xr:uid="{8193CF08-0069-4CA5-83CC-4AA3B29B1243}"/>
    <cellStyle name="Normal 11 2 3 3 4 2 2 4 2" xfId="32221" xr:uid="{7EBF8D27-E489-4769-BC30-480BF6E89821}"/>
    <cellStyle name="Normal 11 2 3 3 4 2 2 5" xfId="32222" xr:uid="{A1201543-3E99-4303-BA11-E60B39719ABB}"/>
    <cellStyle name="Normal 11 2 3 3 4 2 3" xfId="32223" xr:uid="{AFEBDFBB-8BAC-4444-B76B-5C90DD4B73BB}"/>
    <cellStyle name="Normal 11 2 3 3 4 2 3 2" xfId="32224" xr:uid="{730720C3-6DD1-48AE-8C11-89EBC81E6C64}"/>
    <cellStyle name="Normal 11 2 3 3 4 2 3 2 2" xfId="32225" xr:uid="{F48EE71E-1D30-4BF2-8F6E-876C74C3809D}"/>
    <cellStyle name="Normal 11 2 3 3 4 2 3 2 2 2" xfId="32226" xr:uid="{78F14547-BC18-4B47-A341-5F8074739CBA}"/>
    <cellStyle name="Normal 11 2 3 3 4 2 3 2 3" xfId="32227" xr:uid="{7B03852C-8BD1-4F77-B8A6-BB7B4F6F0424}"/>
    <cellStyle name="Normal 11 2 3 3 4 2 3 3" xfId="32228" xr:uid="{28D03CFB-F041-4816-BC59-8945FF828326}"/>
    <cellStyle name="Normal 11 2 3 3 4 2 3 3 2" xfId="32229" xr:uid="{AA17E269-95B5-4777-8770-69D4B4D3965E}"/>
    <cellStyle name="Normal 11 2 3 3 4 2 3 4" xfId="32230" xr:uid="{79FEB751-7B84-49CD-902E-CB12844BC34A}"/>
    <cellStyle name="Normal 11 2 3 3 4 2 4" xfId="32231" xr:uid="{05E0E753-0C23-4C49-84DF-35CCD5E0B612}"/>
    <cellStyle name="Normal 11 2 3 3 4 2 4 2" xfId="32232" xr:uid="{D4A44219-D3A5-4F8B-98B4-4A95C9A59E52}"/>
    <cellStyle name="Normal 11 2 3 3 4 2 4 2 2" xfId="32233" xr:uid="{46D958EA-9346-4476-8079-97B758EFC83B}"/>
    <cellStyle name="Normal 11 2 3 3 4 2 4 3" xfId="32234" xr:uid="{1910AD1C-1CD5-4188-91A2-EF11690D1B44}"/>
    <cellStyle name="Normal 11 2 3 3 4 2 5" xfId="32235" xr:uid="{45629FA7-FC9A-4099-A0DD-5F3F527C876A}"/>
    <cellStyle name="Normal 11 2 3 3 4 2 5 2" xfId="32236" xr:uid="{BD1FE05B-58C3-4161-9F52-F49DCD0CD3A9}"/>
    <cellStyle name="Normal 11 2 3 3 4 2 6" xfId="32237" xr:uid="{FBDF0F2B-ED5D-4A11-BEBC-173B4F658648}"/>
    <cellStyle name="Normal 11 2 3 3 4 3" xfId="32238" xr:uid="{9958CBDE-98AB-4F74-A611-88864F07F47D}"/>
    <cellStyle name="Normal 11 2 3 3 4 3 2" xfId="32239" xr:uid="{667F8F48-09B8-4702-AB86-00FE28A88945}"/>
    <cellStyle name="Normal 11 2 3 3 4 3 2 2" xfId="32240" xr:uid="{E4E76A87-50E7-464D-B007-20A5F05A58EA}"/>
    <cellStyle name="Normal 11 2 3 3 4 3 2 2 2" xfId="32241" xr:uid="{ED1E7CE9-3A09-46CC-B778-71648F433E71}"/>
    <cellStyle name="Normal 11 2 3 3 4 3 2 2 2 2" xfId="32242" xr:uid="{A7DFE413-47DE-4D6A-B656-323FE20E4CD2}"/>
    <cellStyle name="Normal 11 2 3 3 4 3 2 2 3" xfId="32243" xr:uid="{7A117EB5-3906-413C-A533-428947433011}"/>
    <cellStyle name="Normal 11 2 3 3 4 3 2 3" xfId="32244" xr:uid="{72BA0D9D-9CD9-4688-A679-7212540328B4}"/>
    <cellStyle name="Normal 11 2 3 3 4 3 2 3 2" xfId="32245" xr:uid="{1E291ACA-2BAB-4259-8121-4B58B196D168}"/>
    <cellStyle name="Normal 11 2 3 3 4 3 2 4" xfId="32246" xr:uid="{9C776E95-54BE-4A1F-939E-1F2955494214}"/>
    <cellStyle name="Normal 11 2 3 3 4 3 3" xfId="32247" xr:uid="{C69D88A1-053C-4469-9149-DE25E3FA55B9}"/>
    <cellStyle name="Normal 11 2 3 3 4 3 3 2" xfId="32248" xr:uid="{5A3710E9-C292-408A-B7A7-51EC15CA5840}"/>
    <cellStyle name="Normal 11 2 3 3 4 3 3 2 2" xfId="32249" xr:uid="{14D07B42-A7F9-406C-935A-4BB5C1549B77}"/>
    <cellStyle name="Normal 11 2 3 3 4 3 3 3" xfId="32250" xr:uid="{51D41F08-7B56-4FD3-BD76-A48F698DF6FE}"/>
    <cellStyle name="Normal 11 2 3 3 4 3 4" xfId="32251" xr:uid="{7F7733BF-B7DF-485C-93DD-A877BE0A4F86}"/>
    <cellStyle name="Normal 11 2 3 3 4 3 4 2" xfId="32252" xr:uid="{657A8B5E-3AE8-492E-A18B-1D668CED2DB2}"/>
    <cellStyle name="Normal 11 2 3 3 4 3 5" xfId="32253" xr:uid="{41545869-50D8-479B-92EC-155025D3CE34}"/>
    <cellStyle name="Normal 11 2 3 3 4 4" xfId="32254" xr:uid="{C4E97A6F-FFDD-46C9-BA86-1748AD04DE95}"/>
    <cellStyle name="Normal 11 2 3 3 4 4 2" xfId="32255" xr:uid="{7C33B00E-CB78-474E-A256-87413C5ACC23}"/>
    <cellStyle name="Normal 11 2 3 3 4 4 2 2" xfId="32256" xr:uid="{1B83440B-7AA3-45B2-8ADF-78B795742E57}"/>
    <cellStyle name="Normal 11 2 3 3 4 4 2 2 2" xfId="32257" xr:uid="{4F99B453-0AA1-46BA-8D99-B8E25B0E3E10}"/>
    <cellStyle name="Normal 11 2 3 3 4 4 2 3" xfId="32258" xr:uid="{645827CF-D771-489F-A8C7-5233FBD6AFF2}"/>
    <cellStyle name="Normal 11 2 3 3 4 4 3" xfId="32259" xr:uid="{45C4E819-D253-41BB-B05D-CADCC2EDE4C1}"/>
    <cellStyle name="Normal 11 2 3 3 4 4 3 2" xfId="32260" xr:uid="{96C25943-4EE6-4A93-8F33-2FC29C15F1C5}"/>
    <cellStyle name="Normal 11 2 3 3 4 4 4" xfId="32261" xr:uid="{43E4E933-06BD-4CC9-AD47-C699188C7423}"/>
    <cellStyle name="Normal 11 2 3 3 4 5" xfId="32262" xr:uid="{A6163E95-26A9-4BC9-8291-D29718514286}"/>
    <cellStyle name="Normal 11 2 3 3 4 5 2" xfId="32263" xr:uid="{D82745B7-1CC9-44AD-B691-3FBD903768DF}"/>
    <cellStyle name="Normal 11 2 3 3 4 5 2 2" xfId="32264" xr:uid="{5CA47A3A-9BC2-4EB8-B238-A855C7B3CF80}"/>
    <cellStyle name="Normal 11 2 3 3 4 5 3" xfId="32265" xr:uid="{15FF184C-C682-4563-A606-F251F726F800}"/>
    <cellStyle name="Normal 11 2 3 3 4 6" xfId="32266" xr:uid="{FFF9FC37-E75D-4E8F-9484-6871ABD864AD}"/>
    <cellStyle name="Normal 11 2 3 3 4 6 2" xfId="32267" xr:uid="{8932EA54-D7DA-42F7-89DF-DB770008D9BD}"/>
    <cellStyle name="Normal 11 2 3 3 4 7" xfId="32268" xr:uid="{9642B9D9-CE2F-453D-AC0F-DEA58096D575}"/>
    <cellStyle name="Normal 11 2 3 3 5" xfId="32269" xr:uid="{9F027E10-2EE9-45F4-B719-F27BE0018EFB}"/>
    <cellStyle name="Normal 11 2 3 3 5 2" xfId="32270" xr:uid="{C1B1C7C1-3BE9-4695-8787-AF62B96506B0}"/>
    <cellStyle name="Normal 11 2 3 3 5 2 2" xfId="32271" xr:uid="{23FD5FF8-8CDD-4A6D-BC6F-F41940C5696D}"/>
    <cellStyle name="Normal 11 2 3 3 5 2 2 2" xfId="32272" xr:uid="{3F80EFC5-A5AD-4E9D-86AC-07DAE869C600}"/>
    <cellStyle name="Normal 11 2 3 3 5 2 2 2 2" xfId="32273" xr:uid="{245400C4-F3C1-4205-AC79-459E3943CE45}"/>
    <cellStyle name="Normal 11 2 3 3 5 2 2 2 2 2" xfId="32274" xr:uid="{89DBA90D-FF88-4197-8E01-9C16A38DD9E1}"/>
    <cellStyle name="Normal 11 2 3 3 5 2 2 2 3" xfId="32275" xr:uid="{36373A61-8B30-4466-A5B8-6097D78BAEFC}"/>
    <cellStyle name="Normal 11 2 3 3 5 2 2 3" xfId="32276" xr:uid="{CDB39130-5F61-4E60-BD42-97B31E970713}"/>
    <cellStyle name="Normal 11 2 3 3 5 2 2 3 2" xfId="32277" xr:uid="{6F1F8F61-F73E-4FA2-9F9E-D6B882C9DC4E}"/>
    <cellStyle name="Normal 11 2 3 3 5 2 2 4" xfId="32278" xr:uid="{6ACBE58B-F029-4E78-A957-76664F571DFA}"/>
    <cellStyle name="Normal 11 2 3 3 5 2 3" xfId="32279" xr:uid="{C97C61C4-3EFC-4CB8-9E40-B5FC055D5F92}"/>
    <cellStyle name="Normal 11 2 3 3 5 2 3 2" xfId="32280" xr:uid="{874CC0A4-4748-4277-9A88-AD7ED43F2F6B}"/>
    <cellStyle name="Normal 11 2 3 3 5 2 3 2 2" xfId="32281" xr:uid="{067C2217-7394-459F-AD10-8F9A7BF2C17F}"/>
    <cellStyle name="Normal 11 2 3 3 5 2 3 3" xfId="32282" xr:uid="{8257FF8D-95EC-4DD1-8101-BD0ED5E8066B}"/>
    <cellStyle name="Normal 11 2 3 3 5 2 4" xfId="32283" xr:uid="{C0B12774-8DE9-4DC9-853D-00370FF000F6}"/>
    <cellStyle name="Normal 11 2 3 3 5 2 4 2" xfId="32284" xr:uid="{6D0ACFBB-7E67-42D1-99DF-59DD61053815}"/>
    <cellStyle name="Normal 11 2 3 3 5 2 5" xfId="32285" xr:uid="{1FB91BA5-F103-4428-A77F-A02EB5BC592E}"/>
    <cellStyle name="Normal 11 2 3 3 5 3" xfId="32286" xr:uid="{5021A5C8-A43E-43FE-9823-BFB789CA486A}"/>
    <cellStyle name="Normal 11 2 3 3 5 3 2" xfId="32287" xr:uid="{8D9EDE3F-7015-4965-B389-D347E08C5F89}"/>
    <cellStyle name="Normal 11 2 3 3 5 3 2 2" xfId="32288" xr:uid="{3AFA2461-CE32-4AA5-ACD9-345928CF84B9}"/>
    <cellStyle name="Normal 11 2 3 3 5 3 2 2 2" xfId="32289" xr:uid="{F65AF114-4FE5-4BC0-9C4F-F78AECD772DF}"/>
    <cellStyle name="Normal 11 2 3 3 5 3 2 3" xfId="32290" xr:uid="{7BA531F7-3A1F-4289-8842-C7AF20DB2525}"/>
    <cellStyle name="Normal 11 2 3 3 5 3 3" xfId="32291" xr:uid="{D3DC2062-5904-4790-8011-3F8FEB5C67C0}"/>
    <cellStyle name="Normal 11 2 3 3 5 3 3 2" xfId="32292" xr:uid="{4903C7F2-4C78-46B6-89DA-DD83CE2F91A9}"/>
    <cellStyle name="Normal 11 2 3 3 5 3 4" xfId="32293" xr:uid="{0EF65C64-4AB0-4101-82D3-CC430B905916}"/>
    <cellStyle name="Normal 11 2 3 3 5 4" xfId="32294" xr:uid="{DBA8B2BA-9546-4FFE-A19A-BD19E3EEC5FD}"/>
    <cellStyle name="Normal 11 2 3 3 5 4 2" xfId="32295" xr:uid="{1456E3E7-F61B-447B-BC2A-51F9A1089BFF}"/>
    <cellStyle name="Normal 11 2 3 3 5 4 2 2" xfId="32296" xr:uid="{941E389F-1C98-465C-9BAA-BA38960D3349}"/>
    <cellStyle name="Normal 11 2 3 3 5 4 3" xfId="32297" xr:uid="{1AF2505F-B69D-4F1E-AAE9-30DA71DEB06F}"/>
    <cellStyle name="Normal 11 2 3 3 5 5" xfId="32298" xr:uid="{2D3B5C81-5AAC-465E-B1DA-9AB87B75CE16}"/>
    <cellStyle name="Normal 11 2 3 3 5 5 2" xfId="32299" xr:uid="{0FB041E1-BE4F-4975-ADB8-61AEC6D4E584}"/>
    <cellStyle name="Normal 11 2 3 3 5 6" xfId="32300" xr:uid="{71752667-CA17-4C5D-A992-C3C5F52FF1EE}"/>
    <cellStyle name="Normal 11 2 3 3 6" xfId="32301" xr:uid="{1593B48D-5F2C-4DE0-9F7D-E53D9D0D96E1}"/>
    <cellStyle name="Normal 11 2 3 3 6 2" xfId="32302" xr:uid="{8342BD0F-455D-4C88-A2C3-58ADF999E596}"/>
    <cellStyle name="Normal 11 2 3 3 6 2 2" xfId="32303" xr:uid="{A77E0D6C-E964-4F83-9531-E36857B5BFFA}"/>
    <cellStyle name="Normal 11 2 3 3 6 2 2 2" xfId="32304" xr:uid="{5F768BFE-6774-43FC-8C72-B2C7A87AE6BA}"/>
    <cellStyle name="Normal 11 2 3 3 6 2 2 2 2" xfId="32305" xr:uid="{6D60A976-8D88-4404-859F-8916F6B98EC3}"/>
    <cellStyle name="Normal 11 2 3 3 6 2 2 3" xfId="32306" xr:uid="{CB056CD6-9550-4D32-91D5-F71C1294A320}"/>
    <cellStyle name="Normal 11 2 3 3 6 2 3" xfId="32307" xr:uid="{B0711F44-8D99-4797-8AF6-13AA88F0C1E8}"/>
    <cellStyle name="Normal 11 2 3 3 6 2 3 2" xfId="32308" xr:uid="{278223AF-EF9B-4165-8A46-E0E3DC0CE1D4}"/>
    <cellStyle name="Normal 11 2 3 3 6 2 4" xfId="32309" xr:uid="{46A31FFC-8C4F-4157-9D0D-E0EE8CC2ECDF}"/>
    <cellStyle name="Normal 11 2 3 3 6 3" xfId="32310" xr:uid="{80F41F12-5556-43D7-BE66-8813815A400F}"/>
    <cellStyle name="Normal 11 2 3 3 6 3 2" xfId="32311" xr:uid="{45D41D27-504F-491E-9617-4C0E8418C4CF}"/>
    <cellStyle name="Normal 11 2 3 3 6 3 2 2" xfId="32312" xr:uid="{D1BBCB67-E92B-4C4B-8F81-F08ED4B67524}"/>
    <cellStyle name="Normal 11 2 3 3 6 3 3" xfId="32313" xr:uid="{5553B1CF-440B-4B65-A199-7979ABCAC761}"/>
    <cellStyle name="Normal 11 2 3 3 6 4" xfId="32314" xr:uid="{27F18963-6BF2-499B-9C10-2B0F76A7C8F3}"/>
    <cellStyle name="Normal 11 2 3 3 6 4 2" xfId="32315" xr:uid="{93FC29E4-96C6-4983-97FF-E5B12686F439}"/>
    <cellStyle name="Normal 11 2 3 3 6 5" xfId="32316" xr:uid="{7AC30A34-DA9E-4E4F-8E7B-7F76155AAA48}"/>
    <cellStyle name="Normal 11 2 3 3 7" xfId="32317" xr:uid="{C495F088-8C4A-4329-980B-2DEEBA50050A}"/>
    <cellStyle name="Normal 11 2 3 3 7 2" xfId="32318" xr:uid="{212B0513-5193-4F9C-9E12-C62ADCFCA1DE}"/>
    <cellStyle name="Normal 11 2 3 3 7 2 2" xfId="32319" xr:uid="{EFA721CB-E9C0-4CB9-A14F-2BB67FD8E4C7}"/>
    <cellStyle name="Normal 11 2 3 3 7 2 2 2" xfId="32320" xr:uid="{A264D902-5876-4BA5-A9DA-B1629DE5DBC9}"/>
    <cellStyle name="Normal 11 2 3 3 7 2 3" xfId="32321" xr:uid="{0C7975E9-324D-4B67-AEB0-D2ABA4DF7669}"/>
    <cellStyle name="Normal 11 2 3 3 7 3" xfId="32322" xr:uid="{2D32C3B4-C9A0-421B-A671-80D9D966A456}"/>
    <cellStyle name="Normal 11 2 3 3 7 3 2" xfId="32323" xr:uid="{C31F63E9-E4E6-4348-A8C4-EFA33E3383F1}"/>
    <cellStyle name="Normal 11 2 3 3 7 4" xfId="32324" xr:uid="{E61E1A23-3F72-417D-B85D-892DE694C2A1}"/>
    <cellStyle name="Normal 11 2 3 3 8" xfId="32325" xr:uid="{ADB9971A-DE9B-4D71-8FCE-33A12B27BF5F}"/>
    <cellStyle name="Normal 11 2 3 3 8 2" xfId="32326" xr:uid="{7738D0FC-462C-4BA0-BE7F-5F419986B6E2}"/>
    <cellStyle name="Normal 11 2 3 3 8 2 2" xfId="32327" xr:uid="{1B6C141C-FF60-45EA-93E7-A91E24486496}"/>
    <cellStyle name="Normal 11 2 3 3 8 3" xfId="32328" xr:uid="{BB547808-33D0-41B9-8742-2D2841F25E50}"/>
    <cellStyle name="Normal 11 2 3 3 9" xfId="32329" xr:uid="{CB5BC176-88B4-4D1E-896B-3EB5F7BE84F3}"/>
    <cellStyle name="Normal 11 2 3 3 9 2" xfId="32330" xr:uid="{E016826C-9916-495F-98DF-240F0E4FF366}"/>
    <cellStyle name="Normal 11 2 3 4" xfId="260" xr:uid="{3816F62D-6E90-4D2A-8E42-4A553B878341}"/>
    <cellStyle name="Normal 11 2 3 4 10" xfId="32331" xr:uid="{A7B2C406-A7D4-41A4-BE90-8198B513CFCD}"/>
    <cellStyle name="Normal 11 2 3 4 11" xfId="585" xr:uid="{F95B26E4-9B9F-4F7C-A344-1BF6025811F5}"/>
    <cellStyle name="Normal 11 2 3 4 2" xfId="363" xr:uid="{FCE157A8-D7C6-4B5C-8395-D8D4576C0B63}"/>
    <cellStyle name="Normal 11 2 3 4 2 10" xfId="32332" xr:uid="{6B8F70A1-E2D3-430A-A1EE-48DEB982A78C}"/>
    <cellStyle name="Normal 11 2 3 4 2 2" xfId="32333" xr:uid="{A501F7F3-F746-4775-8D9B-67338FC8F7FB}"/>
    <cellStyle name="Normal 11 2 3 4 2 2 2" xfId="32334" xr:uid="{6284D726-26B4-4DFA-8193-2F37683F91E4}"/>
    <cellStyle name="Normal 11 2 3 4 2 2 2 2" xfId="32335" xr:uid="{06B5C4CE-CAE1-4F88-B58E-EA091AEB09CC}"/>
    <cellStyle name="Normal 11 2 3 4 2 2 2 2 2" xfId="32336" xr:uid="{D51B3213-5513-416A-925B-3B609C4511B7}"/>
    <cellStyle name="Normal 11 2 3 4 2 2 2 2 2 2" xfId="32337" xr:uid="{8DE60EF6-264D-4E8E-B326-BA7D691C4A26}"/>
    <cellStyle name="Normal 11 2 3 4 2 2 2 2 2 2 2" xfId="32338" xr:uid="{84AA5C74-194E-493E-9920-55B5D13CE493}"/>
    <cellStyle name="Normal 11 2 3 4 2 2 2 2 2 2 2 2" xfId="32339" xr:uid="{6DD4EE4E-02FC-40A7-BB44-190980BCBD69}"/>
    <cellStyle name="Normal 11 2 3 4 2 2 2 2 2 2 2 2 2" xfId="32340" xr:uid="{5D7A89E3-5AF3-497D-B9BB-20E80B1B4C71}"/>
    <cellStyle name="Normal 11 2 3 4 2 2 2 2 2 2 2 3" xfId="32341" xr:uid="{C6CECA1E-EAE2-4F8F-81C6-9AFB9E919F45}"/>
    <cellStyle name="Normal 11 2 3 4 2 2 2 2 2 2 3" xfId="32342" xr:uid="{2D57C2CC-61C6-4DCA-B092-D6315E9DB2A5}"/>
    <cellStyle name="Normal 11 2 3 4 2 2 2 2 2 2 3 2" xfId="32343" xr:uid="{3010BF5C-5E45-4CFF-906F-B7E081F2FA43}"/>
    <cellStyle name="Normal 11 2 3 4 2 2 2 2 2 2 4" xfId="32344" xr:uid="{94D492BE-14D7-48DB-AF0D-3630502F4487}"/>
    <cellStyle name="Normal 11 2 3 4 2 2 2 2 2 3" xfId="32345" xr:uid="{14CF2A30-D5F1-41F4-8B26-35E7CAC5A33A}"/>
    <cellStyle name="Normal 11 2 3 4 2 2 2 2 2 3 2" xfId="32346" xr:uid="{2B38747A-3B25-42A8-923D-CE0E56FEC06A}"/>
    <cellStyle name="Normal 11 2 3 4 2 2 2 2 2 3 2 2" xfId="32347" xr:uid="{8046E713-6C98-4BB8-B51D-D1680B3E340D}"/>
    <cellStyle name="Normal 11 2 3 4 2 2 2 2 2 3 3" xfId="32348" xr:uid="{78B9E5FF-DF91-4E6B-9563-BF55F2CCD292}"/>
    <cellStyle name="Normal 11 2 3 4 2 2 2 2 2 4" xfId="32349" xr:uid="{C8E551B9-1DE7-4EE9-A5CC-4F757A710848}"/>
    <cellStyle name="Normal 11 2 3 4 2 2 2 2 2 4 2" xfId="32350" xr:uid="{90BB4368-177F-4915-9DB5-5E445096928E}"/>
    <cellStyle name="Normal 11 2 3 4 2 2 2 2 2 5" xfId="32351" xr:uid="{8DA4440A-81C9-4493-B6C3-14358F53F0BD}"/>
    <cellStyle name="Normal 11 2 3 4 2 2 2 2 3" xfId="32352" xr:uid="{4ACC30C0-E880-4A5D-88DF-FF754F6DD7C5}"/>
    <cellStyle name="Normal 11 2 3 4 2 2 2 2 3 2" xfId="32353" xr:uid="{749BF465-D0A9-43C6-A922-28EA76A4CC89}"/>
    <cellStyle name="Normal 11 2 3 4 2 2 2 2 3 2 2" xfId="32354" xr:uid="{2CAA202F-259E-4088-9A34-11343169DA4E}"/>
    <cellStyle name="Normal 11 2 3 4 2 2 2 2 3 2 2 2" xfId="32355" xr:uid="{EFC34DF0-83B7-4786-9C17-1DB5CA8834D8}"/>
    <cellStyle name="Normal 11 2 3 4 2 2 2 2 3 2 3" xfId="32356" xr:uid="{1CAB8FF8-BD68-4717-A1E5-D5F956790FCD}"/>
    <cellStyle name="Normal 11 2 3 4 2 2 2 2 3 3" xfId="32357" xr:uid="{A96D0F70-88DA-4DE5-A8B5-3A5D9FB351AD}"/>
    <cellStyle name="Normal 11 2 3 4 2 2 2 2 3 3 2" xfId="32358" xr:uid="{045D9FFE-5D3A-4910-B0BF-C869D5BABAAD}"/>
    <cellStyle name="Normal 11 2 3 4 2 2 2 2 3 4" xfId="32359" xr:uid="{27E1AADE-171D-46D6-98D7-CF4BCCF1ECC6}"/>
    <cellStyle name="Normal 11 2 3 4 2 2 2 2 4" xfId="32360" xr:uid="{99A9124C-5617-4B1D-8F5F-47488441B285}"/>
    <cellStyle name="Normal 11 2 3 4 2 2 2 2 4 2" xfId="32361" xr:uid="{F3813EE3-F1F0-4E25-9259-F4191E4A9406}"/>
    <cellStyle name="Normal 11 2 3 4 2 2 2 2 4 2 2" xfId="32362" xr:uid="{8B2E4149-0093-48D3-9AAC-D82043244CB8}"/>
    <cellStyle name="Normal 11 2 3 4 2 2 2 2 4 3" xfId="32363" xr:uid="{248C7A60-6EBF-48E1-9C81-77B3B9D60AF6}"/>
    <cellStyle name="Normal 11 2 3 4 2 2 2 2 5" xfId="32364" xr:uid="{01B33BCF-2634-4C87-B2BB-F5BBE2FEAADF}"/>
    <cellStyle name="Normal 11 2 3 4 2 2 2 2 5 2" xfId="32365" xr:uid="{17860854-451A-4919-95A1-622D0F9F6994}"/>
    <cellStyle name="Normal 11 2 3 4 2 2 2 2 6" xfId="32366" xr:uid="{3475E461-E765-4871-98C7-EDF47D2F0722}"/>
    <cellStyle name="Normal 11 2 3 4 2 2 2 3" xfId="32367" xr:uid="{11E43816-AA91-4A2F-8916-A521AF1B7926}"/>
    <cellStyle name="Normal 11 2 3 4 2 2 2 3 2" xfId="32368" xr:uid="{9EEABE51-A934-4480-A778-A409A65C2E62}"/>
    <cellStyle name="Normal 11 2 3 4 2 2 2 3 2 2" xfId="32369" xr:uid="{1F3DD1D3-DBD3-4C25-BC39-EB34814BB6D8}"/>
    <cellStyle name="Normal 11 2 3 4 2 2 2 3 2 2 2" xfId="32370" xr:uid="{69953F38-45DC-497B-BB0C-7087F45D30AB}"/>
    <cellStyle name="Normal 11 2 3 4 2 2 2 3 2 2 2 2" xfId="32371" xr:uid="{91B23360-555F-42BE-8D14-0C02BC6FCBD3}"/>
    <cellStyle name="Normal 11 2 3 4 2 2 2 3 2 2 3" xfId="32372" xr:uid="{33C9F7F0-03E8-45A4-8E54-843080017029}"/>
    <cellStyle name="Normal 11 2 3 4 2 2 2 3 2 3" xfId="32373" xr:uid="{79A90C8D-A2E9-42B2-9205-04AFFCCCFFDB}"/>
    <cellStyle name="Normal 11 2 3 4 2 2 2 3 2 3 2" xfId="32374" xr:uid="{A3BA36A3-5DB0-40E0-8D3E-0AC9A64E3BFD}"/>
    <cellStyle name="Normal 11 2 3 4 2 2 2 3 2 4" xfId="32375" xr:uid="{C0726EC0-B26A-4CDC-AD9E-9AAFF8211DA3}"/>
    <cellStyle name="Normal 11 2 3 4 2 2 2 3 3" xfId="32376" xr:uid="{4D3D564F-AAA3-45FB-A2CA-248BA27FF944}"/>
    <cellStyle name="Normal 11 2 3 4 2 2 2 3 3 2" xfId="32377" xr:uid="{5509F80C-E210-429D-8768-D55143750EA3}"/>
    <cellStyle name="Normal 11 2 3 4 2 2 2 3 3 2 2" xfId="32378" xr:uid="{F62739E8-654B-44F8-AAE6-966728C5CB7B}"/>
    <cellStyle name="Normal 11 2 3 4 2 2 2 3 3 3" xfId="32379" xr:uid="{B28364C8-40F2-4115-AEC7-A9E391BB0077}"/>
    <cellStyle name="Normal 11 2 3 4 2 2 2 3 4" xfId="32380" xr:uid="{9B951624-309A-4E62-A452-528D99391FB6}"/>
    <cellStyle name="Normal 11 2 3 4 2 2 2 3 4 2" xfId="32381" xr:uid="{EFD3F069-DC61-48DF-9F1C-B3B0C4A71B6B}"/>
    <cellStyle name="Normal 11 2 3 4 2 2 2 3 5" xfId="32382" xr:uid="{85C579BC-EA70-41BA-ABA1-ED3959FE2F2F}"/>
    <cellStyle name="Normal 11 2 3 4 2 2 2 4" xfId="32383" xr:uid="{CC2E8E8E-ADE3-4EB8-AFF9-D64822D3C936}"/>
    <cellStyle name="Normal 11 2 3 4 2 2 2 4 2" xfId="32384" xr:uid="{891B5492-1355-446D-B944-413E481F183F}"/>
    <cellStyle name="Normal 11 2 3 4 2 2 2 4 2 2" xfId="32385" xr:uid="{F7792FD9-57FA-43A0-BB96-8C7601B02111}"/>
    <cellStyle name="Normal 11 2 3 4 2 2 2 4 2 2 2" xfId="32386" xr:uid="{32335692-E111-4622-88DB-2955D640F4F6}"/>
    <cellStyle name="Normal 11 2 3 4 2 2 2 4 2 3" xfId="32387" xr:uid="{86096BBE-8B01-48B7-836D-1EA5F95DE91A}"/>
    <cellStyle name="Normal 11 2 3 4 2 2 2 4 3" xfId="32388" xr:uid="{711BC81E-CE5F-4E84-9C61-A7D0D089A832}"/>
    <cellStyle name="Normal 11 2 3 4 2 2 2 4 3 2" xfId="32389" xr:uid="{83AA60AF-FCE8-40D7-BD5A-806AA57B0263}"/>
    <cellStyle name="Normal 11 2 3 4 2 2 2 4 4" xfId="32390" xr:uid="{72AE58E5-1121-4E75-983C-0F0CA228FC40}"/>
    <cellStyle name="Normal 11 2 3 4 2 2 2 5" xfId="32391" xr:uid="{86A015DB-D99D-43FE-9BA6-CF67C44B3B2B}"/>
    <cellStyle name="Normal 11 2 3 4 2 2 2 5 2" xfId="32392" xr:uid="{8D4EFC45-C8B5-4E9B-9610-96F9C277CFDE}"/>
    <cellStyle name="Normal 11 2 3 4 2 2 2 5 2 2" xfId="32393" xr:uid="{FAF635FF-663E-4FD7-812D-7D9438A5B725}"/>
    <cellStyle name="Normal 11 2 3 4 2 2 2 5 3" xfId="32394" xr:uid="{C324CCB3-458E-42DB-900A-1429827D6431}"/>
    <cellStyle name="Normal 11 2 3 4 2 2 2 6" xfId="32395" xr:uid="{A4A307AD-9CD2-4168-8F0B-BB7BEBE77C97}"/>
    <cellStyle name="Normal 11 2 3 4 2 2 2 6 2" xfId="32396" xr:uid="{3124518C-D750-4031-886B-4DA289198D93}"/>
    <cellStyle name="Normal 11 2 3 4 2 2 2 7" xfId="32397" xr:uid="{12DEF825-777E-4155-ADD9-D22288CF851E}"/>
    <cellStyle name="Normal 11 2 3 4 2 2 3" xfId="32398" xr:uid="{0E849F9B-80E3-45CD-9332-13FBF23D3496}"/>
    <cellStyle name="Normal 11 2 3 4 2 2 3 2" xfId="32399" xr:uid="{DFD9BA77-5B36-4E0C-8F7C-02AE0972F40C}"/>
    <cellStyle name="Normal 11 2 3 4 2 2 3 2 2" xfId="32400" xr:uid="{BA5E9763-049B-42B6-8B15-787669EC0B6E}"/>
    <cellStyle name="Normal 11 2 3 4 2 2 3 2 2 2" xfId="32401" xr:uid="{46ABA932-A32C-46ED-A793-8BDD08DB6F3A}"/>
    <cellStyle name="Normal 11 2 3 4 2 2 3 2 2 2 2" xfId="32402" xr:uid="{244DDE19-EFD1-4A72-A7F2-CC4444872B52}"/>
    <cellStyle name="Normal 11 2 3 4 2 2 3 2 2 2 2 2" xfId="32403" xr:uid="{6BDBBC0C-704C-49EE-8C44-A2617EBCE82F}"/>
    <cellStyle name="Normal 11 2 3 4 2 2 3 2 2 2 3" xfId="32404" xr:uid="{501494FD-A4A7-4417-92C4-49A7B3CB885F}"/>
    <cellStyle name="Normal 11 2 3 4 2 2 3 2 2 3" xfId="32405" xr:uid="{F68D1772-E9DA-4745-9733-DEA68F59AF12}"/>
    <cellStyle name="Normal 11 2 3 4 2 2 3 2 2 3 2" xfId="32406" xr:uid="{8847A262-52F3-4D65-94AF-CED2BC42908D}"/>
    <cellStyle name="Normal 11 2 3 4 2 2 3 2 2 4" xfId="32407" xr:uid="{6FB27E19-6515-4043-BFF0-2812C28DE36D}"/>
    <cellStyle name="Normal 11 2 3 4 2 2 3 2 3" xfId="32408" xr:uid="{8060D43E-BBBC-443B-B5AC-5F6CAB6DF99E}"/>
    <cellStyle name="Normal 11 2 3 4 2 2 3 2 3 2" xfId="32409" xr:uid="{714D1E34-E5A8-42F1-A11F-5AC2DF44C244}"/>
    <cellStyle name="Normal 11 2 3 4 2 2 3 2 3 2 2" xfId="32410" xr:uid="{F8E47D44-EBC0-40DF-82CB-6D347266ACA6}"/>
    <cellStyle name="Normal 11 2 3 4 2 2 3 2 3 3" xfId="32411" xr:uid="{051A8F2A-C2D9-4C15-AD45-1893AC1C860C}"/>
    <cellStyle name="Normal 11 2 3 4 2 2 3 2 4" xfId="32412" xr:uid="{89FF72B7-C1D5-4142-B80D-6D13017DD610}"/>
    <cellStyle name="Normal 11 2 3 4 2 2 3 2 4 2" xfId="32413" xr:uid="{FE7F4A51-06B7-411F-8ED2-EA04481BEF6E}"/>
    <cellStyle name="Normal 11 2 3 4 2 2 3 2 5" xfId="32414" xr:uid="{73E21A4F-2E3F-4B08-A185-7A117B5C1E10}"/>
    <cellStyle name="Normal 11 2 3 4 2 2 3 3" xfId="32415" xr:uid="{F59C5BF6-1500-4259-8844-D9191C7EB2D8}"/>
    <cellStyle name="Normal 11 2 3 4 2 2 3 3 2" xfId="32416" xr:uid="{AFF4A93C-EB21-4552-B5A0-AED22FCBEA29}"/>
    <cellStyle name="Normal 11 2 3 4 2 2 3 3 2 2" xfId="32417" xr:uid="{D0E513CE-5505-4991-8216-723D3D8BD97F}"/>
    <cellStyle name="Normal 11 2 3 4 2 2 3 3 2 2 2" xfId="32418" xr:uid="{BCBC15A1-76D4-42FE-B538-AD2AF9E7C51A}"/>
    <cellStyle name="Normal 11 2 3 4 2 2 3 3 2 3" xfId="32419" xr:uid="{AD8D6EF2-0DE5-4041-91C1-55EE4DF70982}"/>
    <cellStyle name="Normal 11 2 3 4 2 2 3 3 3" xfId="32420" xr:uid="{5114765A-E967-469A-8013-4A059A510A25}"/>
    <cellStyle name="Normal 11 2 3 4 2 2 3 3 3 2" xfId="32421" xr:uid="{B8A80C93-3552-4BC7-8ECE-7E193B4DAA31}"/>
    <cellStyle name="Normal 11 2 3 4 2 2 3 3 4" xfId="32422" xr:uid="{5D3D477C-5BC6-40A6-B0B5-4BF34AFC91E5}"/>
    <cellStyle name="Normal 11 2 3 4 2 2 3 4" xfId="32423" xr:uid="{216A6F0A-9147-4620-BC45-016FB7841797}"/>
    <cellStyle name="Normal 11 2 3 4 2 2 3 4 2" xfId="32424" xr:uid="{D8DFF375-A643-4130-A8F6-567A9C8F9277}"/>
    <cellStyle name="Normal 11 2 3 4 2 2 3 4 2 2" xfId="32425" xr:uid="{56273A45-1401-42BC-AA90-D433723B6CB2}"/>
    <cellStyle name="Normal 11 2 3 4 2 2 3 4 3" xfId="32426" xr:uid="{4E07B416-5D3B-4F4B-B20D-CA7DE2820F0D}"/>
    <cellStyle name="Normal 11 2 3 4 2 2 3 5" xfId="32427" xr:uid="{6DC963DF-675F-41C3-BB44-6AE03426437D}"/>
    <cellStyle name="Normal 11 2 3 4 2 2 3 5 2" xfId="32428" xr:uid="{BA390927-51F5-4782-9352-803FDC8552E1}"/>
    <cellStyle name="Normal 11 2 3 4 2 2 3 6" xfId="32429" xr:uid="{C1CDD413-2DE3-4D89-8CE4-2E1910A82435}"/>
    <cellStyle name="Normal 11 2 3 4 2 2 4" xfId="32430" xr:uid="{37C9F148-CD48-4234-A794-3571A200072C}"/>
    <cellStyle name="Normal 11 2 3 4 2 2 4 2" xfId="32431" xr:uid="{D8218868-EF46-43A7-B46B-76DE49441BC5}"/>
    <cellStyle name="Normal 11 2 3 4 2 2 4 2 2" xfId="32432" xr:uid="{4AD64432-9513-4326-A610-27BA4AD98D33}"/>
    <cellStyle name="Normal 11 2 3 4 2 2 4 2 2 2" xfId="32433" xr:uid="{B5F21277-9E93-4806-9CC8-CCEC4AB7D35F}"/>
    <cellStyle name="Normal 11 2 3 4 2 2 4 2 2 2 2" xfId="32434" xr:uid="{425B4AE5-0BE5-41B3-8BDB-3A8E29019B79}"/>
    <cellStyle name="Normal 11 2 3 4 2 2 4 2 2 3" xfId="32435" xr:uid="{BBA19536-C07F-419D-9BDA-E9E6F553C5FE}"/>
    <cellStyle name="Normal 11 2 3 4 2 2 4 2 3" xfId="32436" xr:uid="{42ADDF9B-3F2D-4932-972A-050C9CCBC6AA}"/>
    <cellStyle name="Normal 11 2 3 4 2 2 4 2 3 2" xfId="32437" xr:uid="{C95867E5-2C8C-474C-B24A-DD31BEEAF38B}"/>
    <cellStyle name="Normal 11 2 3 4 2 2 4 2 4" xfId="32438" xr:uid="{9FDC9FC1-5F56-442F-B88F-7635B937D413}"/>
    <cellStyle name="Normal 11 2 3 4 2 2 4 3" xfId="32439" xr:uid="{BDF92F05-5525-4472-A1EC-0383CC1DAEB4}"/>
    <cellStyle name="Normal 11 2 3 4 2 2 4 3 2" xfId="32440" xr:uid="{57EDD4C8-B56F-467B-97E0-966C3103B300}"/>
    <cellStyle name="Normal 11 2 3 4 2 2 4 3 2 2" xfId="32441" xr:uid="{55761B75-6DEE-48B2-ADF1-D3D4FD60478B}"/>
    <cellStyle name="Normal 11 2 3 4 2 2 4 3 3" xfId="32442" xr:uid="{7E88B599-61DB-4596-BE2A-D42C465279E7}"/>
    <cellStyle name="Normal 11 2 3 4 2 2 4 4" xfId="32443" xr:uid="{B58CBC37-E8BC-4BEF-A266-C741B2C27AF7}"/>
    <cellStyle name="Normal 11 2 3 4 2 2 4 4 2" xfId="32444" xr:uid="{0345FED7-A228-42F0-96F9-C5D4246CC3FB}"/>
    <cellStyle name="Normal 11 2 3 4 2 2 4 5" xfId="32445" xr:uid="{F8FB99A0-5A2D-4E1B-BC71-4CC2FE6B2B2F}"/>
    <cellStyle name="Normal 11 2 3 4 2 2 5" xfId="32446" xr:uid="{13508B6D-E445-4DC3-BCF1-75FC1563F06A}"/>
    <cellStyle name="Normal 11 2 3 4 2 2 5 2" xfId="32447" xr:uid="{FB69C713-97E2-4AF7-8744-7D4C1D343EF8}"/>
    <cellStyle name="Normal 11 2 3 4 2 2 5 2 2" xfId="32448" xr:uid="{8FB8757F-C369-4370-8FC9-9C79FDCF6F37}"/>
    <cellStyle name="Normal 11 2 3 4 2 2 5 2 2 2" xfId="32449" xr:uid="{35B3F649-19A0-4C97-9875-14E538E96FB3}"/>
    <cellStyle name="Normal 11 2 3 4 2 2 5 2 3" xfId="32450" xr:uid="{47B2920A-8CEE-4847-8470-BCB3F0010CC3}"/>
    <cellStyle name="Normal 11 2 3 4 2 2 5 3" xfId="32451" xr:uid="{BD62CDC9-6C7E-4271-8299-5C48F79989D0}"/>
    <cellStyle name="Normal 11 2 3 4 2 2 5 3 2" xfId="32452" xr:uid="{C1752242-DC4F-4341-9682-2A1FAC0A884D}"/>
    <cellStyle name="Normal 11 2 3 4 2 2 5 4" xfId="32453" xr:uid="{BBD1581A-7143-49C2-A0FC-4D3FEC40A1B5}"/>
    <cellStyle name="Normal 11 2 3 4 2 2 6" xfId="32454" xr:uid="{D2D6A6B3-E8F0-48B3-83BD-CCCE2373F337}"/>
    <cellStyle name="Normal 11 2 3 4 2 2 6 2" xfId="32455" xr:uid="{03988CD5-23BE-4C4D-BB33-9D2A6FDF488A}"/>
    <cellStyle name="Normal 11 2 3 4 2 2 6 2 2" xfId="32456" xr:uid="{2BD11270-40A8-4698-A3AD-A4A2A4BA721A}"/>
    <cellStyle name="Normal 11 2 3 4 2 2 6 3" xfId="32457" xr:uid="{AAF4C060-C5A1-403A-A92A-4E83DCDB48DB}"/>
    <cellStyle name="Normal 11 2 3 4 2 2 7" xfId="32458" xr:uid="{07F649FC-CE0A-4803-B24B-1F23C2B82C10}"/>
    <cellStyle name="Normal 11 2 3 4 2 2 7 2" xfId="32459" xr:uid="{672E3607-96DD-4A66-AEC3-485DE3499933}"/>
    <cellStyle name="Normal 11 2 3 4 2 2 8" xfId="32460" xr:uid="{ED3DB2D5-DFEA-44A4-AD23-371E09D9D4CA}"/>
    <cellStyle name="Normal 11 2 3 4 2 3" xfId="32461" xr:uid="{F88ADA20-75EB-48A5-A426-31D04B31514E}"/>
    <cellStyle name="Normal 11 2 3 4 2 3 2" xfId="32462" xr:uid="{6BDC33D3-2175-42B5-A225-1234E4C5C6F8}"/>
    <cellStyle name="Normal 11 2 3 4 2 3 2 2" xfId="32463" xr:uid="{1D16BF53-376C-40BB-8C9C-F4BC9F71B84E}"/>
    <cellStyle name="Normal 11 2 3 4 2 3 2 2 2" xfId="32464" xr:uid="{501256EF-A306-493F-A0D5-6C073B824AD1}"/>
    <cellStyle name="Normal 11 2 3 4 2 3 2 2 2 2" xfId="32465" xr:uid="{B89910C4-0617-4102-8401-D395459E0FCC}"/>
    <cellStyle name="Normal 11 2 3 4 2 3 2 2 2 2 2" xfId="32466" xr:uid="{6D670228-FD5C-487C-9BA9-D581D45EDB31}"/>
    <cellStyle name="Normal 11 2 3 4 2 3 2 2 2 2 2 2" xfId="32467" xr:uid="{99C9B527-B7AD-45BD-BDFE-1FFB66067557}"/>
    <cellStyle name="Normal 11 2 3 4 2 3 2 2 2 2 3" xfId="32468" xr:uid="{F4796EA1-4341-4E3F-BB79-CCE75FAF71B5}"/>
    <cellStyle name="Normal 11 2 3 4 2 3 2 2 2 3" xfId="32469" xr:uid="{A4F75E8A-314F-4E94-A4B3-6DE7E890955E}"/>
    <cellStyle name="Normal 11 2 3 4 2 3 2 2 2 3 2" xfId="32470" xr:uid="{0457BADB-B04C-4DE3-BC06-06BCD0794C8A}"/>
    <cellStyle name="Normal 11 2 3 4 2 3 2 2 2 4" xfId="32471" xr:uid="{540D1394-B565-4013-9660-170C03E4ED4D}"/>
    <cellStyle name="Normal 11 2 3 4 2 3 2 2 3" xfId="32472" xr:uid="{6D155063-C556-4539-A303-EA4A8E4A086A}"/>
    <cellStyle name="Normal 11 2 3 4 2 3 2 2 3 2" xfId="32473" xr:uid="{41225F74-A921-4618-BB56-03A84FD0C589}"/>
    <cellStyle name="Normal 11 2 3 4 2 3 2 2 3 2 2" xfId="32474" xr:uid="{9560FD64-9D3B-4CEA-9C0A-FFDCA8E76DA3}"/>
    <cellStyle name="Normal 11 2 3 4 2 3 2 2 3 3" xfId="32475" xr:uid="{67D6FB9C-7F21-47EC-90F0-7DA73B37F337}"/>
    <cellStyle name="Normal 11 2 3 4 2 3 2 2 4" xfId="32476" xr:uid="{3A244541-884D-4D0E-BDC2-1BB05BEEBF29}"/>
    <cellStyle name="Normal 11 2 3 4 2 3 2 2 4 2" xfId="32477" xr:uid="{E5937BC8-01F7-4C90-9096-E04C9082F720}"/>
    <cellStyle name="Normal 11 2 3 4 2 3 2 2 5" xfId="32478" xr:uid="{3A476341-5F0B-4B58-8CD5-33D3408DF1C2}"/>
    <cellStyle name="Normal 11 2 3 4 2 3 2 3" xfId="32479" xr:uid="{7B16F49D-7FAC-43FC-B74E-9044B101B4B5}"/>
    <cellStyle name="Normal 11 2 3 4 2 3 2 3 2" xfId="32480" xr:uid="{BF02B641-8D00-44FF-B178-B09B8108AE39}"/>
    <cellStyle name="Normal 11 2 3 4 2 3 2 3 2 2" xfId="32481" xr:uid="{9052F6D8-6B28-406B-A865-236BF768F0BE}"/>
    <cellStyle name="Normal 11 2 3 4 2 3 2 3 2 2 2" xfId="32482" xr:uid="{58768A26-0836-4FF5-A86C-474A52FE7436}"/>
    <cellStyle name="Normal 11 2 3 4 2 3 2 3 2 3" xfId="32483" xr:uid="{45389383-AEC6-4FBE-9B49-990047DE425B}"/>
    <cellStyle name="Normal 11 2 3 4 2 3 2 3 3" xfId="32484" xr:uid="{2E3111DC-1649-4274-B3FE-C8E4617BDC1E}"/>
    <cellStyle name="Normal 11 2 3 4 2 3 2 3 3 2" xfId="32485" xr:uid="{974627E0-91DC-4119-98F1-6B9C2D677C5F}"/>
    <cellStyle name="Normal 11 2 3 4 2 3 2 3 4" xfId="32486" xr:uid="{11FFE51D-8996-44D5-B4CF-C6062630D93F}"/>
    <cellStyle name="Normal 11 2 3 4 2 3 2 4" xfId="32487" xr:uid="{0FEF2098-1F17-431B-8D2C-9E9E0DE6390D}"/>
    <cellStyle name="Normal 11 2 3 4 2 3 2 4 2" xfId="32488" xr:uid="{98ED61C8-14A5-4C5B-937A-E4080A65FEE2}"/>
    <cellStyle name="Normal 11 2 3 4 2 3 2 4 2 2" xfId="32489" xr:uid="{E24AF925-169A-46C2-8107-435217BF3C39}"/>
    <cellStyle name="Normal 11 2 3 4 2 3 2 4 3" xfId="32490" xr:uid="{D72022EC-AED6-49E6-B504-DDEC39F1D7A8}"/>
    <cellStyle name="Normal 11 2 3 4 2 3 2 5" xfId="32491" xr:uid="{5943A875-624B-44F8-B86B-B7E46EC3011C}"/>
    <cellStyle name="Normal 11 2 3 4 2 3 2 5 2" xfId="32492" xr:uid="{E22ECDEC-EB22-4DA1-9F3E-23E579FE3AD0}"/>
    <cellStyle name="Normal 11 2 3 4 2 3 2 6" xfId="32493" xr:uid="{067A3BE0-064B-46E8-88BB-F58D5EE59BF1}"/>
    <cellStyle name="Normal 11 2 3 4 2 3 3" xfId="32494" xr:uid="{6FFA8416-9C5C-4854-94BF-708E14BB2E48}"/>
    <cellStyle name="Normal 11 2 3 4 2 3 3 2" xfId="32495" xr:uid="{39C1138D-908E-4705-9D3F-94FD4F4935EA}"/>
    <cellStyle name="Normal 11 2 3 4 2 3 3 2 2" xfId="32496" xr:uid="{C5D25D60-E989-4735-AB96-933E36212934}"/>
    <cellStyle name="Normal 11 2 3 4 2 3 3 2 2 2" xfId="32497" xr:uid="{20E6B9B2-C2B8-452B-88A2-324F63C49963}"/>
    <cellStyle name="Normal 11 2 3 4 2 3 3 2 2 2 2" xfId="32498" xr:uid="{B8EA8F08-3AA1-406E-B508-B8A76C379984}"/>
    <cellStyle name="Normal 11 2 3 4 2 3 3 2 2 3" xfId="32499" xr:uid="{BD1C561F-94C1-4ABC-8698-F7163D74100D}"/>
    <cellStyle name="Normal 11 2 3 4 2 3 3 2 3" xfId="32500" xr:uid="{B4A9BE57-B10F-4514-8A7D-99946E5A42DD}"/>
    <cellStyle name="Normal 11 2 3 4 2 3 3 2 3 2" xfId="32501" xr:uid="{1CFB83E1-D3BC-45C5-B8C9-5906D04724D6}"/>
    <cellStyle name="Normal 11 2 3 4 2 3 3 2 4" xfId="32502" xr:uid="{8969667C-B81E-4A52-BB40-8488F4F98046}"/>
    <cellStyle name="Normal 11 2 3 4 2 3 3 3" xfId="32503" xr:uid="{3E3CE9D5-F885-4DED-AE84-5A9C97C0F31F}"/>
    <cellStyle name="Normal 11 2 3 4 2 3 3 3 2" xfId="32504" xr:uid="{1DCB0C88-C45B-4AAE-8B65-F5DD8838707B}"/>
    <cellStyle name="Normal 11 2 3 4 2 3 3 3 2 2" xfId="32505" xr:uid="{D996024E-94B1-43F6-A79C-85A13717F436}"/>
    <cellStyle name="Normal 11 2 3 4 2 3 3 3 3" xfId="32506" xr:uid="{7BAC03A2-D809-465A-B732-AC149D75956F}"/>
    <cellStyle name="Normal 11 2 3 4 2 3 3 4" xfId="32507" xr:uid="{85BFF930-4E5F-4122-BB23-D300E37F486E}"/>
    <cellStyle name="Normal 11 2 3 4 2 3 3 4 2" xfId="32508" xr:uid="{5B87F14F-0505-4545-A476-7377064B38CD}"/>
    <cellStyle name="Normal 11 2 3 4 2 3 3 5" xfId="32509" xr:uid="{E806687B-3B52-444F-AD91-F2B87DFB87FE}"/>
    <cellStyle name="Normal 11 2 3 4 2 3 4" xfId="32510" xr:uid="{2F5F158A-6D52-46B0-B436-C28DCB7AB9DD}"/>
    <cellStyle name="Normal 11 2 3 4 2 3 4 2" xfId="32511" xr:uid="{C4948CEB-D697-4B2E-BF88-B976AD78CD1E}"/>
    <cellStyle name="Normal 11 2 3 4 2 3 4 2 2" xfId="32512" xr:uid="{90871B83-A5A1-47A3-814A-209338EE1B73}"/>
    <cellStyle name="Normal 11 2 3 4 2 3 4 2 2 2" xfId="32513" xr:uid="{15B980C9-389C-4042-8737-9EE15414B2A5}"/>
    <cellStyle name="Normal 11 2 3 4 2 3 4 2 3" xfId="32514" xr:uid="{43A3226D-B6FA-4233-8338-E1A5826E844E}"/>
    <cellStyle name="Normal 11 2 3 4 2 3 4 3" xfId="32515" xr:uid="{0B0A25E3-7248-4069-9DA7-21D4E64CC362}"/>
    <cellStyle name="Normal 11 2 3 4 2 3 4 3 2" xfId="32516" xr:uid="{B5953B23-DCFA-4EC9-AB5F-C8DAB5BD29CA}"/>
    <cellStyle name="Normal 11 2 3 4 2 3 4 4" xfId="32517" xr:uid="{A084434E-6F05-491F-8E20-D4A1E893C6B8}"/>
    <cellStyle name="Normal 11 2 3 4 2 3 5" xfId="32518" xr:uid="{4D42D0DC-4643-4397-9941-EE2C706EEAD8}"/>
    <cellStyle name="Normal 11 2 3 4 2 3 5 2" xfId="32519" xr:uid="{79AFB6C8-8B64-4B9D-8880-9C843FBB562E}"/>
    <cellStyle name="Normal 11 2 3 4 2 3 5 2 2" xfId="32520" xr:uid="{25D9F4D7-5186-43BC-9CD6-A73F7BA7A18C}"/>
    <cellStyle name="Normal 11 2 3 4 2 3 5 3" xfId="32521" xr:uid="{7747F915-846D-4B2D-9D07-68B39A061C67}"/>
    <cellStyle name="Normal 11 2 3 4 2 3 6" xfId="32522" xr:uid="{3569CC4F-B426-4D83-B87F-AC7372AB2562}"/>
    <cellStyle name="Normal 11 2 3 4 2 3 6 2" xfId="32523" xr:uid="{FB9E5511-6293-4EF4-80C6-8F040CD0D4E7}"/>
    <cellStyle name="Normal 11 2 3 4 2 3 7" xfId="32524" xr:uid="{6E5D11A5-23D9-414A-916B-4672E1BDDD10}"/>
    <cellStyle name="Normal 11 2 3 4 2 4" xfId="32525" xr:uid="{2E822D8A-9C91-4ACC-8D73-7E9CFD2450D4}"/>
    <cellStyle name="Normal 11 2 3 4 2 4 2" xfId="32526" xr:uid="{0030884C-DBB3-442F-92CC-34F05DAD5A06}"/>
    <cellStyle name="Normal 11 2 3 4 2 4 2 2" xfId="32527" xr:uid="{BEFC34C1-B091-4B0C-98F5-6D94C9186A9C}"/>
    <cellStyle name="Normal 11 2 3 4 2 4 2 2 2" xfId="32528" xr:uid="{DB3E277E-15DC-4D87-9E7C-5636D411D432}"/>
    <cellStyle name="Normal 11 2 3 4 2 4 2 2 2 2" xfId="32529" xr:uid="{A9DA7F70-DF20-4E33-910D-17EEC630BBFC}"/>
    <cellStyle name="Normal 11 2 3 4 2 4 2 2 2 2 2" xfId="32530" xr:uid="{6F3D7C5E-D3FD-4213-A328-29EA04896D7E}"/>
    <cellStyle name="Normal 11 2 3 4 2 4 2 2 2 3" xfId="32531" xr:uid="{3A5340F2-91C7-479B-B36D-8CE0C182917E}"/>
    <cellStyle name="Normal 11 2 3 4 2 4 2 2 3" xfId="32532" xr:uid="{EF95BADE-8AD0-4D2E-A62A-2F567D661321}"/>
    <cellStyle name="Normal 11 2 3 4 2 4 2 2 3 2" xfId="32533" xr:uid="{785CCB1F-1EA6-496B-84E4-6A3819EFDEF3}"/>
    <cellStyle name="Normal 11 2 3 4 2 4 2 2 4" xfId="32534" xr:uid="{E548408E-D963-4757-9364-F9FEC6C08943}"/>
    <cellStyle name="Normal 11 2 3 4 2 4 2 3" xfId="32535" xr:uid="{8922E234-05A7-44EC-A85B-B19CA9FC7373}"/>
    <cellStyle name="Normal 11 2 3 4 2 4 2 3 2" xfId="32536" xr:uid="{1F30B511-178A-4E7E-A441-9B0896525B67}"/>
    <cellStyle name="Normal 11 2 3 4 2 4 2 3 2 2" xfId="32537" xr:uid="{F7CA6B14-560E-452A-BA0D-83DFE5892533}"/>
    <cellStyle name="Normal 11 2 3 4 2 4 2 3 3" xfId="32538" xr:uid="{6B79E2E2-4259-490D-A034-E26B07FDD37F}"/>
    <cellStyle name="Normal 11 2 3 4 2 4 2 4" xfId="32539" xr:uid="{1ACA8D1F-5D19-4CBE-ADF7-FDBD12D55458}"/>
    <cellStyle name="Normal 11 2 3 4 2 4 2 4 2" xfId="32540" xr:uid="{2AD7E9C5-9C51-4C90-8A20-2CB3085DF961}"/>
    <cellStyle name="Normal 11 2 3 4 2 4 2 5" xfId="32541" xr:uid="{6AA73A31-88CE-490D-819C-325A3C7C5DC5}"/>
    <cellStyle name="Normal 11 2 3 4 2 4 3" xfId="32542" xr:uid="{13B2205F-31A5-43B8-9355-E0291FA1DE2E}"/>
    <cellStyle name="Normal 11 2 3 4 2 4 3 2" xfId="32543" xr:uid="{AF4534D3-E866-4F70-A8C7-B9A7E22E0F31}"/>
    <cellStyle name="Normal 11 2 3 4 2 4 3 2 2" xfId="32544" xr:uid="{8104F2C6-389E-426A-B89B-371E2629F168}"/>
    <cellStyle name="Normal 11 2 3 4 2 4 3 2 2 2" xfId="32545" xr:uid="{89922673-C0D2-4734-8D20-82C490B985A0}"/>
    <cellStyle name="Normal 11 2 3 4 2 4 3 2 3" xfId="32546" xr:uid="{389A9A9F-6CD9-46E4-80A7-FD54911E21E2}"/>
    <cellStyle name="Normal 11 2 3 4 2 4 3 3" xfId="32547" xr:uid="{A3DEFE01-D0BC-4241-933E-949C665B542E}"/>
    <cellStyle name="Normal 11 2 3 4 2 4 3 3 2" xfId="32548" xr:uid="{7E6EFE0B-824A-4592-B61B-5C6570C3055A}"/>
    <cellStyle name="Normal 11 2 3 4 2 4 3 4" xfId="32549" xr:uid="{C937B52A-12B8-4E20-B8D8-7F9FBD12A4EE}"/>
    <cellStyle name="Normal 11 2 3 4 2 4 4" xfId="32550" xr:uid="{6AF0D159-8B5F-4115-84D4-CD46C5D5FE95}"/>
    <cellStyle name="Normal 11 2 3 4 2 4 4 2" xfId="32551" xr:uid="{AF355BAA-3819-44F6-A18B-A3EADC194606}"/>
    <cellStyle name="Normal 11 2 3 4 2 4 4 2 2" xfId="32552" xr:uid="{BA18F578-E1D1-4491-946E-E6A6C7058346}"/>
    <cellStyle name="Normal 11 2 3 4 2 4 4 3" xfId="32553" xr:uid="{178C4CF8-3C4A-4A31-ACBE-50599020A99A}"/>
    <cellStyle name="Normal 11 2 3 4 2 4 5" xfId="32554" xr:uid="{03163FF8-CB8E-4C33-92E8-E0B861074412}"/>
    <cellStyle name="Normal 11 2 3 4 2 4 5 2" xfId="32555" xr:uid="{9A62096E-22B9-47DD-A49D-916B52DB821D}"/>
    <cellStyle name="Normal 11 2 3 4 2 4 6" xfId="32556" xr:uid="{1531C75A-477E-4454-A761-9E875100F516}"/>
    <cellStyle name="Normal 11 2 3 4 2 5" xfId="32557" xr:uid="{C456D5A4-EC22-45DC-816A-E59F4E552C07}"/>
    <cellStyle name="Normal 11 2 3 4 2 5 2" xfId="32558" xr:uid="{45E8B6F3-A76C-4C76-85C3-AE0ACF328317}"/>
    <cellStyle name="Normal 11 2 3 4 2 5 2 2" xfId="32559" xr:uid="{2B106732-04D7-4104-8E41-1CE518B3DE3B}"/>
    <cellStyle name="Normal 11 2 3 4 2 5 2 2 2" xfId="32560" xr:uid="{32D8847C-CA33-4819-BBBB-BFD468E79DDC}"/>
    <cellStyle name="Normal 11 2 3 4 2 5 2 2 2 2" xfId="32561" xr:uid="{23246548-9951-40B6-8FB6-A4BC60A504C9}"/>
    <cellStyle name="Normal 11 2 3 4 2 5 2 2 3" xfId="32562" xr:uid="{AA0B134B-885D-46AC-9F1C-6B4550F93603}"/>
    <cellStyle name="Normal 11 2 3 4 2 5 2 3" xfId="32563" xr:uid="{773AD99A-7442-4825-8ED2-EAF916D43CEB}"/>
    <cellStyle name="Normal 11 2 3 4 2 5 2 3 2" xfId="32564" xr:uid="{18144E04-308F-4B5E-8A0B-7106D0590E46}"/>
    <cellStyle name="Normal 11 2 3 4 2 5 2 4" xfId="32565" xr:uid="{DCF75C81-AAE0-4B6A-86DB-55AF68A60FA8}"/>
    <cellStyle name="Normal 11 2 3 4 2 5 3" xfId="32566" xr:uid="{9B2AF264-C0DC-4123-A238-56192CD1287D}"/>
    <cellStyle name="Normal 11 2 3 4 2 5 3 2" xfId="32567" xr:uid="{A302B2E0-E9EC-4AB9-8FF9-FB87E948E422}"/>
    <cellStyle name="Normal 11 2 3 4 2 5 3 2 2" xfId="32568" xr:uid="{CD8F35C2-69A7-4B23-835E-A9F59FD9EAF2}"/>
    <cellStyle name="Normal 11 2 3 4 2 5 3 3" xfId="32569" xr:uid="{873FA4D9-B8C7-43D4-84DA-3BF461655B3C}"/>
    <cellStyle name="Normal 11 2 3 4 2 5 4" xfId="32570" xr:uid="{332B6A9F-9378-4D49-AEEE-5FC705D20C29}"/>
    <cellStyle name="Normal 11 2 3 4 2 5 4 2" xfId="32571" xr:uid="{3328CF40-EE48-4156-AFE9-2B101066E1DA}"/>
    <cellStyle name="Normal 11 2 3 4 2 5 5" xfId="32572" xr:uid="{A83157FB-B252-4267-871D-782E19079E59}"/>
    <cellStyle name="Normal 11 2 3 4 2 6" xfId="32573" xr:uid="{783F63EA-E637-436E-985A-CD7E4580F16E}"/>
    <cellStyle name="Normal 11 2 3 4 2 6 2" xfId="32574" xr:uid="{55BDCEA5-7B67-44E8-9A32-C3FD7790B981}"/>
    <cellStyle name="Normal 11 2 3 4 2 6 2 2" xfId="32575" xr:uid="{C68FA5FA-A576-4B13-99A1-B2252A7FEA5E}"/>
    <cellStyle name="Normal 11 2 3 4 2 6 2 2 2" xfId="32576" xr:uid="{09ED3074-1366-4134-B7F9-966828717729}"/>
    <cellStyle name="Normal 11 2 3 4 2 6 2 3" xfId="32577" xr:uid="{438A8B43-9495-493F-90A4-CFA95E915A67}"/>
    <cellStyle name="Normal 11 2 3 4 2 6 3" xfId="32578" xr:uid="{444A27E8-E515-46B1-9490-98A6367A4556}"/>
    <cellStyle name="Normal 11 2 3 4 2 6 3 2" xfId="32579" xr:uid="{F9DCA750-ADF0-44FA-96F7-B64A82A8D289}"/>
    <cellStyle name="Normal 11 2 3 4 2 6 4" xfId="32580" xr:uid="{821CEFE2-713F-4B8D-92B6-5FF3ABC21FEE}"/>
    <cellStyle name="Normal 11 2 3 4 2 7" xfId="32581" xr:uid="{37A102AB-DB30-427E-BF9B-38E3C854A76A}"/>
    <cellStyle name="Normal 11 2 3 4 2 7 2" xfId="32582" xr:uid="{060543D2-9FEF-41EA-BC76-C45D5305D0CD}"/>
    <cellStyle name="Normal 11 2 3 4 2 7 2 2" xfId="32583" xr:uid="{4710AB4A-A3F7-4EB8-848F-679D78CF336F}"/>
    <cellStyle name="Normal 11 2 3 4 2 7 3" xfId="32584" xr:uid="{0E32C708-7646-4810-A675-9508872A14E4}"/>
    <cellStyle name="Normal 11 2 3 4 2 8" xfId="32585" xr:uid="{76E6E07D-3B7A-4CD6-B080-0B66645F246F}"/>
    <cellStyle name="Normal 11 2 3 4 2 8 2" xfId="32586" xr:uid="{99EFCB7B-2056-4DF7-8105-9B6290B0BC23}"/>
    <cellStyle name="Normal 11 2 3 4 2 9" xfId="32587" xr:uid="{14C02BDE-968B-49A9-B735-A7BB094D4091}"/>
    <cellStyle name="Normal 11 2 3 4 3" xfId="495" xr:uid="{BDB21BA7-1560-4C59-9F5E-DAADD3F47C17}"/>
    <cellStyle name="Normal 11 2 3 4 3 2" xfId="32589" xr:uid="{9879664C-82EF-4A34-BA0E-AD4A042C8715}"/>
    <cellStyle name="Normal 11 2 3 4 3 2 2" xfId="32590" xr:uid="{FE7A7F19-726C-4624-8991-B2B47D3C6EEC}"/>
    <cellStyle name="Normal 11 2 3 4 3 2 2 2" xfId="32591" xr:uid="{E4EE695F-B758-4C8E-85CB-9297C683E263}"/>
    <cellStyle name="Normal 11 2 3 4 3 2 2 2 2" xfId="32592" xr:uid="{853A5C18-6C7D-4164-B43C-B8481BB8C70C}"/>
    <cellStyle name="Normal 11 2 3 4 3 2 2 2 2 2" xfId="32593" xr:uid="{DE0BE224-EA24-4B59-821B-8663E579BA84}"/>
    <cellStyle name="Normal 11 2 3 4 3 2 2 2 2 2 2" xfId="32594" xr:uid="{6F4E535E-AB32-4305-BA53-6F4E10195479}"/>
    <cellStyle name="Normal 11 2 3 4 3 2 2 2 2 2 2 2" xfId="32595" xr:uid="{1DC258E1-94DB-47D2-B4C6-3E7F35F2709D}"/>
    <cellStyle name="Normal 11 2 3 4 3 2 2 2 2 2 3" xfId="32596" xr:uid="{9EABAFCE-7B6D-458D-BB73-494F0DC53102}"/>
    <cellStyle name="Normal 11 2 3 4 3 2 2 2 2 3" xfId="32597" xr:uid="{0F255407-5CB9-488A-99A0-AB824211456F}"/>
    <cellStyle name="Normal 11 2 3 4 3 2 2 2 2 3 2" xfId="32598" xr:uid="{A1A638E9-B1DB-447F-8C37-764724276654}"/>
    <cellStyle name="Normal 11 2 3 4 3 2 2 2 2 4" xfId="32599" xr:uid="{FE84F224-BEB3-46AC-81F5-912AD7551AE9}"/>
    <cellStyle name="Normal 11 2 3 4 3 2 2 2 3" xfId="32600" xr:uid="{65DF184E-7645-4838-AE6B-4371EF7B9739}"/>
    <cellStyle name="Normal 11 2 3 4 3 2 2 2 3 2" xfId="32601" xr:uid="{ED513412-2F9A-4CF2-86EF-334C31975745}"/>
    <cellStyle name="Normal 11 2 3 4 3 2 2 2 3 2 2" xfId="32602" xr:uid="{CA391FCC-5EBF-413C-A1F4-334157224E17}"/>
    <cellStyle name="Normal 11 2 3 4 3 2 2 2 3 3" xfId="32603" xr:uid="{43E50279-F850-413B-8911-F8DD5710D564}"/>
    <cellStyle name="Normal 11 2 3 4 3 2 2 2 4" xfId="32604" xr:uid="{C6FCFA5E-11F4-4990-B25F-68E36644B603}"/>
    <cellStyle name="Normal 11 2 3 4 3 2 2 2 4 2" xfId="32605" xr:uid="{E8FE260B-3943-4B16-A9A3-3B9803FA1A7B}"/>
    <cellStyle name="Normal 11 2 3 4 3 2 2 2 5" xfId="32606" xr:uid="{B602A95E-C01A-442B-A5D1-93E3A8281ADA}"/>
    <cellStyle name="Normal 11 2 3 4 3 2 2 3" xfId="32607" xr:uid="{51F456E6-EEBC-4A24-BC87-38E316DEB2B6}"/>
    <cellStyle name="Normal 11 2 3 4 3 2 2 3 2" xfId="32608" xr:uid="{DBC1F4F9-8838-49DE-A97D-B4D856CC7F5B}"/>
    <cellStyle name="Normal 11 2 3 4 3 2 2 3 2 2" xfId="32609" xr:uid="{6BBC407D-E0AA-4168-86DA-BDC09BAA9B41}"/>
    <cellStyle name="Normal 11 2 3 4 3 2 2 3 2 2 2" xfId="32610" xr:uid="{DCF51E6A-E71A-4596-BA87-8A4142E55518}"/>
    <cellStyle name="Normal 11 2 3 4 3 2 2 3 2 3" xfId="32611" xr:uid="{DF4F948D-67ED-412B-A15D-27DCDB079E7F}"/>
    <cellStyle name="Normal 11 2 3 4 3 2 2 3 3" xfId="32612" xr:uid="{A1806F4D-6996-4094-8D8B-A6455CBD771C}"/>
    <cellStyle name="Normal 11 2 3 4 3 2 2 3 3 2" xfId="32613" xr:uid="{BD3B5A64-0A01-4426-A4E8-563FF2679C43}"/>
    <cellStyle name="Normal 11 2 3 4 3 2 2 3 4" xfId="32614" xr:uid="{02BEDED6-7C0C-4D3C-9B05-BA521D9FB8B8}"/>
    <cellStyle name="Normal 11 2 3 4 3 2 2 4" xfId="32615" xr:uid="{83A9CE11-AA50-4E83-9CAE-14F4678FCC3F}"/>
    <cellStyle name="Normal 11 2 3 4 3 2 2 4 2" xfId="32616" xr:uid="{F8BE9955-B7DA-4903-8F60-B9396ED37BB8}"/>
    <cellStyle name="Normal 11 2 3 4 3 2 2 4 2 2" xfId="32617" xr:uid="{99E7151F-0968-463A-BD8B-3DEE9F3816BE}"/>
    <cellStyle name="Normal 11 2 3 4 3 2 2 4 3" xfId="32618" xr:uid="{C841A0BC-170E-43C7-AFA8-D05037A126A0}"/>
    <cellStyle name="Normal 11 2 3 4 3 2 2 5" xfId="32619" xr:uid="{7332E3BD-3714-470E-991D-3065CDCB902D}"/>
    <cellStyle name="Normal 11 2 3 4 3 2 2 5 2" xfId="32620" xr:uid="{73750D6B-76F0-4D66-88C1-EDB44CD62632}"/>
    <cellStyle name="Normal 11 2 3 4 3 2 2 6" xfId="32621" xr:uid="{5A86CEB4-DB1C-4771-8A4C-920BB7145044}"/>
    <cellStyle name="Normal 11 2 3 4 3 2 3" xfId="32622" xr:uid="{44DEDA12-7D92-44C8-841B-D56257ACE941}"/>
    <cellStyle name="Normal 11 2 3 4 3 2 3 2" xfId="32623" xr:uid="{BFF45235-E033-4691-8C96-57C8A35160BB}"/>
    <cellStyle name="Normal 11 2 3 4 3 2 3 2 2" xfId="32624" xr:uid="{29F23035-24ED-4AFA-A417-3C07DB29006E}"/>
    <cellStyle name="Normal 11 2 3 4 3 2 3 2 2 2" xfId="32625" xr:uid="{E3568057-5F9F-4C4C-9658-993738EA683C}"/>
    <cellStyle name="Normal 11 2 3 4 3 2 3 2 2 2 2" xfId="32626" xr:uid="{E69DC478-81AB-44E6-9590-E5A0B879CAF9}"/>
    <cellStyle name="Normal 11 2 3 4 3 2 3 2 2 3" xfId="32627" xr:uid="{B39A2A59-78BA-4E2D-BB6E-D31B063FCEC5}"/>
    <cellStyle name="Normal 11 2 3 4 3 2 3 2 3" xfId="32628" xr:uid="{DE25AB47-BEE7-44B6-B92F-0D4F29760DF1}"/>
    <cellStyle name="Normal 11 2 3 4 3 2 3 2 3 2" xfId="32629" xr:uid="{72C73067-86C1-40F5-A81B-F7CE56E5568B}"/>
    <cellStyle name="Normal 11 2 3 4 3 2 3 2 4" xfId="32630" xr:uid="{4C743383-DA00-4E4A-8C49-F21FE3BDE99C}"/>
    <cellStyle name="Normal 11 2 3 4 3 2 3 3" xfId="32631" xr:uid="{5A03CD21-9A93-4F6B-A11D-9D52973B9D31}"/>
    <cellStyle name="Normal 11 2 3 4 3 2 3 3 2" xfId="32632" xr:uid="{63196355-367A-43A5-BEA5-A19E9164816D}"/>
    <cellStyle name="Normal 11 2 3 4 3 2 3 3 2 2" xfId="32633" xr:uid="{9BB925A1-0136-48D3-9733-EE3F8B56EAA1}"/>
    <cellStyle name="Normal 11 2 3 4 3 2 3 3 3" xfId="32634" xr:uid="{E5B516C4-5A02-48AF-8111-02420AD8006B}"/>
    <cellStyle name="Normal 11 2 3 4 3 2 3 4" xfId="32635" xr:uid="{C2728DD0-0774-4354-B03B-531B2FA19DE5}"/>
    <cellStyle name="Normal 11 2 3 4 3 2 3 4 2" xfId="32636" xr:uid="{33E34858-8BBB-4EEB-98A2-324CD41B17F2}"/>
    <cellStyle name="Normal 11 2 3 4 3 2 3 5" xfId="32637" xr:uid="{D1DDA1CD-1C03-4CB4-9688-CC60A6C86AED}"/>
    <cellStyle name="Normal 11 2 3 4 3 2 4" xfId="32638" xr:uid="{C8B07908-1DE7-4B33-9F48-388F3EE6322F}"/>
    <cellStyle name="Normal 11 2 3 4 3 2 4 2" xfId="32639" xr:uid="{F162CA61-F4B9-49F6-B5CF-71EA7DCD79AE}"/>
    <cellStyle name="Normal 11 2 3 4 3 2 4 2 2" xfId="32640" xr:uid="{7A137B84-629F-4E06-AB04-057D5601B945}"/>
    <cellStyle name="Normal 11 2 3 4 3 2 4 2 2 2" xfId="32641" xr:uid="{A39300E7-ED3D-4078-8BF1-BAFBA7F1238A}"/>
    <cellStyle name="Normal 11 2 3 4 3 2 4 2 3" xfId="32642" xr:uid="{89F1F8BB-FBE2-48EC-8987-D7113B220AB4}"/>
    <cellStyle name="Normal 11 2 3 4 3 2 4 3" xfId="32643" xr:uid="{ECE2A206-59D7-4396-8162-C2D25291CF31}"/>
    <cellStyle name="Normal 11 2 3 4 3 2 4 3 2" xfId="32644" xr:uid="{46C53DE3-2690-42DB-8232-658752200972}"/>
    <cellStyle name="Normal 11 2 3 4 3 2 4 4" xfId="32645" xr:uid="{0626C17A-70AE-44F9-A9CB-568DF5CD8743}"/>
    <cellStyle name="Normal 11 2 3 4 3 2 5" xfId="32646" xr:uid="{6D8BEA2B-543C-409F-ABB9-B5BF50273DF9}"/>
    <cellStyle name="Normal 11 2 3 4 3 2 5 2" xfId="32647" xr:uid="{FB8A0059-F603-40FD-8D8B-577FF69BE788}"/>
    <cellStyle name="Normal 11 2 3 4 3 2 5 2 2" xfId="32648" xr:uid="{470B925A-036B-458E-A2B3-19AE2F5A4BB8}"/>
    <cellStyle name="Normal 11 2 3 4 3 2 5 3" xfId="32649" xr:uid="{1E5491D5-4C28-476E-8E04-EEADE6A95512}"/>
    <cellStyle name="Normal 11 2 3 4 3 2 6" xfId="32650" xr:uid="{A86FA627-F874-49AF-98A7-70AA8864EC93}"/>
    <cellStyle name="Normal 11 2 3 4 3 2 6 2" xfId="32651" xr:uid="{227440DB-BA65-4B60-9935-B28B2022593C}"/>
    <cellStyle name="Normal 11 2 3 4 3 2 7" xfId="32652" xr:uid="{5610DCD5-C222-4FE2-9057-92C5B46CB625}"/>
    <cellStyle name="Normal 11 2 3 4 3 3" xfId="32653" xr:uid="{B88248B2-F7BD-4ABB-954E-3C9F6263229D}"/>
    <cellStyle name="Normal 11 2 3 4 3 3 2" xfId="32654" xr:uid="{73622455-5A92-420A-AC17-39181A7A1F6A}"/>
    <cellStyle name="Normal 11 2 3 4 3 3 2 2" xfId="32655" xr:uid="{E7E2558F-27BB-4A70-8F70-0F00AD1C75E6}"/>
    <cellStyle name="Normal 11 2 3 4 3 3 2 2 2" xfId="32656" xr:uid="{A1B4351D-97A4-4328-A3AF-B3DC990EB9EC}"/>
    <cellStyle name="Normal 11 2 3 4 3 3 2 2 2 2" xfId="32657" xr:uid="{721D8F5F-66D3-4D49-99A4-55D06C86CC97}"/>
    <cellStyle name="Normal 11 2 3 4 3 3 2 2 2 2 2" xfId="32658" xr:uid="{EE8E5751-1AFD-456B-9BEB-E108B3365A68}"/>
    <cellStyle name="Normal 11 2 3 4 3 3 2 2 2 3" xfId="32659" xr:uid="{DFAACACA-6B7E-4145-B1D0-DACBCE8C10D2}"/>
    <cellStyle name="Normal 11 2 3 4 3 3 2 2 3" xfId="32660" xr:uid="{592AB81A-79B6-45D8-A5F7-80BFDB0AAA59}"/>
    <cellStyle name="Normal 11 2 3 4 3 3 2 2 3 2" xfId="32661" xr:uid="{EF5A4D12-9FF2-411B-97B2-11633075997D}"/>
    <cellStyle name="Normal 11 2 3 4 3 3 2 2 4" xfId="32662" xr:uid="{F0B6525F-0201-4A57-8756-A8AE7B5787B3}"/>
    <cellStyle name="Normal 11 2 3 4 3 3 2 3" xfId="32663" xr:uid="{EFF4A1BE-3746-4BD4-B9D3-FDD0F0F08632}"/>
    <cellStyle name="Normal 11 2 3 4 3 3 2 3 2" xfId="32664" xr:uid="{5CC46C5E-369F-41D8-B9FE-58B97FD37786}"/>
    <cellStyle name="Normal 11 2 3 4 3 3 2 3 2 2" xfId="32665" xr:uid="{91919CFE-FFB5-483B-BEA6-F979B8361C72}"/>
    <cellStyle name="Normal 11 2 3 4 3 3 2 3 3" xfId="32666" xr:uid="{B1833D36-1E8F-4F86-A3C0-EB0BA246D61E}"/>
    <cellStyle name="Normal 11 2 3 4 3 3 2 4" xfId="32667" xr:uid="{F2650D52-37D8-4227-BAB6-415EB63843B2}"/>
    <cellStyle name="Normal 11 2 3 4 3 3 2 4 2" xfId="32668" xr:uid="{4425F437-C6F9-4CDD-97AD-08D26105D48A}"/>
    <cellStyle name="Normal 11 2 3 4 3 3 2 5" xfId="32669" xr:uid="{23889127-7AE9-4FD0-B510-A79D8E7E75E4}"/>
    <cellStyle name="Normal 11 2 3 4 3 3 3" xfId="32670" xr:uid="{B9FECAFE-E0D2-4C44-8DF2-948FB16ECD77}"/>
    <cellStyle name="Normal 11 2 3 4 3 3 3 2" xfId="32671" xr:uid="{6BB5A2E1-8DE1-4060-A7FA-9B7E1CA855A9}"/>
    <cellStyle name="Normal 11 2 3 4 3 3 3 2 2" xfId="32672" xr:uid="{A02EE58F-305E-41E9-A2D2-8FFF4F329C5B}"/>
    <cellStyle name="Normal 11 2 3 4 3 3 3 2 2 2" xfId="32673" xr:uid="{15F10E6D-EA3A-4348-B275-D67B45940DFC}"/>
    <cellStyle name="Normal 11 2 3 4 3 3 3 2 3" xfId="32674" xr:uid="{F8D4BDE7-C92F-4319-B565-86A84C6C3578}"/>
    <cellStyle name="Normal 11 2 3 4 3 3 3 3" xfId="32675" xr:uid="{EBDEC7F1-4D5A-43AC-9CC2-B62DCBA2A1BB}"/>
    <cellStyle name="Normal 11 2 3 4 3 3 3 3 2" xfId="32676" xr:uid="{3EF7AF25-8BED-4D0F-9986-C1678994516B}"/>
    <cellStyle name="Normal 11 2 3 4 3 3 3 4" xfId="32677" xr:uid="{C0ECE3BC-4181-4BDD-A7A5-BD967A2F37C7}"/>
    <cellStyle name="Normal 11 2 3 4 3 3 4" xfId="32678" xr:uid="{8B1BC95F-DDDB-47E2-B30E-8D34F1DDEFEC}"/>
    <cellStyle name="Normal 11 2 3 4 3 3 4 2" xfId="32679" xr:uid="{6454A8F4-02AB-47AE-9B53-17D7C8C47F4F}"/>
    <cellStyle name="Normal 11 2 3 4 3 3 4 2 2" xfId="32680" xr:uid="{AF8F83D5-C191-4597-80D7-CDBCF303CBF6}"/>
    <cellStyle name="Normal 11 2 3 4 3 3 4 3" xfId="32681" xr:uid="{D5F94E50-9B7D-420D-A621-FBB6730C3180}"/>
    <cellStyle name="Normal 11 2 3 4 3 3 5" xfId="32682" xr:uid="{074B6AB8-25B5-43DE-A08D-53AF621C0625}"/>
    <cellStyle name="Normal 11 2 3 4 3 3 5 2" xfId="32683" xr:uid="{3715B408-A89A-4718-98AA-83330219FC56}"/>
    <cellStyle name="Normal 11 2 3 4 3 3 6" xfId="32684" xr:uid="{CED09838-8AE5-4A39-9FD5-E28684664DDE}"/>
    <cellStyle name="Normal 11 2 3 4 3 4" xfId="32685" xr:uid="{E680429A-51ED-4F4E-80A2-DF86D9E2C2C3}"/>
    <cellStyle name="Normal 11 2 3 4 3 4 2" xfId="32686" xr:uid="{CDDC4261-AA44-4455-B08F-4FE7163518A4}"/>
    <cellStyle name="Normal 11 2 3 4 3 4 2 2" xfId="32687" xr:uid="{F8A2E8FE-5910-4777-8B44-B19604B8A8B3}"/>
    <cellStyle name="Normal 11 2 3 4 3 4 2 2 2" xfId="32688" xr:uid="{2F16BC97-1B8D-43AB-B861-B93B4A6772BF}"/>
    <cellStyle name="Normal 11 2 3 4 3 4 2 2 2 2" xfId="32689" xr:uid="{75191F87-4241-4AAF-85EB-7C82A8456E9E}"/>
    <cellStyle name="Normal 11 2 3 4 3 4 2 2 3" xfId="32690" xr:uid="{E0DAB6E8-B6C3-4055-BE0A-4C1581F4931D}"/>
    <cellStyle name="Normal 11 2 3 4 3 4 2 3" xfId="32691" xr:uid="{BE0CC456-F69F-4DD0-B51D-44959762B369}"/>
    <cellStyle name="Normal 11 2 3 4 3 4 2 3 2" xfId="32692" xr:uid="{25EB0304-E1F8-483A-AA79-5C8FB57CAFAF}"/>
    <cellStyle name="Normal 11 2 3 4 3 4 2 4" xfId="32693" xr:uid="{05D0A698-D0E7-47F9-B789-AEA6A8F0F8A0}"/>
    <cellStyle name="Normal 11 2 3 4 3 4 3" xfId="32694" xr:uid="{71A23A1E-83DC-4F4E-903D-717B2CC9FAF1}"/>
    <cellStyle name="Normal 11 2 3 4 3 4 3 2" xfId="32695" xr:uid="{709EF544-482F-4091-98B7-609C3EED17B7}"/>
    <cellStyle name="Normal 11 2 3 4 3 4 3 2 2" xfId="32696" xr:uid="{FB880D73-C32A-4100-8813-40AEA79545CC}"/>
    <cellStyle name="Normal 11 2 3 4 3 4 3 3" xfId="32697" xr:uid="{B7530163-1B21-4991-B197-0092803E200A}"/>
    <cellStyle name="Normal 11 2 3 4 3 4 4" xfId="32698" xr:uid="{AEF6CA6E-610A-4C25-A78B-56D1E24CDA8F}"/>
    <cellStyle name="Normal 11 2 3 4 3 4 4 2" xfId="32699" xr:uid="{6D4E656F-51A8-4BF8-858F-55352FDDFBBF}"/>
    <cellStyle name="Normal 11 2 3 4 3 4 5" xfId="32700" xr:uid="{B83C65DE-54F7-45C0-B780-A004EA50C713}"/>
    <cellStyle name="Normal 11 2 3 4 3 5" xfId="32701" xr:uid="{35358173-D742-4B76-A4FE-7930840FBE43}"/>
    <cellStyle name="Normal 11 2 3 4 3 5 2" xfId="32702" xr:uid="{A440D0A4-AD1F-41DB-B7D0-646B479E8286}"/>
    <cellStyle name="Normal 11 2 3 4 3 5 2 2" xfId="32703" xr:uid="{6548492B-C62C-42C7-A1F8-85E605B44300}"/>
    <cellStyle name="Normal 11 2 3 4 3 5 2 2 2" xfId="32704" xr:uid="{A8A92080-6674-4F3A-9BE4-86839F4C54E2}"/>
    <cellStyle name="Normal 11 2 3 4 3 5 2 3" xfId="32705" xr:uid="{97298FB8-2D79-4606-8F6D-4DBC84DBC892}"/>
    <cellStyle name="Normal 11 2 3 4 3 5 3" xfId="32706" xr:uid="{99FDE11C-697D-47DD-8F0D-BB7B0ED4283F}"/>
    <cellStyle name="Normal 11 2 3 4 3 5 3 2" xfId="32707" xr:uid="{0F1AA686-2EF2-4016-B629-2314AD9C86F0}"/>
    <cellStyle name="Normal 11 2 3 4 3 5 4" xfId="32708" xr:uid="{B4668316-AE6A-4446-A076-C78819226D63}"/>
    <cellStyle name="Normal 11 2 3 4 3 6" xfId="32709" xr:uid="{27F1E1BC-4343-4D62-9E88-306FBD9157BB}"/>
    <cellStyle name="Normal 11 2 3 4 3 6 2" xfId="32710" xr:uid="{9BF5E35B-BA99-4C9A-8A8F-4359935D4702}"/>
    <cellStyle name="Normal 11 2 3 4 3 6 2 2" xfId="32711" xr:uid="{35EB2FB4-DD68-49A2-A0CC-44F740E9045A}"/>
    <cellStyle name="Normal 11 2 3 4 3 6 3" xfId="32712" xr:uid="{8777EB66-9706-4314-B2E3-2A99207F491D}"/>
    <cellStyle name="Normal 11 2 3 4 3 7" xfId="32713" xr:uid="{7E7EE1F7-0E5E-4E7B-A20B-5C82F674C588}"/>
    <cellStyle name="Normal 11 2 3 4 3 7 2" xfId="32714" xr:uid="{348C95FA-27BB-4954-A8B8-959F380EEF3F}"/>
    <cellStyle name="Normal 11 2 3 4 3 8" xfId="32715" xr:uid="{80E71C62-0D16-4512-BAA1-4DAA221591CC}"/>
    <cellStyle name="Normal 11 2 3 4 3 9" xfId="32588" xr:uid="{DAC10F98-9400-4756-ACD1-76D346203764}"/>
    <cellStyle name="Normal 11 2 3 4 4" xfId="32716" xr:uid="{66D59BBA-A1B4-4CA5-B6AA-5EEE89B9913B}"/>
    <cellStyle name="Normal 11 2 3 4 4 2" xfId="32717" xr:uid="{AF4865FD-E35F-477E-A162-621DCB160A5D}"/>
    <cellStyle name="Normal 11 2 3 4 4 2 2" xfId="32718" xr:uid="{885C7D48-B90B-41BC-871E-4C8AC6836E02}"/>
    <cellStyle name="Normal 11 2 3 4 4 2 2 2" xfId="32719" xr:uid="{247A9589-4A6D-4854-B7B9-4E8F52A15DAB}"/>
    <cellStyle name="Normal 11 2 3 4 4 2 2 2 2" xfId="32720" xr:uid="{F5296849-2B0B-45D2-988F-5582322B6EA6}"/>
    <cellStyle name="Normal 11 2 3 4 4 2 2 2 2 2" xfId="32721" xr:uid="{0ED125A0-2EBA-416C-AE6B-9BBF08AD68BE}"/>
    <cellStyle name="Normal 11 2 3 4 4 2 2 2 2 2 2" xfId="32722" xr:uid="{D2029EB3-9CD0-4DC4-94C0-9854EB5D16E5}"/>
    <cellStyle name="Normal 11 2 3 4 4 2 2 2 2 3" xfId="32723" xr:uid="{480CE7E8-3527-4EFA-ADAE-005855A8C96C}"/>
    <cellStyle name="Normal 11 2 3 4 4 2 2 2 3" xfId="32724" xr:uid="{507E3AFF-ADBC-49E7-A42A-3A097C815CDB}"/>
    <cellStyle name="Normal 11 2 3 4 4 2 2 2 3 2" xfId="32725" xr:uid="{2C0BF0B6-026A-448D-9289-BE046564DF6B}"/>
    <cellStyle name="Normal 11 2 3 4 4 2 2 2 4" xfId="32726" xr:uid="{27D49F1E-240F-471F-9975-9DC9FB672031}"/>
    <cellStyle name="Normal 11 2 3 4 4 2 2 3" xfId="32727" xr:uid="{900C441F-721E-4644-B53E-AFFAE9786F2C}"/>
    <cellStyle name="Normal 11 2 3 4 4 2 2 3 2" xfId="32728" xr:uid="{48E41A68-9E91-4D11-AB64-FA144405F45C}"/>
    <cellStyle name="Normal 11 2 3 4 4 2 2 3 2 2" xfId="32729" xr:uid="{1F6BEDFA-E2A8-4E0D-8457-AA30DFA960F1}"/>
    <cellStyle name="Normal 11 2 3 4 4 2 2 3 3" xfId="32730" xr:uid="{0B47F64E-3205-4256-8D3A-18C616D94260}"/>
    <cellStyle name="Normal 11 2 3 4 4 2 2 4" xfId="32731" xr:uid="{A58F31DB-2062-4BD8-8979-9B276F50C708}"/>
    <cellStyle name="Normal 11 2 3 4 4 2 2 4 2" xfId="32732" xr:uid="{76B5D39A-DE4D-4D56-ABAB-80F187A6F579}"/>
    <cellStyle name="Normal 11 2 3 4 4 2 2 5" xfId="32733" xr:uid="{F72EECA6-D050-4216-8057-244545BBA87A}"/>
    <cellStyle name="Normal 11 2 3 4 4 2 3" xfId="32734" xr:uid="{96C0D593-6613-40DB-8BD1-918385A885BB}"/>
    <cellStyle name="Normal 11 2 3 4 4 2 3 2" xfId="32735" xr:uid="{8646F838-3189-4333-8B57-E8A4C2A83912}"/>
    <cellStyle name="Normal 11 2 3 4 4 2 3 2 2" xfId="32736" xr:uid="{D2BEEFC0-3C15-42DD-8207-82B3D08D253B}"/>
    <cellStyle name="Normal 11 2 3 4 4 2 3 2 2 2" xfId="32737" xr:uid="{C2357570-132A-43E8-9BBC-EC2852E4EF94}"/>
    <cellStyle name="Normal 11 2 3 4 4 2 3 2 3" xfId="32738" xr:uid="{E8070B2C-A98A-4956-9F3A-0BA940F3882F}"/>
    <cellStyle name="Normal 11 2 3 4 4 2 3 3" xfId="32739" xr:uid="{4B42D23B-C377-4303-9ADB-4175DA0D1FB3}"/>
    <cellStyle name="Normal 11 2 3 4 4 2 3 3 2" xfId="32740" xr:uid="{80EA2B57-E5A5-460B-9F98-7E35288A6541}"/>
    <cellStyle name="Normal 11 2 3 4 4 2 3 4" xfId="32741" xr:uid="{D5E2DEE7-2439-4D17-873D-BF7B66D0879A}"/>
    <cellStyle name="Normal 11 2 3 4 4 2 4" xfId="32742" xr:uid="{5E661D34-1E90-482C-99AE-7C78D98B29A8}"/>
    <cellStyle name="Normal 11 2 3 4 4 2 4 2" xfId="32743" xr:uid="{4BA5DF2C-9A44-4B21-B5E1-B577EB5E76D4}"/>
    <cellStyle name="Normal 11 2 3 4 4 2 4 2 2" xfId="32744" xr:uid="{1D72F2C8-7C49-4258-95F9-B2AA7DB20A55}"/>
    <cellStyle name="Normal 11 2 3 4 4 2 4 3" xfId="32745" xr:uid="{3996C44A-6228-44D1-84A4-7EF7DB9295B6}"/>
    <cellStyle name="Normal 11 2 3 4 4 2 5" xfId="32746" xr:uid="{163560CF-EF08-42B3-95C2-A4EF97B4C36C}"/>
    <cellStyle name="Normal 11 2 3 4 4 2 5 2" xfId="32747" xr:uid="{000F26E5-2C45-44D7-B6CA-D439A2386064}"/>
    <cellStyle name="Normal 11 2 3 4 4 2 6" xfId="32748" xr:uid="{F6D2868C-B713-4DD2-BA70-5BBA61E6FE64}"/>
    <cellStyle name="Normal 11 2 3 4 4 3" xfId="32749" xr:uid="{B994530A-8CE2-4237-8D8E-76CDA8392155}"/>
    <cellStyle name="Normal 11 2 3 4 4 3 2" xfId="32750" xr:uid="{8323370C-D9E8-4866-8C6A-DC8A35EDBE8B}"/>
    <cellStyle name="Normal 11 2 3 4 4 3 2 2" xfId="32751" xr:uid="{C4B189E0-324B-402F-A5A7-DA362F710252}"/>
    <cellStyle name="Normal 11 2 3 4 4 3 2 2 2" xfId="32752" xr:uid="{5DC397EF-B9A6-4A1D-A6D1-97BDA3FF1CD5}"/>
    <cellStyle name="Normal 11 2 3 4 4 3 2 2 2 2" xfId="32753" xr:uid="{2001B834-1E59-4EF0-AE4D-7B9AA4639F4D}"/>
    <cellStyle name="Normal 11 2 3 4 4 3 2 2 3" xfId="32754" xr:uid="{8D42A558-6133-4754-A591-F2C5787AF8EE}"/>
    <cellStyle name="Normal 11 2 3 4 4 3 2 3" xfId="32755" xr:uid="{542CFA2C-DC03-48B3-8A47-488B480D6C53}"/>
    <cellStyle name="Normal 11 2 3 4 4 3 2 3 2" xfId="32756" xr:uid="{B278C97A-7842-4119-803F-AAA6E5A0E578}"/>
    <cellStyle name="Normal 11 2 3 4 4 3 2 4" xfId="32757" xr:uid="{2876F98C-CE5C-4226-B4A4-6B565FAFA8AC}"/>
    <cellStyle name="Normal 11 2 3 4 4 3 3" xfId="32758" xr:uid="{C1421D40-B03E-43AE-AB42-897EF7ABB8E1}"/>
    <cellStyle name="Normal 11 2 3 4 4 3 3 2" xfId="32759" xr:uid="{694DEDB5-5B93-40A0-AFEC-4631DB08F6F3}"/>
    <cellStyle name="Normal 11 2 3 4 4 3 3 2 2" xfId="32760" xr:uid="{9DC240B0-AEE3-47AD-B191-F2ACED14D17B}"/>
    <cellStyle name="Normal 11 2 3 4 4 3 3 3" xfId="32761" xr:uid="{81248892-9F62-4DBD-9114-FB5056B63102}"/>
    <cellStyle name="Normal 11 2 3 4 4 3 4" xfId="32762" xr:uid="{DB739B1D-C38A-43B8-8213-E0841DD51517}"/>
    <cellStyle name="Normal 11 2 3 4 4 3 4 2" xfId="32763" xr:uid="{6AE5A1E0-E931-4467-A0A8-EBD52A77B80D}"/>
    <cellStyle name="Normal 11 2 3 4 4 3 5" xfId="32764" xr:uid="{FE081049-13C6-43F9-B64E-9A2AD5AB139E}"/>
    <cellStyle name="Normal 11 2 3 4 4 4" xfId="32765" xr:uid="{E540C31D-64F6-45E5-8EF5-E8327156635F}"/>
    <cellStyle name="Normal 11 2 3 4 4 4 2" xfId="32766" xr:uid="{82BD40F2-A658-4647-943C-ACA7E4577321}"/>
    <cellStyle name="Normal 11 2 3 4 4 4 2 2" xfId="32767" xr:uid="{695954D8-ED94-4BA0-B232-DABDDD2A62B1}"/>
    <cellStyle name="Normal 11 2 3 4 4 4 2 2 2" xfId="32768" xr:uid="{037694D4-3695-4023-A3BE-A3D1F7AA9DED}"/>
    <cellStyle name="Normal 11 2 3 4 4 4 2 3" xfId="32769" xr:uid="{524A26B2-29FF-4EB9-8021-2B7CEE329A25}"/>
    <cellStyle name="Normal 11 2 3 4 4 4 3" xfId="32770" xr:uid="{0412A6ED-548B-4E7E-BB7C-84A86DDC19E7}"/>
    <cellStyle name="Normal 11 2 3 4 4 4 3 2" xfId="32771" xr:uid="{121EF284-F7B9-407A-85E3-C65EA9D3EABB}"/>
    <cellStyle name="Normal 11 2 3 4 4 4 4" xfId="32772" xr:uid="{6C96CFC6-CFAE-4C45-9A13-99861ECFC023}"/>
    <cellStyle name="Normal 11 2 3 4 4 5" xfId="32773" xr:uid="{B56C01BF-BE6F-42C6-A5ED-FB583B5733A1}"/>
    <cellStyle name="Normal 11 2 3 4 4 5 2" xfId="32774" xr:uid="{A2E4BAD7-F3DD-4C66-8DEC-69FBCF9CD77F}"/>
    <cellStyle name="Normal 11 2 3 4 4 5 2 2" xfId="32775" xr:uid="{C2E77547-B695-4726-972D-1007C0C19D65}"/>
    <cellStyle name="Normal 11 2 3 4 4 5 3" xfId="32776" xr:uid="{5877DC7C-A8AF-413F-AA78-579F1E74797F}"/>
    <cellStyle name="Normal 11 2 3 4 4 6" xfId="32777" xr:uid="{609D3A65-6979-4015-BCA9-3BA6F26B9DD2}"/>
    <cellStyle name="Normal 11 2 3 4 4 6 2" xfId="32778" xr:uid="{D3477B67-A216-4D5C-9B28-D24FD07C601E}"/>
    <cellStyle name="Normal 11 2 3 4 4 7" xfId="32779" xr:uid="{91FA24C3-C893-4AE0-BA8F-0D3BCBB3F17F}"/>
    <cellStyle name="Normal 11 2 3 4 5" xfId="32780" xr:uid="{710F1892-C081-461C-AF37-993C1991809E}"/>
    <cellStyle name="Normal 11 2 3 4 5 2" xfId="32781" xr:uid="{46F74CDB-0A91-4AF6-9FBD-1BBCC9F15BCF}"/>
    <cellStyle name="Normal 11 2 3 4 5 2 2" xfId="32782" xr:uid="{C3877C71-8CAF-4C16-98CA-2E4B3E976930}"/>
    <cellStyle name="Normal 11 2 3 4 5 2 2 2" xfId="32783" xr:uid="{DD12922C-5BE2-4B87-86A6-475D744504CA}"/>
    <cellStyle name="Normal 11 2 3 4 5 2 2 2 2" xfId="32784" xr:uid="{9E20ECC0-EE95-485C-98EE-05FAFEE3D333}"/>
    <cellStyle name="Normal 11 2 3 4 5 2 2 2 2 2" xfId="32785" xr:uid="{698CCB78-5234-4A80-B3FF-46E72B6E85FA}"/>
    <cellStyle name="Normal 11 2 3 4 5 2 2 2 3" xfId="32786" xr:uid="{AE0165B3-86E2-4B14-A916-BFF9F20C2B0A}"/>
    <cellStyle name="Normal 11 2 3 4 5 2 2 3" xfId="32787" xr:uid="{1F93CBAD-3947-43D9-B156-B0AA421CCA7E}"/>
    <cellStyle name="Normal 11 2 3 4 5 2 2 3 2" xfId="32788" xr:uid="{65EDFA47-6ECA-470A-93DE-7E1462907C3C}"/>
    <cellStyle name="Normal 11 2 3 4 5 2 2 4" xfId="32789" xr:uid="{9EF43CE5-9489-4874-BD58-C3746F994E7E}"/>
    <cellStyle name="Normal 11 2 3 4 5 2 3" xfId="32790" xr:uid="{05E996B4-52C9-40CF-876A-653F52A08C50}"/>
    <cellStyle name="Normal 11 2 3 4 5 2 3 2" xfId="32791" xr:uid="{3D5FE15A-B773-48F3-B6C5-0BD1485C61A7}"/>
    <cellStyle name="Normal 11 2 3 4 5 2 3 2 2" xfId="32792" xr:uid="{2B2E629F-B9EF-433B-9F99-9D67F2E972B4}"/>
    <cellStyle name="Normal 11 2 3 4 5 2 3 3" xfId="32793" xr:uid="{04DC9F22-FCF5-45F8-89FD-ACEF339E9B4C}"/>
    <cellStyle name="Normal 11 2 3 4 5 2 4" xfId="32794" xr:uid="{1F132C80-EEEB-4432-BEEF-BF728DA4FADD}"/>
    <cellStyle name="Normal 11 2 3 4 5 2 4 2" xfId="32795" xr:uid="{E6FA1D14-3763-4EF0-ABF5-C1A027B6369E}"/>
    <cellStyle name="Normal 11 2 3 4 5 2 5" xfId="32796" xr:uid="{EC794CEC-1F36-4B1A-A920-C37B1494BCE4}"/>
    <cellStyle name="Normal 11 2 3 4 5 3" xfId="32797" xr:uid="{C91F8FB0-280F-47D7-8F8E-73EC3B0C9FE9}"/>
    <cellStyle name="Normal 11 2 3 4 5 3 2" xfId="32798" xr:uid="{61558B7D-1DD4-43FC-9AC0-594B2C62352F}"/>
    <cellStyle name="Normal 11 2 3 4 5 3 2 2" xfId="32799" xr:uid="{3EE250E2-10DF-4B21-9479-3A28C4F231FA}"/>
    <cellStyle name="Normal 11 2 3 4 5 3 2 2 2" xfId="32800" xr:uid="{32CF80E0-355D-4AD1-9888-7B170625326B}"/>
    <cellStyle name="Normal 11 2 3 4 5 3 2 3" xfId="32801" xr:uid="{0303ABCA-EC06-4243-A62A-E83F8909D05D}"/>
    <cellStyle name="Normal 11 2 3 4 5 3 3" xfId="32802" xr:uid="{F2C42C94-0113-4A17-9846-DF56CFADB5A1}"/>
    <cellStyle name="Normal 11 2 3 4 5 3 3 2" xfId="32803" xr:uid="{8B9090A2-C54B-475B-B929-48601E3A51B9}"/>
    <cellStyle name="Normal 11 2 3 4 5 3 4" xfId="32804" xr:uid="{DD257C32-8DA1-4C75-9461-D661A75EEF05}"/>
    <cellStyle name="Normal 11 2 3 4 5 4" xfId="32805" xr:uid="{7BA3A593-1D2B-48D3-BB41-0BEE0E6C2209}"/>
    <cellStyle name="Normal 11 2 3 4 5 4 2" xfId="32806" xr:uid="{60E9ED7B-7FD5-497C-9DF1-AE47EEE4B07F}"/>
    <cellStyle name="Normal 11 2 3 4 5 4 2 2" xfId="32807" xr:uid="{2E60F4E2-0D30-41F1-9FEE-953181FAC59F}"/>
    <cellStyle name="Normal 11 2 3 4 5 4 3" xfId="32808" xr:uid="{FF0D38F9-7BE9-428B-A278-0A4EC75A6904}"/>
    <cellStyle name="Normal 11 2 3 4 5 5" xfId="32809" xr:uid="{2307320A-5F51-47D3-ACCC-670785857334}"/>
    <cellStyle name="Normal 11 2 3 4 5 5 2" xfId="32810" xr:uid="{7FF05EFF-1323-417A-85CE-65F01794FCFA}"/>
    <cellStyle name="Normal 11 2 3 4 5 6" xfId="32811" xr:uid="{1F27A494-FEA9-4AED-A2AF-4876B1E70196}"/>
    <cellStyle name="Normal 11 2 3 4 6" xfId="32812" xr:uid="{A90F1A12-348C-400D-8590-0892D42ECAF0}"/>
    <cellStyle name="Normal 11 2 3 4 6 2" xfId="32813" xr:uid="{AA44DB38-B9DE-4476-A658-86E75758A380}"/>
    <cellStyle name="Normal 11 2 3 4 6 2 2" xfId="32814" xr:uid="{FD805CF6-F1F5-404D-86EB-5F4066F1DA5B}"/>
    <cellStyle name="Normal 11 2 3 4 6 2 2 2" xfId="32815" xr:uid="{7D8F764E-0A1B-4CF1-B6DC-ED8275B9B3E1}"/>
    <cellStyle name="Normal 11 2 3 4 6 2 2 2 2" xfId="32816" xr:uid="{26D0B6A0-74A7-4539-B267-653DEBBD0DC3}"/>
    <cellStyle name="Normal 11 2 3 4 6 2 2 3" xfId="32817" xr:uid="{E9C35176-ACEE-4568-B625-08583F1FD891}"/>
    <cellStyle name="Normal 11 2 3 4 6 2 3" xfId="32818" xr:uid="{AAE914B2-02A9-4425-962A-BF803A865B75}"/>
    <cellStyle name="Normal 11 2 3 4 6 2 3 2" xfId="32819" xr:uid="{F4B9C0B4-7B50-47C5-ADF9-EF4E5CB7A04E}"/>
    <cellStyle name="Normal 11 2 3 4 6 2 4" xfId="32820" xr:uid="{9520AC0C-1626-470C-8163-9105FCD4AB77}"/>
    <cellStyle name="Normal 11 2 3 4 6 3" xfId="32821" xr:uid="{D90C4147-18E9-4CC3-9528-7A61CACF3AC5}"/>
    <cellStyle name="Normal 11 2 3 4 6 3 2" xfId="32822" xr:uid="{D2FE7847-F7F6-4F7B-964E-42D4010A47F6}"/>
    <cellStyle name="Normal 11 2 3 4 6 3 2 2" xfId="32823" xr:uid="{28D9B04E-936A-4145-928C-B0519BAEE42A}"/>
    <cellStyle name="Normal 11 2 3 4 6 3 3" xfId="32824" xr:uid="{C5B7459C-2D3D-4977-96F3-E7E473682323}"/>
    <cellStyle name="Normal 11 2 3 4 6 4" xfId="32825" xr:uid="{2CBF843D-3E98-47B7-9E7C-7C57C0392FC1}"/>
    <cellStyle name="Normal 11 2 3 4 6 4 2" xfId="32826" xr:uid="{F347CB6C-F452-43B9-B528-CCF363AC0073}"/>
    <cellStyle name="Normal 11 2 3 4 6 5" xfId="32827" xr:uid="{66E63113-7B45-4C26-BFE3-AE180001475A}"/>
    <cellStyle name="Normal 11 2 3 4 7" xfId="32828" xr:uid="{6D9F15ED-6CEE-4538-B23A-C58DDFB8A922}"/>
    <cellStyle name="Normal 11 2 3 4 7 2" xfId="32829" xr:uid="{94C7DCEC-5F34-4F34-8FA1-020FDE1B9920}"/>
    <cellStyle name="Normal 11 2 3 4 7 2 2" xfId="32830" xr:uid="{1C07D351-A405-43BC-B057-D8BC7176620F}"/>
    <cellStyle name="Normal 11 2 3 4 7 2 2 2" xfId="32831" xr:uid="{FA9D98BF-12E1-4426-A671-A3A4D03B0ABB}"/>
    <cellStyle name="Normal 11 2 3 4 7 2 3" xfId="32832" xr:uid="{ADE76FB8-F886-4722-8A20-D4C04EC9615E}"/>
    <cellStyle name="Normal 11 2 3 4 7 3" xfId="32833" xr:uid="{DD364868-1531-45EF-96BB-2D4CF90E7C7C}"/>
    <cellStyle name="Normal 11 2 3 4 7 3 2" xfId="32834" xr:uid="{A98FEFDF-50BE-4B36-B0C2-A8ED9E67289F}"/>
    <cellStyle name="Normal 11 2 3 4 7 4" xfId="32835" xr:uid="{B6938809-42B3-401A-8EF4-24CC091E7CF3}"/>
    <cellStyle name="Normal 11 2 3 4 8" xfId="32836" xr:uid="{6744AD56-164D-4382-8508-0BBC46647565}"/>
    <cellStyle name="Normal 11 2 3 4 8 2" xfId="32837" xr:uid="{2A2D8ECF-68B8-421C-86A5-2D028601DC6C}"/>
    <cellStyle name="Normal 11 2 3 4 8 2 2" xfId="32838" xr:uid="{F016C71C-506C-4988-BC16-DD6B2BC90A31}"/>
    <cellStyle name="Normal 11 2 3 4 8 3" xfId="32839" xr:uid="{6622450E-FA9D-47C0-9682-3FC875D5C5B9}"/>
    <cellStyle name="Normal 11 2 3 4 9" xfId="32840" xr:uid="{08E0B63C-8A54-41BD-98CF-F5D7B1FBD599}"/>
    <cellStyle name="Normal 11 2 3 4 9 2" xfId="32841" xr:uid="{D7BDCB89-2AE9-44F8-BA4E-A656552FC5B9}"/>
    <cellStyle name="Normal 11 2 3 5" xfId="276" xr:uid="{D34993A0-2003-4BC5-9A12-1A8114905EDD}"/>
    <cellStyle name="Normal 11 2 3 5 10" xfId="32842" xr:uid="{F201D288-45EC-463A-9E34-78F3685D56DE}"/>
    <cellStyle name="Normal 11 2 3 5 11" xfId="586" xr:uid="{8193972A-513F-4049-8C4B-29F69E559A0C}"/>
    <cellStyle name="Normal 11 2 3 5 2" xfId="364" xr:uid="{0B0911E0-24B5-47D7-8FEB-A233DF8E21B7}"/>
    <cellStyle name="Normal 11 2 3 5 2 10" xfId="32843" xr:uid="{73C1B0B9-62F2-4BA5-9FA6-5209D6C53B8C}"/>
    <cellStyle name="Normal 11 2 3 5 2 2" xfId="32844" xr:uid="{25FCEFB1-12F2-4920-BDDE-CF7DDD01246A}"/>
    <cellStyle name="Normal 11 2 3 5 2 2 2" xfId="32845" xr:uid="{CB642670-DFAF-4191-8CE6-90AC0EE62DF2}"/>
    <cellStyle name="Normal 11 2 3 5 2 2 2 2" xfId="32846" xr:uid="{A64235B6-0DD7-4D5C-BB1F-4F355FF263E9}"/>
    <cellStyle name="Normal 11 2 3 5 2 2 2 2 2" xfId="32847" xr:uid="{AE596FCC-9931-4C0A-A284-E18F476576E9}"/>
    <cellStyle name="Normal 11 2 3 5 2 2 2 2 2 2" xfId="32848" xr:uid="{8DFFC00F-F9A4-4FE6-A4F2-7F5E2FBECAB5}"/>
    <cellStyle name="Normal 11 2 3 5 2 2 2 2 2 2 2" xfId="32849" xr:uid="{F2829A32-748E-48A6-8140-AC892A5CE998}"/>
    <cellStyle name="Normal 11 2 3 5 2 2 2 2 2 2 2 2" xfId="32850" xr:uid="{222FD491-9B7E-4F24-B7EB-5A4DE4F7F37E}"/>
    <cellStyle name="Normal 11 2 3 5 2 2 2 2 2 2 2 2 2" xfId="32851" xr:uid="{FDF6F66C-E992-495C-B3F5-B572163E5608}"/>
    <cellStyle name="Normal 11 2 3 5 2 2 2 2 2 2 2 3" xfId="32852" xr:uid="{70F4CC06-ED1D-40B1-A06B-1F35F39380CC}"/>
    <cellStyle name="Normal 11 2 3 5 2 2 2 2 2 2 3" xfId="32853" xr:uid="{498F923C-F907-43B9-8668-76DDD77790E2}"/>
    <cellStyle name="Normal 11 2 3 5 2 2 2 2 2 2 3 2" xfId="32854" xr:uid="{802D45B6-72C5-417C-B769-AAB01867EB51}"/>
    <cellStyle name="Normal 11 2 3 5 2 2 2 2 2 2 4" xfId="32855" xr:uid="{FE41B7BF-5133-4A94-A4F4-2DFF8054D80D}"/>
    <cellStyle name="Normal 11 2 3 5 2 2 2 2 2 3" xfId="32856" xr:uid="{ACBE57EB-D75B-4294-B84C-B377C53727FA}"/>
    <cellStyle name="Normal 11 2 3 5 2 2 2 2 2 3 2" xfId="32857" xr:uid="{2BB5B811-EB01-4AEE-9170-8DB8D8A73C2E}"/>
    <cellStyle name="Normal 11 2 3 5 2 2 2 2 2 3 2 2" xfId="32858" xr:uid="{56BB912E-6512-446F-8F0E-3C47EE1036AA}"/>
    <cellStyle name="Normal 11 2 3 5 2 2 2 2 2 3 3" xfId="32859" xr:uid="{938DBB84-4215-4772-B289-4FA3CB089DEA}"/>
    <cellStyle name="Normal 11 2 3 5 2 2 2 2 2 4" xfId="32860" xr:uid="{D45E8DE7-8E79-45AD-B7D0-45699611C312}"/>
    <cellStyle name="Normal 11 2 3 5 2 2 2 2 2 4 2" xfId="32861" xr:uid="{E69DB3E6-05A8-44C4-B0C4-6F1ED508B7D0}"/>
    <cellStyle name="Normal 11 2 3 5 2 2 2 2 2 5" xfId="32862" xr:uid="{D42094EC-A8D9-4562-BF7E-6CA6A62B87CC}"/>
    <cellStyle name="Normal 11 2 3 5 2 2 2 2 3" xfId="32863" xr:uid="{DDECC850-5ECC-4A9E-A53D-74E98094978D}"/>
    <cellStyle name="Normal 11 2 3 5 2 2 2 2 3 2" xfId="32864" xr:uid="{8788433A-A786-4F70-A1D4-20D9708DB430}"/>
    <cellStyle name="Normal 11 2 3 5 2 2 2 2 3 2 2" xfId="32865" xr:uid="{F63DDB9F-7381-4832-8CF3-391063BBBD9A}"/>
    <cellStyle name="Normal 11 2 3 5 2 2 2 2 3 2 2 2" xfId="32866" xr:uid="{9D74FC8D-642A-4104-99B2-FDB0551FAFBA}"/>
    <cellStyle name="Normal 11 2 3 5 2 2 2 2 3 2 3" xfId="32867" xr:uid="{CFE8A847-5304-4DC3-9BA1-386203110C0B}"/>
    <cellStyle name="Normal 11 2 3 5 2 2 2 2 3 3" xfId="32868" xr:uid="{2B3CAC14-9756-4EB8-BCDD-BAE792724D4E}"/>
    <cellStyle name="Normal 11 2 3 5 2 2 2 2 3 3 2" xfId="32869" xr:uid="{9679A14C-9BB3-4F75-9B5A-E8914F438D37}"/>
    <cellStyle name="Normal 11 2 3 5 2 2 2 2 3 4" xfId="32870" xr:uid="{9E36BB21-4D70-4D08-BF5E-FF6C439ACA8C}"/>
    <cellStyle name="Normal 11 2 3 5 2 2 2 2 4" xfId="32871" xr:uid="{56675D06-E7C2-4B2A-9596-BE609F5EC82A}"/>
    <cellStyle name="Normal 11 2 3 5 2 2 2 2 4 2" xfId="32872" xr:uid="{1BA0BAB1-4793-4036-A8D5-46115E1C11A7}"/>
    <cellStyle name="Normal 11 2 3 5 2 2 2 2 4 2 2" xfId="32873" xr:uid="{1A0746F7-390B-4E91-A716-4FC8D3A64020}"/>
    <cellStyle name="Normal 11 2 3 5 2 2 2 2 4 3" xfId="32874" xr:uid="{9349D12B-AB93-48E3-A91C-497EAAF166AE}"/>
    <cellStyle name="Normal 11 2 3 5 2 2 2 2 5" xfId="32875" xr:uid="{A9408009-B4A7-4F0D-8E47-63504A33E5E4}"/>
    <cellStyle name="Normal 11 2 3 5 2 2 2 2 5 2" xfId="32876" xr:uid="{02B67114-7036-436F-B2B5-0E13BDF01DFB}"/>
    <cellStyle name="Normal 11 2 3 5 2 2 2 2 6" xfId="32877" xr:uid="{D0C1D568-09FC-4FC1-B8B8-410FCADAFACB}"/>
    <cellStyle name="Normal 11 2 3 5 2 2 2 3" xfId="32878" xr:uid="{1113A75F-3A4E-4112-9A10-937CF2B49675}"/>
    <cellStyle name="Normal 11 2 3 5 2 2 2 3 2" xfId="32879" xr:uid="{FC2CBB6A-5820-44E3-AAF7-47220C13EC59}"/>
    <cellStyle name="Normal 11 2 3 5 2 2 2 3 2 2" xfId="32880" xr:uid="{7B9B7565-6F13-407C-A404-A34234519144}"/>
    <cellStyle name="Normal 11 2 3 5 2 2 2 3 2 2 2" xfId="32881" xr:uid="{AC07361D-4255-4112-9E3F-3BD2BA562F27}"/>
    <cellStyle name="Normal 11 2 3 5 2 2 2 3 2 2 2 2" xfId="32882" xr:uid="{C94AA39B-C49F-4F60-BB3B-F2AC7D52C539}"/>
    <cellStyle name="Normal 11 2 3 5 2 2 2 3 2 2 3" xfId="32883" xr:uid="{61CBABB2-8299-437A-B4D7-F726787BA1A8}"/>
    <cellStyle name="Normal 11 2 3 5 2 2 2 3 2 3" xfId="32884" xr:uid="{D71DB95F-F2C5-44EB-B7D8-E466E77B386B}"/>
    <cellStyle name="Normal 11 2 3 5 2 2 2 3 2 3 2" xfId="32885" xr:uid="{21999793-62F9-4F58-A83F-B5AF92C912CE}"/>
    <cellStyle name="Normal 11 2 3 5 2 2 2 3 2 4" xfId="32886" xr:uid="{D415009F-877E-47B3-9AA4-9E1CDEC7DC44}"/>
    <cellStyle name="Normal 11 2 3 5 2 2 2 3 3" xfId="32887" xr:uid="{6319ABA5-6E29-4769-865B-9606B4DECC22}"/>
    <cellStyle name="Normal 11 2 3 5 2 2 2 3 3 2" xfId="32888" xr:uid="{22A6466E-2C28-44D3-B43C-83F0104A0A52}"/>
    <cellStyle name="Normal 11 2 3 5 2 2 2 3 3 2 2" xfId="32889" xr:uid="{8A8497B4-588A-4342-A787-2A2A51FC35A8}"/>
    <cellStyle name="Normal 11 2 3 5 2 2 2 3 3 3" xfId="32890" xr:uid="{DF0B7C6B-465E-4316-9E24-52B727DDD617}"/>
    <cellStyle name="Normal 11 2 3 5 2 2 2 3 4" xfId="32891" xr:uid="{298C5718-0FF1-4F23-B9EC-1A23EE828630}"/>
    <cellStyle name="Normal 11 2 3 5 2 2 2 3 4 2" xfId="32892" xr:uid="{FC6904FE-2F87-447F-86BD-329CC62A556E}"/>
    <cellStyle name="Normal 11 2 3 5 2 2 2 3 5" xfId="32893" xr:uid="{882E6D53-2EED-4BB2-9DA6-D30F6F6EF094}"/>
    <cellStyle name="Normal 11 2 3 5 2 2 2 4" xfId="32894" xr:uid="{FEF02A2A-B891-4110-97DC-BDA71D4F0434}"/>
    <cellStyle name="Normal 11 2 3 5 2 2 2 4 2" xfId="32895" xr:uid="{F39C7FBE-D863-4AF1-839B-86783F32A51C}"/>
    <cellStyle name="Normal 11 2 3 5 2 2 2 4 2 2" xfId="32896" xr:uid="{19E95CCA-9B58-4097-8DC6-991A12254188}"/>
    <cellStyle name="Normal 11 2 3 5 2 2 2 4 2 2 2" xfId="32897" xr:uid="{BA89EC4F-59CF-4C67-9B93-AB93705D84F7}"/>
    <cellStyle name="Normal 11 2 3 5 2 2 2 4 2 3" xfId="32898" xr:uid="{C08CEDC8-C414-4712-A5D7-C6E751632329}"/>
    <cellStyle name="Normal 11 2 3 5 2 2 2 4 3" xfId="32899" xr:uid="{4B816011-FDC2-4C88-8A20-646ADBEEC763}"/>
    <cellStyle name="Normal 11 2 3 5 2 2 2 4 3 2" xfId="32900" xr:uid="{3DEE2903-A2DA-4470-83FC-CE001A38A9A5}"/>
    <cellStyle name="Normal 11 2 3 5 2 2 2 4 4" xfId="32901" xr:uid="{A76CDB3B-2258-4EE4-BC13-6D90C3BFFE97}"/>
    <cellStyle name="Normal 11 2 3 5 2 2 2 5" xfId="32902" xr:uid="{E9775D69-B473-4CE5-B3FE-27679A83152C}"/>
    <cellStyle name="Normal 11 2 3 5 2 2 2 5 2" xfId="32903" xr:uid="{1E2DEAB1-16AC-4BEF-88FA-2BF84286FBF3}"/>
    <cellStyle name="Normal 11 2 3 5 2 2 2 5 2 2" xfId="32904" xr:uid="{2BB77AC3-7DCD-44FA-B020-51E087F7D3B6}"/>
    <cellStyle name="Normal 11 2 3 5 2 2 2 5 3" xfId="32905" xr:uid="{EA8B4AAD-72B3-41CF-B44F-A3A19F7ABFA3}"/>
    <cellStyle name="Normal 11 2 3 5 2 2 2 6" xfId="32906" xr:uid="{48386AE3-5578-4929-836D-10FDE0E2A39C}"/>
    <cellStyle name="Normal 11 2 3 5 2 2 2 6 2" xfId="32907" xr:uid="{7471486F-DB2E-4097-82AB-FCCFDD389D4A}"/>
    <cellStyle name="Normal 11 2 3 5 2 2 2 7" xfId="32908" xr:uid="{9CE8151F-A13B-4151-AA56-828858AFF487}"/>
    <cellStyle name="Normal 11 2 3 5 2 2 3" xfId="32909" xr:uid="{51F406E0-FD84-469F-8A93-530ACA62B844}"/>
    <cellStyle name="Normal 11 2 3 5 2 2 3 2" xfId="32910" xr:uid="{A5D56572-7E63-4753-B851-3B274BE29174}"/>
    <cellStyle name="Normal 11 2 3 5 2 2 3 2 2" xfId="32911" xr:uid="{83150303-F08B-4F9A-98C5-98BFDA76A091}"/>
    <cellStyle name="Normal 11 2 3 5 2 2 3 2 2 2" xfId="32912" xr:uid="{CF7417A1-D357-4820-AB02-5DD26382A73E}"/>
    <cellStyle name="Normal 11 2 3 5 2 2 3 2 2 2 2" xfId="32913" xr:uid="{9D71CF91-FAA5-40AE-8555-DB395DB28083}"/>
    <cellStyle name="Normal 11 2 3 5 2 2 3 2 2 2 2 2" xfId="32914" xr:uid="{F872B9BF-D7E9-42CD-B6ED-7F7EF7D92B4A}"/>
    <cellStyle name="Normal 11 2 3 5 2 2 3 2 2 2 3" xfId="32915" xr:uid="{F7BA00BF-28F3-4855-AD71-6EDB06EB105A}"/>
    <cellStyle name="Normal 11 2 3 5 2 2 3 2 2 3" xfId="32916" xr:uid="{9BC83AB9-4245-478D-98E8-F468A9FEE36D}"/>
    <cellStyle name="Normal 11 2 3 5 2 2 3 2 2 3 2" xfId="32917" xr:uid="{985685CC-574F-4590-87F6-23547C51FEB9}"/>
    <cellStyle name="Normal 11 2 3 5 2 2 3 2 2 4" xfId="32918" xr:uid="{06818725-4214-4930-9D3E-3200842C986F}"/>
    <cellStyle name="Normal 11 2 3 5 2 2 3 2 3" xfId="32919" xr:uid="{ED486761-E038-4ADD-B5DA-30539D917894}"/>
    <cellStyle name="Normal 11 2 3 5 2 2 3 2 3 2" xfId="32920" xr:uid="{5EDD6333-BDBC-405C-93A7-7F3B4910437F}"/>
    <cellStyle name="Normal 11 2 3 5 2 2 3 2 3 2 2" xfId="32921" xr:uid="{23BBF764-2A86-46FC-9CEA-4B98EAF72065}"/>
    <cellStyle name="Normal 11 2 3 5 2 2 3 2 3 3" xfId="32922" xr:uid="{DEA0E813-7C54-4683-95F9-507855D94C66}"/>
    <cellStyle name="Normal 11 2 3 5 2 2 3 2 4" xfId="32923" xr:uid="{E130331E-50DB-49DC-A669-98DA143AFBE3}"/>
    <cellStyle name="Normal 11 2 3 5 2 2 3 2 4 2" xfId="32924" xr:uid="{7D3A885D-DBFA-4D9D-9AD3-296DD22B9F6E}"/>
    <cellStyle name="Normal 11 2 3 5 2 2 3 2 5" xfId="32925" xr:uid="{CC967B2A-6FE5-4A9D-9EE5-08CBB10C023F}"/>
    <cellStyle name="Normal 11 2 3 5 2 2 3 3" xfId="32926" xr:uid="{FF4055E7-8AE7-432C-A965-A4DFAFF9D80F}"/>
    <cellStyle name="Normal 11 2 3 5 2 2 3 3 2" xfId="32927" xr:uid="{FAF1C8B4-F186-4335-A54E-2E13AC9D5F29}"/>
    <cellStyle name="Normal 11 2 3 5 2 2 3 3 2 2" xfId="32928" xr:uid="{B165A12E-B441-4E75-AF3C-F2E0EEC44EFE}"/>
    <cellStyle name="Normal 11 2 3 5 2 2 3 3 2 2 2" xfId="32929" xr:uid="{5364449F-06C1-491B-9BBC-EB12201B99D1}"/>
    <cellStyle name="Normal 11 2 3 5 2 2 3 3 2 3" xfId="32930" xr:uid="{DA09C823-14FB-4609-A06B-C9EDBAE7963D}"/>
    <cellStyle name="Normal 11 2 3 5 2 2 3 3 3" xfId="32931" xr:uid="{3AC6F18B-A2F3-4E64-BC11-CA0A916E51AC}"/>
    <cellStyle name="Normal 11 2 3 5 2 2 3 3 3 2" xfId="32932" xr:uid="{1811D92F-70AA-4508-93BC-2062F339D03B}"/>
    <cellStyle name="Normal 11 2 3 5 2 2 3 3 4" xfId="32933" xr:uid="{B7E21510-7703-402D-BA7B-81E5469CDD7F}"/>
    <cellStyle name="Normal 11 2 3 5 2 2 3 4" xfId="32934" xr:uid="{F86D5E29-C8B0-45C5-A685-E6B26D1E977C}"/>
    <cellStyle name="Normal 11 2 3 5 2 2 3 4 2" xfId="32935" xr:uid="{DFA72AB0-CF70-4480-8EA9-A51AC78172BB}"/>
    <cellStyle name="Normal 11 2 3 5 2 2 3 4 2 2" xfId="32936" xr:uid="{ED4E4DA4-61A2-44C8-9D27-836BDD9B1ED1}"/>
    <cellStyle name="Normal 11 2 3 5 2 2 3 4 3" xfId="32937" xr:uid="{7A20E997-7722-4626-A9D1-D8F4D42B650E}"/>
    <cellStyle name="Normal 11 2 3 5 2 2 3 5" xfId="32938" xr:uid="{C7C5EBF4-B930-4ACD-8544-9967D4A97ACF}"/>
    <cellStyle name="Normal 11 2 3 5 2 2 3 5 2" xfId="32939" xr:uid="{84CF42F9-B131-45D1-B55F-5FB9ED8F112E}"/>
    <cellStyle name="Normal 11 2 3 5 2 2 3 6" xfId="32940" xr:uid="{73706364-45F6-4139-ABEB-95153BE76670}"/>
    <cellStyle name="Normal 11 2 3 5 2 2 4" xfId="32941" xr:uid="{7F070ABC-87DC-40AA-851A-F5F13A6C3020}"/>
    <cellStyle name="Normal 11 2 3 5 2 2 4 2" xfId="32942" xr:uid="{4D4D96E5-E371-4425-8AD6-95FAC4F814DC}"/>
    <cellStyle name="Normal 11 2 3 5 2 2 4 2 2" xfId="32943" xr:uid="{25789BA1-4058-4F0C-A403-C8F4E4F07278}"/>
    <cellStyle name="Normal 11 2 3 5 2 2 4 2 2 2" xfId="32944" xr:uid="{457FA867-DB8D-43FF-91F9-8C1F959AE1E6}"/>
    <cellStyle name="Normal 11 2 3 5 2 2 4 2 2 2 2" xfId="32945" xr:uid="{C0240433-4CD6-47AC-B2AE-AA599488FE9B}"/>
    <cellStyle name="Normal 11 2 3 5 2 2 4 2 2 3" xfId="32946" xr:uid="{7EBA44FE-1E18-4F50-9A22-B209070533D1}"/>
    <cellStyle name="Normal 11 2 3 5 2 2 4 2 3" xfId="32947" xr:uid="{AE531B3F-8603-4019-A283-B291FFFF4F10}"/>
    <cellStyle name="Normal 11 2 3 5 2 2 4 2 3 2" xfId="32948" xr:uid="{33691330-5190-49D8-B067-EA2B8DD5B7ED}"/>
    <cellStyle name="Normal 11 2 3 5 2 2 4 2 4" xfId="32949" xr:uid="{BB7773BF-2370-4950-9E92-4B00E322D762}"/>
    <cellStyle name="Normal 11 2 3 5 2 2 4 3" xfId="32950" xr:uid="{5B17F22F-D356-4CC8-B3F9-EAA21A5071AA}"/>
    <cellStyle name="Normal 11 2 3 5 2 2 4 3 2" xfId="32951" xr:uid="{0863AE41-38F9-47F2-B619-9F302DF9F33D}"/>
    <cellStyle name="Normal 11 2 3 5 2 2 4 3 2 2" xfId="32952" xr:uid="{4B6E1A7C-1772-49E5-B970-879C8897432D}"/>
    <cellStyle name="Normal 11 2 3 5 2 2 4 3 3" xfId="32953" xr:uid="{EEEFD18F-1ADF-4C03-8ABD-A1762DFF2A97}"/>
    <cellStyle name="Normal 11 2 3 5 2 2 4 4" xfId="32954" xr:uid="{DD3BF27F-B1BF-40E6-AA27-68A262AEB936}"/>
    <cellStyle name="Normal 11 2 3 5 2 2 4 4 2" xfId="32955" xr:uid="{B1F555FF-466D-4CBE-B025-865FCE91328F}"/>
    <cellStyle name="Normal 11 2 3 5 2 2 4 5" xfId="32956" xr:uid="{FE0F5734-8D26-4AF9-8461-B3FDDA5D8A7B}"/>
    <cellStyle name="Normal 11 2 3 5 2 2 5" xfId="32957" xr:uid="{1B4FE160-D589-4C1D-BF8B-6B52F68EBA82}"/>
    <cellStyle name="Normal 11 2 3 5 2 2 5 2" xfId="32958" xr:uid="{BDB5FCC2-3409-461F-996F-ED5148A3747B}"/>
    <cellStyle name="Normal 11 2 3 5 2 2 5 2 2" xfId="32959" xr:uid="{162FFC12-7E4E-450F-801F-89F5F1EEE35E}"/>
    <cellStyle name="Normal 11 2 3 5 2 2 5 2 2 2" xfId="32960" xr:uid="{66CE2DB9-A8F2-4DD2-8ACE-D2E4DD129441}"/>
    <cellStyle name="Normal 11 2 3 5 2 2 5 2 3" xfId="32961" xr:uid="{43BA66C5-0551-47F7-99F1-6D566D199E27}"/>
    <cellStyle name="Normal 11 2 3 5 2 2 5 3" xfId="32962" xr:uid="{019C179E-BF3A-45EE-AD4F-F9F4008F65B8}"/>
    <cellStyle name="Normal 11 2 3 5 2 2 5 3 2" xfId="32963" xr:uid="{20155C7C-27A8-4CEC-908A-C165B765924B}"/>
    <cellStyle name="Normal 11 2 3 5 2 2 5 4" xfId="32964" xr:uid="{CFA0BA26-9E09-4050-B7C6-635181FFD234}"/>
    <cellStyle name="Normal 11 2 3 5 2 2 6" xfId="32965" xr:uid="{52871768-3E0D-4D91-909A-B2C9C1391B90}"/>
    <cellStyle name="Normal 11 2 3 5 2 2 6 2" xfId="32966" xr:uid="{4E7C39B3-677C-4395-A74D-F86E493EFD73}"/>
    <cellStyle name="Normal 11 2 3 5 2 2 6 2 2" xfId="32967" xr:uid="{EE48B6E0-EFC5-4351-B077-ECE9F6EB5F65}"/>
    <cellStyle name="Normal 11 2 3 5 2 2 6 3" xfId="32968" xr:uid="{840E91F7-6EEA-4BA4-96A7-B17F93940634}"/>
    <cellStyle name="Normal 11 2 3 5 2 2 7" xfId="32969" xr:uid="{FD68C699-5D90-4CF3-9DB4-0D14D888EA12}"/>
    <cellStyle name="Normal 11 2 3 5 2 2 7 2" xfId="32970" xr:uid="{4970C3EA-5EB7-4F55-8349-BB506066DC91}"/>
    <cellStyle name="Normal 11 2 3 5 2 2 8" xfId="32971" xr:uid="{2D2E951D-168B-45B3-B1CB-68FB352977FC}"/>
    <cellStyle name="Normal 11 2 3 5 2 3" xfId="32972" xr:uid="{C061968B-B394-49B5-B84C-0B31F8E27752}"/>
    <cellStyle name="Normal 11 2 3 5 2 3 2" xfId="32973" xr:uid="{D0693538-5BAB-422C-A051-5A929ECA4FE4}"/>
    <cellStyle name="Normal 11 2 3 5 2 3 2 2" xfId="32974" xr:uid="{347FAA35-558E-4642-AC39-D4426F5E5039}"/>
    <cellStyle name="Normal 11 2 3 5 2 3 2 2 2" xfId="32975" xr:uid="{72B85B2C-A563-469D-B791-60B5C1907880}"/>
    <cellStyle name="Normal 11 2 3 5 2 3 2 2 2 2" xfId="32976" xr:uid="{9FED830F-56F0-42E6-9BD8-64C550D94934}"/>
    <cellStyle name="Normal 11 2 3 5 2 3 2 2 2 2 2" xfId="32977" xr:uid="{2C36D3A8-DF04-47D9-A531-D75F810D1C35}"/>
    <cellStyle name="Normal 11 2 3 5 2 3 2 2 2 2 2 2" xfId="32978" xr:uid="{55AD0D3F-1DB9-452A-9663-98F9D374F61D}"/>
    <cellStyle name="Normal 11 2 3 5 2 3 2 2 2 2 3" xfId="32979" xr:uid="{273D5D19-4B5D-4367-98EE-E2FCC9AE16F4}"/>
    <cellStyle name="Normal 11 2 3 5 2 3 2 2 2 3" xfId="32980" xr:uid="{E5B7036E-7DA6-43C9-9170-4A58DCCE1E8B}"/>
    <cellStyle name="Normal 11 2 3 5 2 3 2 2 2 3 2" xfId="32981" xr:uid="{E0A7A773-35F4-4F27-8D58-D84F65B57311}"/>
    <cellStyle name="Normal 11 2 3 5 2 3 2 2 2 4" xfId="32982" xr:uid="{E587E9DA-E050-46A6-9CD2-A102E4039CB7}"/>
    <cellStyle name="Normal 11 2 3 5 2 3 2 2 3" xfId="32983" xr:uid="{867BA646-3411-4EDA-8FD6-A8CB79BF5D28}"/>
    <cellStyle name="Normal 11 2 3 5 2 3 2 2 3 2" xfId="32984" xr:uid="{657571E4-4FE8-4712-AFAC-41FEC01B0718}"/>
    <cellStyle name="Normal 11 2 3 5 2 3 2 2 3 2 2" xfId="32985" xr:uid="{99439CCD-CECF-4E2C-B2C3-3F2F28DB99CF}"/>
    <cellStyle name="Normal 11 2 3 5 2 3 2 2 3 3" xfId="32986" xr:uid="{36463BA4-03E6-4608-B5DE-EF01A5278E2C}"/>
    <cellStyle name="Normal 11 2 3 5 2 3 2 2 4" xfId="32987" xr:uid="{A259D6DD-2C8A-4938-A552-3CA4C09E0918}"/>
    <cellStyle name="Normal 11 2 3 5 2 3 2 2 4 2" xfId="32988" xr:uid="{0CA12537-4B44-4FC0-BE6E-4FC11DCEEA84}"/>
    <cellStyle name="Normal 11 2 3 5 2 3 2 2 5" xfId="32989" xr:uid="{E37CB3A5-193D-42CB-9197-3484ABEEDB39}"/>
    <cellStyle name="Normal 11 2 3 5 2 3 2 3" xfId="32990" xr:uid="{08A3E9D7-2345-40B9-9D10-3F2D46AC17EA}"/>
    <cellStyle name="Normal 11 2 3 5 2 3 2 3 2" xfId="32991" xr:uid="{A69F405A-B49E-4E6C-ACAF-77EBD1D31F50}"/>
    <cellStyle name="Normal 11 2 3 5 2 3 2 3 2 2" xfId="32992" xr:uid="{229EA767-93A4-4A0B-BD33-5F0E598B27EE}"/>
    <cellStyle name="Normal 11 2 3 5 2 3 2 3 2 2 2" xfId="32993" xr:uid="{9E929F28-1235-4EA1-BA66-B49AD3EE524C}"/>
    <cellStyle name="Normal 11 2 3 5 2 3 2 3 2 3" xfId="32994" xr:uid="{DF39CE90-5F69-4FDB-9286-1F192004FE22}"/>
    <cellStyle name="Normal 11 2 3 5 2 3 2 3 3" xfId="32995" xr:uid="{38580EC6-5FC0-40E7-ADA5-91FF363636EC}"/>
    <cellStyle name="Normal 11 2 3 5 2 3 2 3 3 2" xfId="32996" xr:uid="{B659C0E3-2EF9-4F90-B187-42338EEAC745}"/>
    <cellStyle name="Normal 11 2 3 5 2 3 2 3 4" xfId="32997" xr:uid="{607C78B8-D2B4-4189-A2BA-0DA91F4F0DE8}"/>
    <cellStyle name="Normal 11 2 3 5 2 3 2 4" xfId="32998" xr:uid="{ECF1099D-47E4-4042-AFD9-AB6BF5F41EC7}"/>
    <cellStyle name="Normal 11 2 3 5 2 3 2 4 2" xfId="32999" xr:uid="{51927D0C-ED93-4DB9-B6A9-40ABF947C645}"/>
    <cellStyle name="Normal 11 2 3 5 2 3 2 4 2 2" xfId="33000" xr:uid="{CF2FB492-3711-44BE-8971-3589560F0EC7}"/>
    <cellStyle name="Normal 11 2 3 5 2 3 2 4 3" xfId="33001" xr:uid="{6CA58626-2C59-4021-8940-E6F599DA45AF}"/>
    <cellStyle name="Normal 11 2 3 5 2 3 2 5" xfId="33002" xr:uid="{2B6017A5-AD0D-4190-A93D-FA3C5CECA9AD}"/>
    <cellStyle name="Normal 11 2 3 5 2 3 2 5 2" xfId="33003" xr:uid="{02F4E86C-0AEE-4223-A49D-89A17A332E1E}"/>
    <cellStyle name="Normal 11 2 3 5 2 3 2 6" xfId="33004" xr:uid="{8856727D-6312-48F4-9A09-88865C40DD71}"/>
    <cellStyle name="Normal 11 2 3 5 2 3 3" xfId="33005" xr:uid="{3F834318-695E-481D-9F57-2982F45174FC}"/>
    <cellStyle name="Normal 11 2 3 5 2 3 3 2" xfId="33006" xr:uid="{10E0FBF3-F1CF-46C5-9ABC-84DA3DDFA08D}"/>
    <cellStyle name="Normal 11 2 3 5 2 3 3 2 2" xfId="33007" xr:uid="{13ED0294-CDE5-4989-BF17-1DB91D8E7D0E}"/>
    <cellStyle name="Normal 11 2 3 5 2 3 3 2 2 2" xfId="33008" xr:uid="{900AC17F-B287-4FC9-A3B4-557C8EF3EBC0}"/>
    <cellStyle name="Normal 11 2 3 5 2 3 3 2 2 2 2" xfId="33009" xr:uid="{1F619AF0-2AE1-4B64-BFB0-E83609AB1235}"/>
    <cellStyle name="Normal 11 2 3 5 2 3 3 2 2 3" xfId="33010" xr:uid="{B548F682-37CC-4E9A-869A-6506EE2C4981}"/>
    <cellStyle name="Normal 11 2 3 5 2 3 3 2 3" xfId="33011" xr:uid="{9BEA4C3F-60B8-4C04-8FA3-6958F10F1E56}"/>
    <cellStyle name="Normal 11 2 3 5 2 3 3 2 3 2" xfId="33012" xr:uid="{A6BF1497-1519-40C6-B4F8-6AFC13F3150A}"/>
    <cellStyle name="Normal 11 2 3 5 2 3 3 2 4" xfId="33013" xr:uid="{5A9EBF47-BC60-418D-83E4-5A46EADCC068}"/>
    <cellStyle name="Normal 11 2 3 5 2 3 3 3" xfId="33014" xr:uid="{999090F4-1BEC-4ED0-B6F1-2988A86DD1D5}"/>
    <cellStyle name="Normal 11 2 3 5 2 3 3 3 2" xfId="33015" xr:uid="{7FF0DD2A-B085-4F19-818B-C156792C874E}"/>
    <cellStyle name="Normal 11 2 3 5 2 3 3 3 2 2" xfId="33016" xr:uid="{6EB3D799-AFCF-409A-81FD-3CDF59F4F86C}"/>
    <cellStyle name="Normal 11 2 3 5 2 3 3 3 3" xfId="33017" xr:uid="{54B6D8F8-CCC0-4461-824D-EEDEA1105BDD}"/>
    <cellStyle name="Normal 11 2 3 5 2 3 3 4" xfId="33018" xr:uid="{94BD9B82-0235-4D6A-80A6-D84BFCB31044}"/>
    <cellStyle name="Normal 11 2 3 5 2 3 3 4 2" xfId="33019" xr:uid="{7043C7F0-E454-4BD7-A78D-6FC372F55DCC}"/>
    <cellStyle name="Normal 11 2 3 5 2 3 3 5" xfId="33020" xr:uid="{F2979F5B-AEB0-4A03-888D-24575C3E5F6F}"/>
    <cellStyle name="Normal 11 2 3 5 2 3 4" xfId="33021" xr:uid="{9DBD2646-80A7-4A3E-BC66-9E9A2D23B0DF}"/>
    <cellStyle name="Normal 11 2 3 5 2 3 4 2" xfId="33022" xr:uid="{62B5BD8C-911F-4668-9659-58B5B2B36794}"/>
    <cellStyle name="Normal 11 2 3 5 2 3 4 2 2" xfId="33023" xr:uid="{3863BC20-4CA0-429D-9541-A15EAECB1BD7}"/>
    <cellStyle name="Normal 11 2 3 5 2 3 4 2 2 2" xfId="33024" xr:uid="{59D3D80F-39A4-4A05-B5C4-7B547304FEB0}"/>
    <cellStyle name="Normal 11 2 3 5 2 3 4 2 3" xfId="33025" xr:uid="{EB20A75E-5AA5-47B9-898D-91E3C1762AD5}"/>
    <cellStyle name="Normal 11 2 3 5 2 3 4 3" xfId="33026" xr:uid="{2954D054-DF50-49A1-ADE2-3CBB6E4FC1D9}"/>
    <cellStyle name="Normal 11 2 3 5 2 3 4 3 2" xfId="33027" xr:uid="{96A01427-4213-416D-ADBB-4E926DEFDBE4}"/>
    <cellStyle name="Normal 11 2 3 5 2 3 4 4" xfId="33028" xr:uid="{6D4ABECA-AA63-493D-9F79-4160316FEFA0}"/>
    <cellStyle name="Normal 11 2 3 5 2 3 5" xfId="33029" xr:uid="{8FC1B7D8-B9D5-4A9A-96C4-DCE9FEB47508}"/>
    <cellStyle name="Normal 11 2 3 5 2 3 5 2" xfId="33030" xr:uid="{49B8EF39-939B-46BA-84AB-4F14B23201FD}"/>
    <cellStyle name="Normal 11 2 3 5 2 3 5 2 2" xfId="33031" xr:uid="{7347F580-8E5F-4A19-A47D-53F7FBE96F19}"/>
    <cellStyle name="Normal 11 2 3 5 2 3 5 3" xfId="33032" xr:uid="{285410FE-B6E3-46E1-A1C5-797BDFE4CC62}"/>
    <cellStyle name="Normal 11 2 3 5 2 3 6" xfId="33033" xr:uid="{C567BC03-89E0-499D-90D3-6FF57BADBA37}"/>
    <cellStyle name="Normal 11 2 3 5 2 3 6 2" xfId="33034" xr:uid="{EE5CFF42-E7B6-40D5-9AFA-4407365E26FA}"/>
    <cellStyle name="Normal 11 2 3 5 2 3 7" xfId="33035" xr:uid="{CB0A9AE4-3D92-413F-895A-4872CA392E20}"/>
    <cellStyle name="Normal 11 2 3 5 2 4" xfId="33036" xr:uid="{51768023-AB69-49D1-9AB2-5BC925227968}"/>
    <cellStyle name="Normal 11 2 3 5 2 4 2" xfId="33037" xr:uid="{7FFAE39D-8380-475B-A2B7-A1AEB53948DF}"/>
    <cellStyle name="Normal 11 2 3 5 2 4 2 2" xfId="33038" xr:uid="{3B22C6B6-D069-465C-A1F6-016E3C3ADF9E}"/>
    <cellStyle name="Normal 11 2 3 5 2 4 2 2 2" xfId="33039" xr:uid="{553F3F61-10FE-48EE-9D5B-4DA2ECB3D0B3}"/>
    <cellStyle name="Normal 11 2 3 5 2 4 2 2 2 2" xfId="33040" xr:uid="{3793AAED-C5F6-4214-ABD0-0A04EE367F69}"/>
    <cellStyle name="Normal 11 2 3 5 2 4 2 2 2 2 2" xfId="33041" xr:uid="{81014C1C-195F-4BA2-A446-09143681EA8D}"/>
    <cellStyle name="Normal 11 2 3 5 2 4 2 2 2 3" xfId="33042" xr:uid="{45AFF5E5-6439-4898-A8CB-4D603BA84C74}"/>
    <cellStyle name="Normal 11 2 3 5 2 4 2 2 3" xfId="33043" xr:uid="{8E7AF6E2-9A21-4E53-AAFD-5094CA6CD33B}"/>
    <cellStyle name="Normal 11 2 3 5 2 4 2 2 3 2" xfId="33044" xr:uid="{C67AC70E-1249-4A16-9F45-3902D4918DAF}"/>
    <cellStyle name="Normal 11 2 3 5 2 4 2 2 4" xfId="33045" xr:uid="{087CC805-5DC7-4295-BDB1-9EAEB8DF9835}"/>
    <cellStyle name="Normal 11 2 3 5 2 4 2 3" xfId="33046" xr:uid="{4592DA04-4C28-4F7F-AF38-01948C249317}"/>
    <cellStyle name="Normal 11 2 3 5 2 4 2 3 2" xfId="33047" xr:uid="{78DE4141-47A1-46B1-8929-4B00321BDEA0}"/>
    <cellStyle name="Normal 11 2 3 5 2 4 2 3 2 2" xfId="33048" xr:uid="{F3844EC0-EF36-4F08-9995-0E4099CF46CC}"/>
    <cellStyle name="Normal 11 2 3 5 2 4 2 3 3" xfId="33049" xr:uid="{4BB1ADDF-C607-4766-BD75-17C1ACD1A1E8}"/>
    <cellStyle name="Normal 11 2 3 5 2 4 2 4" xfId="33050" xr:uid="{36488CE8-CBC6-48FA-81A5-DA801018F946}"/>
    <cellStyle name="Normal 11 2 3 5 2 4 2 4 2" xfId="33051" xr:uid="{2B99A769-9C9A-4505-AB59-7A245D57638C}"/>
    <cellStyle name="Normal 11 2 3 5 2 4 2 5" xfId="33052" xr:uid="{223DF113-FD06-45C0-A858-642ADD1540E4}"/>
    <cellStyle name="Normal 11 2 3 5 2 4 3" xfId="33053" xr:uid="{DA1CB0B6-7476-4416-B96D-886E490438E2}"/>
    <cellStyle name="Normal 11 2 3 5 2 4 3 2" xfId="33054" xr:uid="{30C170ED-4F71-4A2D-A354-6D71363E0F5C}"/>
    <cellStyle name="Normal 11 2 3 5 2 4 3 2 2" xfId="33055" xr:uid="{D4F0C31A-47F1-44D9-B5CF-405D5F5B3E19}"/>
    <cellStyle name="Normal 11 2 3 5 2 4 3 2 2 2" xfId="33056" xr:uid="{003AE92B-386A-43F4-B463-E6062A4393C5}"/>
    <cellStyle name="Normal 11 2 3 5 2 4 3 2 3" xfId="33057" xr:uid="{3AEC62BC-4F51-4DE7-B265-0A5C5CDF0E3B}"/>
    <cellStyle name="Normal 11 2 3 5 2 4 3 3" xfId="33058" xr:uid="{5A81308F-417F-4608-8601-0E78F859C84F}"/>
    <cellStyle name="Normal 11 2 3 5 2 4 3 3 2" xfId="33059" xr:uid="{8FC5D644-3E75-4287-B174-2890AB391B63}"/>
    <cellStyle name="Normal 11 2 3 5 2 4 3 4" xfId="33060" xr:uid="{C1524565-2E7E-40FF-B78D-3AB36C08E21F}"/>
    <cellStyle name="Normal 11 2 3 5 2 4 4" xfId="33061" xr:uid="{ECDF7682-4E59-4863-AD91-1EFE1DA7EB94}"/>
    <cellStyle name="Normal 11 2 3 5 2 4 4 2" xfId="33062" xr:uid="{75B6D25D-B3CF-4344-B870-D27996F86CFA}"/>
    <cellStyle name="Normal 11 2 3 5 2 4 4 2 2" xfId="33063" xr:uid="{814281CA-232F-4B39-A541-E8E8070E7E79}"/>
    <cellStyle name="Normal 11 2 3 5 2 4 4 3" xfId="33064" xr:uid="{04AFBAE9-A389-48E2-AF44-501A6C1A3FEB}"/>
    <cellStyle name="Normal 11 2 3 5 2 4 5" xfId="33065" xr:uid="{7555FAFD-3247-4CC6-9F98-E182AB84C9D2}"/>
    <cellStyle name="Normal 11 2 3 5 2 4 5 2" xfId="33066" xr:uid="{993A5CC7-20D2-424F-AD14-B5D58A0815E5}"/>
    <cellStyle name="Normal 11 2 3 5 2 4 6" xfId="33067" xr:uid="{CEF94CF9-06AD-4F98-8BDA-6C38945BC822}"/>
    <cellStyle name="Normal 11 2 3 5 2 5" xfId="33068" xr:uid="{2ABE57D6-EB2B-47B7-827D-1C4FD0643162}"/>
    <cellStyle name="Normal 11 2 3 5 2 5 2" xfId="33069" xr:uid="{4DEA0A93-EA6F-4929-B4C6-3A5A4104461F}"/>
    <cellStyle name="Normal 11 2 3 5 2 5 2 2" xfId="33070" xr:uid="{04F6A91A-4805-45B0-802C-8EC97EF1BE7C}"/>
    <cellStyle name="Normal 11 2 3 5 2 5 2 2 2" xfId="33071" xr:uid="{78F5D3A2-3D0D-492C-98E3-C6B6C09A3E14}"/>
    <cellStyle name="Normal 11 2 3 5 2 5 2 2 2 2" xfId="33072" xr:uid="{2903A0F9-80C0-4542-87D0-5BA864629D7D}"/>
    <cellStyle name="Normal 11 2 3 5 2 5 2 2 3" xfId="33073" xr:uid="{6FF6D084-4E1F-43C3-AA78-E463FD6B42F5}"/>
    <cellStyle name="Normal 11 2 3 5 2 5 2 3" xfId="33074" xr:uid="{E7887E4E-E064-4D81-B7D8-1F0085F6CC6E}"/>
    <cellStyle name="Normal 11 2 3 5 2 5 2 3 2" xfId="33075" xr:uid="{EF110BCF-DE6B-4492-BDE6-89D4D33A78AE}"/>
    <cellStyle name="Normal 11 2 3 5 2 5 2 4" xfId="33076" xr:uid="{38786EFC-663A-4F8D-B70A-25EA74DAA337}"/>
    <cellStyle name="Normal 11 2 3 5 2 5 3" xfId="33077" xr:uid="{9E468B89-77A3-4A88-9F6E-2E3D37B76DEF}"/>
    <cellStyle name="Normal 11 2 3 5 2 5 3 2" xfId="33078" xr:uid="{013A3940-3022-4375-B2B5-94ABD1FB5EAA}"/>
    <cellStyle name="Normal 11 2 3 5 2 5 3 2 2" xfId="33079" xr:uid="{6278A223-BBCB-446C-A791-FCE9875C56A4}"/>
    <cellStyle name="Normal 11 2 3 5 2 5 3 3" xfId="33080" xr:uid="{E8D88080-EAF2-4711-A17B-A67A350E6878}"/>
    <cellStyle name="Normal 11 2 3 5 2 5 4" xfId="33081" xr:uid="{92833606-4DDC-4684-8EC9-E6F0D85420FD}"/>
    <cellStyle name="Normal 11 2 3 5 2 5 4 2" xfId="33082" xr:uid="{EB0E2C01-83F3-4215-94BC-829F7881BFD2}"/>
    <cellStyle name="Normal 11 2 3 5 2 5 5" xfId="33083" xr:uid="{7AD6AC54-EE51-4C6C-B485-832350BF7787}"/>
    <cellStyle name="Normal 11 2 3 5 2 6" xfId="33084" xr:uid="{74838636-76B5-4782-91A2-9BB46C9A22E4}"/>
    <cellStyle name="Normal 11 2 3 5 2 6 2" xfId="33085" xr:uid="{3DA8D870-2262-498D-9207-487540E202E3}"/>
    <cellStyle name="Normal 11 2 3 5 2 6 2 2" xfId="33086" xr:uid="{A1B74836-B666-41EE-9486-89D964948857}"/>
    <cellStyle name="Normal 11 2 3 5 2 6 2 2 2" xfId="33087" xr:uid="{BE912C9A-4D2C-4F5A-800F-BC47E29D2D06}"/>
    <cellStyle name="Normal 11 2 3 5 2 6 2 3" xfId="33088" xr:uid="{4AA95B33-AC72-48D9-93F8-F7A448F5F4AC}"/>
    <cellStyle name="Normal 11 2 3 5 2 6 3" xfId="33089" xr:uid="{EDA0BFA0-A9D2-446F-8953-7B235CC20CE0}"/>
    <cellStyle name="Normal 11 2 3 5 2 6 3 2" xfId="33090" xr:uid="{506D9A07-2655-4881-A320-1B4B8F00E231}"/>
    <cellStyle name="Normal 11 2 3 5 2 6 4" xfId="33091" xr:uid="{1E0203C6-A1B3-4A9B-A673-DD3791593AA0}"/>
    <cellStyle name="Normal 11 2 3 5 2 7" xfId="33092" xr:uid="{F7171C08-7819-4927-AEAA-E18C5A48EC3E}"/>
    <cellStyle name="Normal 11 2 3 5 2 7 2" xfId="33093" xr:uid="{C7350935-E20F-4FF0-B012-08CE6AD5FFEE}"/>
    <cellStyle name="Normal 11 2 3 5 2 7 2 2" xfId="33094" xr:uid="{2867FC49-DE6E-4A2E-9A48-481830F9ED1E}"/>
    <cellStyle name="Normal 11 2 3 5 2 7 3" xfId="33095" xr:uid="{CCCEC661-E185-4468-8553-D167327D64C2}"/>
    <cellStyle name="Normal 11 2 3 5 2 8" xfId="33096" xr:uid="{B27E9C5C-ADA2-4CB2-A60E-085BB6AD34F7}"/>
    <cellStyle name="Normal 11 2 3 5 2 8 2" xfId="33097" xr:uid="{1D0AFF1A-9B33-42DB-B4A7-7E3E9FD12E63}"/>
    <cellStyle name="Normal 11 2 3 5 2 9" xfId="33098" xr:uid="{C67E0148-D4CB-4C64-B77A-09385A52795F}"/>
    <cellStyle name="Normal 11 2 3 5 3" xfId="511" xr:uid="{A580FD26-14C1-4915-A1CE-83AC0DBA27BB}"/>
    <cellStyle name="Normal 11 2 3 5 3 2" xfId="33100" xr:uid="{130666EC-4A7C-4456-8C08-5F78699E1F85}"/>
    <cellStyle name="Normal 11 2 3 5 3 2 2" xfId="33101" xr:uid="{4395374D-B862-48EC-A010-E4D11549BD67}"/>
    <cellStyle name="Normal 11 2 3 5 3 2 2 2" xfId="33102" xr:uid="{75FFD1B3-CF2C-4D31-B4F2-BEDC66D6988C}"/>
    <cellStyle name="Normal 11 2 3 5 3 2 2 2 2" xfId="33103" xr:uid="{31877958-97E5-4078-ABCD-6A45E3889231}"/>
    <cellStyle name="Normal 11 2 3 5 3 2 2 2 2 2" xfId="33104" xr:uid="{25866A8B-2AE0-4F48-A46C-F1B3AD859201}"/>
    <cellStyle name="Normal 11 2 3 5 3 2 2 2 2 2 2" xfId="33105" xr:uid="{6A1DEA9E-3526-40F0-9A28-0F7B744CBCF7}"/>
    <cellStyle name="Normal 11 2 3 5 3 2 2 2 2 2 2 2" xfId="33106" xr:uid="{96FCC829-C4BA-41F3-8467-6DC6C847526E}"/>
    <cellStyle name="Normal 11 2 3 5 3 2 2 2 2 2 3" xfId="33107" xr:uid="{7EC184CA-AF7A-41D1-B9EE-FD2EEAF0F127}"/>
    <cellStyle name="Normal 11 2 3 5 3 2 2 2 2 3" xfId="33108" xr:uid="{FDE92D62-91EC-4898-9F8A-EF101AB3D278}"/>
    <cellStyle name="Normal 11 2 3 5 3 2 2 2 2 3 2" xfId="33109" xr:uid="{E8D9A8D7-8746-4FCE-A908-E5BADAF1B7B1}"/>
    <cellStyle name="Normal 11 2 3 5 3 2 2 2 2 4" xfId="33110" xr:uid="{FFC48F3D-D80A-4CF6-9F31-4B70A8E19284}"/>
    <cellStyle name="Normal 11 2 3 5 3 2 2 2 3" xfId="33111" xr:uid="{AAEA2AFD-C01A-49FF-8E62-769995BAD3DD}"/>
    <cellStyle name="Normal 11 2 3 5 3 2 2 2 3 2" xfId="33112" xr:uid="{21B98A2F-FED9-48A7-A3EB-D995AACF4771}"/>
    <cellStyle name="Normal 11 2 3 5 3 2 2 2 3 2 2" xfId="33113" xr:uid="{7CD9C901-D672-479B-B09B-DC209AEDB682}"/>
    <cellStyle name="Normal 11 2 3 5 3 2 2 2 3 3" xfId="33114" xr:uid="{153EBA12-00CB-4ACE-80B3-82AF638DEB12}"/>
    <cellStyle name="Normal 11 2 3 5 3 2 2 2 4" xfId="33115" xr:uid="{C5A21942-793D-4882-9AEB-0656924B204C}"/>
    <cellStyle name="Normal 11 2 3 5 3 2 2 2 4 2" xfId="33116" xr:uid="{A4A23AE1-07A2-47AF-9806-CB22454D7118}"/>
    <cellStyle name="Normal 11 2 3 5 3 2 2 2 5" xfId="33117" xr:uid="{13E32022-F8BD-469F-8F27-DB6B2752826F}"/>
    <cellStyle name="Normal 11 2 3 5 3 2 2 3" xfId="33118" xr:uid="{2C703597-055A-4ACA-A1B0-C50F9E0D0B01}"/>
    <cellStyle name="Normal 11 2 3 5 3 2 2 3 2" xfId="33119" xr:uid="{062C9DE5-7796-406D-B6CE-31B9FB12F9F3}"/>
    <cellStyle name="Normal 11 2 3 5 3 2 2 3 2 2" xfId="33120" xr:uid="{71C565A5-122C-4255-A318-971FE8C52480}"/>
    <cellStyle name="Normal 11 2 3 5 3 2 2 3 2 2 2" xfId="33121" xr:uid="{131952D7-99B8-40B2-8088-19E309355FA2}"/>
    <cellStyle name="Normal 11 2 3 5 3 2 2 3 2 3" xfId="33122" xr:uid="{486F2F89-94F3-4725-83E8-B65AC664DDC3}"/>
    <cellStyle name="Normal 11 2 3 5 3 2 2 3 3" xfId="33123" xr:uid="{CC2AD268-7189-410C-BAEF-48CC6906BF09}"/>
    <cellStyle name="Normal 11 2 3 5 3 2 2 3 3 2" xfId="33124" xr:uid="{8E4C0311-8C30-407B-A677-580F870C02B1}"/>
    <cellStyle name="Normal 11 2 3 5 3 2 2 3 4" xfId="33125" xr:uid="{7E549D52-EB5B-4B05-A8DF-157024C20759}"/>
    <cellStyle name="Normal 11 2 3 5 3 2 2 4" xfId="33126" xr:uid="{203605F7-221F-47BC-B33A-47A232B692BB}"/>
    <cellStyle name="Normal 11 2 3 5 3 2 2 4 2" xfId="33127" xr:uid="{309322BA-DEDB-4D8B-A412-9763AD0FE5CE}"/>
    <cellStyle name="Normal 11 2 3 5 3 2 2 4 2 2" xfId="33128" xr:uid="{49166F08-7527-4E23-BC88-52CBCDC98056}"/>
    <cellStyle name="Normal 11 2 3 5 3 2 2 4 3" xfId="33129" xr:uid="{EE17A09E-54A6-4777-AFFA-C955A3B020CC}"/>
    <cellStyle name="Normal 11 2 3 5 3 2 2 5" xfId="33130" xr:uid="{5C46E4DD-784F-44FA-8146-DBE4FA28E961}"/>
    <cellStyle name="Normal 11 2 3 5 3 2 2 5 2" xfId="33131" xr:uid="{69CC45AF-8302-458F-B748-D1ECD0975C21}"/>
    <cellStyle name="Normal 11 2 3 5 3 2 2 6" xfId="33132" xr:uid="{FEE6F5D1-9557-483D-A0A4-916B80255F97}"/>
    <cellStyle name="Normal 11 2 3 5 3 2 3" xfId="33133" xr:uid="{26FFDE21-8C8F-4BF7-A512-44810E31ED6E}"/>
    <cellStyle name="Normal 11 2 3 5 3 2 3 2" xfId="33134" xr:uid="{2DC083DC-20F4-4E86-B9C5-73FBC89933AE}"/>
    <cellStyle name="Normal 11 2 3 5 3 2 3 2 2" xfId="33135" xr:uid="{7B1FEC88-7100-4B6C-B6FB-D63084B155CD}"/>
    <cellStyle name="Normal 11 2 3 5 3 2 3 2 2 2" xfId="33136" xr:uid="{8A543C5F-E23B-4F0B-950C-87435041C17C}"/>
    <cellStyle name="Normal 11 2 3 5 3 2 3 2 2 2 2" xfId="33137" xr:uid="{79BF6386-A9C0-41CB-A3BB-84680D485476}"/>
    <cellStyle name="Normal 11 2 3 5 3 2 3 2 2 3" xfId="33138" xr:uid="{5EFACD53-3D0A-426B-BC18-E7030D2D8111}"/>
    <cellStyle name="Normal 11 2 3 5 3 2 3 2 3" xfId="33139" xr:uid="{00893AD1-431E-4696-A810-F7D69F4DDE84}"/>
    <cellStyle name="Normal 11 2 3 5 3 2 3 2 3 2" xfId="33140" xr:uid="{FD81E7DF-A51D-474F-8B71-0842A7D54990}"/>
    <cellStyle name="Normal 11 2 3 5 3 2 3 2 4" xfId="33141" xr:uid="{F2F932D0-6BC3-4555-87D1-5EAC8F40B919}"/>
    <cellStyle name="Normal 11 2 3 5 3 2 3 3" xfId="33142" xr:uid="{92426B16-D5C5-4156-9400-3D54746B023E}"/>
    <cellStyle name="Normal 11 2 3 5 3 2 3 3 2" xfId="33143" xr:uid="{F45490CF-AB35-43DC-ACDA-CF9C7502C85E}"/>
    <cellStyle name="Normal 11 2 3 5 3 2 3 3 2 2" xfId="33144" xr:uid="{26714C57-D094-4CC0-84E9-F2A96D386942}"/>
    <cellStyle name="Normal 11 2 3 5 3 2 3 3 3" xfId="33145" xr:uid="{990B42BD-941B-4502-96C7-8F21B0CCB83D}"/>
    <cellStyle name="Normal 11 2 3 5 3 2 3 4" xfId="33146" xr:uid="{2C5D55A9-0CCC-4CE7-9310-FA333D915953}"/>
    <cellStyle name="Normal 11 2 3 5 3 2 3 4 2" xfId="33147" xr:uid="{D8A85EE0-CC66-45F8-B625-7182D4F00406}"/>
    <cellStyle name="Normal 11 2 3 5 3 2 3 5" xfId="33148" xr:uid="{5A492D5C-09A0-409C-8A4A-C01E6B917CD0}"/>
    <cellStyle name="Normal 11 2 3 5 3 2 4" xfId="33149" xr:uid="{5F55038E-35DC-4DB9-97F1-FFF1D2177818}"/>
    <cellStyle name="Normal 11 2 3 5 3 2 4 2" xfId="33150" xr:uid="{F7D77985-9A51-401D-8032-A7461402E011}"/>
    <cellStyle name="Normal 11 2 3 5 3 2 4 2 2" xfId="33151" xr:uid="{1E973FE2-B110-45AA-A5EA-AC488D511075}"/>
    <cellStyle name="Normal 11 2 3 5 3 2 4 2 2 2" xfId="33152" xr:uid="{0515F066-01E7-4E9C-AD0C-413904A44C97}"/>
    <cellStyle name="Normal 11 2 3 5 3 2 4 2 3" xfId="33153" xr:uid="{E5AAF539-6C85-492D-960E-746125BBF8F6}"/>
    <cellStyle name="Normal 11 2 3 5 3 2 4 3" xfId="33154" xr:uid="{6077DD90-9FB5-4BE2-A91A-E3C7CDFF2B3F}"/>
    <cellStyle name="Normal 11 2 3 5 3 2 4 3 2" xfId="33155" xr:uid="{B52251A5-B9DC-4BEA-A663-D9B0F72BB954}"/>
    <cellStyle name="Normal 11 2 3 5 3 2 4 4" xfId="33156" xr:uid="{17EEB84D-2410-4349-8184-E1D54E14D158}"/>
    <cellStyle name="Normal 11 2 3 5 3 2 5" xfId="33157" xr:uid="{2BBCC241-B309-4804-B19B-EFDFA171540A}"/>
    <cellStyle name="Normal 11 2 3 5 3 2 5 2" xfId="33158" xr:uid="{48C54E97-6735-43CA-89FB-0315596BADA2}"/>
    <cellStyle name="Normal 11 2 3 5 3 2 5 2 2" xfId="33159" xr:uid="{4B6F3097-8ADF-46F2-8942-3F2913D67E4D}"/>
    <cellStyle name="Normal 11 2 3 5 3 2 5 3" xfId="33160" xr:uid="{BC1E01AB-171E-41A3-A010-8D86146024D1}"/>
    <cellStyle name="Normal 11 2 3 5 3 2 6" xfId="33161" xr:uid="{FE20624D-0410-46F6-82AF-F4588016E0C5}"/>
    <cellStyle name="Normal 11 2 3 5 3 2 6 2" xfId="33162" xr:uid="{7F69E748-D35B-408B-B8E3-35E435E0F34B}"/>
    <cellStyle name="Normal 11 2 3 5 3 2 7" xfId="33163" xr:uid="{EC5F79F1-94EF-4A76-9BC2-6D00169768DA}"/>
    <cellStyle name="Normal 11 2 3 5 3 3" xfId="33164" xr:uid="{43F58118-F73F-479C-BC13-5D685328029E}"/>
    <cellStyle name="Normal 11 2 3 5 3 3 2" xfId="33165" xr:uid="{CB543903-7AD9-4400-9DBB-A4CE7C355B69}"/>
    <cellStyle name="Normal 11 2 3 5 3 3 2 2" xfId="33166" xr:uid="{0E68272B-7A92-426D-B505-FECFF97CB1D7}"/>
    <cellStyle name="Normal 11 2 3 5 3 3 2 2 2" xfId="33167" xr:uid="{A87557F5-EB43-4ABB-A1B8-255E80B8A893}"/>
    <cellStyle name="Normal 11 2 3 5 3 3 2 2 2 2" xfId="33168" xr:uid="{C9CAFE84-9573-463D-893C-DFEE4F9496A3}"/>
    <cellStyle name="Normal 11 2 3 5 3 3 2 2 2 2 2" xfId="33169" xr:uid="{DD8DA5FC-6171-4482-868C-6C25A8806628}"/>
    <cellStyle name="Normal 11 2 3 5 3 3 2 2 2 3" xfId="33170" xr:uid="{E574441B-F0E2-4719-AC98-7C351FF39FB1}"/>
    <cellStyle name="Normal 11 2 3 5 3 3 2 2 3" xfId="33171" xr:uid="{D856E46F-0551-4F2A-AD74-D4802B0FA7A9}"/>
    <cellStyle name="Normal 11 2 3 5 3 3 2 2 3 2" xfId="33172" xr:uid="{4F8E9590-FC72-4851-9F89-BECBD323DC5B}"/>
    <cellStyle name="Normal 11 2 3 5 3 3 2 2 4" xfId="33173" xr:uid="{09CD16F3-E872-4FC3-960C-D6B801019CEE}"/>
    <cellStyle name="Normal 11 2 3 5 3 3 2 3" xfId="33174" xr:uid="{D4C6B25C-447E-413A-9AA0-06703924B2A4}"/>
    <cellStyle name="Normal 11 2 3 5 3 3 2 3 2" xfId="33175" xr:uid="{B8B61929-0E0D-44D4-8BC7-F273BC236887}"/>
    <cellStyle name="Normal 11 2 3 5 3 3 2 3 2 2" xfId="33176" xr:uid="{6A17E86A-CC46-432F-A1DF-0B2FB17B9C39}"/>
    <cellStyle name="Normal 11 2 3 5 3 3 2 3 3" xfId="33177" xr:uid="{1DD08E95-2E66-4EBB-AB73-1FF46BA076A6}"/>
    <cellStyle name="Normal 11 2 3 5 3 3 2 4" xfId="33178" xr:uid="{C44AE35E-3DA0-4856-A2BC-054DFD3A19F8}"/>
    <cellStyle name="Normal 11 2 3 5 3 3 2 4 2" xfId="33179" xr:uid="{E303A8F1-0467-4486-B1DE-C003749DE6E5}"/>
    <cellStyle name="Normal 11 2 3 5 3 3 2 5" xfId="33180" xr:uid="{F4D9C3BC-0645-47EA-BBAC-47D2867BC4A9}"/>
    <cellStyle name="Normal 11 2 3 5 3 3 3" xfId="33181" xr:uid="{2082EF95-54DC-4000-97B1-89D22FB5E92A}"/>
    <cellStyle name="Normal 11 2 3 5 3 3 3 2" xfId="33182" xr:uid="{18DF0F2E-5BA1-41AC-B280-F91E81F65705}"/>
    <cellStyle name="Normal 11 2 3 5 3 3 3 2 2" xfId="33183" xr:uid="{5AA0E6FC-EF87-4FCD-BA92-1103633DED1D}"/>
    <cellStyle name="Normal 11 2 3 5 3 3 3 2 2 2" xfId="33184" xr:uid="{EC3D5663-91AA-4DFC-8194-26DB1EA5661E}"/>
    <cellStyle name="Normal 11 2 3 5 3 3 3 2 3" xfId="33185" xr:uid="{22E58B07-1D6C-4E08-BA6E-38ED4DA0FE0A}"/>
    <cellStyle name="Normal 11 2 3 5 3 3 3 3" xfId="33186" xr:uid="{952A70A4-1243-4B45-AE3E-4FE53BC731D8}"/>
    <cellStyle name="Normal 11 2 3 5 3 3 3 3 2" xfId="33187" xr:uid="{6274973C-C855-4A7A-8511-9628AEF277A4}"/>
    <cellStyle name="Normal 11 2 3 5 3 3 3 4" xfId="33188" xr:uid="{85076C7A-0D2E-4085-97C6-7ABF3F189A5F}"/>
    <cellStyle name="Normal 11 2 3 5 3 3 4" xfId="33189" xr:uid="{56642DCF-BC72-4671-A140-935BA55FBE52}"/>
    <cellStyle name="Normal 11 2 3 5 3 3 4 2" xfId="33190" xr:uid="{BE1454C3-A822-4B5F-A96D-0BA3CADD9E47}"/>
    <cellStyle name="Normal 11 2 3 5 3 3 4 2 2" xfId="33191" xr:uid="{37DA0CFB-7838-4D79-B12B-4BEC89CBDFBB}"/>
    <cellStyle name="Normal 11 2 3 5 3 3 4 3" xfId="33192" xr:uid="{D5301022-9B35-4E27-93F6-18AE8F506F2B}"/>
    <cellStyle name="Normal 11 2 3 5 3 3 5" xfId="33193" xr:uid="{63BFC640-3971-476A-ABFE-7B6D4AB3AC3E}"/>
    <cellStyle name="Normal 11 2 3 5 3 3 5 2" xfId="33194" xr:uid="{18897B84-A640-4ED4-9D89-0027D37EDA18}"/>
    <cellStyle name="Normal 11 2 3 5 3 3 6" xfId="33195" xr:uid="{3C46955B-7520-465E-B2D7-9049E63BF380}"/>
    <cellStyle name="Normal 11 2 3 5 3 4" xfId="33196" xr:uid="{6AA2CF7B-F629-4369-9C7D-E64140DE6041}"/>
    <cellStyle name="Normal 11 2 3 5 3 4 2" xfId="33197" xr:uid="{E19E3E6D-7E2F-4823-8D82-2213B2EFB8F0}"/>
    <cellStyle name="Normal 11 2 3 5 3 4 2 2" xfId="33198" xr:uid="{E64CEA3E-3402-4C29-B409-F734D5FC8BE3}"/>
    <cellStyle name="Normal 11 2 3 5 3 4 2 2 2" xfId="33199" xr:uid="{185134F1-5A0E-4969-8F4A-17633D35ACD0}"/>
    <cellStyle name="Normal 11 2 3 5 3 4 2 2 2 2" xfId="33200" xr:uid="{3E83FFC0-8F94-4375-A3FF-821DCA0F1517}"/>
    <cellStyle name="Normal 11 2 3 5 3 4 2 2 3" xfId="33201" xr:uid="{9890A0D5-B422-46FA-94EB-8070A5C2B0B6}"/>
    <cellStyle name="Normal 11 2 3 5 3 4 2 3" xfId="33202" xr:uid="{59379BD8-7149-4BFF-8D8F-7EA1428ACE1E}"/>
    <cellStyle name="Normal 11 2 3 5 3 4 2 3 2" xfId="33203" xr:uid="{3738CF18-E4DE-45F0-BF06-7A61325BEE71}"/>
    <cellStyle name="Normal 11 2 3 5 3 4 2 4" xfId="33204" xr:uid="{3C44A8C0-7E38-4786-BC10-6E612D9A2A57}"/>
    <cellStyle name="Normal 11 2 3 5 3 4 3" xfId="33205" xr:uid="{38458212-34D2-40C4-A323-422DF50553E9}"/>
    <cellStyle name="Normal 11 2 3 5 3 4 3 2" xfId="33206" xr:uid="{E0DADF14-16B5-4C48-88DE-CABFE4F78CE8}"/>
    <cellStyle name="Normal 11 2 3 5 3 4 3 2 2" xfId="33207" xr:uid="{45F9282B-8EB7-4002-B4E6-F504F70A2E1A}"/>
    <cellStyle name="Normal 11 2 3 5 3 4 3 3" xfId="33208" xr:uid="{189B97A8-2D25-4333-8FBF-74E2A71A171D}"/>
    <cellStyle name="Normal 11 2 3 5 3 4 4" xfId="33209" xr:uid="{B3F0FD6D-E2D6-4E97-A66A-1469C0391C07}"/>
    <cellStyle name="Normal 11 2 3 5 3 4 4 2" xfId="33210" xr:uid="{CDA59B41-4ADB-4F24-85E4-760A37B08660}"/>
    <cellStyle name="Normal 11 2 3 5 3 4 5" xfId="33211" xr:uid="{1D3744AD-977B-4F08-9C25-04D63FBB70CB}"/>
    <cellStyle name="Normal 11 2 3 5 3 5" xfId="33212" xr:uid="{0F94B44E-A773-4219-9B27-8EDD157D9EE3}"/>
    <cellStyle name="Normal 11 2 3 5 3 5 2" xfId="33213" xr:uid="{3D677D88-40DD-4AF4-92D2-133F44CC7D4D}"/>
    <cellStyle name="Normal 11 2 3 5 3 5 2 2" xfId="33214" xr:uid="{555FE5C1-87DF-479E-A92D-D6099BEAA2FD}"/>
    <cellStyle name="Normal 11 2 3 5 3 5 2 2 2" xfId="33215" xr:uid="{6E31860A-BAE2-4294-8F88-384AB4CE4448}"/>
    <cellStyle name="Normal 11 2 3 5 3 5 2 3" xfId="33216" xr:uid="{30063AB2-788E-415E-B0BA-5219C384A572}"/>
    <cellStyle name="Normal 11 2 3 5 3 5 3" xfId="33217" xr:uid="{45D8CFD6-B842-4DAE-ABD9-41AB4648FCA8}"/>
    <cellStyle name="Normal 11 2 3 5 3 5 3 2" xfId="33218" xr:uid="{32611183-7117-44ED-BA16-4FA67CF0BACA}"/>
    <cellStyle name="Normal 11 2 3 5 3 5 4" xfId="33219" xr:uid="{5E506E37-C6E9-44F8-91A4-54102EFBA0D5}"/>
    <cellStyle name="Normal 11 2 3 5 3 6" xfId="33220" xr:uid="{7ACC9F82-38F1-456C-854D-8445397D31AD}"/>
    <cellStyle name="Normal 11 2 3 5 3 6 2" xfId="33221" xr:uid="{67E2EB6A-B7ED-45F3-8E4F-6D54B63C4039}"/>
    <cellStyle name="Normal 11 2 3 5 3 6 2 2" xfId="33222" xr:uid="{928F7908-4517-4513-9A9F-EFFE035E0926}"/>
    <cellStyle name="Normal 11 2 3 5 3 6 3" xfId="33223" xr:uid="{96B7E113-BA8F-48AD-85D5-15C30371504E}"/>
    <cellStyle name="Normal 11 2 3 5 3 7" xfId="33224" xr:uid="{42A5454C-3132-42FE-8A48-0A5564018D3C}"/>
    <cellStyle name="Normal 11 2 3 5 3 7 2" xfId="33225" xr:uid="{F8629A6F-68C6-468C-81EC-BED4C8D21C7C}"/>
    <cellStyle name="Normal 11 2 3 5 3 8" xfId="33226" xr:uid="{09265C6A-1E39-4C59-A47F-DC098F40D172}"/>
    <cellStyle name="Normal 11 2 3 5 3 9" xfId="33099" xr:uid="{3107B51C-8668-4E59-A8D3-566AFA504200}"/>
    <cellStyle name="Normal 11 2 3 5 4" xfId="33227" xr:uid="{CEBDC793-1839-4B33-B0C6-0653249050DF}"/>
    <cellStyle name="Normal 11 2 3 5 4 2" xfId="33228" xr:uid="{E5356809-B6C2-4B19-882D-04A85CAE794E}"/>
    <cellStyle name="Normal 11 2 3 5 4 2 2" xfId="33229" xr:uid="{F234EFAA-6FF9-4141-A0EE-464216F69099}"/>
    <cellStyle name="Normal 11 2 3 5 4 2 2 2" xfId="33230" xr:uid="{691A4349-8700-4519-8224-7DEC32698890}"/>
    <cellStyle name="Normal 11 2 3 5 4 2 2 2 2" xfId="33231" xr:uid="{E99033AF-FD38-4F6E-9740-38652AE8E6A7}"/>
    <cellStyle name="Normal 11 2 3 5 4 2 2 2 2 2" xfId="33232" xr:uid="{EE64969C-EF74-4C3D-8F40-8DBC30C8DBC4}"/>
    <cellStyle name="Normal 11 2 3 5 4 2 2 2 2 2 2" xfId="33233" xr:uid="{12FB1E41-929C-4AAE-ACB5-C7B5E2AE2BC3}"/>
    <cellStyle name="Normal 11 2 3 5 4 2 2 2 2 3" xfId="33234" xr:uid="{FD0DD457-E7B0-4704-9006-11CED1BB27BC}"/>
    <cellStyle name="Normal 11 2 3 5 4 2 2 2 3" xfId="33235" xr:uid="{62A34817-AF91-47D7-A28D-7404D6E0D689}"/>
    <cellStyle name="Normal 11 2 3 5 4 2 2 2 3 2" xfId="33236" xr:uid="{57470623-F50F-4B32-839A-B69F8BEDB131}"/>
    <cellStyle name="Normal 11 2 3 5 4 2 2 2 4" xfId="33237" xr:uid="{6E82BB5E-AA1B-4818-94B2-A3878EE988B6}"/>
    <cellStyle name="Normal 11 2 3 5 4 2 2 3" xfId="33238" xr:uid="{32B924E1-0758-4021-BF91-988671782DDB}"/>
    <cellStyle name="Normal 11 2 3 5 4 2 2 3 2" xfId="33239" xr:uid="{1E515679-C07C-4090-802A-396F4E32A285}"/>
    <cellStyle name="Normal 11 2 3 5 4 2 2 3 2 2" xfId="33240" xr:uid="{E669A170-5A81-42D3-A35F-A32A781067F8}"/>
    <cellStyle name="Normal 11 2 3 5 4 2 2 3 3" xfId="33241" xr:uid="{EE7EAB51-2C00-447C-84CF-078CFBF45148}"/>
    <cellStyle name="Normal 11 2 3 5 4 2 2 4" xfId="33242" xr:uid="{BAF92BC9-9EE8-4BEF-9C0B-800C39A1365F}"/>
    <cellStyle name="Normal 11 2 3 5 4 2 2 4 2" xfId="33243" xr:uid="{D468DBBE-AF5C-4685-BF4A-0A6CE825B3D6}"/>
    <cellStyle name="Normal 11 2 3 5 4 2 2 5" xfId="33244" xr:uid="{CF575848-9749-44C4-A99F-1E31136B598F}"/>
    <cellStyle name="Normal 11 2 3 5 4 2 3" xfId="33245" xr:uid="{E7397797-E9C9-4EF7-8C45-ED742B521659}"/>
    <cellStyle name="Normal 11 2 3 5 4 2 3 2" xfId="33246" xr:uid="{3F18698B-6E1A-49B7-AEAA-DCCA2E3D7B14}"/>
    <cellStyle name="Normal 11 2 3 5 4 2 3 2 2" xfId="33247" xr:uid="{B99040A5-76DE-466A-89AA-9B66B85657ED}"/>
    <cellStyle name="Normal 11 2 3 5 4 2 3 2 2 2" xfId="33248" xr:uid="{13F96229-6DB7-4409-B7C7-8FE0074166BC}"/>
    <cellStyle name="Normal 11 2 3 5 4 2 3 2 3" xfId="33249" xr:uid="{1B23A357-351E-49C1-B6B2-A3A88ACC88E4}"/>
    <cellStyle name="Normal 11 2 3 5 4 2 3 3" xfId="33250" xr:uid="{C8C64896-A666-47CF-ACE4-7A0CAEA51164}"/>
    <cellStyle name="Normal 11 2 3 5 4 2 3 3 2" xfId="33251" xr:uid="{6D117ABD-03D8-4500-A104-6E5AF064D7D9}"/>
    <cellStyle name="Normal 11 2 3 5 4 2 3 4" xfId="33252" xr:uid="{B68E31FD-EEF2-4070-80DB-ED9136199C3B}"/>
    <cellStyle name="Normal 11 2 3 5 4 2 4" xfId="33253" xr:uid="{C8B39F26-C877-4347-8915-A9F871F60E40}"/>
    <cellStyle name="Normal 11 2 3 5 4 2 4 2" xfId="33254" xr:uid="{8B695354-F04D-4CD4-A039-A95E60A83E21}"/>
    <cellStyle name="Normal 11 2 3 5 4 2 4 2 2" xfId="33255" xr:uid="{196DEDD6-CB91-40DD-B1CE-5E8AF80B8593}"/>
    <cellStyle name="Normal 11 2 3 5 4 2 4 3" xfId="33256" xr:uid="{AFDDC7E6-C112-425C-9F06-2E4A851AAE02}"/>
    <cellStyle name="Normal 11 2 3 5 4 2 5" xfId="33257" xr:uid="{41FD01A5-AF6B-42F2-BB10-79E1A98DCA9F}"/>
    <cellStyle name="Normal 11 2 3 5 4 2 5 2" xfId="33258" xr:uid="{AFAC6302-C477-47E7-963D-45A76C5D59FB}"/>
    <cellStyle name="Normal 11 2 3 5 4 2 6" xfId="33259" xr:uid="{C721459A-40C9-4127-8AF1-E5D315C7CE95}"/>
    <cellStyle name="Normal 11 2 3 5 4 3" xfId="33260" xr:uid="{4B52E656-69A8-4037-AA05-FD04DCBF696D}"/>
    <cellStyle name="Normal 11 2 3 5 4 3 2" xfId="33261" xr:uid="{C109D69D-9F67-446A-9F3B-8AC68544EF79}"/>
    <cellStyle name="Normal 11 2 3 5 4 3 2 2" xfId="33262" xr:uid="{B0A4D32D-E59C-4FA1-B085-52828E37BBB3}"/>
    <cellStyle name="Normal 11 2 3 5 4 3 2 2 2" xfId="33263" xr:uid="{FBC10154-1B29-491D-998F-B8B423C1DB5C}"/>
    <cellStyle name="Normal 11 2 3 5 4 3 2 2 2 2" xfId="33264" xr:uid="{8FE2C760-C3B3-4CF6-934C-27C07AAB9D33}"/>
    <cellStyle name="Normal 11 2 3 5 4 3 2 2 3" xfId="33265" xr:uid="{07ADC333-3218-4786-8E80-2A0D7F5D81BC}"/>
    <cellStyle name="Normal 11 2 3 5 4 3 2 3" xfId="33266" xr:uid="{9F3EF729-A412-4AF2-B2FB-9EB54DB1F527}"/>
    <cellStyle name="Normal 11 2 3 5 4 3 2 3 2" xfId="33267" xr:uid="{BD29B3E0-A545-4559-9325-99D20DCC900F}"/>
    <cellStyle name="Normal 11 2 3 5 4 3 2 4" xfId="33268" xr:uid="{CDAA262B-4FC7-434D-89F7-48984A70741B}"/>
    <cellStyle name="Normal 11 2 3 5 4 3 3" xfId="33269" xr:uid="{F41A8528-69DC-46D4-A05B-A01E54992E47}"/>
    <cellStyle name="Normal 11 2 3 5 4 3 3 2" xfId="33270" xr:uid="{1EDD9078-5515-45A0-84F8-91FE56531DC8}"/>
    <cellStyle name="Normal 11 2 3 5 4 3 3 2 2" xfId="33271" xr:uid="{ED3E1C59-7768-41D3-8751-DEC35EEF8DC3}"/>
    <cellStyle name="Normal 11 2 3 5 4 3 3 3" xfId="33272" xr:uid="{7ED32944-DE80-4C9A-85EA-348E9A280587}"/>
    <cellStyle name="Normal 11 2 3 5 4 3 4" xfId="33273" xr:uid="{FDEFD298-14C5-4D44-A76C-1F5D4D2E5CE8}"/>
    <cellStyle name="Normal 11 2 3 5 4 3 4 2" xfId="33274" xr:uid="{6628897B-A510-4103-A62E-B3986E13025A}"/>
    <cellStyle name="Normal 11 2 3 5 4 3 5" xfId="33275" xr:uid="{D2BEE501-85C1-4553-9F8F-B9491E2151C0}"/>
    <cellStyle name="Normal 11 2 3 5 4 4" xfId="33276" xr:uid="{E52CE7C7-CC67-4714-B2DC-31037D798FA8}"/>
    <cellStyle name="Normal 11 2 3 5 4 4 2" xfId="33277" xr:uid="{2384107C-218A-405D-9497-9D824DE37583}"/>
    <cellStyle name="Normal 11 2 3 5 4 4 2 2" xfId="33278" xr:uid="{B339340D-B53E-4400-A747-EBAA69BC62FB}"/>
    <cellStyle name="Normal 11 2 3 5 4 4 2 2 2" xfId="33279" xr:uid="{C240EE3F-DBB3-4985-95D8-48D8F735C8AF}"/>
    <cellStyle name="Normal 11 2 3 5 4 4 2 3" xfId="33280" xr:uid="{BE5E919E-7F14-41E0-999F-57B3F74E0C5E}"/>
    <cellStyle name="Normal 11 2 3 5 4 4 3" xfId="33281" xr:uid="{5F4EF0F5-2E8C-42BA-A306-D9A0890C7A18}"/>
    <cellStyle name="Normal 11 2 3 5 4 4 3 2" xfId="33282" xr:uid="{76F25C4D-1A41-48D9-9843-4B312643040A}"/>
    <cellStyle name="Normal 11 2 3 5 4 4 4" xfId="33283" xr:uid="{B948A26F-9298-4B81-A17B-28958318E897}"/>
    <cellStyle name="Normal 11 2 3 5 4 5" xfId="33284" xr:uid="{BDA7C044-E83D-4BF0-AD54-CB5D11311ED8}"/>
    <cellStyle name="Normal 11 2 3 5 4 5 2" xfId="33285" xr:uid="{09821FB8-ED09-42B7-8DF3-951F226798E1}"/>
    <cellStyle name="Normal 11 2 3 5 4 5 2 2" xfId="33286" xr:uid="{09BEB0D7-4148-4462-B163-2FCFA1675A4C}"/>
    <cellStyle name="Normal 11 2 3 5 4 5 3" xfId="33287" xr:uid="{87C0AE0A-B8F9-4319-AA47-9BFBB3544ADC}"/>
    <cellStyle name="Normal 11 2 3 5 4 6" xfId="33288" xr:uid="{8BFFB583-B60A-4E62-A56D-B750F6F70F5D}"/>
    <cellStyle name="Normal 11 2 3 5 4 6 2" xfId="33289" xr:uid="{0EAD6C1B-4EA1-4A55-926F-8A456A33A104}"/>
    <cellStyle name="Normal 11 2 3 5 4 7" xfId="33290" xr:uid="{F050ADC0-D415-4D17-B9E3-000C7C60DF30}"/>
    <cellStyle name="Normal 11 2 3 5 5" xfId="33291" xr:uid="{AC0F07AB-DE08-4F2C-AF80-205DF099CA4F}"/>
    <cellStyle name="Normal 11 2 3 5 5 2" xfId="33292" xr:uid="{6F40932C-4226-4C11-AEC6-C563B474B79C}"/>
    <cellStyle name="Normal 11 2 3 5 5 2 2" xfId="33293" xr:uid="{7B042CD4-3500-4F52-9213-CF049449C1F6}"/>
    <cellStyle name="Normal 11 2 3 5 5 2 2 2" xfId="33294" xr:uid="{C70C7671-6029-4913-B7BF-DFCCEFC462ED}"/>
    <cellStyle name="Normal 11 2 3 5 5 2 2 2 2" xfId="33295" xr:uid="{FE0A95B3-6AC7-4F27-8952-1DD0F6B95563}"/>
    <cellStyle name="Normal 11 2 3 5 5 2 2 2 2 2" xfId="33296" xr:uid="{6C91BA1E-CB28-4617-9DF6-CEC1F249192F}"/>
    <cellStyle name="Normal 11 2 3 5 5 2 2 2 3" xfId="33297" xr:uid="{0E080AEA-3F9E-4317-B46F-E57EABAC850B}"/>
    <cellStyle name="Normal 11 2 3 5 5 2 2 3" xfId="33298" xr:uid="{99E541E0-75C9-4492-821F-21BA86F04FF0}"/>
    <cellStyle name="Normal 11 2 3 5 5 2 2 3 2" xfId="33299" xr:uid="{F23FAB81-4871-47A1-A5F1-323CC25AEF84}"/>
    <cellStyle name="Normal 11 2 3 5 5 2 2 4" xfId="33300" xr:uid="{21BE36F3-BBF1-4887-B070-368C54C90E16}"/>
    <cellStyle name="Normal 11 2 3 5 5 2 3" xfId="33301" xr:uid="{C273DFC2-1FDC-4F25-B3CC-72482F45460C}"/>
    <cellStyle name="Normal 11 2 3 5 5 2 3 2" xfId="33302" xr:uid="{75B88C6D-6D9D-40B9-B1BE-A4A446FED9E0}"/>
    <cellStyle name="Normal 11 2 3 5 5 2 3 2 2" xfId="33303" xr:uid="{4FAF0FB9-8668-4DCE-BC81-FF914341F287}"/>
    <cellStyle name="Normal 11 2 3 5 5 2 3 3" xfId="33304" xr:uid="{CAD2459F-5851-4AFA-B919-41C0446D8327}"/>
    <cellStyle name="Normal 11 2 3 5 5 2 4" xfId="33305" xr:uid="{1883E965-7C59-4522-923E-1727213C6D0E}"/>
    <cellStyle name="Normal 11 2 3 5 5 2 4 2" xfId="33306" xr:uid="{4BA10CB2-2E24-48C3-9839-4B69FD3D4DDC}"/>
    <cellStyle name="Normal 11 2 3 5 5 2 5" xfId="33307" xr:uid="{47767790-AFC4-404F-B1FD-7051F572FA77}"/>
    <cellStyle name="Normal 11 2 3 5 5 3" xfId="33308" xr:uid="{7D96FCF4-7647-4679-8F66-D18511F816A3}"/>
    <cellStyle name="Normal 11 2 3 5 5 3 2" xfId="33309" xr:uid="{6DFC1C08-5655-4F69-A513-804A05B921A1}"/>
    <cellStyle name="Normal 11 2 3 5 5 3 2 2" xfId="33310" xr:uid="{A47A9D86-110E-4E90-855D-02B4D6C16F05}"/>
    <cellStyle name="Normal 11 2 3 5 5 3 2 2 2" xfId="33311" xr:uid="{F3891A3B-E254-4702-B603-6B714B721DB8}"/>
    <cellStyle name="Normal 11 2 3 5 5 3 2 3" xfId="33312" xr:uid="{319B215D-9D6F-41D0-90CB-3481EE6ACEBA}"/>
    <cellStyle name="Normal 11 2 3 5 5 3 3" xfId="33313" xr:uid="{3353F5B3-7008-483D-81D7-DB664113359D}"/>
    <cellStyle name="Normal 11 2 3 5 5 3 3 2" xfId="33314" xr:uid="{E6E340C2-DA3A-4820-AE96-650F8C524794}"/>
    <cellStyle name="Normal 11 2 3 5 5 3 4" xfId="33315" xr:uid="{2A240A2B-AB83-49FC-A49A-73C2910964E5}"/>
    <cellStyle name="Normal 11 2 3 5 5 4" xfId="33316" xr:uid="{13414DA8-B1D7-4E87-9BBA-EF070ED56A60}"/>
    <cellStyle name="Normal 11 2 3 5 5 4 2" xfId="33317" xr:uid="{67A35893-D349-4B69-AC41-205739CED2A9}"/>
    <cellStyle name="Normal 11 2 3 5 5 4 2 2" xfId="33318" xr:uid="{F957F562-3AAE-4E74-8B53-049F4750E6AF}"/>
    <cellStyle name="Normal 11 2 3 5 5 4 3" xfId="33319" xr:uid="{E10D406F-458B-4950-9CC0-6A8036CA8D00}"/>
    <cellStyle name="Normal 11 2 3 5 5 5" xfId="33320" xr:uid="{5CD74DCD-B677-4C5B-95E0-BC5F6F5BCC43}"/>
    <cellStyle name="Normal 11 2 3 5 5 5 2" xfId="33321" xr:uid="{306559A0-8453-49E5-85DA-4D2F729D84AC}"/>
    <cellStyle name="Normal 11 2 3 5 5 6" xfId="33322" xr:uid="{AE6E3CC2-EC0E-49EF-9F00-4BEFCED30DF2}"/>
    <cellStyle name="Normal 11 2 3 5 6" xfId="33323" xr:uid="{3657C18C-F77D-4E70-9FF9-608EA054DC34}"/>
    <cellStyle name="Normal 11 2 3 5 6 2" xfId="33324" xr:uid="{C4709BBF-56E8-4E1B-B9F8-241D104F55DC}"/>
    <cellStyle name="Normal 11 2 3 5 6 2 2" xfId="33325" xr:uid="{7A0F7173-3E2A-40D3-A9A4-6A25B8F0D9E9}"/>
    <cellStyle name="Normal 11 2 3 5 6 2 2 2" xfId="33326" xr:uid="{D4473D93-95BA-4BBC-ABCA-F9691BBE44FE}"/>
    <cellStyle name="Normal 11 2 3 5 6 2 2 2 2" xfId="33327" xr:uid="{E090F66F-08AF-4381-BA8F-FD1C23A458D7}"/>
    <cellStyle name="Normal 11 2 3 5 6 2 2 3" xfId="33328" xr:uid="{0C655626-8134-40D1-B88A-5235A313C848}"/>
    <cellStyle name="Normal 11 2 3 5 6 2 3" xfId="33329" xr:uid="{FF9402C4-CB17-404F-87B7-E13233542682}"/>
    <cellStyle name="Normal 11 2 3 5 6 2 3 2" xfId="33330" xr:uid="{F058997D-A88D-47A8-AA70-46CF90D3B652}"/>
    <cellStyle name="Normal 11 2 3 5 6 2 4" xfId="33331" xr:uid="{E469AB1D-6CB8-4D14-AB96-DF79B94D8B31}"/>
    <cellStyle name="Normal 11 2 3 5 6 3" xfId="33332" xr:uid="{F3756572-67F1-46E6-AC91-50472442A961}"/>
    <cellStyle name="Normal 11 2 3 5 6 3 2" xfId="33333" xr:uid="{FB07E85F-36D1-4099-9BCC-A6B816039AAB}"/>
    <cellStyle name="Normal 11 2 3 5 6 3 2 2" xfId="33334" xr:uid="{3E5D4E4B-349C-4677-8804-6A2E8B5FE992}"/>
    <cellStyle name="Normal 11 2 3 5 6 3 3" xfId="33335" xr:uid="{5438E406-A76C-48D6-90E1-CB1873C47412}"/>
    <cellStyle name="Normal 11 2 3 5 6 4" xfId="33336" xr:uid="{C04A9604-F261-4F54-89F8-D9ADAAF179F9}"/>
    <cellStyle name="Normal 11 2 3 5 6 4 2" xfId="33337" xr:uid="{EE7FB68D-C9FF-4951-9F21-B298ED789D7F}"/>
    <cellStyle name="Normal 11 2 3 5 6 5" xfId="33338" xr:uid="{6E650CCC-8EFF-4090-8611-410585461CF3}"/>
    <cellStyle name="Normal 11 2 3 5 7" xfId="33339" xr:uid="{2FE6B088-4E28-409E-863D-31405A4EC4CD}"/>
    <cellStyle name="Normal 11 2 3 5 7 2" xfId="33340" xr:uid="{967A60B5-37CC-4B71-84D4-7192AB81AF65}"/>
    <cellStyle name="Normal 11 2 3 5 7 2 2" xfId="33341" xr:uid="{0B571C9C-66C2-4866-8FA5-89E837110A57}"/>
    <cellStyle name="Normal 11 2 3 5 7 2 2 2" xfId="33342" xr:uid="{222BE95D-4E2E-404C-BD3C-E7FB4EA817F5}"/>
    <cellStyle name="Normal 11 2 3 5 7 2 3" xfId="33343" xr:uid="{1F41FC4B-B456-4F3F-BC5D-05227626CDB5}"/>
    <cellStyle name="Normal 11 2 3 5 7 3" xfId="33344" xr:uid="{E568A91D-A51B-4F4E-B44C-25404F1A642C}"/>
    <cellStyle name="Normal 11 2 3 5 7 3 2" xfId="33345" xr:uid="{7AEF0756-6597-4E9D-BC88-186F4EACF7BA}"/>
    <cellStyle name="Normal 11 2 3 5 7 4" xfId="33346" xr:uid="{3627E7C9-A1AD-4826-9205-8C7D8D0AA888}"/>
    <cellStyle name="Normal 11 2 3 5 8" xfId="33347" xr:uid="{F7A2FA81-2FA7-4D7F-8F3D-4FC4EAA8A443}"/>
    <cellStyle name="Normal 11 2 3 5 8 2" xfId="33348" xr:uid="{C9A94B7B-5AC4-4BF7-A20A-A8A3B5F96EEB}"/>
    <cellStyle name="Normal 11 2 3 5 8 2 2" xfId="33349" xr:uid="{520652A9-AB8F-409F-8F0C-E12AC0D244F2}"/>
    <cellStyle name="Normal 11 2 3 5 8 3" xfId="33350" xr:uid="{A9185A3C-9F10-41C4-9057-EA2AC304C706}"/>
    <cellStyle name="Normal 11 2 3 5 9" xfId="33351" xr:uid="{7126D6DB-689C-4D7F-B7AA-A55E9B212DB4}"/>
    <cellStyle name="Normal 11 2 3 5 9 2" xfId="33352" xr:uid="{637E70B7-8F3A-436F-9492-73B591C2B152}"/>
    <cellStyle name="Normal 11 2 3 6" xfId="360" xr:uid="{F2BEE18F-B3FA-4173-8300-811DF31AB09F}"/>
    <cellStyle name="Normal 11 2 3 6 10" xfId="33353" xr:uid="{8A34F9F7-829A-4F4F-A402-3EAFD228CC54}"/>
    <cellStyle name="Normal 11 2 3 6 2" xfId="33354" xr:uid="{8C147C0B-9002-4F7D-9D7D-83126B7BB6AB}"/>
    <cellStyle name="Normal 11 2 3 6 2 2" xfId="33355" xr:uid="{6F01ED32-9579-442A-AAC1-33A7D2CF9C2B}"/>
    <cellStyle name="Normal 11 2 3 6 2 2 2" xfId="33356" xr:uid="{C327D705-8124-43F2-9EDE-9045D6F7CCBD}"/>
    <cellStyle name="Normal 11 2 3 6 2 2 2 2" xfId="33357" xr:uid="{7514E006-3B8A-4A95-9F49-DA2DF1F46015}"/>
    <cellStyle name="Normal 11 2 3 6 2 2 2 2 2" xfId="33358" xr:uid="{F0BF5291-920B-4627-BF77-C64F9B4BF473}"/>
    <cellStyle name="Normal 11 2 3 6 2 2 2 2 2 2" xfId="33359" xr:uid="{C95D3085-B772-4C6D-9B66-88F845E52490}"/>
    <cellStyle name="Normal 11 2 3 6 2 2 2 2 2 2 2" xfId="33360" xr:uid="{C7C0AC2F-C009-4027-8B04-67CD06A340E5}"/>
    <cellStyle name="Normal 11 2 3 6 2 2 2 2 2 2 2 2" xfId="33361" xr:uid="{6E2594A8-A19E-47AD-8426-EC2739AA43C4}"/>
    <cellStyle name="Normal 11 2 3 6 2 2 2 2 2 2 3" xfId="33362" xr:uid="{ED74340D-08D8-4310-BD30-88DE06364FC0}"/>
    <cellStyle name="Normal 11 2 3 6 2 2 2 2 2 3" xfId="33363" xr:uid="{11629B42-518F-4EF4-89E9-98801F477A5D}"/>
    <cellStyle name="Normal 11 2 3 6 2 2 2 2 2 3 2" xfId="33364" xr:uid="{E03A073E-14E3-406C-AEE1-45F6DA61F668}"/>
    <cellStyle name="Normal 11 2 3 6 2 2 2 2 2 4" xfId="33365" xr:uid="{32879446-4F5F-4F62-8200-7546383F17E2}"/>
    <cellStyle name="Normal 11 2 3 6 2 2 2 2 3" xfId="33366" xr:uid="{B8594F24-E93B-4A16-8070-343E8060B481}"/>
    <cellStyle name="Normal 11 2 3 6 2 2 2 2 3 2" xfId="33367" xr:uid="{69221BCF-023B-45AC-8752-AEF93EC97A35}"/>
    <cellStyle name="Normal 11 2 3 6 2 2 2 2 3 2 2" xfId="33368" xr:uid="{05A2D2C0-7CFA-40AC-9DEC-3C9581433F9B}"/>
    <cellStyle name="Normal 11 2 3 6 2 2 2 2 3 3" xfId="33369" xr:uid="{C4242855-0C44-41D7-91A3-3FDAEC6FB736}"/>
    <cellStyle name="Normal 11 2 3 6 2 2 2 2 4" xfId="33370" xr:uid="{7B3F00F0-BA55-4C4B-98FE-AE5828AEC7B7}"/>
    <cellStyle name="Normal 11 2 3 6 2 2 2 2 4 2" xfId="33371" xr:uid="{612808CD-D205-42D0-BDA2-3B1FE8F46210}"/>
    <cellStyle name="Normal 11 2 3 6 2 2 2 2 5" xfId="33372" xr:uid="{D3F6334E-A50B-4CA2-A1D6-48E3BB45AD9A}"/>
    <cellStyle name="Normal 11 2 3 6 2 2 2 3" xfId="33373" xr:uid="{B6DCBE98-FE8D-4FC0-89D3-BA277A1071E3}"/>
    <cellStyle name="Normal 11 2 3 6 2 2 2 3 2" xfId="33374" xr:uid="{F70D96AA-2115-4BB4-A8E1-B409EAC6FC52}"/>
    <cellStyle name="Normal 11 2 3 6 2 2 2 3 2 2" xfId="33375" xr:uid="{BC070D08-1692-4A1F-9CD5-BB3166DE38D7}"/>
    <cellStyle name="Normal 11 2 3 6 2 2 2 3 2 2 2" xfId="33376" xr:uid="{2651FEAF-004B-4501-810D-D710BB099F47}"/>
    <cellStyle name="Normal 11 2 3 6 2 2 2 3 2 3" xfId="33377" xr:uid="{CCBEFBCE-F273-462E-8182-5CE6AA493B01}"/>
    <cellStyle name="Normal 11 2 3 6 2 2 2 3 3" xfId="33378" xr:uid="{AE4EB86B-57C1-45FC-B1C6-035DFFF4F32B}"/>
    <cellStyle name="Normal 11 2 3 6 2 2 2 3 3 2" xfId="33379" xr:uid="{E731FFEB-2730-4503-9842-B99003AB893A}"/>
    <cellStyle name="Normal 11 2 3 6 2 2 2 3 4" xfId="33380" xr:uid="{94CD3BFE-95B4-45C8-BD55-D3991CE1998F}"/>
    <cellStyle name="Normal 11 2 3 6 2 2 2 4" xfId="33381" xr:uid="{D62B473D-0E1D-4B4F-96CF-809CF6B4EE95}"/>
    <cellStyle name="Normal 11 2 3 6 2 2 2 4 2" xfId="33382" xr:uid="{DEAA7878-A457-4207-B9F1-43D86ABA8471}"/>
    <cellStyle name="Normal 11 2 3 6 2 2 2 4 2 2" xfId="33383" xr:uid="{6A727F85-EC07-4E8F-89AB-EA6C99516D72}"/>
    <cellStyle name="Normal 11 2 3 6 2 2 2 4 3" xfId="33384" xr:uid="{7D845BA7-8534-41A3-A709-516D2CCE0710}"/>
    <cellStyle name="Normal 11 2 3 6 2 2 2 5" xfId="33385" xr:uid="{1C2F8CA8-3056-45D3-89AD-FC44B67E4B88}"/>
    <cellStyle name="Normal 11 2 3 6 2 2 2 5 2" xfId="33386" xr:uid="{6702277E-3C88-4E1C-9361-E44A084AADE6}"/>
    <cellStyle name="Normal 11 2 3 6 2 2 2 6" xfId="33387" xr:uid="{3ED20EEE-8380-47AA-A666-8B1070265EC9}"/>
    <cellStyle name="Normal 11 2 3 6 2 2 3" xfId="33388" xr:uid="{EEBFDEB4-933E-4FE5-A5CD-C54066046E61}"/>
    <cellStyle name="Normal 11 2 3 6 2 2 3 2" xfId="33389" xr:uid="{C9510FF0-D3CA-4D42-A0C6-D6E30D503991}"/>
    <cellStyle name="Normal 11 2 3 6 2 2 3 2 2" xfId="33390" xr:uid="{3964BA43-7FCE-4B2F-9520-D7819E5EAE19}"/>
    <cellStyle name="Normal 11 2 3 6 2 2 3 2 2 2" xfId="33391" xr:uid="{B0A60F0A-62A6-4A50-927C-BC91E3E8A4F9}"/>
    <cellStyle name="Normal 11 2 3 6 2 2 3 2 2 2 2" xfId="33392" xr:uid="{08CD2F12-CD68-433A-98F8-91D093A56661}"/>
    <cellStyle name="Normal 11 2 3 6 2 2 3 2 2 3" xfId="33393" xr:uid="{966E7384-DCAB-4297-A5FB-0F96686F5F11}"/>
    <cellStyle name="Normal 11 2 3 6 2 2 3 2 3" xfId="33394" xr:uid="{445BEE76-18A7-4040-B79C-BA57B55988A0}"/>
    <cellStyle name="Normal 11 2 3 6 2 2 3 2 3 2" xfId="33395" xr:uid="{1661937A-9048-4A19-B3AE-016BC4C95E0D}"/>
    <cellStyle name="Normal 11 2 3 6 2 2 3 2 4" xfId="33396" xr:uid="{28F13616-DF4E-4568-A393-599D258A0FA6}"/>
    <cellStyle name="Normal 11 2 3 6 2 2 3 3" xfId="33397" xr:uid="{A9C1E722-58A6-406E-BD1C-6B2B951BDCB4}"/>
    <cellStyle name="Normal 11 2 3 6 2 2 3 3 2" xfId="33398" xr:uid="{989401E0-AB9B-41F7-BB3A-F7772BB0F2A4}"/>
    <cellStyle name="Normal 11 2 3 6 2 2 3 3 2 2" xfId="33399" xr:uid="{D55FF418-4AD0-4B37-B790-CE90CB9A163D}"/>
    <cellStyle name="Normal 11 2 3 6 2 2 3 3 3" xfId="33400" xr:uid="{D64B487D-7B5D-4875-93DC-D408376E0395}"/>
    <cellStyle name="Normal 11 2 3 6 2 2 3 4" xfId="33401" xr:uid="{832E8D50-A179-43D6-ADDA-DDCC2907E36C}"/>
    <cellStyle name="Normal 11 2 3 6 2 2 3 4 2" xfId="33402" xr:uid="{72F5C3FE-7484-4CB1-A953-E03C2B6C046E}"/>
    <cellStyle name="Normal 11 2 3 6 2 2 3 5" xfId="33403" xr:uid="{A37E6979-41E6-40B7-91BC-0A8D57C3DE23}"/>
    <cellStyle name="Normal 11 2 3 6 2 2 4" xfId="33404" xr:uid="{9E5BBA48-16B4-4C88-AC7A-3CAABE9AD925}"/>
    <cellStyle name="Normal 11 2 3 6 2 2 4 2" xfId="33405" xr:uid="{A8E11E37-1ED6-4424-B9C1-4FCE5C74F80F}"/>
    <cellStyle name="Normal 11 2 3 6 2 2 4 2 2" xfId="33406" xr:uid="{D3936699-1273-419B-BD06-FE6F5C79AF9A}"/>
    <cellStyle name="Normal 11 2 3 6 2 2 4 2 2 2" xfId="33407" xr:uid="{ABDB5F0E-3A2B-45EC-806C-52BE9C4C06BA}"/>
    <cellStyle name="Normal 11 2 3 6 2 2 4 2 3" xfId="33408" xr:uid="{35FFF4B7-5F99-4B84-95F2-F813DACBA7FE}"/>
    <cellStyle name="Normal 11 2 3 6 2 2 4 3" xfId="33409" xr:uid="{43DC1A2C-B524-4EF6-A3F2-7DBC0520DE22}"/>
    <cellStyle name="Normal 11 2 3 6 2 2 4 3 2" xfId="33410" xr:uid="{7B7347CC-0F9C-458D-AD18-AF77BDB554AB}"/>
    <cellStyle name="Normal 11 2 3 6 2 2 4 4" xfId="33411" xr:uid="{B8DAAF9F-57AD-41ED-B7D0-95F9FC2D100D}"/>
    <cellStyle name="Normal 11 2 3 6 2 2 5" xfId="33412" xr:uid="{08D73414-B0CA-4207-83F6-6F8D0EA698FC}"/>
    <cellStyle name="Normal 11 2 3 6 2 2 5 2" xfId="33413" xr:uid="{8FA64972-6582-443D-81A2-B790BFF10474}"/>
    <cellStyle name="Normal 11 2 3 6 2 2 5 2 2" xfId="33414" xr:uid="{9C60D476-31C7-474A-BBD6-F36F098CFCD7}"/>
    <cellStyle name="Normal 11 2 3 6 2 2 5 3" xfId="33415" xr:uid="{105EAC3E-BD11-40A5-8CC2-D776E4C32747}"/>
    <cellStyle name="Normal 11 2 3 6 2 2 6" xfId="33416" xr:uid="{96A6B2A4-873E-429D-B225-D7DEB83E0E66}"/>
    <cellStyle name="Normal 11 2 3 6 2 2 6 2" xfId="33417" xr:uid="{EF6072F7-1B3B-45EC-BED3-46CBC3ACF2CA}"/>
    <cellStyle name="Normal 11 2 3 6 2 2 7" xfId="33418" xr:uid="{1A42229F-2D31-4664-88CC-EE8EDE6ABE9E}"/>
    <cellStyle name="Normal 11 2 3 6 2 3" xfId="33419" xr:uid="{1AB8ECCA-4B46-48A2-9E88-E33F5EC903B4}"/>
    <cellStyle name="Normal 11 2 3 6 2 3 2" xfId="33420" xr:uid="{EE8B5573-612E-4470-AE75-8E290ADB32FA}"/>
    <cellStyle name="Normal 11 2 3 6 2 3 2 2" xfId="33421" xr:uid="{CD3184B5-4C80-4750-8789-12650F17CBF3}"/>
    <cellStyle name="Normal 11 2 3 6 2 3 2 2 2" xfId="33422" xr:uid="{89D23B6A-D86E-412C-9377-1A8F2FF5241B}"/>
    <cellStyle name="Normal 11 2 3 6 2 3 2 2 2 2" xfId="33423" xr:uid="{2632F285-EA31-4BC0-BB85-308CB1E60069}"/>
    <cellStyle name="Normal 11 2 3 6 2 3 2 2 2 2 2" xfId="33424" xr:uid="{2C9F940C-2A9A-441A-B05C-D6760751E7AF}"/>
    <cellStyle name="Normal 11 2 3 6 2 3 2 2 2 3" xfId="33425" xr:uid="{C3CF486E-53F9-4D27-A2FC-45A465DAD077}"/>
    <cellStyle name="Normal 11 2 3 6 2 3 2 2 3" xfId="33426" xr:uid="{30D12149-4907-4D32-8231-4FFF51DDFA16}"/>
    <cellStyle name="Normal 11 2 3 6 2 3 2 2 3 2" xfId="33427" xr:uid="{9B39FF50-33D7-47C8-A3D7-83B40F3CCDB7}"/>
    <cellStyle name="Normal 11 2 3 6 2 3 2 2 4" xfId="33428" xr:uid="{7B9851B1-FBDA-4A8D-9ABE-2892057DC01A}"/>
    <cellStyle name="Normal 11 2 3 6 2 3 2 3" xfId="33429" xr:uid="{2E094F01-374E-40A4-9C0F-D539457348AA}"/>
    <cellStyle name="Normal 11 2 3 6 2 3 2 3 2" xfId="33430" xr:uid="{36364298-8ECC-4120-8D2D-F7532F0EF22A}"/>
    <cellStyle name="Normal 11 2 3 6 2 3 2 3 2 2" xfId="33431" xr:uid="{813232EA-0207-43A3-BBBF-C9061747674E}"/>
    <cellStyle name="Normal 11 2 3 6 2 3 2 3 3" xfId="33432" xr:uid="{6EF18918-8304-4F7A-AD7C-949C5671E4D3}"/>
    <cellStyle name="Normal 11 2 3 6 2 3 2 4" xfId="33433" xr:uid="{78365F19-DCEE-41AE-9030-A1E9E1F892F9}"/>
    <cellStyle name="Normal 11 2 3 6 2 3 2 4 2" xfId="33434" xr:uid="{A78FC907-9E4F-43D5-B6EC-FD913191FF97}"/>
    <cellStyle name="Normal 11 2 3 6 2 3 2 5" xfId="33435" xr:uid="{BF195F0A-A332-463B-980B-1F82F1FC4932}"/>
    <cellStyle name="Normal 11 2 3 6 2 3 3" xfId="33436" xr:uid="{63384E1F-6A2D-492E-AAF7-6742980CB0CE}"/>
    <cellStyle name="Normal 11 2 3 6 2 3 3 2" xfId="33437" xr:uid="{B04ADBFA-9D68-4FCF-A8A9-59A2C96BB3F5}"/>
    <cellStyle name="Normal 11 2 3 6 2 3 3 2 2" xfId="33438" xr:uid="{9E088B26-DBDF-4452-88E0-A383EC49DA0E}"/>
    <cellStyle name="Normal 11 2 3 6 2 3 3 2 2 2" xfId="33439" xr:uid="{6EF91F16-D697-412B-AB7C-E719F4B10B1E}"/>
    <cellStyle name="Normal 11 2 3 6 2 3 3 2 3" xfId="33440" xr:uid="{11061AF3-8E0C-4CC5-B55A-8CE2A87543D7}"/>
    <cellStyle name="Normal 11 2 3 6 2 3 3 3" xfId="33441" xr:uid="{00F49241-6359-4870-BF66-4395FDB20A43}"/>
    <cellStyle name="Normal 11 2 3 6 2 3 3 3 2" xfId="33442" xr:uid="{67B2EB77-4A1E-4E79-ADE4-507E375CB710}"/>
    <cellStyle name="Normal 11 2 3 6 2 3 3 4" xfId="33443" xr:uid="{53F01889-9E05-44CC-9C26-8A1F82973D48}"/>
    <cellStyle name="Normal 11 2 3 6 2 3 4" xfId="33444" xr:uid="{76035929-C533-4DEE-B277-906854675B67}"/>
    <cellStyle name="Normal 11 2 3 6 2 3 4 2" xfId="33445" xr:uid="{5DBDCB71-6E0B-401D-9FC4-058113E38279}"/>
    <cellStyle name="Normal 11 2 3 6 2 3 4 2 2" xfId="33446" xr:uid="{4370E1ED-BDC0-474A-ABEE-2EB0BD1846B9}"/>
    <cellStyle name="Normal 11 2 3 6 2 3 4 3" xfId="33447" xr:uid="{30DDC1AC-E369-4DE2-B3C7-94B6ED7280D3}"/>
    <cellStyle name="Normal 11 2 3 6 2 3 5" xfId="33448" xr:uid="{2F6A1172-1BF5-4698-B482-582AA8A58E4B}"/>
    <cellStyle name="Normal 11 2 3 6 2 3 5 2" xfId="33449" xr:uid="{8C05A764-BD9D-48DA-9140-18E5F0404938}"/>
    <cellStyle name="Normal 11 2 3 6 2 3 6" xfId="33450" xr:uid="{70C180D9-C923-477B-8D82-C529B98061BA}"/>
    <cellStyle name="Normal 11 2 3 6 2 4" xfId="33451" xr:uid="{3687FAF1-B482-4B06-BA35-7966705655F8}"/>
    <cellStyle name="Normal 11 2 3 6 2 4 2" xfId="33452" xr:uid="{840905B2-6615-4ED9-9B51-720F71C613AC}"/>
    <cellStyle name="Normal 11 2 3 6 2 4 2 2" xfId="33453" xr:uid="{5F04182E-1CD8-469C-A4D8-9F2FC4E8F555}"/>
    <cellStyle name="Normal 11 2 3 6 2 4 2 2 2" xfId="33454" xr:uid="{D30A1BC6-D6E2-4696-A012-B3E01DFEC175}"/>
    <cellStyle name="Normal 11 2 3 6 2 4 2 2 2 2" xfId="33455" xr:uid="{0C6478B3-F268-4DA6-94C8-78A7453B5D60}"/>
    <cellStyle name="Normal 11 2 3 6 2 4 2 2 3" xfId="33456" xr:uid="{AB93F490-660F-4687-838D-E0217FE9252C}"/>
    <cellStyle name="Normal 11 2 3 6 2 4 2 3" xfId="33457" xr:uid="{8DEFFB89-0CB4-4CE4-82F7-0C37E16A8766}"/>
    <cellStyle name="Normal 11 2 3 6 2 4 2 3 2" xfId="33458" xr:uid="{C1BA2B81-B552-4D68-BE90-1D96A0FDE823}"/>
    <cellStyle name="Normal 11 2 3 6 2 4 2 4" xfId="33459" xr:uid="{44E9105C-7E6C-47E1-8EB6-A1BBE5575873}"/>
    <cellStyle name="Normal 11 2 3 6 2 4 3" xfId="33460" xr:uid="{A1E7742B-BA48-4A3D-863A-C8A059E67A18}"/>
    <cellStyle name="Normal 11 2 3 6 2 4 3 2" xfId="33461" xr:uid="{22D51CBC-41AD-4C69-AFA9-2F84E02E43BB}"/>
    <cellStyle name="Normal 11 2 3 6 2 4 3 2 2" xfId="33462" xr:uid="{E23B0ACE-F914-47EE-989D-E02AE2CB0039}"/>
    <cellStyle name="Normal 11 2 3 6 2 4 3 3" xfId="33463" xr:uid="{A194109E-ACFD-4892-96F6-71AC765D1B5C}"/>
    <cellStyle name="Normal 11 2 3 6 2 4 4" xfId="33464" xr:uid="{7B4DE77C-5388-4B6F-8790-8CD90E7223F6}"/>
    <cellStyle name="Normal 11 2 3 6 2 4 4 2" xfId="33465" xr:uid="{DFEB4EF1-E019-47B4-B353-9E6BEE0C0E23}"/>
    <cellStyle name="Normal 11 2 3 6 2 4 5" xfId="33466" xr:uid="{4CFC8FEF-5F53-40B5-B5C2-6611B21E927C}"/>
    <cellStyle name="Normal 11 2 3 6 2 5" xfId="33467" xr:uid="{322E4D47-6901-4B1C-B66D-7633A164843E}"/>
    <cellStyle name="Normal 11 2 3 6 2 5 2" xfId="33468" xr:uid="{9ACBBB37-710E-4276-8727-96D706EBE200}"/>
    <cellStyle name="Normal 11 2 3 6 2 5 2 2" xfId="33469" xr:uid="{94709901-B3C0-441D-B7BC-0E3C580C162E}"/>
    <cellStyle name="Normal 11 2 3 6 2 5 2 2 2" xfId="33470" xr:uid="{3834B0E0-0056-4B29-BC44-0784C8E1CF7A}"/>
    <cellStyle name="Normal 11 2 3 6 2 5 2 3" xfId="33471" xr:uid="{EEABFCEC-9C4C-4761-A724-D2AD2D6351F2}"/>
    <cellStyle name="Normal 11 2 3 6 2 5 3" xfId="33472" xr:uid="{8C5AA44F-F203-4803-A2EE-7976BE126D28}"/>
    <cellStyle name="Normal 11 2 3 6 2 5 3 2" xfId="33473" xr:uid="{FD610C64-5506-49F6-880A-052D0A5F9E26}"/>
    <cellStyle name="Normal 11 2 3 6 2 5 4" xfId="33474" xr:uid="{A9A7295E-ED87-41AE-A775-BFE8814E2CB5}"/>
    <cellStyle name="Normal 11 2 3 6 2 6" xfId="33475" xr:uid="{44F36B28-10DD-40B8-BEB9-BFCF1A1DBEDE}"/>
    <cellStyle name="Normal 11 2 3 6 2 6 2" xfId="33476" xr:uid="{AA8786B9-7B4A-4B18-B4DF-C733F463071B}"/>
    <cellStyle name="Normal 11 2 3 6 2 6 2 2" xfId="33477" xr:uid="{ABBC0BE3-5D11-4E7D-B74E-EFCDA867C322}"/>
    <cellStyle name="Normal 11 2 3 6 2 6 3" xfId="33478" xr:uid="{D663F55A-74A5-4D24-AD54-418D8084054C}"/>
    <cellStyle name="Normal 11 2 3 6 2 7" xfId="33479" xr:uid="{4DBE42DF-F9A8-4B4E-8890-B6C1E91B54BE}"/>
    <cellStyle name="Normal 11 2 3 6 2 7 2" xfId="33480" xr:uid="{AA895546-02DE-4226-BBC5-0BBE5DB53ED9}"/>
    <cellStyle name="Normal 11 2 3 6 2 8" xfId="33481" xr:uid="{1AFBC292-F8A0-493E-85CE-80EDCD851447}"/>
    <cellStyle name="Normal 11 2 3 6 3" xfId="33482" xr:uid="{D0FA6C2E-2290-457C-93B1-2450E893EB33}"/>
    <cellStyle name="Normal 11 2 3 6 3 2" xfId="33483" xr:uid="{B9E5A67A-6019-4969-926B-E3BF264F2D84}"/>
    <cellStyle name="Normal 11 2 3 6 3 2 2" xfId="33484" xr:uid="{B8F99F94-7C42-41E8-9032-B2AA51697133}"/>
    <cellStyle name="Normal 11 2 3 6 3 2 2 2" xfId="33485" xr:uid="{1375C5A9-FF48-424F-A5D6-9EB1A7174122}"/>
    <cellStyle name="Normal 11 2 3 6 3 2 2 2 2" xfId="33486" xr:uid="{406165C3-F06E-4E00-86AB-0FC631F8A5C8}"/>
    <cellStyle name="Normal 11 2 3 6 3 2 2 2 2 2" xfId="33487" xr:uid="{AB3A8282-8291-4E87-9B19-ABE4F4FC6CB7}"/>
    <cellStyle name="Normal 11 2 3 6 3 2 2 2 2 2 2" xfId="33488" xr:uid="{8C888B43-FC7C-46D5-8893-5DFF0A537D76}"/>
    <cellStyle name="Normal 11 2 3 6 3 2 2 2 2 3" xfId="33489" xr:uid="{D1669A02-986D-4A67-8E08-9FE0D3DEDFCD}"/>
    <cellStyle name="Normal 11 2 3 6 3 2 2 2 3" xfId="33490" xr:uid="{AD8685BC-6BF8-4126-BA43-B652698D2CBD}"/>
    <cellStyle name="Normal 11 2 3 6 3 2 2 2 3 2" xfId="33491" xr:uid="{74F23500-D901-49D1-ADEA-59A06ABF28CF}"/>
    <cellStyle name="Normal 11 2 3 6 3 2 2 2 4" xfId="33492" xr:uid="{90AF092A-7F80-4E1D-9E6A-F9DDCFB6550E}"/>
    <cellStyle name="Normal 11 2 3 6 3 2 2 3" xfId="33493" xr:uid="{2D028788-2403-442D-8C22-6C6B78E059EE}"/>
    <cellStyle name="Normal 11 2 3 6 3 2 2 3 2" xfId="33494" xr:uid="{05933B36-BED7-44E4-8CF7-D0A164C87620}"/>
    <cellStyle name="Normal 11 2 3 6 3 2 2 3 2 2" xfId="33495" xr:uid="{496462E8-C1DC-415B-998A-15BD328ECE06}"/>
    <cellStyle name="Normal 11 2 3 6 3 2 2 3 3" xfId="33496" xr:uid="{D8F54C8E-C584-47A6-8B4B-3624AA5409ED}"/>
    <cellStyle name="Normal 11 2 3 6 3 2 2 4" xfId="33497" xr:uid="{091D6C7E-9E11-4F88-B514-D32D9A8ED5AD}"/>
    <cellStyle name="Normal 11 2 3 6 3 2 2 4 2" xfId="33498" xr:uid="{81223549-2FCE-42FC-B40E-4395E878D5F1}"/>
    <cellStyle name="Normal 11 2 3 6 3 2 2 5" xfId="33499" xr:uid="{9F56AF29-8164-4066-AD04-E0856F0317F2}"/>
    <cellStyle name="Normal 11 2 3 6 3 2 3" xfId="33500" xr:uid="{41102152-3367-4183-9664-8199443C5526}"/>
    <cellStyle name="Normal 11 2 3 6 3 2 3 2" xfId="33501" xr:uid="{3D48FABF-1EF2-424F-9657-5BA5A8EEE105}"/>
    <cellStyle name="Normal 11 2 3 6 3 2 3 2 2" xfId="33502" xr:uid="{C8910E3D-9BA2-4246-9AC5-09F875C51383}"/>
    <cellStyle name="Normal 11 2 3 6 3 2 3 2 2 2" xfId="33503" xr:uid="{DB096B10-512B-46E3-8D63-26C29E4E2DCA}"/>
    <cellStyle name="Normal 11 2 3 6 3 2 3 2 3" xfId="33504" xr:uid="{E8CB4157-F60B-44AD-A309-CAB84657D35E}"/>
    <cellStyle name="Normal 11 2 3 6 3 2 3 3" xfId="33505" xr:uid="{EF8FF65E-7571-4D35-A67D-40AFE0CABE2C}"/>
    <cellStyle name="Normal 11 2 3 6 3 2 3 3 2" xfId="33506" xr:uid="{56AAD3A9-4F16-4F64-842A-DC6DC0BD1ED4}"/>
    <cellStyle name="Normal 11 2 3 6 3 2 3 4" xfId="33507" xr:uid="{CB0B605C-E16F-41F9-93C2-D48B08502375}"/>
    <cellStyle name="Normal 11 2 3 6 3 2 4" xfId="33508" xr:uid="{3A2675A9-ADEB-4266-A6C6-996C74207247}"/>
    <cellStyle name="Normal 11 2 3 6 3 2 4 2" xfId="33509" xr:uid="{939D37E4-0512-45AB-A3A9-A9F459372CB7}"/>
    <cellStyle name="Normal 11 2 3 6 3 2 4 2 2" xfId="33510" xr:uid="{74F1BD19-B0A5-4EBD-9D7A-ED634D4E68D8}"/>
    <cellStyle name="Normal 11 2 3 6 3 2 4 3" xfId="33511" xr:uid="{4C473DF8-25CE-4E0A-A78B-20AA5C10D363}"/>
    <cellStyle name="Normal 11 2 3 6 3 2 5" xfId="33512" xr:uid="{2B275E04-CFDA-4C90-A0D0-A23727A4BB23}"/>
    <cellStyle name="Normal 11 2 3 6 3 2 5 2" xfId="33513" xr:uid="{A6E1087D-E8F4-45F5-B908-D16142F996F0}"/>
    <cellStyle name="Normal 11 2 3 6 3 2 6" xfId="33514" xr:uid="{42F9FECE-FB55-4C03-9E38-54E04CED09E4}"/>
    <cellStyle name="Normal 11 2 3 6 3 3" xfId="33515" xr:uid="{B54EC461-04BD-416D-AC68-519D63F7748A}"/>
    <cellStyle name="Normal 11 2 3 6 3 3 2" xfId="33516" xr:uid="{56F29E75-21B7-44B0-808A-EB18075812F4}"/>
    <cellStyle name="Normal 11 2 3 6 3 3 2 2" xfId="33517" xr:uid="{CE9A04C3-752F-497F-ADC7-84ABC4FA5B57}"/>
    <cellStyle name="Normal 11 2 3 6 3 3 2 2 2" xfId="33518" xr:uid="{65097854-2DBC-4559-81AF-4EE5895A8FE8}"/>
    <cellStyle name="Normal 11 2 3 6 3 3 2 2 2 2" xfId="33519" xr:uid="{FADC3E5F-CFF8-4E92-AF0B-67BDAABC284D}"/>
    <cellStyle name="Normal 11 2 3 6 3 3 2 2 3" xfId="33520" xr:uid="{26A2CABC-3CC7-4DD7-AE5B-189394335E02}"/>
    <cellStyle name="Normal 11 2 3 6 3 3 2 3" xfId="33521" xr:uid="{87728DDD-0BC5-4E03-8AFF-FF51030FBA7F}"/>
    <cellStyle name="Normal 11 2 3 6 3 3 2 3 2" xfId="33522" xr:uid="{76D93280-2433-469D-B928-894DD667C0A2}"/>
    <cellStyle name="Normal 11 2 3 6 3 3 2 4" xfId="33523" xr:uid="{3253264B-FE5B-46FB-A143-5D35F7584B26}"/>
    <cellStyle name="Normal 11 2 3 6 3 3 3" xfId="33524" xr:uid="{D6F7D588-E343-4F82-9D45-911D37C5C2C3}"/>
    <cellStyle name="Normal 11 2 3 6 3 3 3 2" xfId="33525" xr:uid="{90D7E5BB-EFA2-4EBC-B81F-2CD62F375B2C}"/>
    <cellStyle name="Normal 11 2 3 6 3 3 3 2 2" xfId="33526" xr:uid="{C7EFC16B-B752-4554-9376-6852308D538E}"/>
    <cellStyle name="Normal 11 2 3 6 3 3 3 3" xfId="33527" xr:uid="{2DE0A7FF-DDA8-4C2F-9959-A476ECF7B281}"/>
    <cellStyle name="Normal 11 2 3 6 3 3 4" xfId="33528" xr:uid="{79A2FE1F-7964-41C3-AD9A-412E90E7CEF7}"/>
    <cellStyle name="Normal 11 2 3 6 3 3 4 2" xfId="33529" xr:uid="{6720E24E-4DCD-4BFB-90BB-9DF7420BDA49}"/>
    <cellStyle name="Normal 11 2 3 6 3 3 5" xfId="33530" xr:uid="{3D1C8B2C-0B65-468A-AFCE-396B64CFAC6C}"/>
    <cellStyle name="Normal 11 2 3 6 3 4" xfId="33531" xr:uid="{74D46195-FD61-4B90-988B-8161B8759F27}"/>
    <cellStyle name="Normal 11 2 3 6 3 4 2" xfId="33532" xr:uid="{192885AB-BC97-4CDE-964C-3D8D6C6FD1C3}"/>
    <cellStyle name="Normal 11 2 3 6 3 4 2 2" xfId="33533" xr:uid="{91606889-3C0A-4BB5-800D-2BF3D13A188C}"/>
    <cellStyle name="Normal 11 2 3 6 3 4 2 2 2" xfId="33534" xr:uid="{58D2F676-09B2-41C0-94B7-85E0556CC8DE}"/>
    <cellStyle name="Normal 11 2 3 6 3 4 2 3" xfId="33535" xr:uid="{B8A3926D-F70E-49CB-9099-047D8ABB30CF}"/>
    <cellStyle name="Normal 11 2 3 6 3 4 3" xfId="33536" xr:uid="{27AF123A-A568-49D6-97E0-8902648921D1}"/>
    <cellStyle name="Normal 11 2 3 6 3 4 3 2" xfId="33537" xr:uid="{828934D2-EB4D-4FEB-8B48-1CD2A244A566}"/>
    <cellStyle name="Normal 11 2 3 6 3 4 4" xfId="33538" xr:uid="{E02B33AB-CB2B-44FA-BFB7-274DF0BAF1B9}"/>
    <cellStyle name="Normal 11 2 3 6 3 5" xfId="33539" xr:uid="{6D74142A-EA27-4867-9747-FB00B0FD7C74}"/>
    <cellStyle name="Normal 11 2 3 6 3 5 2" xfId="33540" xr:uid="{63652A23-2506-4C2F-AAA9-0DCC4913E9D1}"/>
    <cellStyle name="Normal 11 2 3 6 3 5 2 2" xfId="33541" xr:uid="{2493B6A7-54B4-4D40-BB37-C3DF91DC18C7}"/>
    <cellStyle name="Normal 11 2 3 6 3 5 3" xfId="33542" xr:uid="{47D8C02C-D003-46CC-9ABC-BC3DFEDD19EC}"/>
    <cellStyle name="Normal 11 2 3 6 3 6" xfId="33543" xr:uid="{75221330-4510-4C95-86CB-30A0CB4707C6}"/>
    <cellStyle name="Normal 11 2 3 6 3 6 2" xfId="33544" xr:uid="{E94D08B8-1257-4003-BF57-A44335C6F657}"/>
    <cellStyle name="Normal 11 2 3 6 3 7" xfId="33545" xr:uid="{945CD276-8550-40CB-AE66-B7004D8D6CB6}"/>
    <cellStyle name="Normal 11 2 3 6 4" xfId="33546" xr:uid="{A98FA442-A0F8-4859-B6FB-F8043A29BF19}"/>
    <cellStyle name="Normal 11 2 3 6 4 2" xfId="33547" xr:uid="{AB97D3AE-03E8-49DC-9D76-3E5B39454EEE}"/>
    <cellStyle name="Normal 11 2 3 6 4 2 2" xfId="33548" xr:uid="{23950D4A-C52B-4A44-9044-4D174068B9A0}"/>
    <cellStyle name="Normal 11 2 3 6 4 2 2 2" xfId="33549" xr:uid="{65C32E30-30EA-454F-A247-C00BA8D7C98A}"/>
    <cellStyle name="Normal 11 2 3 6 4 2 2 2 2" xfId="33550" xr:uid="{32FB8133-7C0C-4237-B9AD-EAF170EDF9D2}"/>
    <cellStyle name="Normal 11 2 3 6 4 2 2 2 2 2" xfId="33551" xr:uid="{51DD534C-130A-4BD3-93E9-D82D72583CF3}"/>
    <cellStyle name="Normal 11 2 3 6 4 2 2 2 3" xfId="33552" xr:uid="{5FF1AFEE-EC5D-426B-A849-87380DA2A020}"/>
    <cellStyle name="Normal 11 2 3 6 4 2 2 3" xfId="33553" xr:uid="{B6400C61-BA82-4A61-A831-46298269A7D4}"/>
    <cellStyle name="Normal 11 2 3 6 4 2 2 3 2" xfId="33554" xr:uid="{97EC28B1-32BB-49B0-9DD9-B14806B8F065}"/>
    <cellStyle name="Normal 11 2 3 6 4 2 2 4" xfId="33555" xr:uid="{5671A662-6BB9-43FC-82A7-90582264C733}"/>
    <cellStyle name="Normal 11 2 3 6 4 2 3" xfId="33556" xr:uid="{6B48FD4D-6463-4EBE-A42C-C7B400370E70}"/>
    <cellStyle name="Normal 11 2 3 6 4 2 3 2" xfId="33557" xr:uid="{A9200341-05D0-4B80-AF00-A1DE3670DDBF}"/>
    <cellStyle name="Normal 11 2 3 6 4 2 3 2 2" xfId="33558" xr:uid="{25E71F58-E2E4-48FA-A00E-5E50D0D0FE3A}"/>
    <cellStyle name="Normal 11 2 3 6 4 2 3 3" xfId="33559" xr:uid="{1A4C8918-66ED-4D68-89A7-1D8B92439592}"/>
    <cellStyle name="Normal 11 2 3 6 4 2 4" xfId="33560" xr:uid="{2006DB2C-BF8C-4E38-9004-87505B2F41FC}"/>
    <cellStyle name="Normal 11 2 3 6 4 2 4 2" xfId="33561" xr:uid="{E046597C-E1E9-4740-B4B8-A2DE69113D0A}"/>
    <cellStyle name="Normal 11 2 3 6 4 2 5" xfId="33562" xr:uid="{FB155192-A0B2-49F3-8CAB-6D17853C84CA}"/>
    <cellStyle name="Normal 11 2 3 6 4 3" xfId="33563" xr:uid="{D7B5767C-7994-4725-AC09-23FF0F8FF3A5}"/>
    <cellStyle name="Normal 11 2 3 6 4 3 2" xfId="33564" xr:uid="{80D41539-4D53-437C-BACE-4A4F75E719A2}"/>
    <cellStyle name="Normal 11 2 3 6 4 3 2 2" xfId="33565" xr:uid="{F64252F8-B9DC-4DD9-A7C1-94E1695F09AF}"/>
    <cellStyle name="Normal 11 2 3 6 4 3 2 2 2" xfId="33566" xr:uid="{635A3666-91A4-483C-B375-ED695FB9DB46}"/>
    <cellStyle name="Normal 11 2 3 6 4 3 2 3" xfId="33567" xr:uid="{0FC4741E-7D32-4ECA-B364-F7AAC24F1415}"/>
    <cellStyle name="Normal 11 2 3 6 4 3 3" xfId="33568" xr:uid="{19407F43-C0AA-459F-91C3-5E9A1325A551}"/>
    <cellStyle name="Normal 11 2 3 6 4 3 3 2" xfId="33569" xr:uid="{6DABC729-04F6-40A5-B7A3-F7FF001F8302}"/>
    <cellStyle name="Normal 11 2 3 6 4 3 4" xfId="33570" xr:uid="{3C83660F-BE3D-4315-9008-9E1FBA0F017B}"/>
    <cellStyle name="Normal 11 2 3 6 4 4" xfId="33571" xr:uid="{6E0833ED-11D4-43C8-8947-5F2B8C75AFFC}"/>
    <cellStyle name="Normal 11 2 3 6 4 4 2" xfId="33572" xr:uid="{E26F36AE-4CB9-4035-A4A8-7C9EA199628B}"/>
    <cellStyle name="Normal 11 2 3 6 4 4 2 2" xfId="33573" xr:uid="{F5C08ED5-559B-4FB2-A512-E90537CD5387}"/>
    <cellStyle name="Normal 11 2 3 6 4 4 3" xfId="33574" xr:uid="{B3B88EAB-09A0-4E63-A903-7C92F9FEAE32}"/>
    <cellStyle name="Normal 11 2 3 6 4 5" xfId="33575" xr:uid="{9444E985-9DE6-41E7-A0E7-E6FA35D6E96D}"/>
    <cellStyle name="Normal 11 2 3 6 4 5 2" xfId="33576" xr:uid="{DDDADA57-2BF4-412D-9CD5-CEB8FD1AEFD7}"/>
    <cellStyle name="Normal 11 2 3 6 4 6" xfId="33577" xr:uid="{3FC2270E-9CDB-4129-A3E9-4FA6B9369699}"/>
    <cellStyle name="Normal 11 2 3 6 5" xfId="33578" xr:uid="{B414A772-457F-411B-86A5-83217CD5706A}"/>
    <cellStyle name="Normal 11 2 3 6 5 2" xfId="33579" xr:uid="{87849C8A-6A47-4A78-8CCB-D465F501E326}"/>
    <cellStyle name="Normal 11 2 3 6 5 2 2" xfId="33580" xr:uid="{DAADC67D-6FB7-4A60-851A-E708E4E5C62E}"/>
    <cellStyle name="Normal 11 2 3 6 5 2 2 2" xfId="33581" xr:uid="{CB1CBE0A-C07D-4A96-B3B8-3005542A635B}"/>
    <cellStyle name="Normal 11 2 3 6 5 2 2 2 2" xfId="33582" xr:uid="{C1D7F73C-AF9E-498C-B2E7-973F25EE67FB}"/>
    <cellStyle name="Normal 11 2 3 6 5 2 2 3" xfId="33583" xr:uid="{5945C7F4-42DA-42CA-A2E8-ACCFA547E95E}"/>
    <cellStyle name="Normal 11 2 3 6 5 2 3" xfId="33584" xr:uid="{7C2A70CE-6268-4AB6-B2D2-7D58DF407F30}"/>
    <cellStyle name="Normal 11 2 3 6 5 2 3 2" xfId="33585" xr:uid="{4C3C8B6A-A119-4393-B0B4-8352F72853B3}"/>
    <cellStyle name="Normal 11 2 3 6 5 2 4" xfId="33586" xr:uid="{0B11F09C-2AD5-41C3-A58C-C3306633B87A}"/>
    <cellStyle name="Normal 11 2 3 6 5 3" xfId="33587" xr:uid="{864FB451-ED45-4B19-9B0F-BBA7E031923C}"/>
    <cellStyle name="Normal 11 2 3 6 5 3 2" xfId="33588" xr:uid="{302E1F9E-9DC1-4863-B463-FAA30F98E7F5}"/>
    <cellStyle name="Normal 11 2 3 6 5 3 2 2" xfId="33589" xr:uid="{9B27320A-C27F-4AF9-BEDB-8250FE5FE844}"/>
    <cellStyle name="Normal 11 2 3 6 5 3 3" xfId="33590" xr:uid="{A22DDE06-18D8-4D0C-A0C2-A2C114105289}"/>
    <cellStyle name="Normal 11 2 3 6 5 4" xfId="33591" xr:uid="{C7B9863C-253D-48B9-9A3F-1D920168D5ED}"/>
    <cellStyle name="Normal 11 2 3 6 5 4 2" xfId="33592" xr:uid="{C9E3AA57-08BB-4BA0-B81C-97513ABBBA10}"/>
    <cellStyle name="Normal 11 2 3 6 5 5" xfId="33593" xr:uid="{578C7C1B-54AB-43D2-B3B0-F1359D756859}"/>
    <cellStyle name="Normal 11 2 3 6 6" xfId="33594" xr:uid="{63D75593-33B2-4A70-A60D-FE29322C86D1}"/>
    <cellStyle name="Normal 11 2 3 6 6 2" xfId="33595" xr:uid="{7E361260-0647-4E94-94E0-8B22D0868A82}"/>
    <cellStyle name="Normal 11 2 3 6 6 2 2" xfId="33596" xr:uid="{DAF077F7-E16D-4518-B15D-567976F42739}"/>
    <cellStyle name="Normal 11 2 3 6 6 2 2 2" xfId="33597" xr:uid="{54C8B84C-1435-4363-A082-BA59E5724092}"/>
    <cellStyle name="Normal 11 2 3 6 6 2 3" xfId="33598" xr:uid="{19BA17B2-F2D4-4945-AC26-11E18E78114F}"/>
    <cellStyle name="Normal 11 2 3 6 6 3" xfId="33599" xr:uid="{16CD545E-BB5A-4A50-9A01-EEF9E0A700D5}"/>
    <cellStyle name="Normal 11 2 3 6 6 3 2" xfId="33600" xr:uid="{084235F4-7A5A-414E-A257-92EDF51EDD20}"/>
    <cellStyle name="Normal 11 2 3 6 6 4" xfId="33601" xr:uid="{44A2D83A-24F3-4CB3-9909-7CCF10E70431}"/>
    <cellStyle name="Normal 11 2 3 6 7" xfId="33602" xr:uid="{0C295861-A673-4CC0-8F04-6DD8DF555DC6}"/>
    <cellStyle name="Normal 11 2 3 6 7 2" xfId="33603" xr:uid="{B9C1E395-1ABC-468D-B00E-B6FF82B218F3}"/>
    <cellStyle name="Normal 11 2 3 6 7 2 2" xfId="33604" xr:uid="{CEAE1F51-B4E8-414B-A004-902BBAA78F20}"/>
    <cellStyle name="Normal 11 2 3 6 7 3" xfId="33605" xr:uid="{C25FC746-C672-417F-BDBE-768F90BD6167}"/>
    <cellStyle name="Normal 11 2 3 6 8" xfId="33606" xr:uid="{9DA2CE73-A5BC-457F-954A-66E1DB521CDC}"/>
    <cellStyle name="Normal 11 2 3 6 8 2" xfId="33607" xr:uid="{6B842C48-2D6A-4C88-A298-F1041C1482FB}"/>
    <cellStyle name="Normal 11 2 3 6 9" xfId="33608" xr:uid="{D2E694B3-E3D8-40B2-93AA-246D8E318C81}"/>
    <cellStyle name="Normal 11 2 3 7" xfId="447" xr:uid="{DF7852BD-DBE3-49B5-91F4-327E80E32245}"/>
    <cellStyle name="Normal 11 2 3 7 2" xfId="33610" xr:uid="{AE147672-7A06-4093-B2E1-BC91F6D6E4E8}"/>
    <cellStyle name="Normal 11 2 3 7 2 2" xfId="33611" xr:uid="{09C3D4BA-289C-4287-A9EF-2A2A95E221D0}"/>
    <cellStyle name="Normal 11 2 3 7 2 2 2" xfId="33612" xr:uid="{F8098799-1410-4C9D-A1EE-5CB8B63554E3}"/>
    <cellStyle name="Normal 11 2 3 7 2 2 2 2" xfId="33613" xr:uid="{7B4BC6A9-71E2-4CB9-80B3-3AC2E61B0DB5}"/>
    <cellStyle name="Normal 11 2 3 7 2 2 2 2 2" xfId="33614" xr:uid="{32594753-A331-44F2-B7C7-6C5B9BA9E521}"/>
    <cellStyle name="Normal 11 2 3 7 2 2 2 2 2 2" xfId="33615" xr:uid="{7C16D3CB-549C-4324-916B-9353A497E183}"/>
    <cellStyle name="Normal 11 2 3 7 2 2 2 2 2 2 2" xfId="33616" xr:uid="{26B8E579-4561-496B-B838-3EB6664DA7D0}"/>
    <cellStyle name="Normal 11 2 3 7 2 2 2 2 2 3" xfId="33617" xr:uid="{DA655805-48DC-4BCE-A28D-CE0B5536A4B4}"/>
    <cellStyle name="Normal 11 2 3 7 2 2 2 2 3" xfId="33618" xr:uid="{ED107D23-F865-4DD6-B55E-026D3CE344F8}"/>
    <cellStyle name="Normal 11 2 3 7 2 2 2 2 3 2" xfId="33619" xr:uid="{67D48BB4-1E4D-414C-9E95-C976D47246E4}"/>
    <cellStyle name="Normal 11 2 3 7 2 2 2 2 4" xfId="33620" xr:uid="{6E19EBCE-188B-446D-8317-CEABC997D80B}"/>
    <cellStyle name="Normal 11 2 3 7 2 2 2 3" xfId="33621" xr:uid="{7A3364C1-20BC-475B-BBF1-22FA05592B99}"/>
    <cellStyle name="Normal 11 2 3 7 2 2 2 3 2" xfId="33622" xr:uid="{4FD973FB-2715-4BC6-A22D-8D126CF74670}"/>
    <cellStyle name="Normal 11 2 3 7 2 2 2 3 2 2" xfId="33623" xr:uid="{E6E9708D-0665-4F9D-9891-073215E3BACE}"/>
    <cellStyle name="Normal 11 2 3 7 2 2 2 3 3" xfId="33624" xr:uid="{A4DA3027-45B9-4F77-A9BC-665D299ED7E3}"/>
    <cellStyle name="Normal 11 2 3 7 2 2 2 4" xfId="33625" xr:uid="{2CC8899B-54D0-4874-A6A2-8A16A980309F}"/>
    <cellStyle name="Normal 11 2 3 7 2 2 2 4 2" xfId="33626" xr:uid="{3D97B522-D785-4B9A-A15C-5EA7260850F5}"/>
    <cellStyle name="Normal 11 2 3 7 2 2 2 5" xfId="33627" xr:uid="{5A2C1FD6-EE1F-482E-9CF7-757E252F57D5}"/>
    <cellStyle name="Normal 11 2 3 7 2 2 3" xfId="33628" xr:uid="{7ACD8DBF-E054-4F83-9C10-9E517DD1D359}"/>
    <cellStyle name="Normal 11 2 3 7 2 2 3 2" xfId="33629" xr:uid="{839EA36C-9A6E-45E4-B32C-D0CA77B35BC0}"/>
    <cellStyle name="Normal 11 2 3 7 2 2 3 2 2" xfId="33630" xr:uid="{C4D88573-A6C6-4C87-9B76-C296177563DF}"/>
    <cellStyle name="Normal 11 2 3 7 2 2 3 2 2 2" xfId="33631" xr:uid="{D3E3596E-9FD2-4BD7-AB1C-157F69B404FA}"/>
    <cellStyle name="Normal 11 2 3 7 2 2 3 2 3" xfId="33632" xr:uid="{ED38674E-D392-4CA2-AB31-DE5167D52A5D}"/>
    <cellStyle name="Normal 11 2 3 7 2 2 3 3" xfId="33633" xr:uid="{92639736-487C-44B9-B3A0-0B1790E8872F}"/>
    <cellStyle name="Normal 11 2 3 7 2 2 3 3 2" xfId="33634" xr:uid="{B5F6C1DA-D52A-4A72-8A29-15487166DDFC}"/>
    <cellStyle name="Normal 11 2 3 7 2 2 3 4" xfId="33635" xr:uid="{D6F84DDB-0DC3-4F35-8AD5-A8F104E6EEDF}"/>
    <cellStyle name="Normal 11 2 3 7 2 2 4" xfId="33636" xr:uid="{328791B2-5001-49EF-BBEE-7B2E376ED577}"/>
    <cellStyle name="Normal 11 2 3 7 2 2 4 2" xfId="33637" xr:uid="{B56FC769-6803-44C2-A5FC-E00C3E84C583}"/>
    <cellStyle name="Normal 11 2 3 7 2 2 4 2 2" xfId="33638" xr:uid="{A1902100-6A1A-41BF-95BC-3FC988F5894F}"/>
    <cellStyle name="Normal 11 2 3 7 2 2 4 3" xfId="33639" xr:uid="{81895301-C9DF-4935-9C54-A7C188529D7F}"/>
    <cellStyle name="Normal 11 2 3 7 2 2 5" xfId="33640" xr:uid="{CDD0555C-84BD-466C-B650-61885FAEB578}"/>
    <cellStyle name="Normal 11 2 3 7 2 2 5 2" xfId="33641" xr:uid="{DFB5A364-7C0D-4900-B9B4-DDA1B8DEB50C}"/>
    <cellStyle name="Normal 11 2 3 7 2 2 6" xfId="33642" xr:uid="{BEBF9490-6BC6-42DF-93CB-C1C9464E2A03}"/>
    <cellStyle name="Normal 11 2 3 7 2 3" xfId="33643" xr:uid="{F60BEE82-B6A7-466E-8784-64EFB8EAF40F}"/>
    <cellStyle name="Normal 11 2 3 7 2 3 2" xfId="33644" xr:uid="{649FE28F-62DC-45F0-99E2-64C4D5A3015A}"/>
    <cellStyle name="Normal 11 2 3 7 2 3 2 2" xfId="33645" xr:uid="{ACACAF60-F28A-47AD-BDE4-BC57F91BC15D}"/>
    <cellStyle name="Normal 11 2 3 7 2 3 2 2 2" xfId="33646" xr:uid="{7C57F7A0-B025-4443-85A6-6FE7327BB162}"/>
    <cellStyle name="Normal 11 2 3 7 2 3 2 2 2 2" xfId="33647" xr:uid="{2B3F0262-34AF-441C-800A-46A1844506CD}"/>
    <cellStyle name="Normal 11 2 3 7 2 3 2 2 3" xfId="33648" xr:uid="{4779A841-94D9-4875-9C0F-C03F2A8ECF4D}"/>
    <cellStyle name="Normal 11 2 3 7 2 3 2 3" xfId="33649" xr:uid="{FFC0C6F9-C731-4571-AF20-67CC32A864E8}"/>
    <cellStyle name="Normal 11 2 3 7 2 3 2 3 2" xfId="33650" xr:uid="{F209FAE3-DF48-4F8A-8E25-04D49E8D2344}"/>
    <cellStyle name="Normal 11 2 3 7 2 3 2 4" xfId="33651" xr:uid="{4866F9E4-4ED6-4EDE-A58C-B36F51A111D1}"/>
    <cellStyle name="Normal 11 2 3 7 2 3 3" xfId="33652" xr:uid="{AC6CA93F-393D-4E88-89D5-DD19CA6C0BBC}"/>
    <cellStyle name="Normal 11 2 3 7 2 3 3 2" xfId="33653" xr:uid="{3A09244B-E16E-42C2-B23C-28EBFDEB9D7B}"/>
    <cellStyle name="Normal 11 2 3 7 2 3 3 2 2" xfId="33654" xr:uid="{F584633A-3BFF-4724-98E4-440E258DC868}"/>
    <cellStyle name="Normal 11 2 3 7 2 3 3 3" xfId="33655" xr:uid="{504D4706-7508-4134-AC38-27BB1FADA82C}"/>
    <cellStyle name="Normal 11 2 3 7 2 3 4" xfId="33656" xr:uid="{6032F704-1F87-44C3-9C7B-B0ED43CE741F}"/>
    <cellStyle name="Normal 11 2 3 7 2 3 4 2" xfId="33657" xr:uid="{902AEF3B-23C7-4AE9-8370-F828BD82D0BF}"/>
    <cellStyle name="Normal 11 2 3 7 2 3 5" xfId="33658" xr:uid="{07105D00-167D-4AB7-9E9B-77877DC3B875}"/>
    <cellStyle name="Normal 11 2 3 7 2 4" xfId="33659" xr:uid="{F4DDB9A9-882D-4ED7-9D5F-B29D7624BA36}"/>
    <cellStyle name="Normal 11 2 3 7 2 4 2" xfId="33660" xr:uid="{241838DA-FB06-473A-89AA-DD304F7A344B}"/>
    <cellStyle name="Normal 11 2 3 7 2 4 2 2" xfId="33661" xr:uid="{F56CEEA9-A6FF-4462-866B-800539C35606}"/>
    <cellStyle name="Normal 11 2 3 7 2 4 2 2 2" xfId="33662" xr:uid="{EDDC0C5E-9AE3-4605-BD4C-C7B0BF07CFDA}"/>
    <cellStyle name="Normal 11 2 3 7 2 4 2 3" xfId="33663" xr:uid="{1FCC832C-25A5-4EF2-9B17-73A005C7ED91}"/>
    <cellStyle name="Normal 11 2 3 7 2 4 3" xfId="33664" xr:uid="{CC0C7664-8D60-4149-99F7-C23BD77D58FE}"/>
    <cellStyle name="Normal 11 2 3 7 2 4 3 2" xfId="33665" xr:uid="{A59FDE75-0888-41DD-B977-88636C1A413C}"/>
    <cellStyle name="Normal 11 2 3 7 2 4 4" xfId="33666" xr:uid="{A335AE54-9152-4BD5-B316-E8BFA62EDA82}"/>
    <cellStyle name="Normal 11 2 3 7 2 5" xfId="33667" xr:uid="{B21F1177-9867-486B-BD6F-9ACAE0F2C37C}"/>
    <cellStyle name="Normal 11 2 3 7 2 5 2" xfId="33668" xr:uid="{EDEADB8D-2D64-4EAC-A503-95D075C8A079}"/>
    <cellStyle name="Normal 11 2 3 7 2 5 2 2" xfId="33669" xr:uid="{9130844E-BF20-43AA-9D3B-51499E89B36C}"/>
    <cellStyle name="Normal 11 2 3 7 2 5 3" xfId="33670" xr:uid="{636D0B14-82A5-4AEF-AAA1-BB14BBE2E97D}"/>
    <cellStyle name="Normal 11 2 3 7 2 6" xfId="33671" xr:uid="{46D46A97-CA3E-4D46-B793-FCD0252EAB4C}"/>
    <cellStyle name="Normal 11 2 3 7 2 6 2" xfId="33672" xr:uid="{4E29C6ED-D00D-4137-961B-492881DB9FCF}"/>
    <cellStyle name="Normal 11 2 3 7 2 7" xfId="33673" xr:uid="{3180592E-C274-4BB0-A9FD-93ED677762E3}"/>
    <cellStyle name="Normal 11 2 3 7 3" xfId="33674" xr:uid="{861040ED-5675-4B23-8B00-E70DBBEE1F2F}"/>
    <cellStyle name="Normal 11 2 3 7 3 2" xfId="33675" xr:uid="{04317D60-38E5-4CD5-AE3D-EC74BFC0D25B}"/>
    <cellStyle name="Normal 11 2 3 7 3 2 2" xfId="33676" xr:uid="{AB43BC5D-DB0A-4F5E-8285-22B24EB22A68}"/>
    <cellStyle name="Normal 11 2 3 7 3 2 2 2" xfId="33677" xr:uid="{9EF7712B-15F9-4D3C-AEC0-D707D1309E5B}"/>
    <cellStyle name="Normal 11 2 3 7 3 2 2 2 2" xfId="33678" xr:uid="{4F9BA741-DB64-4C03-A45B-7DA4230F2B91}"/>
    <cellStyle name="Normal 11 2 3 7 3 2 2 2 2 2" xfId="33679" xr:uid="{8A7FBD16-E473-4C2C-B452-F2E2CCDC6EFB}"/>
    <cellStyle name="Normal 11 2 3 7 3 2 2 2 3" xfId="33680" xr:uid="{29B13191-A7DE-45C5-ABD5-C52F9CC0D592}"/>
    <cellStyle name="Normal 11 2 3 7 3 2 2 3" xfId="33681" xr:uid="{D9C29EB1-4F78-4023-A63B-84E5EEA14962}"/>
    <cellStyle name="Normal 11 2 3 7 3 2 2 3 2" xfId="33682" xr:uid="{2C507555-E3A6-4A1D-B430-7CBA72FF7E0C}"/>
    <cellStyle name="Normal 11 2 3 7 3 2 2 4" xfId="33683" xr:uid="{F9A6DA8C-EDD6-443E-B3DA-850ECE89B669}"/>
    <cellStyle name="Normal 11 2 3 7 3 2 3" xfId="33684" xr:uid="{1FB75725-0EEB-4563-A56D-07FE0A6CFE63}"/>
    <cellStyle name="Normal 11 2 3 7 3 2 3 2" xfId="33685" xr:uid="{1D5036C2-2B44-44CF-96FD-17AB0E78FC57}"/>
    <cellStyle name="Normal 11 2 3 7 3 2 3 2 2" xfId="33686" xr:uid="{6C3F68F9-257D-407C-AB75-A7E215B5AED8}"/>
    <cellStyle name="Normal 11 2 3 7 3 2 3 3" xfId="33687" xr:uid="{1BBE0F3D-AA2F-4AFD-B674-6BE0389E726B}"/>
    <cellStyle name="Normal 11 2 3 7 3 2 4" xfId="33688" xr:uid="{71ABE804-478C-4FED-A10A-04AA4FBC5FBC}"/>
    <cellStyle name="Normal 11 2 3 7 3 2 4 2" xfId="33689" xr:uid="{FC80F7EE-6FC2-412F-AC50-F2C4B0F35708}"/>
    <cellStyle name="Normal 11 2 3 7 3 2 5" xfId="33690" xr:uid="{C5A9A414-3182-459A-BE60-54868EEC39CB}"/>
    <cellStyle name="Normal 11 2 3 7 3 3" xfId="33691" xr:uid="{8B9A4541-3E8F-4BDD-A686-63737707FE2D}"/>
    <cellStyle name="Normal 11 2 3 7 3 3 2" xfId="33692" xr:uid="{2C0C6F2A-D633-4378-B643-9B7F1BC0C767}"/>
    <cellStyle name="Normal 11 2 3 7 3 3 2 2" xfId="33693" xr:uid="{4288A7CA-155A-4A60-B08D-540BE1EC9458}"/>
    <cellStyle name="Normal 11 2 3 7 3 3 2 2 2" xfId="33694" xr:uid="{3D50E367-07E0-4C3F-8D46-476D68EC3EC5}"/>
    <cellStyle name="Normal 11 2 3 7 3 3 2 3" xfId="33695" xr:uid="{053254A4-84E3-4C18-BB13-F63194BA4B62}"/>
    <cellStyle name="Normal 11 2 3 7 3 3 3" xfId="33696" xr:uid="{1CAF5A0D-AD1D-4E2D-9F5A-777A264A18A1}"/>
    <cellStyle name="Normal 11 2 3 7 3 3 3 2" xfId="33697" xr:uid="{DB4A5801-A92D-4818-BB79-3B4957828767}"/>
    <cellStyle name="Normal 11 2 3 7 3 3 4" xfId="33698" xr:uid="{51A213DA-CC44-495A-AE2E-D1FC6D032DE0}"/>
    <cellStyle name="Normal 11 2 3 7 3 4" xfId="33699" xr:uid="{8F5047CB-7B1A-4E11-A78E-BF4A547C61B7}"/>
    <cellStyle name="Normal 11 2 3 7 3 4 2" xfId="33700" xr:uid="{4F6463F0-C1D4-425F-914B-A0B634A48857}"/>
    <cellStyle name="Normal 11 2 3 7 3 4 2 2" xfId="33701" xr:uid="{55DB456D-E1BF-4FC3-B64D-5C38C35DBB99}"/>
    <cellStyle name="Normal 11 2 3 7 3 4 3" xfId="33702" xr:uid="{BC57533E-C4DD-424C-AC3E-41568FFAECEB}"/>
    <cellStyle name="Normal 11 2 3 7 3 5" xfId="33703" xr:uid="{951D47B0-D441-440F-9651-66C224BB4535}"/>
    <cellStyle name="Normal 11 2 3 7 3 5 2" xfId="33704" xr:uid="{0B2F3C5D-5336-4D8F-8AE0-1C61C50BF1A0}"/>
    <cellStyle name="Normal 11 2 3 7 3 6" xfId="33705" xr:uid="{3854D29F-AF63-4FB1-9A40-06697D8AD653}"/>
    <cellStyle name="Normal 11 2 3 7 4" xfId="33706" xr:uid="{F940722B-E257-4DCB-8D48-B47343BA1BCC}"/>
    <cellStyle name="Normal 11 2 3 7 4 2" xfId="33707" xr:uid="{D08E217E-2817-46D5-A559-E788576F179D}"/>
    <cellStyle name="Normal 11 2 3 7 4 2 2" xfId="33708" xr:uid="{F3AB11E7-3130-4D5F-B468-1FD01C8A13DF}"/>
    <cellStyle name="Normal 11 2 3 7 4 2 2 2" xfId="33709" xr:uid="{F9B0B6C1-B45E-4A71-84AC-189C69621068}"/>
    <cellStyle name="Normal 11 2 3 7 4 2 2 2 2" xfId="33710" xr:uid="{5D6B5A46-E0B9-481E-9DAB-AD92E9487484}"/>
    <cellStyle name="Normal 11 2 3 7 4 2 2 3" xfId="33711" xr:uid="{840FDA06-0E56-4658-9683-D0714303867F}"/>
    <cellStyle name="Normal 11 2 3 7 4 2 3" xfId="33712" xr:uid="{17E092E3-9518-4796-A6BC-50C3AE096399}"/>
    <cellStyle name="Normal 11 2 3 7 4 2 3 2" xfId="33713" xr:uid="{596865ED-84E0-4C73-A704-B814EC3A970A}"/>
    <cellStyle name="Normal 11 2 3 7 4 2 4" xfId="33714" xr:uid="{14CEEB5E-97D0-4CBD-9F83-A2C6DFA527F7}"/>
    <cellStyle name="Normal 11 2 3 7 4 3" xfId="33715" xr:uid="{3127D97A-64E9-4820-9E9A-9379B54AAADD}"/>
    <cellStyle name="Normal 11 2 3 7 4 3 2" xfId="33716" xr:uid="{079ECA58-6D28-4C10-A0E4-C8A406671782}"/>
    <cellStyle name="Normal 11 2 3 7 4 3 2 2" xfId="33717" xr:uid="{D8E68920-3E1B-4C50-AEF0-3C2C2E528228}"/>
    <cellStyle name="Normal 11 2 3 7 4 3 3" xfId="33718" xr:uid="{8036AA1D-A0E7-4111-B012-7DAFEA3DB06D}"/>
    <cellStyle name="Normal 11 2 3 7 4 4" xfId="33719" xr:uid="{26BC7B01-6CBD-4E49-8350-B8983A2E6ADA}"/>
    <cellStyle name="Normal 11 2 3 7 4 4 2" xfId="33720" xr:uid="{ECB48DD2-008F-4EEA-BD85-5D288E9CECBC}"/>
    <cellStyle name="Normal 11 2 3 7 4 5" xfId="33721" xr:uid="{CF9D0F70-3CF3-4082-AAA4-B3F5A63FC0C8}"/>
    <cellStyle name="Normal 11 2 3 7 5" xfId="33722" xr:uid="{1CDD537F-A32C-4F11-921C-2EBC34379E76}"/>
    <cellStyle name="Normal 11 2 3 7 5 2" xfId="33723" xr:uid="{4C214F8B-40E0-4621-8C65-157B12624024}"/>
    <cellStyle name="Normal 11 2 3 7 5 2 2" xfId="33724" xr:uid="{9B28F44D-B8E2-42A4-9CA6-570788AFB4CB}"/>
    <cellStyle name="Normal 11 2 3 7 5 2 2 2" xfId="33725" xr:uid="{3FFDFF87-1B2F-43E3-84D9-C0F5CB3BB0AC}"/>
    <cellStyle name="Normal 11 2 3 7 5 2 3" xfId="33726" xr:uid="{D27BAE59-450A-47BA-A002-C23A79BD4DE5}"/>
    <cellStyle name="Normal 11 2 3 7 5 3" xfId="33727" xr:uid="{6DD953C8-CD67-4579-9153-B341DE1AA3D2}"/>
    <cellStyle name="Normal 11 2 3 7 5 3 2" xfId="33728" xr:uid="{2B492DB6-4696-41D0-B05F-192AD9E38281}"/>
    <cellStyle name="Normal 11 2 3 7 5 4" xfId="33729" xr:uid="{3354B6AA-6D40-4B59-B812-4B74D87547C7}"/>
    <cellStyle name="Normal 11 2 3 7 6" xfId="33730" xr:uid="{27410141-6274-40CC-A0CD-F866F128DBF7}"/>
    <cellStyle name="Normal 11 2 3 7 6 2" xfId="33731" xr:uid="{CFF831D2-1464-4596-830E-C77AA6FCF83A}"/>
    <cellStyle name="Normal 11 2 3 7 6 2 2" xfId="33732" xr:uid="{A6923745-0994-4254-A058-3FBD29CD1618}"/>
    <cellStyle name="Normal 11 2 3 7 6 3" xfId="33733" xr:uid="{1F266715-4BC3-4AE5-9DEF-E0E7E110DB5E}"/>
    <cellStyle name="Normal 11 2 3 7 7" xfId="33734" xr:uid="{F52204D5-E085-4594-912B-E46790FF13CF}"/>
    <cellStyle name="Normal 11 2 3 7 7 2" xfId="33735" xr:uid="{EA609B97-B4E9-49F6-B991-127782226F89}"/>
    <cellStyle name="Normal 11 2 3 7 8" xfId="33736" xr:uid="{C50856FB-AA8B-4394-A4A5-2631EF6E358F}"/>
    <cellStyle name="Normal 11 2 3 7 9" xfId="33609" xr:uid="{91554535-CE4B-4B2B-8620-04FEC15FD6D3}"/>
    <cellStyle name="Normal 11 2 3 8" xfId="33737" xr:uid="{B5CAA2C0-7717-42CD-9540-68A15C7C2A63}"/>
    <cellStyle name="Normal 11 2 3 8 2" xfId="33738" xr:uid="{7F98CF19-2F21-4C89-BC74-3B2C3DBCD0E3}"/>
    <cellStyle name="Normal 11 2 3 8 2 2" xfId="33739" xr:uid="{9B16ECA4-1A61-4A36-B883-3C77E84B41B5}"/>
    <cellStyle name="Normal 11 2 3 8 2 2 2" xfId="33740" xr:uid="{492958F8-D048-4368-A848-F5DB53E68937}"/>
    <cellStyle name="Normal 11 2 3 8 2 2 2 2" xfId="33741" xr:uid="{0598D5A2-63A5-4263-A85F-89D16F21C9EE}"/>
    <cellStyle name="Normal 11 2 3 8 2 2 2 2 2" xfId="33742" xr:uid="{87F8E44A-BE79-4E0B-8806-75C7D41A1E66}"/>
    <cellStyle name="Normal 11 2 3 8 2 2 2 2 2 2" xfId="33743" xr:uid="{16FBBDE6-9530-488F-ABDC-B91684EBE853}"/>
    <cellStyle name="Normal 11 2 3 8 2 2 2 2 3" xfId="33744" xr:uid="{39F19BB8-B064-42C9-82D4-7D224F1AC03C}"/>
    <cellStyle name="Normal 11 2 3 8 2 2 2 3" xfId="33745" xr:uid="{C8579810-310B-4FD6-A60D-276D42310438}"/>
    <cellStyle name="Normal 11 2 3 8 2 2 2 3 2" xfId="33746" xr:uid="{2435C9F2-959F-4E8C-BBE1-E91DAA65C7F6}"/>
    <cellStyle name="Normal 11 2 3 8 2 2 2 4" xfId="33747" xr:uid="{B09DB1C8-7309-4101-AE7A-C50F99503AB4}"/>
    <cellStyle name="Normal 11 2 3 8 2 2 3" xfId="33748" xr:uid="{F13A739B-3E0C-438B-9166-D8C96C059DDD}"/>
    <cellStyle name="Normal 11 2 3 8 2 2 3 2" xfId="33749" xr:uid="{B70B99C9-EE5F-49B0-A636-70C9CABDD56D}"/>
    <cellStyle name="Normal 11 2 3 8 2 2 3 2 2" xfId="33750" xr:uid="{7D9385C0-1927-4732-98BE-B8545367C336}"/>
    <cellStyle name="Normal 11 2 3 8 2 2 3 3" xfId="33751" xr:uid="{52CFA54B-EE73-4245-906C-0DC01E76DC58}"/>
    <cellStyle name="Normal 11 2 3 8 2 2 4" xfId="33752" xr:uid="{789ED174-43C1-4744-AF15-64A7D0D94AEB}"/>
    <cellStyle name="Normal 11 2 3 8 2 2 4 2" xfId="33753" xr:uid="{90F504F8-E5F7-4A97-BEA4-4AD097B536DC}"/>
    <cellStyle name="Normal 11 2 3 8 2 2 5" xfId="33754" xr:uid="{A60987BD-82C7-45A7-85EB-CE8202A5178D}"/>
    <cellStyle name="Normal 11 2 3 8 2 3" xfId="33755" xr:uid="{6505E38E-E7A9-4AA2-A07D-F96E802D810D}"/>
    <cellStyle name="Normal 11 2 3 8 2 3 2" xfId="33756" xr:uid="{313CB581-0AE5-453E-9A3B-98A729B14AB8}"/>
    <cellStyle name="Normal 11 2 3 8 2 3 2 2" xfId="33757" xr:uid="{6CFDDD34-5712-4402-A759-FF58B01D2D1A}"/>
    <cellStyle name="Normal 11 2 3 8 2 3 2 2 2" xfId="33758" xr:uid="{CB3B92EB-0C4C-479C-88F0-2330A83DCD5C}"/>
    <cellStyle name="Normal 11 2 3 8 2 3 2 3" xfId="33759" xr:uid="{9BC62851-4B9E-488C-9FE8-45F59C573FF0}"/>
    <cellStyle name="Normal 11 2 3 8 2 3 3" xfId="33760" xr:uid="{27F64DC9-7B76-421C-95D3-D8E53C7500B9}"/>
    <cellStyle name="Normal 11 2 3 8 2 3 3 2" xfId="33761" xr:uid="{267AF230-4869-42E0-B702-E02C82AE5988}"/>
    <cellStyle name="Normal 11 2 3 8 2 3 4" xfId="33762" xr:uid="{35903EFD-3CA8-424E-9BC8-D01F6B938AB9}"/>
    <cellStyle name="Normal 11 2 3 8 2 4" xfId="33763" xr:uid="{A261410B-590B-494D-B499-98A754DFADDA}"/>
    <cellStyle name="Normal 11 2 3 8 2 4 2" xfId="33764" xr:uid="{EAD79133-993D-48D2-85A5-47C9A161C131}"/>
    <cellStyle name="Normal 11 2 3 8 2 4 2 2" xfId="33765" xr:uid="{F804627F-DE09-41F0-A4CB-81C58FC82370}"/>
    <cellStyle name="Normal 11 2 3 8 2 4 3" xfId="33766" xr:uid="{EC453AA4-79A8-4D19-9235-EC3DB7ED3E13}"/>
    <cellStyle name="Normal 11 2 3 8 2 5" xfId="33767" xr:uid="{BFCD0493-73C7-4B96-9DC5-71367972D117}"/>
    <cellStyle name="Normal 11 2 3 8 2 5 2" xfId="33768" xr:uid="{CE527C95-6CFB-44AC-9AEE-53C44D641F99}"/>
    <cellStyle name="Normal 11 2 3 8 2 6" xfId="33769" xr:uid="{C65A2C08-3E41-4B50-91F6-C8F74358DF0F}"/>
    <cellStyle name="Normal 11 2 3 8 3" xfId="33770" xr:uid="{C6027911-B7CD-49F0-B89F-859F9192AE66}"/>
    <cellStyle name="Normal 11 2 3 8 3 2" xfId="33771" xr:uid="{32621A6D-38E7-4B9F-A260-EDB3F4CB57C8}"/>
    <cellStyle name="Normal 11 2 3 8 3 2 2" xfId="33772" xr:uid="{55B1FA1A-F1D9-4D91-B9C1-DB93100B39BF}"/>
    <cellStyle name="Normal 11 2 3 8 3 2 2 2" xfId="33773" xr:uid="{B633A10E-21C3-46B4-AF58-8E91724C1A08}"/>
    <cellStyle name="Normal 11 2 3 8 3 2 2 2 2" xfId="33774" xr:uid="{FDC1645E-13E3-4133-9005-6F6A1F1DF100}"/>
    <cellStyle name="Normal 11 2 3 8 3 2 2 3" xfId="33775" xr:uid="{8E8832BA-227C-4C6A-8A9E-C07A8FB8AC27}"/>
    <cellStyle name="Normal 11 2 3 8 3 2 3" xfId="33776" xr:uid="{3E410B05-E49F-4490-A33C-3EED3FEFAA98}"/>
    <cellStyle name="Normal 11 2 3 8 3 2 3 2" xfId="33777" xr:uid="{326E3F2C-B462-457F-9B8B-9CB87AE1F89F}"/>
    <cellStyle name="Normal 11 2 3 8 3 2 4" xfId="33778" xr:uid="{00584BA8-F6BC-4067-80D2-18CCC1F953D9}"/>
    <cellStyle name="Normal 11 2 3 8 3 3" xfId="33779" xr:uid="{11EE8A92-D72F-4106-952A-89EC6ECE46A5}"/>
    <cellStyle name="Normal 11 2 3 8 3 3 2" xfId="33780" xr:uid="{C82CB67F-EB44-4D08-B52C-5C6E25580A98}"/>
    <cellStyle name="Normal 11 2 3 8 3 3 2 2" xfId="33781" xr:uid="{BAD64897-D1E4-439E-80A5-D570390A097A}"/>
    <cellStyle name="Normal 11 2 3 8 3 3 3" xfId="33782" xr:uid="{F365FCA6-B8EB-4F10-BEC7-ACDBD52F4C5A}"/>
    <cellStyle name="Normal 11 2 3 8 3 4" xfId="33783" xr:uid="{BBABB042-9964-46EA-AD89-346BA81EAAF1}"/>
    <cellStyle name="Normal 11 2 3 8 3 4 2" xfId="33784" xr:uid="{855E8653-D892-4598-AD55-CEB82845478A}"/>
    <cellStyle name="Normal 11 2 3 8 3 5" xfId="33785" xr:uid="{534AE1AC-EB95-4102-9664-1D04B0199330}"/>
    <cellStyle name="Normal 11 2 3 8 4" xfId="33786" xr:uid="{35150896-F685-4BA9-8ADB-7C0A3787FBC6}"/>
    <cellStyle name="Normal 11 2 3 8 4 2" xfId="33787" xr:uid="{5EDF439D-D4D4-4105-A73B-DBA2B12F333A}"/>
    <cellStyle name="Normal 11 2 3 8 4 2 2" xfId="33788" xr:uid="{C56CF5AF-9123-4A72-938D-F7C1B35F9A15}"/>
    <cellStyle name="Normal 11 2 3 8 4 2 2 2" xfId="33789" xr:uid="{67B20A91-D324-469B-9CA6-D0586A9CD4AF}"/>
    <cellStyle name="Normal 11 2 3 8 4 2 3" xfId="33790" xr:uid="{67122EC3-2A26-4A50-8277-CB5321A550BD}"/>
    <cellStyle name="Normal 11 2 3 8 4 3" xfId="33791" xr:uid="{A0339D21-812E-4073-9ACB-2B691902C0A7}"/>
    <cellStyle name="Normal 11 2 3 8 4 3 2" xfId="33792" xr:uid="{0B0E03F8-4E76-4E24-B67F-4A1B6C0C995B}"/>
    <cellStyle name="Normal 11 2 3 8 4 4" xfId="33793" xr:uid="{5D8C25DC-467B-4B9A-B479-94633ABF0A82}"/>
    <cellStyle name="Normal 11 2 3 8 5" xfId="33794" xr:uid="{43344D9C-36A8-485B-B224-64E31263AF94}"/>
    <cellStyle name="Normal 11 2 3 8 5 2" xfId="33795" xr:uid="{7F4325F0-CF4B-4937-AEAC-FF0108E323B2}"/>
    <cellStyle name="Normal 11 2 3 8 5 2 2" xfId="33796" xr:uid="{7783E0B7-0039-48A3-A656-E2DE29432796}"/>
    <cellStyle name="Normal 11 2 3 8 5 3" xfId="33797" xr:uid="{3F303013-D84F-49D6-8F67-574583F3C1E2}"/>
    <cellStyle name="Normal 11 2 3 8 6" xfId="33798" xr:uid="{B74C37D0-A7EB-4517-BFB0-5BBEA25AFB65}"/>
    <cellStyle name="Normal 11 2 3 8 6 2" xfId="33799" xr:uid="{095233BA-F7FF-47EF-A7BC-2F1F0EED5E48}"/>
    <cellStyle name="Normal 11 2 3 8 7" xfId="33800" xr:uid="{71EA6F38-940E-45EE-A4EB-9EC23E71D19E}"/>
    <cellStyle name="Normal 11 2 3 9" xfId="33801" xr:uid="{4DF5E4F2-669D-40E0-909D-F15EA6145673}"/>
    <cellStyle name="Normal 11 2 3 9 2" xfId="33802" xr:uid="{C0D1477C-C745-4DAC-A765-6E6EBA65A081}"/>
    <cellStyle name="Normal 11 2 3 9 2 2" xfId="33803" xr:uid="{12C9C298-CB05-4C7D-A383-9A64C7C680E0}"/>
    <cellStyle name="Normal 11 2 3 9 2 2 2" xfId="33804" xr:uid="{DA2477B2-E211-4AA0-ADF3-2FC3DA7397F3}"/>
    <cellStyle name="Normal 11 2 3 9 2 2 2 2" xfId="33805" xr:uid="{72C16742-9D3E-46EE-A64F-09DA5C958686}"/>
    <cellStyle name="Normal 11 2 3 9 2 2 2 2 2" xfId="33806" xr:uid="{4DDF38FD-3D10-4059-8FB1-D25F35B01B84}"/>
    <cellStyle name="Normal 11 2 3 9 2 2 2 3" xfId="33807" xr:uid="{5AFB3A97-545E-42DC-B856-FF2B1F76B0E5}"/>
    <cellStyle name="Normal 11 2 3 9 2 2 3" xfId="33808" xr:uid="{7DDF481A-902E-48EB-AB8D-7A8B7A0FA542}"/>
    <cellStyle name="Normal 11 2 3 9 2 2 3 2" xfId="33809" xr:uid="{E6E14220-EF2B-4A68-B7C5-C6E65BF7D197}"/>
    <cellStyle name="Normal 11 2 3 9 2 2 4" xfId="33810" xr:uid="{4851E2D8-9891-4AFA-BA0A-9F2E4BAF2926}"/>
    <cellStyle name="Normal 11 2 3 9 2 3" xfId="33811" xr:uid="{069374B5-7D45-41A2-A111-D6F33FD74520}"/>
    <cellStyle name="Normal 11 2 3 9 2 3 2" xfId="33812" xr:uid="{6CBC542B-4792-4477-927C-4C5EB1AC8025}"/>
    <cellStyle name="Normal 11 2 3 9 2 3 2 2" xfId="33813" xr:uid="{B5C27413-59D5-431A-A0D9-99C68598E587}"/>
    <cellStyle name="Normal 11 2 3 9 2 3 3" xfId="33814" xr:uid="{A6C537B8-D741-45B6-8E95-46145B3F3F94}"/>
    <cellStyle name="Normal 11 2 3 9 2 4" xfId="33815" xr:uid="{137F7957-00C5-4225-B483-D1B238917A87}"/>
    <cellStyle name="Normal 11 2 3 9 2 4 2" xfId="33816" xr:uid="{44EF9C90-065A-43D6-840A-DAD6456AB208}"/>
    <cellStyle name="Normal 11 2 3 9 2 5" xfId="33817" xr:uid="{8E74C897-4C35-4452-8D7D-23C2110711B6}"/>
    <cellStyle name="Normal 11 2 3 9 3" xfId="33818" xr:uid="{175AA80A-AFB0-450B-A5FB-E347C446B019}"/>
    <cellStyle name="Normal 11 2 3 9 3 2" xfId="33819" xr:uid="{D2B3E175-EC6F-4CBC-906D-FF26F4AADB47}"/>
    <cellStyle name="Normal 11 2 3 9 3 2 2" xfId="33820" xr:uid="{7B24BDF5-EEF7-4B33-8C43-AF554F59DDD3}"/>
    <cellStyle name="Normal 11 2 3 9 3 2 2 2" xfId="33821" xr:uid="{2D4B3BA6-E917-4160-A573-8319089E01E2}"/>
    <cellStyle name="Normal 11 2 3 9 3 2 3" xfId="33822" xr:uid="{9F909FBD-4A4C-4231-B7C1-ECD00E2BB017}"/>
    <cellStyle name="Normal 11 2 3 9 3 3" xfId="33823" xr:uid="{0856E7F0-B01D-4327-92B8-9F617749E6E1}"/>
    <cellStyle name="Normal 11 2 3 9 3 3 2" xfId="33824" xr:uid="{56410CFF-758B-4F69-B346-DCCE9ACD9CED}"/>
    <cellStyle name="Normal 11 2 3 9 3 4" xfId="33825" xr:uid="{1A507AEE-B819-4973-92DC-ADBFAA222CA8}"/>
    <cellStyle name="Normal 11 2 3 9 4" xfId="33826" xr:uid="{5DB00AA0-505D-40EF-8C83-10B87D6CFEA7}"/>
    <cellStyle name="Normal 11 2 3 9 4 2" xfId="33827" xr:uid="{7F631F56-8F68-4AF2-AF95-77517DE61450}"/>
    <cellStyle name="Normal 11 2 3 9 4 2 2" xfId="33828" xr:uid="{813F0B95-CBA0-4566-87C2-2F7D28C8D610}"/>
    <cellStyle name="Normal 11 2 3 9 4 3" xfId="33829" xr:uid="{C11862E4-9B31-4B18-BD97-6D782E91E2B3}"/>
    <cellStyle name="Normal 11 2 3 9 5" xfId="33830" xr:uid="{5356712C-AC26-42E9-98F5-273A45985CEF}"/>
    <cellStyle name="Normal 11 2 3 9 5 2" xfId="33831" xr:uid="{8834CAF2-C41D-49C3-A914-CCD0CDD08C6E}"/>
    <cellStyle name="Normal 11 2 3 9 6" xfId="33832" xr:uid="{24A4DCE9-E8B5-4A88-A02D-27C5115E8C75}"/>
    <cellStyle name="Normal 11 2 4" xfId="138" xr:uid="{C62DF99A-96B2-4C1F-AD6E-51A5DFBBA48F}"/>
    <cellStyle name="Normal 11 2 4 10" xfId="33833" xr:uid="{D72A6EEA-45D4-4999-ACE5-53425926F024}"/>
    <cellStyle name="Normal 11 2 4 11" xfId="527" xr:uid="{69646066-5E3A-4704-A5FA-719AE0949626}"/>
    <cellStyle name="Normal 11 2 4 2" xfId="365" xr:uid="{278760B7-C66E-446F-92AD-9ED35558663A}"/>
    <cellStyle name="Normal 11 2 4 2 10" xfId="33834" xr:uid="{79A8AFE9-5220-4546-9FBB-5250CA20DF77}"/>
    <cellStyle name="Normal 11 2 4 2 2" xfId="33835" xr:uid="{30EF963C-7473-4FB2-8282-FC2F5249082F}"/>
    <cellStyle name="Normal 11 2 4 2 2 2" xfId="33836" xr:uid="{C46642CA-99A6-447A-B5A4-81B63F958643}"/>
    <cellStyle name="Normal 11 2 4 2 2 2 2" xfId="33837" xr:uid="{1FEC1608-B326-42DC-9341-52F994EA5456}"/>
    <cellStyle name="Normal 11 2 4 2 2 2 2 2" xfId="33838" xr:uid="{393ED5D5-7E23-45E4-B50F-42C9D5B8B957}"/>
    <cellStyle name="Normal 11 2 4 2 2 2 2 2 2" xfId="33839" xr:uid="{B37F9C8D-98B2-415E-850F-6321DE4C878C}"/>
    <cellStyle name="Normal 11 2 4 2 2 2 2 2 2 2" xfId="33840" xr:uid="{5F912339-8A46-405C-AE2D-4C4605F997A8}"/>
    <cellStyle name="Normal 11 2 4 2 2 2 2 2 2 2 2" xfId="33841" xr:uid="{F9A71091-E478-44A0-8764-053A42649664}"/>
    <cellStyle name="Normal 11 2 4 2 2 2 2 2 2 2 2 2" xfId="33842" xr:uid="{3F6123D6-4ED4-49DD-89F4-9FE272C0F8B0}"/>
    <cellStyle name="Normal 11 2 4 2 2 2 2 2 2 2 3" xfId="33843" xr:uid="{9E3B0DA1-4BFB-4439-93AF-5801758675F8}"/>
    <cellStyle name="Normal 11 2 4 2 2 2 2 2 2 3" xfId="33844" xr:uid="{17D5D6C4-8FB0-48E1-8D6E-DF08C070945D}"/>
    <cellStyle name="Normal 11 2 4 2 2 2 2 2 2 3 2" xfId="33845" xr:uid="{93953256-65A2-45F6-81E6-139DDC81498C}"/>
    <cellStyle name="Normal 11 2 4 2 2 2 2 2 2 4" xfId="33846" xr:uid="{048EBDFB-5CE7-4C31-874E-70EA741FEE5E}"/>
    <cellStyle name="Normal 11 2 4 2 2 2 2 2 3" xfId="33847" xr:uid="{51A6BF48-AA42-46B2-A7F0-78D868DD5418}"/>
    <cellStyle name="Normal 11 2 4 2 2 2 2 2 3 2" xfId="33848" xr:uid="{D8D9B040-6543-4C36-86EA-2DDA83FB1F03}"/>
    <cellStyle name="Normal 11 2 4 2 2 2 2 2 3 2 2" xfId="33849" xr:uid="{64C522D7-7491-4D9C-8C0C-9B7700F4CCEF}"/>
    <cellStyle name="Normal 11 2 4 2 2 2 2 2 3 3" xfId="33850" xr:uid="{A21F4152-28B6-4762-8703-65FBA514B1DB}"/>
    <cellStyle name="Normal 11 2 4 2 2 2 2 2 4" xfId="33851" xr:uid="{DA1AC418-57B3-479A-8E84-E5AD9B03D410}"/>
    <cellStyle name="Normal 11 2 4 2 2 2 2 2 4 2" xfId="33852" xr:uid="{6CE70103-7399-4AE7-A5C4-30E9A811336D}"/>
    <cellStyle name="Normal 11 2 4 2 2 2 2 2 5" xfId="33853" xr:uid="{15BBA013-988B-4645-93B6-ABAD03571FC6}"/>
    <cellStyle name="Normal 11 2 4 2 2 2 2 3" xfId="33854" xr:uid="{C0F7CA6A-3B0F-4026-B787-48421F3D6D27}"/>
    <cellStyle name="Normal 11 2 4 2 2 2 2 3 2" xfId="33855" xr:uid="{60BFF31E-C080-4B88-9F93-976AC762EEF1}"/>
    <cellStyle name="Normal 11 2 4 2 2 2 2 3 2 2" xfId="33856" xr:uid="{E64EB8E6-3346-4D6C-AD41-DDE0D90E128D}"/>
    <cellStyle name="Normal 11 2 4 2 2 2 2 3 2 2 2" xfId="33857" xr:uid="{41ACA955-62EB-40B0-B689-94FEB2DDA592}"/>
    <cellStyle name="Normal 11 2 4 2 2 2 2 3 2 3" xfId="33858" xr:uid="{BDE31639-E7F2-4B81-AF50-5F285713F449}"/>
    <cellStyle name="Normal 11 2 4 2 2 2 2 3 3" xfId="33859" xr:uid="{DA149817-4275-46FF-BBEB-6EDEC9D1C7FD}"/>
    <cellStyle name="Normal 11 2 4 2 2 2 2 3 3 2" xfId="33860" xr:uid="{D6446379-05ED-4AA1-A29F-837E7D461D9D}"/>
    <cellStyle name="Normal 11 2 4 2 2 2 2 3 4" xfId="33861" xr:uid="{476D901E-2773-46B5-BBC1-25063F69807B}"/>
    <cellStyle name="Normal 11 2 4 2 2 2 2 4" xfId="33862" xr:uid="{29BDFBD6-1DEC-44EA-894B-B492EC1243C7}"/>
    <cellStyle name="Normal 11 2 4 2 2 2 2 4 2" xfId="33863" xr:uid="{4FE4148E-EC42-4E64-B2A8-E974CAAC0B86}"/>
    <cellStyle name="Normal 11 2 4 2 2 2 2 4 2 2" xfId="33864" xr:uid="{643DC341-42EB-465C-8A85-C1767B305427}"/>
    <cellStyle name="Normal 11 2 4 2 2 2 2 4 3" xfId="33865" xr:uid="{9D731D3C-1492-4007-AA92-176AD5E8EA28}"/>
    <cellStyle name="Normal 11 2 4 2 2 2 2 5" xfId="33866" xr:uid="{751F108D-D1FD-441C-826B-45B8708C05B8}"/>
    <cellStyle name="Normal 11 2 4 2 2 2 2 5 2" xfId="33867" xr:uid="{FC40091B-2B03-430E-9924-D5DDDC682077}"/>
    <cellStyle name="Normal 11 2 4 2 2 2 2 6" xfId="33868" xr:uid="{D55125AF-C8D5-46B6-AED5-111B44E8FAE9}"/>
    <cellStyle name="Normal 11 2 4 2 2 2 3" xfId="33869" xr:uid="{F472A582-6B85-4DBE-8C83-0999C63C5350}"/>
    <cellStyle name="Normal 11 2 4 2 2 2 3 2" xfId="33870" xr:uid="{CC519E09-BF8F-44FB-B44A-8424BD067DAB}"/>
    <cellStyle name="Normal 11 2 4 2 2 2 3 2 2" xfId="33871" xr:uid="{B550EEEE-5207-40CB-97CA-05BE59AA1F81}"/>
    <cellStyle name="Normal 11 2 4 2 2 2 3 2 2 2" xfId="33872" xr:uid="{B0C60D85-3CB7-4555-9B2B-9382CA83C33B}"/>
    <cellStyle name="Normal 11 2 4 2 2 2 3 2 2 2 2" xfId="33873" xr:uid="{B57512DE-AA57-4A07-934A-B56E704A5178}"/>
    <cellStyle name="Normal 11 2 4 2 2 2 3 2 2 3" xfId="33874" xr:uid="{89F38DA9-C061-445E-9724-EF067A87F46D}"/>
    <cellStyle name="Normal 11 2 4 2 2 2 3 2 3" xfId="33875" xr:uid="{4B9515AA-1477-4247-9691-B3B92641C529}"/>
    <cellStyle name="Normal 11 2 4 2 2 2 3 2 3 2" xfId="33876" xr:uid="{4A757A30-54FB-4655-986F-7C927D64D6F0}"/>
    <cellStyle name="Normal 11 2 4 2 2 2 3 2 4" xfId="33877" xr:uid="{1CB2E4AD-D994-40F6-A2B9-2289412D7988}"/>
    <cellStyle name="Normal 11 2 4 2 2 2 3 3" xfId="33878" xr:uid="{51DA782A-BF8F-4DEF-8630-CA5DFE8832E6}"/>
    <cellStyle name="Normal 11 2 4 2 2 2 3 3 2" xfId="33879" xr:uid="{5CFDBBB2-E513-4D4B-81A4-1955311BC4BE}"/>
    <cellStyle name="Normal 11 2 4 2 2 2 3 3 2 2" xfId="33880" xr:uid="{86AFB8EB-206C-4817-BE45-31BA3C8F54C5}"/>
    <cellStyle name="Normal 11 2 4 2 2 2 3 3 3" xfId="33881" xr:uid="{79F60E5B-747B-4C56-8834-492351C45816}"/>
    <cellStyle name="Normal 11 2 4 2 2 2 3 4" xfId="33882" xr:uid="{C9311195-BE3C-495F-9E05-017D7A6953BA}"/>
    <cellStyle name="Normal 11 2 4 2 2 2 3 4 2" xfId="33883" xr:uid="{181CE227-5930-49E6-A576-5D437F5CFA2A}"/>
    <cellStyle name="Normal 11 2 4 2 2 2 3 5" xfId="33884" xr:uid="{468C1F00-76B3-45FD-8437-19D02955CEB5}"/>
    <cellStyle name="Normal 11 2 4 2 2 2 4" xfId="33885" xr:uid="{408ADF65-4A6B-430E-B32D-E72E7D486D8B}"/>
    <cellStyle name="Normal 11 2 4 2 2 2 4 2" xfId="33886" xr:uid="{F85141CF-3827-4738-B42D-D73B108BF6B3}"/>
    <cellStyle name="Normal 11 2 4 2 2 2 4 2 2" xfId="33887" xr:uid="{0AFC251F-4548-4541-A823-92EA00C9CE4A}"/>
    <cellStyle name="Normal 11 2 4 2 2 2 4 2 2 2" xfId="33888" xr:uid="{14E5AA65-BDEF-4374-BC6D-877DDD813D47}"/>
    <cellStyle name="Normal 11 2 4 2 2 2 4 2 3" xfId="33889" xr:uid="{857F837B-62D4-45A4-93F6-5B2FA9AE6E96}"/>
    <cellStyle name="Normal 11 2 4 2 2 2 4 3" xfId="33890" xr:uid="{3B22B323-52C9-45CE-BB31-C47E80C11931}"/>
    <cellStyle name="Normal 11 2 4 2 2 2 4 3 2" xfId="33891" xr:uid="{0ADCE342-2186-4D0E-8194-1F31756529F1}"/>
    <cellStyle name="Normal 11 2 4 2 2 2 4 4" xfId="33892" xr:uid="{586860D5-F5DF-4423-B467-F067F1027FA3}"/>
    <cellStyle name="Normal 11 2 4 2 2 2 5" xfId="33893" xr:uid="{D660679D-6C70-4658-A397-ADDE4DEAB862}"/>
    <cellStyle name="Normal 11 2 4 2 2 2 5 2" xfId="33894" xr:uid="{A0DD89D7-BD16-4F62-9520-CCEF76D53865}"/>
    <cellStyle name="Normal 11 2 4 2 2 2 5 2 2" xfId="33895" xr:uid="{25629555-D361-4F23-ACAB-249AD371D750}"/>
    <cellStyle name="Normal 11 2 4 2 2 2 5 3" xfId="33896" xr:uid="{510C8C7A-6D8F-4848-A0D8-D37EE644BD0D}"/>
    <cellStyle name="Normal 11 2 4 2 2 2 6" xfId="33897" xr:uid="{85265C68-E04A-431C-9257-C193ABE1D7AA}"/>
    <cellStyle name="Normal 11 2 4 2 2 2 6 2" xfId="33898" xr:uid="{8E282DB4-57D5-4D6E-894D-35A4DDB55E2A}"/>
    <cellStyle name="Normal 11 2 4 2 2 2 7" xfId="33899" xr:uid="{2D42179A-0501-4F5C-9466-C6BCC6A694A4}"/>
    <cellStyle name="Normal 11 2 4 2 2 3" xfId="33900" xr:uid="{68917DC4-19E0-4DDA-A59B-A30C2D488B22}"/>
    <cellStyle name="Normal 11 2 4 2 2 3 2" xfId="33901" xr:uid="{AF3089FB-BA03-4F19-880A-275821C13750}"/>
    <cellStyle name="Normal 11 2 4 2 2 3 2 2" xfId="33902" xr:uid="{65DB24BF-A699-487E-B663-AB36B2D5F6E1}"/>
    <cellStyle name="Normal 11 2 4 2 2 3 2 2 2" xfId="33903" xr:uid="{52A4A038-3272-4D41-ABBC-3F94D7CD0E8B}"/>
    <cellStyle name="Normal 11 2 4 2 2 3 2 2 2 2" xfId="33904" xr:uid="{118EB7E9-E3A9-4D4A-AB91-0CAECE2C7F41}"/>
    <cellStyle name="Normal 11 2 4 2 2 3 2 2 2 2 2" xfId="33905" xr:uid="{3C1BE506-0D50-4758-B280-EE876B07CEF0}"/>
    <cellStyle name="Normal 11 2 4 2 2 3 2 2 2 3" xfId="33906" xr:uid="{02A63B17-C14A-4807-8C54-CAA89F0F982D}"/>
    <cellStyle name="Normal 11 2 4 2 2 3 2 2 3" xfId="33907" xr:uid="{A73E60ED-9284-44C0-B01B-4732D36013CF}"/>
    <cellStyle name="Normal 11 2 4 2 2 3 2 2 3 2" xfId="33908" xr:uid="{A4994355-2D73-4F70-9F0C-28AEC3114773}"/>
    <cellStyle name="Normal 11 2 4 2 2 3 2 2 4" xfId="33909" xr:uid="{42ACB327-C5F0-45EE-9E45-548156D897DA}"/>
    <cellStyle name="Normal 11 2 4 2 2 3 2 3" xfId="33910" xr:uid="{0156505E-58EA-4088-BDA0-04E22D080D95}"/>
    <cellStyle name="Normal 11 2 4 2 2 3 2 3 2" xfId="33911" xr:uid="{4643B2E3-068B-421B-A418-10096F6B667E}"/>
    <cellStyle name="Normal 11 2 4 2 2 3 2 3 2 2" xfId="33912" xr:uid="{C99E15FB-4443-46CC-ADD4-9916B74C4708}"/>
    <cellStyle name="Normal 11 2 4 2 2 3 2 3 3" xfId="33913" xr:uid="{67B6500A-A11E-4756-A1AF-7DDBF7F773EF}"/>
    <cellStyle name="Normal 11 2 4 2 2 3 2 4" xfId="33914" xr:uid="{12068CBF-31AF-4F44-B386-E05ABF9EE9BD}"/>
    <cellStyle name="Normal 11 2 4 2 2 3 2 4 2" xfId="33915" xr:uid="{6A41EBC3-80C1-47C5-B621-9955B174FC6E}"/>
    <cellStyle name="Normal 11 2 4 2 2 3 2 5" xfId="33916" xr:uid="{197D50C3-4851-4F64-9FD9-9CCB757B22FF}"/>
    <cellStyle name="Normal 11 2 4 2 2 3 3" xfId="33917" xr:uid="{91D7BAF4-00D5-43E6-A832-C42CCD22D7BC}"/>
    <cellStyle name="Normal 11 2 4 2 2 3 3 2" xfId="33918" xr:uid="{8C65E5C1-81A2-46A8-8BE4-667F72BCD830}"/>
    <cellStyle name="Normal 11 2 4 2 2 3 3 2 2" xfId="33919" xr:uid="{945E7110-FB42-4BAA-B531-85D2F8A7080D}"/>
    <cellStyle name="Normal 11 2 4 2 2 3 3 2 2 2" xfId="33920" xr:uid="{5E40B453-B3EE-49AA-A921-7283BBAC57C3}"/>
    <cellStyle name="Normal 11 2 4 2 2 3 3 2 3" xfId="33921" xr:uid="{4CCADC3E-DA71-496A-A415-641F2C5A859A}"/>
    <cellStyle name="Normal 11 2 4 2 2 3 3 3" xfId="33922" xr:uid="{65CC6113-B848-42B8-AAFB-71F63F3706AC}"/>
    <cellStyle name="Normal 11 2 4 2 2 3 3 3 2" xfId="33923" xr:uid="{9A1A40A7-F344-4B08-9E85-1093FD7C0325}"/>
    <cellStyle name="Normal 11 2 4 2 2 3 3 4" xfId="33924" xr:uid="{E92B74E4-186B-46A5-9A8C-1C8DA33BB0F8}"/>
    <cellStyle name="Normal 11 2 4 2 2 3 4" xfId="33925" xr:uid="{62D005FE-236E-49AE-81FF-640804708552}"/>
    <cellStyle name="Normal 11 2 4 2 2 3 4 2" xfId="33926" xr:uid="{128CAA88-5D68-4CE7-B4ED-E4A51151B149}"/>
    <cellStyle name="Normal 11 2 4 2 2 3 4 2 2" xfId="33927" xr:uid="{E8DEDD52-9A87-43F1-AFD8-F1BA7D05C2EF}"/>
    <cellStyle name="Normal 11 2 4 2 2 3 4 3" xfId="33928" xr:uid="{0426C563-006E-4265-AEC0-934E81D5B6DE}"/>
    <cellStyle name="Normal 11 2 4 2 2 3 5" xfId="33929" xr:uid="{0731E341-E371-4CBA-95EA-3263B7E38803}"/>
    <cellStyle name="Normal 11 2 4 2 2 3 5 2" xfId="33930" xr:uid="{7CF18424-E565-48F3-8E88-9671E068A9B6}"/>
    <cellStyle name="Normal 11 2 4 2 2 3 6" xfId="33931" xr:uid="{6678B094-FD24-448C-BCB1-FF4987BC9948}"/>
    <cellStyle name="Normal 11 2 4 2 2 4" xfId="33932" xr:uid="{85266735-9F45-495B-97BD-DDF8B3FA1A60}"/>
    <cellStyle name="Normal 11 2 4 2 2 4 2" xfId="33933" xr:uid="{6CCF87B4-75DC-472A-8B8A-BF86F5F0CEAB}"/>
    <cellStyle name="Normal 11 2 4 2 2 4 2 2" xfId="33934" xr:uid="{6270E6D6-6D7E-4D74-9E51-301E2229F9FC}"/>
    <cellStyle name="Normal 11 2 4 2 2 4 2 2 2" xfId="33935" xr:uid="{FD350E35-8ACB-4C58-97E4-7099C13BF232}"/>
    <cellStyle name="Normal 11 2 4 2 2 4 2 2 2 2" xfId="33936" xr:uid="{920B0682-3BE9-4BDB-92DB-A3552E117842}"/>
    <cellStyle name="Normal 11 2 4 2 2 4 2 2 3" xfId="33937" xr:uid="{CC0D29CA-6342-485A-9A48-9CE9B54D1859}"/>
    <cellStyle name="Normal 11 2 4 2 2 4 2 3" xfId="33938" xr:uid="{3A2FA3B1-B7B9-43DD-8333-6CC92218E50E}"/>
    <cellStyle name="Normal 11 2 4 2 2 4 2 3 2" xfId="33939" xr:uid="{81C55CDB-A396-4B5E-AC64-9EE56BF7DF85}"/>
    <cellStyle name="Normal 11 2 4 2 2 4 2 4" xfId="33940" xr:uid="{E5C8D36D-D614-422F-B5F3-C5F2B114CB78}"/>
    <cellStyle name="Normal 11 2 4 2 2 4 3" xfId="33941" xr:uid="{161E53CB-4C39-4743-9BA8-7CB53BE17802}"/>
    <cellStyle name="Normal 11 2 4 2 2 4 3 2" xfId="33942" xr:uid="{7D6A46D2-1CE0-4E70-AE10-E72F70266C76}"/>
    <cellStyle name="Normal 11 2 4 2 2 4 3 2 2" xfId="33943" xr:uid="{E5FC6CB9-86CC-4360-B140-7C6F992F7DE3}"/>
    <cellStyle name="Normal 11 2 4 2 2 4 3 3" xfId="33944" xr:uid="{815DA3F0-DB5B-4BA2-AFAF-3AE9DA6397E8}"/>
    <cellStyle name="Normal 11 2 4 2 2 4 4" xfId="33945" xr:uid="{A25327A5-D47F-4A69-8675-63D40005AC13}"/>
    <cellStyle name="Normal 11 2 4 2 2 4 4 2" xfId="33946" xr:uid="{AC1CB489-5098-4244-9D9F-0522E77FF6AD}"/>
    <cellStyle name="Normal 11 2 4 2 2 4 5" xfId="33947" xr:uid="{047E8ED0-B0E3-4793-958F-FA73194C45D3}"/>
    <cellStyle name="Normal 11 2 4 2 2 5" xfId="33948" xr:uid="{BDF83B6F-E970-49E9-8F5E-4B4596397C36}"/>
    <cellStyle name="Normal 11 2 4 2 2 5 2" xfId="33949" xr:uid="{CB113855-9263-44F7-B09D-396DAC459B63}"/>
    <cellStyle name="Normal 11 2 4 2 2 5 2 2" xfId="33950" xr:uid="{0B5CAD14-0A20-4C21-92E5-883E9D6DD739}"/>
    <cellStyle name="Normal 11 2 4 2 2 5 2 2 2" xfId="33951" xr:uid="{054B9BC2-6B85-4098-8067-5CEE2EA20BD0}"/>
    <cellStyle name="Normal 11 2 4 2 2 5 2 3" xfId="33952" xr:uid="{D6637D30-B106-42BF-93C7-4FB249A21F44}"/>
    <cellStyle name="Normal 11 2 4 2 2 5 3" xfId="33953" xr:uid="{D4922D8F-3BF1-49B8-95D0-B4E16A8FB29D}"/>
    <cellStyle name="Normal 11 2 4 2 2 5 3 2" xfId="33954" xr:uid="{C2F00B7F-58BA-4DBD-A769-1E3248F235D4}"/>
    <cellStyle name="Normal 11 2 4 2 2 5 4" xfId="33955" xr:uid="{AB020BD6-28E6-47F2-ACAD-FCEB0AE6C4BA}"/>
    <cellStyle name="Normal 11 2 4 2 2 6" xfId="33956" xr:uid="{50250ECD-39A9-4835-8522-7B5CF512E65E}"/>
    <cellStyle name="Normal 11 2 4 2 2 6 2" xfId="33957" xr:uid="{F76D47CE-293B-40BC-A7B6-B885877780B4}"/>
    <cellStyle name="Normal 11 2 4 2 2 6 2 2" xfId="33958" xr:uid="{5325FC48-399C-4D1F-9472-C0D37B5CB9CA}"/>
    <cellStyle name="Normal 11 2 4 2 2 6 3" xfId="33959" xr:uid="{DEA221C9-DF0D-4C2E-8C70-61AAA57E7801}"/>
    <cellStyle name="Normal 11 2 4 2 2 7" xfId="33960" xr:uid="{9A6F7E3F-9305-4636-B85D-1FB356235C09}"/>
    <cellStyle name="Normal 11 2 4 2 2 7 2" xfId="33961" xr:uid="{F8D4221C-9FDA-43FB-9E92-EC521713CBA2}"/>
    <cellStyle name="Normal 11 2 4 2 2 8" xfId="33962" xr:uid="{E1052746-5E8C-472F-A845-253356966D98}"/>
    <cellStyle name="Normal 11 2 4 2 3" xfId="33963" xr:uid="{DBEC0BC3-AECF-4CEE-8B23-3A694E63B0B5}"/>
    <cellStyle name="Normal 11 2 4 2 3 2" xfId="33964" xr:uid="{4EFE53B6-E38F-439D-A6A2-3FF6E8719DA5}"/>
    <cellStyle name="Normal 11 2 4 2 3 2 2" xfId="33965" xr:uid="{029FC934-96B5-4BFA-B81A-C0D3B0ED8739}"/>
    <cellStyle name="Normal 11 2 4 2 3 2 2 2" xfId="33966" xr:uid="{ECBB89DA-3599-4E7A-811F-13B8B71B35A2}"/>
    <cellStyle name="Normal 11 2 4 2 3 2 2 2 2" xfId="33967" xr:uid="{FC41DDAC-D093-40C1-82CF-E61EAB8D1E6F}"/>
    <cellStyle name="Normal 11 2 4 2 3 2 2 2 2 2" xfId="33968" xr:uid="{DF38887A-A671-48A0-9D9A-8BAF47232230}"/>
    <cellStyle name="Normal 11 2 4 2 3 2 2 2 2 2 2" xfId="33969" xr:uid="{04CFCE3F-EE6F-4CA5-A0C3-1D0F5BCB4C20}"/>
    <cellStyle name="Normal 11 2 4 2 3 2 2 2 2 3" xfId="33970" xr:uid="{8619A8B3-48C6-4A74-B248-5572C28A6057}"/>
    <cellStyle name="Normal 11 2 4 2 3 2 2 2 3" xfId="33971" xr:uid="{C8EF192E-1800-42B9-BEB9-E78A48DC37FD}"/>
    <cellStyle name="Normal 11 2 4 2 3 2 2 2 3 2" xfId="33972" xr:uid="{E0078B6B-4CAE-41AE-8EF2-A10AFF6AA11D}"/>
    <cellStyle name="Normal 11 2 4 2 3 2 2 2 4" xfId="33973" xr:uid="{5F2420C6-64CB-43E6-BC89-12F6E592F6D7}"/>
    <cellStyle name="Normal 11 2 4 2 3 2 2 3" xfId="33974" xr:uid="{7B9EE866-FBE9-4C1D-9D88-EF4F774DBBAE}"/>
    <cellStyle name="Normal 11 2 4 2 3 2 2 3 2" xfId="33975" xr:uid="{930C15EB-FFF8-4F43-AB1A-5D77DC11B51F}"/>
    <cellStyle name="Normal 11 2 4 2 3 2 2 3 2 2" xfId="33976" xr:uid="{9875FA8B-C78D-4A3E-9D6E-557B2704FB03}"/>
    <cellStyle name="Normal 11 2 4 2 3 2 2 3 3" xfId="33977" xr:uid="{7545905E-FF89-45E5-8307-F3358CEFEADC}"/>
    <cellStyle name="Normal 11 2 4 2 3 2 2 4" xfId="33978" xr:uid="{0574068F-F9D4-4330-BA29-BFCC86830631}"/>
    <cellStyle name="Normal 11 2 4 2 3 2 2 4 2" xfId="33979" xr:uid="{A2E45FAE-E206-4307-9E27-467A8F171994}"/>
    <cellStyle name="Normal 11 2 4 2 3 2 2 5" xfId="33980" xr:uid="{D4528AB1-1CB1-49E4-990F-36639EFE6130}"/>
    <cellStyle name="Normal 11 2 4 2 3 2 3" xfId="33981" xr:uid="{D619BEF4-6F54-4874-B7CA-40E526C1D760}"/>
    <cellStyle name="Normal 11 2 4 2 3 2 3 2" xfId="33982" xr:uid="{81ECE416-30F3-40FE-A831-BF5AF122823E}"/>
    <cellStyle name="Normal 11 2 4 2 3 2 3 2 2" xfId="33983" xr:uid="{9567EE92-C9C8-472F-9B88-BAA9E340EC70}"/>
    <cellStyle name="Normal 11 2 4 2 3 2 3 2 2 2" xfId="33984" xr:uid="{6D81FE1A-B0E9-4FE2-A81F-EAA81FB49F95}"/>
    <cellStyle name="Normal 11 2 4 2 3 2 3 2 3" xfId="33985" xr:uid="{F8E6A217-0584-4118-BCD5-8950FB48D8CD}"/>
    <cellStyle name="Normal 11 2 4 2 3 2 3 3" xfId="33986" xr:uid="{9579FC52-8D3D-4313-9005-0C89BFFED260}"/>
    <cellStyle name="Normal 11 2 4 2 3 2 3 3 2" xfId="33987" xr:uid="{3E69DE2C-00AF-46B2-8AEB-990794EC8D13}"/>
    <cellStyle name="Normal 11 2 4 2 3 2 3 4" xfId="33988" xr:uid="{0A7F4A68-F774-4E18-BDBA-FB653DA2AFF5}"/>
    <cellStyle name="Normal 11 2 4 2 3 2 4" xfId="33989" xr:uid="{115FA753-8826-443C-9519-8EA6309CE966}"/>
    <cellStyle name="Normal 11 2 4 2 3 2 4 2" xfId="33990" xr:uid="{39927DFC-9A1A-49B2-BDBE-12BFAF4C5E97}"/>
    <cellStyle name="Normal 11 2 4 2 3 2 4 2 2" xfId="33991" xr:uid="{EBEC5E6E-8D77-4145-958B-AD6A27D7B972}"/>
    <cellStyle name="Normal 11 2 4 2 3 2 4 3" xfId="33992" xr:uid="{B61FFAB2-157B-4E83-BEE1-011B5138DB36}"/>
    <cellStyle name="Normal 11 2 4 2 3 2 5" xfId="33993" xr:uid="{45723CDC-E9DD-434E-8BBB-215F72F4061C}"/>
    <cellStyle name="Normal 11 2 4 2 3 2 5 2" xfId="33994" xr:uid="{796D7A07-B668-46CA-9F1B-B0472EDA0E4B}"/>
    <cellStyle name="Normal 11 2 4 2 3 2 6" xfId="33995" xr:uid="{BD23969E-07AD-46B2-B4BB-FC7718B28E7F}"/>
    <cellStyle name="Normal 11 2 4 2 3 3" xfId="33996" xr:uid="{C36848B9-5A0A-4690-838E-8E2A8F71E4F7}"/>
    <cellStyle name="Normal 11 2 4 2 3 3 2" xfId="33997" xr:uid="{8E497810-EBDE-4CF8-8C16-2F823481B266}"/>
    <cellStyle name="Normal 11 2 4 2 3 3 2 2" xfId="33998" xr:uid="{45C48B07-8302-4ACD-BEF6-2D956737AF71}"/>
    <cellStyle name="Normal 11 2 4 2 3 3 2 2 2" xfId="33999" xr:uid="{35302B9E-32B0-4BB5-95F6-E7AEC1B1FB9E}"/>
    <cellStyle name="Normal 11 2 4 2 3 3 2 2 2 2" xfId="34000" xr:uid="{7CD77486-6D3B-4671-92EB-A49665A8D639}"/>
    <cellStyle name="Normal 11 2 4 2 3 3 2 2 3" xfId="34001" xr:uid="{44987EC2-9D42-401C-9106-CABC98C605B3}"/>
    <cellStyle name="Normal 11 2 4 2 3 3 2 3" xfId="34002" xr:uid="{8E105850-BA7E-46F5-AF89-EDA44798A677}"/>
    <cellStyle name="Normal 11 2 4 2 3 3 2 3 2" xfId="34003" xr:uid="{1A1B0798-ECA8-48FE-8BFD-A81C10F2A678}"/>
    <cellStyle name="Normal 11 2 4 2 3 3 2 4" xfId="34004" xr:uid="{054FB946-E05C-4E6D-A7B8-C892EF2072DA}"/>
    <cellStyle name="Normal 11 2 4 2 3 3 3" xfId="34005" xr:uid="{B21EF371-91E7-4915-A706-830F7654F961}"/>
    <cellStyle name="Normal 11 2 4 2 3 3 3 2" xfId="34006" xr:uid="{47C954DB-0B5E-46F5-ADE9-C91924F55846}"/>
    <cellStyle name="Normal 11 2 4 2 3 3 3 2 2" xfId="34007" xr:uid="{A849DE4B-D664-4DCB-A99C-1788D1728677}"/>
    <cellStyle name="Normal 11 2 4 2 3 3 3 3" xfId="34008" xr:uid="{DE83E358-618A-46DD-A1EF-AFE8D10E73BF}"/>
    <cellStyle name="Normal 11 2 4 2 3 3 4" xfId="34009" xr:uid="{0C92B32D-4BF9-4308-9B1F-9483842B2ED5}"/>
    <cellStyle name="Normal 11 2 4 2 3 3 4 2" xfId="34010" xr:uid="{A9B0217A-2B01-4317-BAA1-42F0AADD819E}"/>
    <cellStyle name="Normal 11 2 4 2 3 3 5" xfId="34011" xr:uid="{000E01D8-5690-475B-A9D6-BA73AD915EF9}"/>
    <cellStyle name="Normal 11 2 4 2 3 4" xfId="34012" xr:uid="{B2C10D19-5C54-423C-BAB2-DECF14E4E4C0}"/>
    <cellStyle name="Normal 11 2 4 2 3 4 2" xfId="34013" xr:uid="{BC9E7C3A-AACE-4467-9326-BC359BF47942}"/>
    <cellStyle name="Normal 11 2 4 2 3 4 2 2" xfId="34014" xr:uid="{154F51B6-0CA4-4DAC-A248-0343358883B9}"/>
    <cellStyle name="Normal 11 2 4 2 3 4 2 2 2" xfId="34015" xr:uid="{886DB28A-9F6D-4780-9CE4-87C73B63386D}"/>
    <cellStyle name="Normal 11 2 4 2 3 4 2 3" xfId="34016" xr:uid="{400CE04B-FAE8-4040-A8AD-A42C82F78B47}"/>
    <cellStyle name="Normal 11 2 4 2 3 4 3" xfId="34017" xr:uid="{3E4ACC02-98DC-4E66-951B-C730E5731C97}"/>
    <cellStyle name="Normal 11 2 4 2 3 4 3 2" xfId="34018" xr:uid="{2CC59A1F-1F1C-4452-A104-322C0C1DBFA1}"/>
    <cellStyle name="Normal 11 2 4 2 3 4 4" xfId="34019" xr:uid="{F4E157B9-4F88-490A-9D40-3394549B69D5}"/>
    <cellStyle name="Normal 11 2 4 2 3 5" xfId="34020" xr:uid="{D4CAE8E0-953C-47A1-BBD1-6DCB06DA9C6E}"/>
    <cellStyle name="Normal 11 2 4 2 3 5 2" xfId="34021" xr:uid="{4D05012B-27CB-48AE-BCDE-FFB7AB17444E}"/>
    <cellStyle name="Normal 11 2 4 2 3 5 2 2" xfId="34022" xr:uid="{0E6BAEDA-B7A7-46D2-9F0D-8731BBD71C85}"/>
    <cellStyle name="Normal 11 2 4 2 3 5 3" xfId="34023" xr:uid="{6D2EB134-DC74-4E4D-B2B8-73CF136EC471}"/>
    <cellStyle name="Normal 11 2 4 2 3 6" xfId="34024" xr:uid="{22B1B4AA-E52A-4ABC-BE92-A406AF8E8AEA}"/>
    <cellStyle name="Normal 11 2 4 2 3 6 2" xfId="34025" xr:uid="{B378789A-9462-4F15-B0C6-C542D0BDE51C}"/>
    <cellStyle name="Normal 11 2 4 2 3 7" xfId="34026" xr:uid="{3C3AA49B-FF5D-43B9-A2CC-E5F9B7C1BD7B}"/>
    <cellStyle name="Normal 11 2 4 2 4" xfId="34027" xr:uid="{B165C1BB-986F-4E67-A799-EFF575E04D39}"/>
    <cellStyle name="Normal 11 2 4 2 4 2" xfId="34028" xr:uid="{962FADA8-5C42-4BD6-A27C-27AB8F70C4C3}"/>
    <cellStyle name="Normal 11 2 4 2 4 2 2" xfId="34029" xr:uid="{0AEA2C35-BE04-435C-99FC-F1F0CFC5D6B5}"/>
    <cellStyle name="Normal 11 2 4 2 4 2 2 2" xfId="34030" xr:uid="{FF608A6E-8352-4C4A-8B0B-CF193A197F62}"/>
    <cellStyle name="Normal 11 2 4 2 4 2 2 2 2" xfId="34031" xr:uid="{FB3C1607-DAC1-4E98-B996-079EBD249D05}"/>
    <cellStyle name="Normal 11 2 4 2 4 2 2 2 2 2" xfId="34032" xr:uid="{DDB4598F-E54D-4CE5-BDAE-DAD62BA9323A}"/>
    <cellStyle name="Normal 11 2 4 2 4 2 2 2 3" xfId="34033" xr:uid="{D88819BE-FF03-478D-83DA-E8C3975EFFB9}"/>
    <cellStyle name="Normal 11 2 4 2 4 2 2 3" xfId="34034" xr:uid="{92137634-8B53-475C-9268-069ACC6DDB8E}"/>
    <cellStyle name="Normal 11 2 4 2 4 2 2 3 2" xfId="34035" xr:uid="{05EB9512-48CA-48FA-90EA-11FA1B009EE1}"/>
    <cellStyle name="Normal 11 2 4 2 4 2 2 4" xfId="34036" xr:uid="{DD3E21F5-7C95-491C-835C-9A8D2BDB069B}"/>
    <cellStyle name="Normal 11 2 4 2 4 2 3" xfId="34037" xr:uid="{2EC7B519-4244-4F79-B9D9-A360BA102C76}"/>
    <cellStyle name="Normal 11 2 4 2 4 2 3 2" xfId="34038" xr:uid="{2CCF6A63-C1DF-443B-866E-857A2B775587}"/>
    <cellStyle name="Normal 11 2 4 2 4 2 3 2 2" xfId="34039" xr:uid="{4FE42F27-20D6-4713-9144-238284460E30}"/>
    <cellStyle name="Normal 11 2 4 2 4 2 3 3" xfId="34040" xr:uid="{57EC6D0A-C8D9-4D90-AFCD-0DE98A138479}"/>
    <cellStyle name="Normal 11 2 4 2 4 2 4" xfId="34041" xr:uid="{EC19CE19-64FC-4A21-A8F9-B6C06C95959A}"/>
    <cellStyle name="Normal 11 2 4 2 4 2 4 2" xfId="34042" xr:uid="{6122F209-80BF-4E8D-9699-A87D3542E9A0}"/>
    <cellStyle name="Normal 11 2 4 2 4 2 5" xfId="34043" xr:uid="{48738A93-2EF9-475E-8396-1ADDB83602D5}"/>
    <cellStyle name="Normal 11 2 4 2 4 3" xfId="34044" xr:uid="{22D210E6-966F-42DB-B0E6-F0370E1B3A61}"/>
    <cellStyle name="Normal 11 2 4 2 4 3 2" xfId="34045" xr:uid="{74BB9FA0-A365-4D6A-99AC-775C80A532E9}"/>
    <cellStyle name="Normal 11 2 4 2 4 3 2 2" xfId="34046" xr:uid="{52D135C6-23B5-4338-BA6F-69545F6DD7CC}"/>
    <cellStyle name="Normal 11 2 4 2 4 3 2 2 2" xfId="34047" xr:uid="{D58F16AB-C3D7-4079-8B7E-488FDB9ECEF1}"/>
    <cellStyle name="Normal 11 2 4 2 4 3 2 3" xfId="34048" xr:uid="{2798822C-5B7F-4536-BC96-9B3087ACEC05}"/>
    <cellStyle name="Normal 11 2 4 2 4 3 3" xfId="34049" xr:uid="{42ED21A7-4344-4D9E-AA48-762B8DD63A15}"/>
    <cellStyle name="Normal 11 2 4 2 4 3 3 2" xfId="34050" xr:uid="{617668EB-B5E0-40DE-B358-70D52C3D489D}"/>
    <cellStyle name="Normal 11 2 4 2 4 3 4" xfId="34051" xr:uid="{F435FB55-5666-4276-A211-CA35E53DAD45}"/>
    <cellStyle name="Normal 11 2 4 2 4 4" xfId="34052" xr:uid="{661E2CC5-8D5E-4602-B0E4-9BD65CDE5434}"/>
    <cellStyle name="Normal 11 2 4 2 4 4 2" xfId="34053" xr:uid="{09EC5F6A-A2EB-4F1A-8BF8-69A708465885}"/>
    <cellStyle name="Normal 11 2 4 2 4 4 2 2" xfId="34054" xr:uid="{3D0D03B9-3FA6-4DEA-AD89-9EF5FC82F17F}"/>
    <cellStyle name="Normal 11 2 4 2 4 4 3" xfId="34055" xr:uid="{3219F534-FCD1-491B-A313-171B52E1C785}"/>
    <cellStyle name="Normal 11 2 4 2 4 5" xfId="34056" xr:uid="{AD9A32B8-F5B1-4171-90FB-7FC084A12BAA}"/>
    <cellStyle name="Normal 11 2 4 2 4 5 2" xfId="34057" xr:uid="{48B3F66E-BD96-4D6E-A290-AC1A23AFFB6A}"/>
    <cellStyle name="Normal 11 2 4 2 4 6" xfId="34058" xr:uid="{57B20567-B8E2-4367-96FB-EF12826CF4A4}"/>
    <cellStyle name="Normal 11 2 4 2 5" xfId="34059" xr:uid="{3D6A52EB-97C0-48D7-A3CB-58B293159608}"/>
    <cellStyle name="Normal 11 2 4 2 5 2" xfId="34060" xr:uid="{30510A80-3F19-4EC6-BFCC-2355439DE3EC}"/>
    <cellStyle name="Normal 11 2 4 2 5 2 2" xfId="34061" xr:uid="{6E4DAF07-1FA0-4B81-8827-38A01D249B0E}"/>
    <cellStyle name="Normal 11 2 4 2 5 2 2 2" xfId="34062" xr:uid="{B6949A09-209A-4491-A96B-2B3EB11A066D}"/>
    <cellStyle name="Normal 11 2 4 2 5 2 2 2 2" xfId="34063" xr:uid="{225158EE-7406-4C4C-81B3-30F128FDA937}"/>
    <cellStyle name="Normal 11 2 4 2 5 2 2 3" xfId="34064" xr:uid="{4975BE2D-F4E0-4020-9954-7DFF2846AA85}"/>
    <cellStyle name="Normal 11 2 4 2 5 2 3" xfId="34065" xr:uid="{6BA634B6-BF0D-4533-915A-A84CBF99CADC}"/>
    <cellStyle name="Normal 11 2 4 2 5 2 3 2" xfId="34066" xr:uid="{57856C8E-09BB-4D78-AA36-36857FBF28D7}"/>
    <cellStyle name="Normal 11 2 4 2 5 2 4" xfId="34067" xr:uid="{6F47282A-771D-432E-A916-21A2146D1C81}"/>
    <cellStyle name="Normal 11 2 4 2 5 3" xfId="34068" xr:uid="{C9DE4524-7AE8-4DF3-A718-14DF9A19ADD8}"/>
    <cellStyle name="Normal 11 2 4 2 5 3 2" xfId="34069" xr:uid="{E1B85377-7E05-4668-A83D-475DDBE68D0D}"/>
    <cellStyle name="Normal 11 2 4 2 5 3 2 2" xfId="34070" xr:uid="{8227164A-186E-4CC7-98D3-F19065B45AF7}"/>
    <cellStyle name="Normal 11 2 4 2 5 3 3" xfId="34071" xr:uid="{5045D956-53F1-452E-A0CE-33FBFE3BF007}"/>
    <cellStyle name="Normal 11 2 4 2 5 4" xfId="34072" xr:uid="{E0116769-5CDB-4C12-BD40-2223F263760F}"/>
    <cellStyle name="Normal 11 2 4 2 5 4 2" xfId="34073" xr:uid="{C332DE00-6FD7-4F69-8AAA-9A21069AA7CD}"/>
    <cellStyle name="Normal 11 2 4 2 5 5" xfId="34074" xr:uid="{39B76327-795C-4A73-B452-0E693B8D4C70}"/>
    <cellStyle name="Normal 11 2 4 2 6" xfId="34075" xr:uid="{D68EB7F6-2EBA-4D08-8350-FE5F4A327231}"/>
    <cellStyle name="Normal 11 2 4 2 6 2" xfId="34076" xr:uid="{43EB52F7-9995-4147-BE25-7141511344F8}"/>
    <cellStyle name="Normal 11 2 4 2 6 2 2" xfId="34077" xr:uid="{0B21B63C-350C-44F7-92AE-1B7DADBD3F2E}"/>
    <cellStyle name="Normal 11 2 4 2 6 2 2 2" xfId="34078" xr:uid="{90067660-5980-470B-8148-6C4EDB5E8DE5}"/>
    <cellStyle name="Normal 11 2 4 2 6 2 3" xfId="34079" xr:uid="{923F1197-6F87-48B4-A967-F0A6C424C31A}"/>
    <cellStyle name="Normal 11 2 4 2 6 3" xfId="34080" xr:uid="{71E4EA54-11EC-439E-96A8-88504FADA989}"/>
    <cellStyle name="Normal 11 2 4 2 6 3 2" xfId="34081" xr:uid="{936C7C07-5277-42C2-8831-03D315452900}"/>
    <cellStyle name="Normal 11 2 4 2 6 4" xfId="34082" xr:uid="{EB0E79DC-CE64-4F04-9921-F05157ED289D}"/>
    <cellStyle name="Normal 11 2 4 2 7" xfId="34083" xr:uid="{F8696C5F-4694-4C1E-A2E8-FB1B41462C8C}"/>
    <cellStyle name="Normal 11 2 4 2 7 2" xfId="34084" xr:uid="{7BF6ABB3-4373-4D3B-B4B6-4CE145609998}"/>
    <cellStyle name="Normal 11 2 4 2 7 2 2" xfId="34085" xr:uid="{7DAF5D36-4966-45EA-997D-FD35C5BA593C}"/>
    <cellStyle name="Normal 11 2 4 2 7 3" xfId="34086" xr:uid="{5564C345-1843-4F4D-A068-645CA5C9F97C}"/>
    <cellStyle name="Normal 11 2 4 2 8" xfId="34087" xr:uid="{D0814D8A-3F81-43C2-91C9-E88CE2F084F2}"/>
    <cellStyle name="Normal 11 2 4 2 8 2" xfId="34088" xr:uid="{6647075E-9CFF-4674-945F-CD0ED49C8DD2}"/>
    <cellStyle name="Normal 11 2 4 2 9" xfId="34089" xr:uid="{47997588-D94E-45DB-8458-4C8188DE5702}"/>
    <cellStyle name="Normal 11 2 4 3" xfId="439" xr:uid="{6C192781-A6BE-4F42-AA42-05129C4312CB}"/>
    <cellStyle name="Normal 11 2 4 3 2" xfId="34091" xr:uid="{94FA8683-F277-44FF-96DB-E9199266534D}"/>
    <cellStyle name="Normal 11 2 4 3 2 2" xfId="34092" xr:uid="{2A20F4FF-9340-4BF7-AD84-5E4758CCAC36}"/>
    <cellStyle name="Normal 11 2 4 3 2 2 2" xfId="34093" xr:uid="{B5771E3C-3EAC-4864-AFDF-CEC7819D9BD8}"/>
    <cellStyle name="Normal 11 2 4 3 2 2 2 2" xfId="34094" xr:uid="{09C49727-E339-4B96-89B7-95886D25815F}"/>
    <cellStyle name="Normal 11 2 4 3 2 2 2 2 2" xfId="34095" xr:uid="{509C092E-1D51-475D-B753-AAF3267AA14F}"/>
    <cellStyle name="Normal 11 2 4 3 2 2 2 2 2 2" xfId="34096" xr:uid="{21A7ADDF-D7AB-43D1-8582-506D60862824}"/>
    <cellStyle name="Normal 11 2 4 3 2 2 2 2 2 2 2" xfId="34097" xr:uid="{C77F3F1B-E6CF-41B9-B81E-390FDF8A7B47}"/>
    <cellStyle name="Normal 11 2 4 3 2 2 2 2 2 3" xfId="34098" xr:uid="{FBBBD1BB-42BC-47F8-AEAA-94D652B2EDC1}"/>
    <cellStyle name="Normal 11 2 4 3 2 2 2 2 3" xfId="34099" xr:uid="{ACE9216C-7109-483A-9A4B-0C75ED4768E0}"/>
    <cellStyle name="Normal 11 2 4 3 2 2 2 2 3 2" xfId="34100" xr:uid="{1CDB2794-16EC-46E8-99AB-25BEF1BAC1E0}"/>
    <cellStyle name="Normal 11 2 4 3 2 2 2 2 4" xfId="34101" xr:uid="{86ABA1A6-C3BB-4AC7-B814-F4FE83A4B1C0}"/>
    <cellStyle name="Normal 11 2 4 3 2 2 2 3" xfId="34102" xr:uid="{CC111873-2D4C-4CC2-9C90-ED48797233F3}"/>
    <cellStyle name="Normal 11 2 4 3 2 2 2 3 2" xfId="34103" xr:uid="{42632DAF-2472-4451-815C-ADCC38F032AA}"/>
    <cellStyle name="Normal 11 2 4 3 2 2 2 3 2 2" xfId="34104" xr:uid="{AE6EE741-8876-498E-8CA3-CB565C65BFA8}"/>
    <cellStyle name="Normal 11 2 4 3 2 2 2 3 3" xfId="34105" xr:uid="{C8A53C42-8ADC-444F-A3DF-BD0E4DC1A8F0}"/>
    <cellStyle name="Normal 11 2 4 3 2 2 2 4" xfId="34106" xr:uid="{A5516564-80A8-48CF-B792-4171C9513F55}"/>
    <cellStyle name="Normal 11 2 4 3 2 2 2 4 2" xfId="34107" xr:uid="{CF144A49-A19A-4C97-B5D2-B6D506E1A1BE}"/>
    <cellStyle name="Normal 11 2 4 3 2 2 2 5" xfId="34108" xr:uid="{467723E4-1EB2-4333-B79B-D2C1CAA325A8}"/>
    <cellStyle name="Normal 11 2 4 3 2 2 3" xfId="34109" xr:uid="{E4A49933-1C0A-4D46-AA1B-45172C31A0CB}"/>
    <cellStyle name="Normal 11 2 4 3 2 2 3 2" xfId="34110" xr:uid="{1B63AD17-762D-4D11-9AEB-26955172D813}"/>
    <cellStyle name="Normal 11 2 4 3 2 2 3 2 2" xfId="34111" xr:uid="{5E689531-21D0-444B-BDCA-E619E41E1412}"/>
    <cellStyle name="Normal 11 2 4 3 2 2 3 2 2 2" xfId="34112" xr:uid="{8F53CD2C-25D5-47FE-99DC-154606BB2FF1}"/>
    <cellStyle name="Normal 11 2 4 3 2 2 3 2 3" xfId="34113" xr:uid="{7115FB95-362B-4A62-BA5F-D8B55D6A8598}"/>
    <cellStyle name="Normal 11 2 4 3 2 2 3 3" xfId="34114" xr:uid="{9154D2B0-7368-4D4A-9C7B-7A279C6FC609}"/>
    <cellStyle name="Normal 11 2 4 3 2 2 3 3 2" xfId="34115" xr:uid="{70F927F1-2082-4B2A-8850-F96DCA16DDAE}"/>
    <cellStyle name="Normal 11 2 4 3 2 2 3 4" xfId="34116" xr:uid="{899E3BBE-C727-4621-9831-5287703C0C87}"/>
    <cellStyle name="Normal 11 2 4 3 2 2 4" xfId="34117" xr:uid="{4B787018-978A-41C2-995B-2FE8F1D68AB1}"/>
    <cellStyle name="Normal 11 2 4 3 2 2 4 2" xfId="34118" xr:uid="{33FBBF6A-C95E-4D0E-9A4F-023AED0A8412}"/>
    <cellStyle name="Normal 11 2 4 3 2 2 4 2 2" xfId="34119" xr:uid="{6BAC9F31-0400-42F4-9FD6-7B48C88A0A65}"/>
    <cellStyle name="Normal 11 2 4 3 2 2 4 3" xfId="34120" xr:uid="{7709E8C0-0FD1-4535-B3F8-AA72C0F614BC}"/>
    <cellStyle name="Normal 11 2 4 3 2 2 5" xfId="34121" xr:uid="{43D0BF6A-ED2F-4698-8A1B-9ED623A0ABDB}"/>
    <cellStyle name="Normal 11 2 4 3 2 2 5 2" xfId="34122" xr:uid="{0A3C6C93-2B4D-45BC-A6D0-932B7518A8EE}"/>
    <cellStyle name="Normal 11 2 4 3 2 2 6" xfId="34123" xr:uid="{12D4F2F5-7781-4BC6-B782-9C584FA6A622}"/>
    <cellStyle name="Normal 11 2 4 3 2 3" xfId="34124" xr:uid="{04C98658-3DEE-41FF-99DC-FFB4F909846C}"/>
    <cellStyle name="Normal 11 2 4 3 2 3 2" xfId="34125" xr:uid="{A500E07E-43CA-4632-8A3E-18DBE751D9D1}"/>
    <cellStyle name="Normal 11 2 4 3 2 3 2 2" xfId="34126" xr:uid="{25272937-BFFF-4802-A627-8DBA72ACFEAD}"/>
    <cellStyle name="Normal 11 2 4 3 2 3 2 2 2" xfId="34127" xr:uid="{A84B69AE-214E-4FBC-8C35-A719BEC6228F}"/>
    <cellStyle name="Normal 11 2 4 3 2 3 2 2 2 2" xfId="34128" xr:uid="{5DAC5358-91B5-4458-A2A7-6B178D168874}"/>
    <cellStyle name="Normal 11 2 4 3 2 3 2 2 3" xfId="34129" xr:uid="{9D46BB9C-BBF4-4368-AC08-B48CB7F28487}"/>
    <cellStyle name="Normal 11 2 4 3 2 3 2 3" xfId="34130" xr:uid="{911C8FBE-ABD7-487D-B222-CBD809EE73B3}"/>
    <cellStyle name="Normal 11 2 4 3 2 3 2 3 2" xfId="34131" xr:uid="{BA78932B-E85B-47FE-8646-44A2C423A4DC}"/>
    <cellStyle name="Normal 11 2 4 3 2 3 2 4" xfId="34132" xr:uid="{29934D9D-4E46-412F-A885-F32AE8CA47E7}"/>
    <cellStyle name="Normal 11 2 4 3 2 3 3" xfId="34133" xr:uid="{EF3A0DAA-BEE9-4DCF-9293-D17088D4E73D}"/>
    <cellStyle name="Normal 11 2 4 3 2 3 3 2" xfId="34134" xr:uid="{A181C032-8C3F-4E78-9C7C-3A666302380A}"/>
    <cellStyle name="Normal 11 2 4 3 2 3 3 2 2" xfId="34135" xr:uid="{34EF8B08-D045-40B7-82A8-F20570D7BE72}"/>
    <cellStyle name="Normal 11 2 4 3 2 3 3 3" xfId="34136" xr:uid="{6ABA58A6-DFFF-4651-8813-962E587B86D2}"/>
    <cellStyle name="Normal 11 2 4 3 2 3 4" xfId="34137" xr:uid="{17F08CF2-BC2D-4622-A8AD-87F7A2A0C047}"/>
    <cellStyle name="Normal 11 2 4 3 2 3 4 2" xfId="34138" xr:uid="{9A7F45B9-FCCD-4791-A994-9FD7587BC443}"/>
    <cellStyle name="Normal 11 2 4 3 2 3 5" xfId="34139" xr:uid="{92DC4D1F-1E53-4B79-A57F-BA08E6A18D04}"/>
    <cellStyle name="Normal 11 2 4 3 2 4" xfId="34140" xr:uid="{8971BDAD-3563-40B5-9673-F9DAC5C06543}"/>
    <cellStyle name="Normal 11 2 4 3 2 4 2" xfId="34141" xr:uid="{DBBF4006-A92E-453D-A39E-9859298372DF}"/>
    <cellStyle name="Normal 11 2 4 3 2 4 2 2" xfId="34142" xr:uid="{8FB2F7F7-9456-4229-96AB-085FEDD5C053}"/>
    <cellStyle name="Normal 11 2 4 3 2 4 2 2 2" xfId="34143" xr:uid="{C8974565-1C45-4A52-8A8E-B0DA1CAD8F15}"/>
    <cellStyle name="Normal 11 2 4 3 2 4 2 3" xfId="34144" xr:uid="{91A7C1CE-4386-4788-844A-98CAE75871E4}"/>
    <cellStyle name="Normal 11 2 4 3 2 4 3" xfId="34145" xr:uid="{DAE669CD-1747-489F-9C44-39290A7B7911}"/>
    <cellStyle name="Normal 11 2 4 3 2 4 3 2" xfId="34146" xr:uid="{584F5FCA-BC30-49A8-9891-E2DF8139836A}"/>
    <cellStyle name="Normal 11 2 4 3 2 4 4" xfId="34147" xr:uid="{DA7849C4-11BF-4936-B465-80C72A47EF90}"/>
    <cellStyle name="Normal 11 2 4 3 2 5" xfId="34148" xr:uid="{8BA93BCC-969F-404E-9422-D402B8C3198A}"/>
    <cellStyle name="Normal 11 2 4 3 2 5 2" xfId="34149" xr:uid="{7DDD1958-B9E6-4E5A-9054-F6CD40D0720B}"/>
    <cellStyle name="Normal 11 2 4 3 2 5 2 2" xfId="34150" xr:uid="{6419DD57-5CA1-428E-8C84-BCB7495A7132}"/>
    <cellStyle name="Normal 11 2 4 3 2 5 3" xfId="34151" xr:uid="{606EED6E-5A60-4388-B15B-29372A025493}"/>
    <cellStyle name="Normal 11 2 4 3 2 6" xfId="34152" xr:uid="{D0BE08D3-1414-405A-8695-FC187B34F0A1}"/>
    <cellStyle name="Normal 11 2 4 3 2 6 2" xfId="34153" xr:uid="{3392070D-455A-40D3-B43D-09AD83B4E336}"/>
    <cellStyle name="Normal 11 2 4 3 2 7" xfId="34154" xr:uid="{3654D2D6-96DB-482B-BA67-B80977D3A5E4}"/>
    <cellStyle name="Normal 11 2 4 3 3" xfId="34155" xr:uid="{52EF6444-9C84-4786-B8EA-2B888B6B56B3}"/>
    <cellStyle name="Normal 11 2 4 3 3 2" xfId="34156" xr:uid="{C464F5AB-AD5C-48DC-951C-B57F94313F0A}"/>
    <cellStyle name="Normal 11 2 4 3 3 2 2" xfId="34157" xr:uid="{E3995549-FF9C-4363-9AA1-141639F55133}"/>
    <cellStyle name="Normal 11 2 4 3 3 2 2 2" xfId="34158" xr:uid="{E83F7B19-D103-406E-AAA3-70141D8D493B}"/>
    <cellStyle name="Normal 11 2 4 3 3 2 2 2 2" xfId="34159" xr:uid="{C35A397B-48DB-4C46-9AE0-98F4989C0A28}"/>
    <cellStyle name="Normal 11 2 4 3 3 2 2 2 2 2" xfId="34160" xr:uid="{2742C8F6-7420-40C2-BDA2-A9F9B93826AB}"/>
    <cellStyle name="Normal 11 2 4 3 3 2 2 2 3" xfId="34161" xr:uid="{EE0191EE-DBA1-4E1C-B8A5-A6550FDD82E4}"/>
    <cellStyle name="Normal 11 2 4 3 3 2 2 3" xfId="34162" xr:uid="{FF46A2D6-5469-41D4-8B05-FF2C356B14A2}"/>
    <cellStyle name="Normal 11 2 4 3 3 2 2 3 2" xfId="34163" xr:uid="{71159017-ED33-4CDD-9994-7179B72155B2}"/>
    <cellStyle name="Normal 11 2 4 3 3 2 2 4" xfId="34164" xr:uid="{CB8C79D6-140B-49F8-BE83-D0D1DEF9D3CD}"/>
    <cellStyle name="Normal 11 2 4 3 3 2 3" xfId="34165" xr:uid="{8E07B750-E17A-449E-B826-2BA4FD2A8DED}"/>
    <cellStyle name="Normal 11 2 4 3 3 2 3 2" xfId="34166" xr:uid="{68133B4A-21B9-436A-AABE-3BD9B777C075}"/>
    <cellStyle name="Normal 11 2 4 3 3 2 3 2 2" xfId="34167" xr:uid="{0A298DF3-1CEE-4925-9136-7DFC1042A6C4}"/>
    <cellStyle name="Normal 11 2 4 3 3 2 3 3" xfId="34168" xr:uid="{B3E13551-BA01-4373-96BA-0C3F91EA195F}"/>
    <cellStyle name="Normal 11 2 4 3 3 2 4" xfId="34169" xr:uid="{7B894474-2E21-4360-B539-AD31072B514A}"/>
    <cellStyle name="Normal 11 2 4 3 3 2 4 2" xfId="34170" xr:uid="{DBB0D367-4ADD-401E-8A86-5CF11E35814E}"/>
    <cellStyle name="Normal 11 2 4 3 3 2 5" xfId="34171" xr:uid="{3334A418-A8F3-4E5C-97E9-8B4CBAA6D37D}"/>
    <cellStyle name="Normal 11 2 4 3 3 3" xfId="34172" xr:uid="{D157FA13-9859-4BCB-A23B-437AB38215AF}"/>
    <cellStyle name="Normal 11 2 4 3 3 3 2" xfId="34173" xr:uid="{8A10A786-D656-4439-8EA4-AFB64ACA651F}"/>
    <cellStyle name="Normal 11 2 4 3 3 3 2 2" xfId="34174" xr:uid="{86B1A942-8F62-428F-B11D-7633FBC29E1E}"/>
    <cellStyle name="Normal 11 2 4 3 3 3 2 2 2" xfId="34175" xr:uid="{31995AAC-5FC5-4BC2-BAA6-5F4D13EBF20F}"/>
    <cellStyle name="Normal 11 2 4 3 3 3 2 3" xfId="34176" xr:uid="{71521537-E84E-4ECD-B4DD-ACE44C1E9925}"/>
    <cellStyle name="Normal 11 2 4 3 3 3 3" xfId="34177" xr:uid="{39E2FC31-162B-4919-B940-1E3C4F4CC9CB}"/>
    <cellStyle name="Normal 11 2 4 3 3 3 3 2" xfId="34178" xr:uid="{8D3AC91F-E5B2-49A2-94B8-48F4C319B661}"/>
    <cellStyle name="Normal 11 2 4 3 3 3 4" xfId="34179" xr:uid="{20F3ED5A-CF9D-4ACE-8DA7-4BB5469152F2}"/>
    <cellStyle name="Normal 11 2 4 3 3 4" xfId="34180" xr:uid="{BF24A1D7-6343-4D05-87C6-E169B982293E}"/>
    <cellStyle name="Normal 11 2 4 3 3 4 2" xfId="34181" xr:uid="{18C59B3D-CAFA-493F-9F6E-31D78B2080F0}"/>
    <cellStyle name="Normal 11 2 4 3 3 4 2 2" xfId="34182" xr:uid="{C33EEF27-8FED-4DC5-BA94-CBD828DCE033}"/>
    <cellStyle name="Normal 11 2 4 3 3 4 3" xfId="34183" xr:uid="{2BC15E9E-2372-4545-94F2-79C5AF58A269}"/>
    <cellStyle name="Normal 11 2 4 3 3 5" xfId="34184" xr:uid="{01229349-9F4C-45AF-948B-BFE75BC84FD1}"/>
    <cellStyle name="Normal 11 2 4 3 3 5 2" xfId="34185" xr:uid="{81EDCE2D-91CE-42D5-875C-66BBDEBDC504}"/>
    <cellStyle name="Normal 11 2 4 3 3 6" xfId="34186" xr:uid="{6F539B1D-5E0D-4865-B400-AB0BB362E4F1}"/>
    <cellStyle name="Normal 11 2 4 3 4" xfId="34187" xr:uid="{0CE39ECF-DBA7-4621-B141-95A92B177E43}"/>
    <cellStyle name="Normal 11 2 4 3 4 2" xfId="34188" xr:uid="{6823330B-C3C0-47CD-81A6-BEC0A96A8A05}"/>
    <cellStyle name="Normal 11 2 4 3 4 2 2" xfId="34189" xr:uid="{E6E8F388-6B6A-44D1-B937-BE3193EB5575}"/>
    <cellStyle name="Normal 11 2 4 3 4 2 2 2" xfId="34190" xr:uid="{756AFD06-E18A-46E5-B0D4-CA48F6038CED}"/>
    <cellStyle name="Normal 11 2 4 3 4 2 2 2 2" xfId="34191" xr:uid="{55C1B498-01B0-4E3D-B05F-FD9F67860844}"/>
    <cellStyle name="Normal 11 2 4 3 4 2 2 3" xfId="34192" xr:uid="{7E2D60B7-8A51-43F9-8069-85973B93B06A}"/>
    <cellStyle name="Normal 11 2 4 3 4 2 3" xfId="34193" xr:uid="{6880594F-4319-4ED9-A77B-4322A8B5C55F}"/>
    <cellStyle name="Normal 11 2 4 3 4 2 3 2" xfId="34194" xr:uid="{B002A9F7-4690-4836-AF60-E84628F2A36F}"/>
    <cellStyle name="Normal 11 2 4 3 4 2 4" xfId="34195" xr:uid="{4378F3D2-D0C5-4362-8800-75B53FA4F022}"/>
    <cellStyle name="Normal 11 2 4 3 4 3" xfId="34196" xr:uid="{49BF82EC-B194-4D18-BE8F-4915A8AB9729}"/>
    <cellStyle name="Normal 11 2 4 3 4 3 2" xfId="34197" xr:uid="{3DFDA024-C658-45A8-9490-59DBC564AFDE}"/>
    <cellStyle name="Normal 11 2 4 3 4 3 2 2" xfId="34198" xr:uid="{B13113C1-4C0D-4DF3-BDDE-FB65F3F38F23}"/>
    <cellStyle name="Normal 11 2 4 3 4 3 3" xfId="34199" xr:uid="{280125EA-4CA1-4E2E-95F7-E4A61A8DCFAB}"/>
    <cellStyle name="Normal 11 2 4 3 4 4" xfId="34200" xr:uid="{72CD1946-3877-474F-B02C-CB31BBC77AA4}"/>
    <cellStyle name="Normal 11 2 4 3 4 4 2" xfId="34201" xr:uid="{0D9AB80C-D15D-4A4A-A106-BBCF354225B5}"/>
    <cellStyle name="Normal 11 2 4 3 4 5" xfId="34202" xr:uid="{66505C07-9ECB-4B4C-83F6-DAE1DCD12798}"/>
    <cellStyle name="Normal 11 2 4 3 5" xfId="34203" xr:uid="{416E1F28-DD5C-4CFC-84FB-E82ABBA5B1F7}"/>
    <cellStyle name="Normal 11 2 4 3 5 2" xfId="34204" xr:uid="{E4AB50A1-F91C-42AE-89B9-014AAF309400}"/>
    <cellStyle name="Normal 11 2 4 3 5 2 2" xfId="34205" xr:uid="{A242CB02-9A84-4282-969F-8890D303F7B0}"/>
    <cellStyle name="Normal 11 2 4 3 5 2 2 2" xfId="34206" xr:uid="{F3AB73B4-BB33-4DBB-9C62-0D0BF354DA5E}"/>
    <cellStyle name="Normal 11 2 4 3 5 2 3" xfId="34207" xr:uid="{572A7186-0373-45EE-8E84-B4C73DC9CC09}"/>
    <cellStyle name="Normal 11 2 4 3 5 3" xfId="34208" xr:uid="{A07E3D52-B81D-4614-9F09-0175F11BDBE9}"/>
    <cellStyle name="Normal 11 2 4 3 5 3 2" xfId="34209" xr:uid="{A35D8EEB-501A-464D-BBF9-D805E7E64079}"/>
    <cellStyle name="Normal 11 2 4 3 5 4" xfId="34210" xr:uid="{FAB39BEE-2896-4739-B2A7-359BD34E80AA}"/>
    <cellStyle name="Normal 11 2 4 3 6" xfId="34211" xr:uid="{6D63307B-7B15-4DE9-96F6-534D65AECBAF}"/>
    <cellStyle name="Normal 11 2 4 3 6 2" xfId="34212" xr:uid="{68DA61FC-DFCE-4DE8-9E8A-B321359D926F}"/>
    <cellStyle name="Normal 11 2 4 3 6 2 2" xfId="34213" xr:uid="{D06AF404-7F41-43BC-A8CA-34B547949788}"/>
    <cellStyle name="Normal 11 2 4 3 6 3" xfId="34214" xr:uid="{9BB1BDD8-5888-4C94-AB54-EAABB190F7A9}"/>
    <cellStyle name="Normal 11 2 4 3 7" xfId="34215" xr:uid="{C798A3C5-D421-441C-8B34-204F71E7EE92}"/>
    <cellStyle name="Normal 11 2 4 3 7 2" xfId="34216" xr:uid="{1BCB80B9-BF2B-4206-BAB2-592C00BFC6BA}"/>
    <cellStyle name="Normal 11 2 4 3 8" xfId="34217" xr:uid="{FD8C03F6-6132-4FF0-B635-D7AE51EF4163}"/>
    <cellStyle name="Normal 11 2 4 3 9" xfId="34090" xr:uid="{F86331DD-45AF-4411-8F22-46DBC797DAA9}"/>
    <cellStyle name="Normal 11 2 4 4" xfId="34218" xr:uid="{CC291158-2AB5-42EF-ADB8-2BD154B269F6}"/>
    <cellStyle name="Normal 11 2 4 4 2" xfId="34219" xr:uid="{56D7DB53-DEEB-4CAD-80D3-B11C64E24EEA}"/>
    <cellStyle name="Normal 11 2 4 4 2 2" xfId="34220" xr:uid="{9B58FC3E-7C13-4602-B2C7-B8188EE28EA2}"/>
    <cellStyle name="Normal 11 2 4 4 2 2 2" xfId="34221" xr:uid="{19BDA9A8-8195-45BE-86D7-87647D2586EA}"/>
    <cellStyle name="Normal 11 2 4 4 2 2 2 2" xfId="34222" xr:uid="{32AB3BB1-A762-4CDC-A3A8-2B3F9AF81E8C}"/>
    <cellStyle name="Normal 11 2 4 4 2 2 2 2 2" xfId="34223" xr:uid="{F9702B3A-85FE-4F65-ACE5-44CC2F6D96E7}"/>
    <cellStyle name="Normal 11 2 4 4 2 2 2 2 2 2" xfId="34224" xr:uid="{BD88CE23-CF46-4333-8FE8-2BC9748C4E75}"/>
    <cellStyle name="Normal 11 2 4 4 2 2 2 2 3" xfId="34225" xr:uid="{F5D931BF-ED3E-4871-BA97-61B56CF70518}"/>
    <cellStyle name="Normal 11 2 4 4 2 2 2 3" xfId="34226" xr:uid="{B2764B4E-8B52-4183-9FB0-868C2BB71824}"/>
    <cellStyle name="Normal 11 2 4 4 2 2 2 3 2" xfId="34227" xr:uid="{A223F1E6-8A34-4637-B9A5-8BB44A7AC08B}"/>
    <cellStyle name="Normal 11 2 4 4 2 2 2 4" xfId="34228" xr:uid="{A3A0FFB5-1DD3-424D-94D3-B3B10AC0F91B}"/>
    <cellStyle name="Normal 11 2 4 4 2 2 3" xfId="34229" xr:uid="{7E415633-6F56-4B9C-8532-94AE6D537140}"/>
    <cellStyle name="Normal 11 2 4 4 2 2 3 2" xfId="34230" xr:uid="{483D482E-35EA-4588-B548-08FEBD0E4F1D}"/>
    <cellStyle name="Normal 11 2 4 4 2 2 3 2 2" xfId="34231" xr:uid="{958A4823-3D6A-44DB-8AC9-0B728F7B914E}"/>
    <cellStyle name="Normal 11 2 4 4 2 2 3 3" xfId="34232" xr:uid="{4996F72D-1AEB-45C5-8CCD-6BA05E14FD55}"/>
    <cellStyle name="Normal 11 2 4 4 2 2 4" xfId="34233" xr:uid="{95130D3D-BF0F-405D-9608-EF6B653C62EE}"/>
    <cellStyle name="Normal 11 2 4 4 2 2 4 2" xfId="34234" xr:uid="{8C7C8BD4-E791-4BA1-AA9D-A6A8B3284ADE}"/>
    <cellStyle name="Normal 11 2 4 4 2 2 5" xfId="34235" xr:uid="{955F3E9F-6889-46B9-A3BC-6F3A6B07BE2D}"/>
    <cellStyle name="Normal 11 2 4 4 2 3" xfId="34236" xr:uid="{5E0C0EB1-1652-4FF1-9B52-7F43675F16D9}"/>
    <cellStyle name="Normal 11 2 4 4 2 3 2" xfId="34237" xr:uid="{9131E8E1-2114-496E-A9A4-4395830CD1F7}"/>
    <cellStyle name="Normal 11 2 4 4 2 3 2 2" xfId="34238" xr:uid="{F3057B4E-9949-48B7-86EA-865F2B2FF40E}"/>
    <cellStyle name="Normal 11 2 4 4 2 3 2 2 2" xfId="34239" xr:uid="{89ABB135-1680-4DF7-AF03-2136D03AC26A}"/>
    <cellStyle name="Normal 11 2 4 4 2 3 2 3" xfId="34240" xr:uid="{4B8AF5A1-FEDD-4201-BB51-494485A6BA0B}"/>
    <cellStyle name="Normal 11 2 4 4 2 3 3" xfId="34241" xr:uid="{8D35753B-1AB8-4C78-9EFC-38FDE4D3B313}"/>
    <cellStyle name="Normal 11 2 4 4 2 3 3 2" xfId="34242" xr:uid="{3F0D97DD-C9AE-4D96-9B4C-8D9B2A59684F}"/>
    <cellStyle name="Normal 11 2 4 4 2 3 4" xfId="34243" xr:uid="{D502DE36-B603-4E5E-8EE6-39E1725FB234}"/>
    <cellStyle name="Normal 11 2 4 4 2 4" xfId="34244" xr:uid="{735BBD07-274E-486C-9A36-145A0DB85CB5}"/>
    <cellStyle name="Normal 11 2 4 4 2 4 2" xfId="34245" xr:uid="{857DC2A9-D4BA-41E1-8F1E-2FF0F48B3F33}"/>
    <cellStyle name="Normal 11 2 4 4 2 4 2 2" xfId="34246" xr:uid="{4E42DFBE-1E3D-42A9-80DC-F5646295C4B0}"/>
    <cellStyle name="Normal 11 2 4 4 2 4 3" xfId="34247" xr:uid="{897E95D2-979C-4178-9D69-0E5909CDF85D}"/>
    <cellStyle name="Normal 11 2 4 4 2 5" xfId="34248" xr:uid="{E7119B77-6BD4-4B59-8CA3-4017FE33CA32}"/>
    <cellStyle name="Normal 11 2 4 4 2 5 2" xfId="34249" xr:uid="{246780B5-B0E8-4256-92A2-10D193C383A4}"/>
    <cellStyle name="Normal 11 2 4 4 2 6" xfId="34250" xr:uid="{CA692A85-E8F2-4F17-8CDD-6E563E07BDA3}"/>
    <cellStyle name="Normal 11 2 4 4 3" xfId="34251" xr:uid="{9D29BC11-D66F-48E3-97CB-94522AEF6567}"/>
    <cellStyle name="Normal 11 2 4 4 3 2" xfId="34252" xr:uid="{0AEA1DC7-DD08-4E33-8C3B-2DFBC9D11D96}"/>
    <cellStyle name="Normal 11 2 4 4 3 2 2" xfId="34253" xr:uid="{72FCDF3E-514A-4F54-966D-1E2F1B86D994}"/>
    <cellStyle name="Normal 11 2 4 4 3 2 2 2" xfId="34254" xr:uid="{1D7FA74A-8AF2-4040-B7C0-433EF32822B4}"/>
    <cellStyle name="Normal 11 2 4 4 3 2 2 2 2" xfId="34255" xr:uid="{CBEF260A-3D5F-4E3F-92E2-F715AF1878A4}"/>
    <cellStyle name="Normal 11 2 4 4 3 2 2 3" xfId="34256" xr:uid="{2F6E6B81-1ACA-4DC3-8727-2BF33EB22782}"/>
    <cellStyle name="Normal 11 2 4 4 3 2 3" xfId="34257" xr:uid="{ECADA770-9911-4359-8B33-661F497A5343}"/>
    <cellStyle name="Normal 11 2 4 4 3 2 3 2" xfId="34258" xr:uid="{4D163D53-6410-44B6-A42C-C46000155910}"/>
    <cellStyle name="Normal 11 2 4 4 3 2 4" xfId="34259" xr:uid="{5CC0A99E-918C-41AB-968B-F86E473147F0}"/>
    <cellStyle name="Normal 11 2 4 4 3 3" xfId="34260" xr:uid="{C6855FB2-426E-4622-BFED-484C4FAF1769}"/>
    <cellStyle name="Normal 11 2 4 4 3 3 2" xfId="34261" xr:uid="{43EAC9BF-57E2-43EB-9570-02638B28582F}"/>
    <cellStyle name="Normal 11 2 4 4 3 3 2 2" xfId="34262" xr:uid="{B5F1CC49-6B2A-4681-929D-0C306E308F65}"/>
    <cellStyle name="Normal 11 2 4 4 3 3 3" xfId="34263" xr:uid="{2DFCF7C2-8E67-4EDE-B271-17BCB32801BD}"/>
    <cellStyle name="Normal 11 2 4 4 3 4" xfId="34264" xr:uid="{B507792B-CE18-4DEF-84D6-4F9B74BB2974}"/>
    <cellStyle name="Normal 11 2 4 4 3 4 2" xfId="34265" xr:uid="{45B3244C-84AD-412C-83EE-5D2C86137933}"/>
    <cellStyle name="Normal 11 2 4 4 3 5" xfId="34266" xr:uid="{454818E0-2564-4A03-BEF9-1D0AFC72F0B3}"/>
    <cellStyle name="Normal 11 2 4 4 4" xfId="34267" xr:uid="{C9248523-62D3-419F-963D-85B64FE9FAF3}"/>
    <cellStyle name="Normal 11 2 4 4 4 2" xfId="34268" xr:uid="{4C791D02-3CB0-45D6-9420-CC0D71DF6D13}"/>
    <cellStyle name="Normal 11 2 4 4 4 2 2" xfId="34269" xr:uid="{860B4DF3-AFE5-4F81-A5E9-55AA39199106}"/>
    <cellStyle name="Normal 11 2 4 4 4 2 2 2" xfId="34270" xr:uid="{4C6B340D-6A6A-4590-83C6-C242103B0A7B}"/>
    <cellStyle name="Normal 11 2 4 4 4 2 3" xfId="34271" xr:uid="{E4AC2D20-EB52-40F2-B2A6-A81039124055}"/>
    <cellStyle name="Normal 11 2 4 4 4 3" xfId="34272" xr:uid="{FF623541-0AB0-45C2-8A0A-2CD3BC4D363A}"/>
    <cellStyle name="Normal 11 2 4 4 4 3 2" xfId="34273" xr:uid="{F2D928BB-7D7E-4AEB-9507-AAD9F3EC812E}"/>
    <cellStyle name="Normal 11 2 4 4 4 4" xfId="34274" xr:uid="{8E714239-C720-4506-9AB1-688FD79FB4B8}"/>
    <cellStyle name="Normal 11 2 4 4 5" xfId="34275" xr:uid="{59E5E988-53D4-4B41-AD50-5F99BDB05339}"/>
    <cellStyle name="Normal 11 2 4 4 5 2" xfId="34276" xr:uid="{933B4CB0-1514-4E42-AD5F-F02FD99F316A}"/>
    <cellStyle name="Normal 11 2 4 4 5 2 2" xfId="34277" xr:uid="{9E480172-668B-4D78-8D32-8AC905081BC5}"/>
    <cellStyle name="Normal 11 2 4 4 5 3" xfId="34278" xr:uid="{C47AA44B-825B-488C-B310-9F783B24A0D5}"/>
    <cellStyle name="Normal 11 2 4 4 6" xfId="34279" xr:uid="{89979361-D24C-4329-84B4-C2C55C60E54D}"/>
    <cellStyle name="Normal 11 2 4 4 6 2" xfId="34280" xr:uid="{C89A65DF-E9BD-4C03-9AC4-6889AF023559}"/>
    <cellStyle name="Normal 11 2 4 4 7" xfId="34281" xr:uid="{710EF4CC-E3A9-4218-AF93-F807B97E4AFA}"/>
    <cellStyle name="Normal 11 2 4 5" xfId="34282" xr:uid="{31F3D2FD-971C-469F-832F-C094BB6A9DE3}"/>
    <cellStyle name="Normal 11 2 4 5 2" xfId="34283" xr:uid="{B90D5FD8-74D7-4C9A-93CB-87E0AF17E7A5}"/>
    <cellStyle name="Normal 11 2 4 5 2 2" xfId="34284" xr:uid="{BDEBEEDE-D543-45E0-A0B7-FE290F5EC99D}"/>
    <cellStyle name="Normal 11 2 4 5 2 2 2" xfId="34285" xr:uid="{84515FB8-2EDC-4DA4-98CC-FE254551B039}"/>
    <cellStyle name="Normal 11 2 4 5 2 2 2 2" xfId="34286" xr:uid="{31198032-1028-43D1-AD86-AD1CD147CD21}"/>
    <cellStyle name="Normal 11 2 4 5 2 2 2 2 2" xfId="34287" xr:uid="{7313E7AF-8252-4C47-8296-8F1D1D3ACED5}"/>
    <cellStyle name="Normal 11 2 4 5 2 2 2 3" xfId="34288" xr:uid="{51D8812A-2A05-4467-B7A0-6177D28A2CB3}"/>
    <cellStyle name="Normal 11 2 4 5 2 2 3" xfId="34289" xr:uid="{334DD7C1-AB8A-42CB-8626-9AD5E7A8480E}"/>
    <cellStyle name="Normal 11 2 4 5 2 2 3 2" xfId="34290" xr:uid="{525E6B72-F3D2-42BF-930E-F6C3AEC7C0BB}"/>
    <cellStyle name="Normal 11 2 4 5 2 2 4" xfId="34291" xr:uid="{DBECF35A-02EB-4139-983A-9C5DFCBC3AA3}"/>
    <cellStyle name="Normal 11 2 4 5 2 3" xfId="34292" xr:uid="{FAFA43A1-72BF-470A-A0C6-592B94786955}"/>
    <cellStyle name="Normal 11 2 4 5 2 3 2" xfId="34293" xr:uid="{BEC55551-0198-410E-B314-FD8A9A3736F8}"/>
    <cellStyle name="Normal 11 2 4 5 2 3 2 2" xfId="34294" xr:uid="{8544E56A-FD99-45BC-954E-1F03139B96D5}"/>
    <cellStyle name="Normal 11 2 4 5 2 3 3" xfId="34295" xr:uid="{82FF2D8F-24FF-4246-9277-7EF93037ECA9}"/>
    <cellStyle name="Normal 11 2 4 5 2 4" xfId="34296" xr:uid="{7B5DF97B-72C6-4A1E-818C-1B15C929169F}"/>
    <cellStyle name="Normal 11 2 4 5 2 4 2" xfId="34297" xr:uid="{00E2BA05-40F7-4CF1-BE35-2D0B8DFCFE93}"/>
    <cellStyle name="Normal 11 2 4 5 2 5" xfId="34298" xr:uid="{463E5A1D-6066-4211-BDF5-B482F2100FC2}"/>
    <cellStyle name="Normal 11 2 4 5 3" xfId="34299" xr:uid="{5C763D75-A526-45F0-8A0B-5457950BA7F9}"/>
    <cellStyle name="Normal 11 2 4 5 3 2" xfId="34300" xr:uid="{7687C1FD-B64F-4AD3-8245-AE4C3727E31A}"/>
    <cellStyle name="Normal 11 2 4 5 3 2 2" xfId="34301" xr:uid="{D1F9661B-2A00-41AE-A653-81856CA077B5}"/>
    <cellStyle name="Normal 11 2 4 5 3 2 2 2" xfId="34302" xr:uid="{48FB635C-8D01-402E-821C-424C2CBAE4CB}"/>
    <cellStyle name="Normal 11 2 4 5 3 2 3" xfId="34303" xr:uid="{F4BF380D-2C85-42F3-A753-7D0DEAFC5F3C}"/>
    <cellStyle name="Normal 11 2 4 5 3 3" xfId="34304" xr:uid="{ADD065DB-4D49-47A2-B886-011FC3086CC7}"/>
    <cellStyle name="Normal 11 2 4 5 3 3 2" xfId="34305" xr:uid="{01EE0288-982A-4534-B3A6-B49F5DF1D019}"/>
    <cellStyle name="Normal 11 2 4 5 3 4" xfId="34306" xr:uid="{1FB5D6C0-4435-4EA0-9141-A657A55B9C5D}"/>
    <cellStyle name="Normal 11 2 4 5 4" xfId="34307" xr:uid="{A7A6A54C-A028-41D0-9952-AEB7F568D706}"/>
    <cellStyle name="Normal 11 2 4 5 4 2" xfId="34308" xr:uid="{4F1319E4-A912-47F6-8E75-62CA8CC258C5}"/>
    <cellStyle name="Normal 11 2 4 5 4 2 2" xfId="34309" xr:uid="{78A82EBC-4A37-45A2-B247-35617C206191}"/>
    <cellStyle name="Normal 11 2 4 5 4 3" xfId="34310" xr:uid="{1B8AF65F-81AF-43D4-A280-B0F4F719FBA2}"/>
    <cellStyle name="Normal 11 2 4 5 5" xfId="34311" xr:uid="{73323917-FD95-413A-B43C-AD836C61C6E0}"/>
    <cellStyle name="Normal 11 2 4 5 5 2" xfId="34312" xr:uid="{ACFD85B2-F442-48C7-B520-5A1A14CF6A5E}"/>
    <cellStyle name="Normal 11 2 4 5 6" xfId="34313" xr:uid="{2BA3F021-D5D4-4056-9430-6A121F1B171E}"/>
    <cellStyle name="Normal 11 2 4 6" xfId="34314" xr:uid="{CEDC69BD-DF69-4F92-B8DB-AB5DEB9F6E39}"/>
    <cellStyle name="Normal 11 2 4 6 2" xfId="34315" xr:uid="{A8D45FBD-437C-4288-A8BC-CAADA6BCE24D}"/>
    <cellStyle name="Normal 11 2 4 6 2 2" xfId="34316" xr:uid="{0C4B345E-FB12-4359-B9A8-B603D8DBAD57}"/>
    <cellStyle name="Normal 11 2 4 6 2 2 2" xfId="34317" xr:uid="{0ABE9483-6D05-4C28-80DD-9C15DFC06493}"/>
    <cellStyle name="Normal 11 2 4 6 2 2 2 2" xfId="34318" xr:uid="{785E7E1B-F947-4F83-B68F-A52FA965EECC}"/>
    <cellStyle name="Normal 11 2 4 6 2 2 3" xfId="34319" xr:uid="{7F1B4A9A-F1ED-4D34-9130-903150965AE7}"/>
    <cellStyle name="Normal 11 2 4 6 2 3" xfId="34320" xr:uid="{6D2B5359-04DE-4496-9F99-55F9C7C948EF}"/>
    <cellStyle name="Normal 11 2 4 6 2 3 2" xfId="34321" xr:uid="{1DB953C5-93E4-49F3-9954-D2ECE9661901}"/>
    <cellStyle name="Normal 11 2 4 6 2 4" xfId="34322" xr:uid="{2E5981FC-1ECD-4ACE-9242-62111A1CA4F6}"/>
    <cellStyle name="Normal 11 2 4 6 3" xfId="34323" xr:uid="{13C16F2F-5129-4C36-B4E5-6EFB836B4139}"/>
    <cellStyle name="Normal 11 2 4 6 3 2" xfId="34324" xr:uid="{84988F30-09CE-4961-9229-6824A78C039F}"/>
    <cellStyle name="Normal 11 2 4 6 3 2 2" xfId="34325" xr:uid="{37B9C4F3-0A2F-4366-9371-601F5DA4225A}"/>
    <cellStyle name="Normal 11 2 4 6 3 3" xfId="34326" xr:uid="{93059232-1588-4635-830B-51CF5CDFAA21}"/>
    <cellStyle name="Normal 11 2 4 6 4" xfId="34327" xr:uid="{BB18FCA9-EF8D-4C5B-9F95-530ED4BC5907}"/>
    <cellStyle name="Normal 11 2 4 6 4 2" xfId="34328" xr:uid="{5D3C1378-AF2D-476E-97E9-D8FDFFD4333D}"/>
    <cellStyle name="Normal 11 2 4 6 5" xfId="34329" xr:uid="{6889D6CD-6585-4613-ADBA-D4CB4E5A0C6D}"/>
    <cellStyle name="Normal 11 2 4 7" xfId="34330" xr:uid="{30CB3DB6-EDC6-467D-8D58-6AF7D075C959}"/>
    <cellStyle name="Normal 11 2 4 7 2" xfId="34331" xr:uid="{AF5BB7AC-8578-485D-91BE-E5199073EA87}"/>
    <cellStyle name="Normal 11 2 4 7 2 2" xfId="34332" xr:uid="{0E563D92-7C6E-4C24-8248-C57B96697366}"/>
    <cellStyle name="Normal 11 2 4 7 2 2 2" xfId="34333" xr:uid="{A0FAA20E-77E5-4425-9405-72DCC2FF5942}"/>
    <cellStyle name="Normal 11 2 4 7 2 3" xfId="34334" xr:uid="{E8D0E8DC-FE2B-4DC8-8BF8-81250BCDD1D7}"/>
    <cellStyle name="Normal 11 2 4 7 3" xfId="34335" xr:uid="{4B0BEE58-E828-41A8-9728-E7584CA9EF21}"/>
    <cellStyle name="Normal 11 2 4 7 3 2" xfId="34336" xr:uid="{AF18EBB0-412A-4977-85B1-0BE8F62B37B2}"/>
    <cellStyle name="Normal 11 2 4 7 4" xfId="34337" xr:uid="{0970E2EF-F873-4DAF-B9A3-8794296A4553}"/>
    <cellStyle name="Normal 11 2 4 8" xfId="34338" xr:uid="{20A463B9-97DD-4CBE-B03A-37D7214820A0}"/>
    <cellStyle name="Normal 11 2 4 8 2" xfId="34339" xr:uid="{F7861348-057E-4ACC-B195-F1BF90C15B87}"/>
    <cellStyle name="Normal 11 2 4 8 2 2" xfId="34340" xr:uid="{ED46B7CC-8021-4458-8B2C-4131DC96B923}"/>
    <cellStyle name="Normal 11 2 4 8 3" xfId="34341" xr:uid="{F680932B-DD56-47B1-9727-37C0D3EBA00D}"/>
    <cellStyle name="Normal 11 2 4 9" xfId="34342" xr:uid="{222A89B7-B2BB-427D-A410-08220AA4191D}"/>
    <cellStyle name="Normal 11 2 4 9 2" xfId="34343" xr:uid="{263DD777-D342-496F-8B65-F00CB8358A7B}"/>
    <cellStyle name="Normal 11 2 5" xfId="220" xr:uid="{6497D696-36AB-4EEF-A4BB-825B8C6FF244}"/>
    <cellStyle name="Normal 11 2 5 10" xfId="34344" xr:uid="{75BFD109-C6C4-4412-B3AE-B015D756AB0C}"/>
    <cellStyle name="Normal 11 2 5 11" xfId="587" xr:uid="{D3D2599E-C1A1-4DC2-86CD-1CCF75E7C8D4}"/>
    <cellStyle name="Normal 11 2 5 2" xfId="366" xr:uid="{F8894326-50F6-431C-A768-A588FF186922}"/>
    <cellStyle name="Normal 11 2 5 2 10" xfId="34345" xr:uid="{9A77788F-BB83-45B6-8426-F81723E3EE2D}"/>
    <cellStyle name="Normal 11 2 5 2 2" xfId="34346" xr:uid="{35F9BB0E-672D-4D93-B4F7-549FB8DF8278}"/>
    <cellStyle name="Normal 11 2 5 2 2 2" xfId="34347" xr:uid="{E7F33B28-65A1-4F3B-82F2-BB3628B8044F}"/>
    <cellStyle name="Normal 11 2 5 2 2 2 2" xfId="34348" xr:uid="{ED732333-2930-4379-981B-76BE843D69BA}"/>
    <cellStyle name="Normal 11 2 5 2 2 2 2 2" xfId="34349" xr:uid="{70CCC96D-D26E-43F9-A090-D1298FDC5DC4}"/>
    <cellStyle name="Normal 11 2 5 2 2 2 2 2 2" xfId="34350" xr:uid="{913A972C-A484-4405-807A-3075CBF29D72}"/>
    <cellStyle name="Normal 11 2 5 2 2 2 2 2 2 2" xfId="34351" xr:uid="{DD5E2D04-535C-4399-B99E-A0F683FEEE1B}"/>
    <cellStyle name="Normal 11 2 5 2 2 2 2 2 2 2 2" xfId="34352" xr:uid="{C4C84F4F-9A85-4E5D-97FD-F93F41F40371}"/>
    <cellStyle name="Normal 11 2 5 2 2 2 2 2 2 2 2 2" xfId="34353" xr:uid="{F0FD9E93-37F3-4F3E-BE50-32FAE2274630}"/>
    <cellStyle name="Normal 11 2 5 2 2 2 2 2 2 2 3" xfId="34354" xr:uid="{44B4BA60-78F2-432A-B293-61525F7D170E}"/>
    <cellStyle name="Normal 11 2 5 2 2 2 2 2 2 3" xfId="34355" xr:uid="{0E20B211-5760-4747-AE94-0527863FBAE2}"/>
    <cellStyle name="Normal 11 2 5 2 2 2 2 2 2 3 2" xfId="34356" xr:uid="{62F1ECA0-0CEC-4D39-BF0E-5C860B76C887}"/>
    <cellStyle name="Normal 11 2 5 2 2 2 2 2 2 4" xfId="34357" xr:uid="{DBD40506-3BD0-48E0-BDCB-6A5DBD9C5504}"/>
    <cellStyle name="Normal 11 2 5 2 2 2 2 2 3" xfId="34358" xr:uid="{B498EA96-3CC8-4E01-8FEF-3B2096273A1D}"/>
    <cellStyle name="Normal 11 2 5 2 2 2 2 2 3 2" xfId="34359" xr:uid="{03B80802-2281-4A87-ABEE-38811CE69FDE}"/>
    <cellStyle name="Normal 11 2 5 2 2 2 2 2 3 2 2" xfId="34360" xr:uid="{CB14CCD2-E790-4790-B2FD-7034C218BB46}"/>
    <cellStyle name="Normal 11 2 5 2 2 2 2 2 3 3" xfId="34361" xr:uid="{C6160CF3-DC9E-4AE8-A06F-EC3F731CBD9E}"/>
    <cellStyle name="Normal 11 2 5 2 2 2 2 2 4" xfId="34362" xr:uid="{60D6367B-0E7B-409B-8033-747258FFA8E2}"/>
    <cellStyle name="Normal 11 2 5 2 2 2 2 2 4 2" xfId="34363" xr:uid="{829ACC2D-C165-4A88-BF60-E5A3D04A6AC3}"/>
    <cellStyle name="Normal 11 2 5 2 2 2 2 2 5" xfId="34364" xr:uid="{11785F2E-3608-43BB-B976-FF46DADD50B3}"/>
    <cellStyle name="Normal 11 2 5 2 2 2 2 3" xfId="34365" xr:uid="{660EE8EB-8F5F-4BF9-9E78-EE92763B5CF7}"/>
    <cellStyle name="Normal 11 2 5 2 2 2 2 3 2" xfId="34366" xr:uid="{919D8CF8-6B5E-4A3C-8895-9B6C6052A0B6}"/>
    <cellStyle name="Normal 11 2 5 2 2 2 2 3 2 2" xfId="34367" xr:uid="{1F0CCFBF-D627-4702-91A7-32088F4AE9D4}"/>
    <cellStyle name="Normal 11 2 5 2 2 2 2 3 2 2 2" xfId="34368" xr:uid="{F4536690-A835-4ED4-A143-0BAFBF7BC5E0}"/>
    <cellStyle name="Normal 11 2 5 2 2 2 2 3 2 3" xfId="34369" xr:uid="{B94B76A5-D11A-474B-8489-BE8026A2F65B}"/>
    <cellStyle name="Normal 11 2 5 2 2 2 2 3 3" xfId="34370" xr:uid="{6AA539D4-E013-474F-BA2E-B18C1802CC82}"/>
    <cellStyle name="Normal 11 2 5 2 2 2 2 3 3 2" xfId="34371" xr:uid="{CF757C6C-FD5B-4DFF-8BBD-E9138151903C}"/>
    <cellStyle name="Normal 11 2 5 2 2 2 2 3 4" xfId="34372" xr:uid="{39E2B8AC-4724-4C94-8452-DFBC55F4E084}"/>
    <cellStyle name="Normal 11 2 5 2 2 2 2 4" xfId="34373" xr:uid="{6B33E352-FCC7-4688-9928-0B657A645275}"/>
    <cellStyle name="Normal 11 2 5 2 2 2 2 4 2" xfId="34374" xr:uid="{C878D1F6-887C-4B39-97D3-7BBF0810DF4A}"/>
    <cellStyle name="Normal 11 2 5 2 2 2 2 4 2 2" xfId="34375" xr:uid="{5A1DA308-6967-4853-97CC-46B3AB571547}"/>
    <cellStyle name="Normal 11 2 5 2 2 2 2 4 3" xfId="34376" xr:uid="{9157A216-1896-4D44-BB1D-1EA23E0FEE03}"/>
    <cellStyle name="Normal 11 2 5 2 2 2 2 5" xfId="34377" xr:uid="{05161900-7D68-44E6-A8C7-DE669160B507}"/>
    <cellStyle name="Normal 11 2 5 2 2 2 2 5 2" xfId="34378" xr:uid="{7C46897B-523B-400A-97AB-E1143B9356DB}"/>
    <cellStyle name="Normal 11 2 5 2 2 2 2 6" xfId="34379" xr:uid="{DC94653E-5008-417B-B33A-FBE3AE5CCDE7}"/>
    <cellStyle name="Normal 11 2 5 2 2 2 3" xfId="34380" xr:uid="{27B30FCA-FE96-4086-9963-29C8FBD15E41}"/>
    <cellStyle name="Normal 11 2 5 2 2 2 3 2" xfId="34381" xr:uid="{91943E84-4746-448F-8979-BF57D28C9469}"/>
    <cellStyle name="Normal 11 2 5 2 2 2 3 2 2" xfId="34382" xr:uid="{6D050719-3631-46C5-B3A5-9770F66AE238}"/>
    <cellStyle name="Normal 11 2 5 2 2 2 3 2 2 2" xfId="34383" xr:uid="{1D9C0766-ED8B-45E5-8222-A7380ECEC23B}"/>
    <cellStyle name="Normal 11 2 5 2 2 2 3 2 2 2 2" xfId="34384" xr:uid="{BFFA5763-DD08-4E07-8F03-F8865DAEEB5E}"/>
    <cellStyle name="Normal 11 2 5 2 2 2 3 2 2 3" xfId="34385" xr:uid="{E8BED7CE-8445-445A-B273-08C52F9BD046}"/>
    <cellStyle name="Normal 11 2 5 2 2 2 3 2 3" xfId="34386" xr:uid="{AFE761D5-F992-482C-A691-07F50B11E88C}"/>
    <cellStyle name="Normal 11 2 5 2 2 2 3 2 3 2" xfId="34387" xr:uid="{B20176FE-505D-4618-99D5-6B98DAA804DE}"/>
    <cellStyle name="Normal 11 2 5 2 2 2 3 2 4" xfId="34388" xr:uid="{0ED2A8DD-42D9-4E31-BDDA-ADDC169D093D}"/>
    <cellStyle name="Normal 11 2 5 2 2 2 3 3" xfId="34389" xr:uid="{0F3F42C8-50C3-4607-9CF2-F96F277CF21C}"/>
    <cellStyle name="Normal 11 2 5 2 2 2 3 3 2" xfId="34390" xr:uid="{28E9A1AA-2B4C-42A9-AF55-842C611599AF}"/>
    <cellStyle name="Normal 11 2 5 2 2 2 3 3 2 2" xfId="34391" xr:uid="{A4A35D9E-B10A-45CB-A00E-3A636A6A35E5}"/>
    <cellStyle name="Normal 11 2 5 2 2 2 3 3 3" xfId="34392" xr:uid="{FE11F698-8EB6-4BB3-A79F-7AB63EDD9628}"/>
    <cellStyle name="Normal 11 2 5 2 2 2 3 4" xfId="34393" xr:uid="{D0EBA12D-C93C-46A5-B8A1-72FFF5403744}"/>
    <cellStyle name="Normal 11 2 5 2 2 2 3 4 2" xfId="34394" xr:uid="{5FF9AD80-3993-4A44-914E-9891DCE3F750}"/>
    <cellStyle name="Normal 11 2 5 2 2 2 3 5" xfId="34395" xr:uid="{88054ECD-581F-4B8F-B54B-9D794FCF026F}"/>
    <cellStyle name="Normal 11 2 5 2 2 2 4" xfId="34396" xr:uid="{EC78D000-989C-4F12-9EF5-A88E1C568101}"/>
    <cellStyle name="Normal 11 2 5 2 2 2 4 2" xfId="34397" xr:uid="{B8903EB1-F706-41D3-9800-DB7BB9ED9C83}"/>
    <cellStyle name="Normal 11 2 5 2 2 2 4 2 2" xfId="34398" xr:uid="{738F6B09-5DC7-463C-A3FA-2415D1227216}"/>
    <cellStyle name="Normal 11 2 5 2 2 2 4 2 2 2" xfId="34399" xr:uid="{36EBDC0C-F3FF-4C40-B399-72C89B2C72DF}"/>
    <cellStyle name="Normal 11 2 5 2 2 2 4 2 3" xfId="34400" xr:uid="{69ED8556-5B13-4C97-BBBC-7CFD10CBAE31}"/>
    <cellStyle name="Normal 11 2 5 2 2 2 4 3" xfId="34401" xr:uid="{576B22D2-A8DB-4297-ABD7-E01AEC54C839}"/>
    <cellStyle name="Normal 11 2 5 2 2 2 4 3 2" xfId="34402" xr:uid="{3F3DA9CC-F110-406C-A883-C6C69C0682EB}"/>
    <cellStyle name="Normal 11 2 5 2 2 2 4 4" xfId="34403" xr:uid="{FE9DD1B6-F88B-47D3-8C89-18E1BF35EB96}"/>
    <cellStyle name="Normal 11 2 5 2 2 2 5" xfId="34404" xr:uid="{C503CA6D-5FCD-4025-8B12-A79D40D36644}"/>
    <cellStyle name="Normal 11 2 5 2 2 2 5 2" xfId="34405" xr:uid="{76EDF069-9F75-4AB9-BA24-BFAE22D6FBB0}"/>
    <cellStyle name="Normal 11 2 5 2 2 2 5 2 2" xfId="34406" xr:uid="{1E245510-3E0E-418F-B4BB-B4663A947DCC}"/>
    <cellStyle name="Normal 11 2 5 2 2 2 5 3" xfId="34407" xr:uid="{D37DA620-9B0F-4E67-9DB1-10782ABA34E2}"/>
    <cellStyle name="Normal 11 2 5 2 2 2 6" xfId="34408" xr:uid="{13389AC1-E950-495B-A750-BD89FD121EB9}"/>
    <cellStyle name="Normal 11 2 5 2 2 2 6 2" xfId="34409" xr:uid="{1660A7EC-94ED-4DDF-B71F-8F225F2EB7DE}"/>
    <cellStyle name="Normal 11 2 5 2 2 2 7" xfId="34410" xr:uid="{D8F38E82-3967-465E-BAAA-D7DAC3C5F254}"/>
    <cellStyle name="Normal 11 2 5 2 2 3" xfId="34411" xr:uid="{6A975700-D90C-43F9-B53C-642C959C7ADC}"/>
    <cellStyle name="Normal 11 2 5 2 2 3 2" xfId="34412" xr:uid="{7650B6DB-AAAB-40A4-9031-373BD5729B51}"/>
    <cellStyle name="Normal 11 2 5 2 2 3 2 2" xfId="34413" xr:uid="{EF856DE7-8208-4813-BD09-7006C21CA763}"/>
    <cellStyle name="Normal 11 2 5 2 2 3 2 2 2" xfId="34414" xr:uid="{F60E5D8A-86A8-4C53-9FA6-FE3933029576}"/>
    <cellStyle name="Normal 11 2 5 2 2 3 2 2 2 2" xfId="34415" xr:uid="{1339C17C-6278-409A-9572-3BF1ACD20108}"/>
    <cellStyle name="Normal 11 2 5 2 2 3 2 2 2 2 2" xfId="34416" xr:uid="{3511FBE0-2743-42E5-82DC-13BAACDE4272}"/>
    <cellStyle name="Normal 11 2 5 2 2 3 2 2 2 3" xfId="34417" xr:uid="{40446B42-B649-484F-87A6-AB4DC0EEAB54}"/>
    <cellStyle name="Normal 11 2 5 2 2 3 2 2 3" xfId="34418" xr:uid="{0D963955-3A88-4351-ADAB-B9F02FD3EC46}"/>
    <cellStyle name="Normal 11 2 5 2 2 3 2 2 3 2" xfId="34419" xr:uid="{B059A92E-BE4C-44FD-8B34-422F6DFBA59B}"/>
    <cellStyle name="Normal 11 2 5 2 2 3 2 2 4" xfId="34420" xr:uid="{D5C68323-71D8-4F7B-8021-79A14E15F540}"/>
    <cellStyle name="Normal 11 2 5 2 2 3 2 3" xfId="34421" xr:uid="{F9230912-36C7-47C6-A285-11F5AD5D4A72}"/>
    <cellStyle name="Normal 11 2 5 2 2 3 2 3 2" xfId="34422" xr:uid="{CB7E709F-2952-406D-AC6A-C58113F3678E}"/>
    <cellStyle name="Normal 11 2 5 2 2 3 2 3 2 2" xfId="34423" xr:uid="{FFEC2BEC-17ED-445B-A594-5A24B1FA2DEB}"/>
    <cellStyle name="Normal 11 2 5 2 2 3 2 3 3" xfId="34424" xr:uid="{C7D81D9D-BE16-4FD8-984A-08A8FAB6A42B}"/>
    <cellStyle name="Normal 11 2 5 2 2 3 2 4" xfId="34425" xr:uid="{2FDAD3B2-AC9C-47B0-8CB6-3D841CE6CD5E}"/>
    <cellStyle name="Normal 11 2 5 2 2 3 2 4 2" xfId="34426" xr:uid="{7F00ECE5-2CB1-4BD0-A436-CFDC645F1B16}"/>
    <cellStyle name="Normal 11 2 5 2 2 3 2 5" xfId="34427" xr:uid="{422BE768-75E4-49AA-A822-5B7373528F7D}"/>
    <cellStyle name="Normal 11 2 5 2 2 3 3" xfId="34428" xr:uid="{CEFEF948-7EF8-4F62-B2A1-C1958382B9C6}"/>
    <cellStyle name="Normal 11 2 5 2 2 3 3 2" xfId="34429" xr:uid="{65EF05A3-35F5-4622-A92B-46B475934BA9}"/>
    <cellStyle name="Normal 11 2 5 2 2 3 3 2 2" xfId="34430" xr:uid="{5CD776DF-87D5-4334-8396-0EA0B6ACB1F2}"/>
    <cellStyle name="Normal 11 2 5 2 2 3 3 2 2 2" xfId="34431" xr:uid="{352FC25D-90C7-4D18-BEAC-75988CE87DF9}"/>
    <cellStyle name="Normal 11 2 5 2 2 3 3 2 3" xfId="34432" xr:uid="{7FB3AEC0-C164-4B73-A82A-D692F5D3CEE1}"/>
    <cellStyle name="Normal 11 2 5 2 2 3 3 3" xfId="34433" xr:uid="{3C059FA3-467D-47D6-AAA7-AAB6BF8050D1}"/>
    <cellStyle name="Normal 11 2 5 2 2 3 3 3 2" xfId="34434" xr:uid="{2CCA58DC-5F18-4462-BA2E-707FB4745B5C}"/>
    <cellStyle name="Normal 11 2 5 2 2 3 3 4" xfId="34435" xr:uid="{EDFFC245-98E5-4655-AA1D-6EA9E343427F}"/>
    <cellStyle name="Normal 11 2 5 2 2 3 4" xfId="34436" xr:uid="{10FE178A-7CA2-448B-BD52-CBF77A89FD2D}"/>
    <cellStyle name="Normal 11 2 5 2 2 3 4 2" xfId="34437" xr:uid="{060D10CA-074F-4B32-9DA7-6EBC9E43C5E6}"/>
    <cellStyle name="Normal 11 2 5 2 2 3 4 2 2" xfId="34438" xr:uid="{F3689AB2-18EA-4293-A16C-4DC21D203059}"/>
    <cellStyle name="Normal 11 2 5 2 2 3 4 3" xfId="34439" xr:uid="{8FCADFB9-1001-4925-9D4D-6BE548998E3F}"/>
    <cellStyle name="Normal 11 2 5 2 2 3 5" xfId="34440" xr:uid="{6EEDE4DA-F0E2-42D5-B957-D8574835025F}"/>
    <cellStyle name="Normal 11 2 5 2 2 3 5 2" xfId="34441" xr:uid="{96DA5921-F4E4-4838-BFD3-F5AC9572EE99}"/>
    <cellStyle name="Normal 11 2 5 2 2 3 6" xfId="34442" xr:uid="{A45A153B-E77B-4E69-A6A0-7BE8A4747B07}"/>
    <cellStyle name="Normal 11 2 5 2 2 4" xfId="34443" xr:uid="{D2CBD617-58F6-4356-A1BE-CFBE6AA5BF81}"/>
    <cellStyle name="Normal 11 2 5 2 2 4 2" xfId="34444" xr:uid="{FF4827A4-A4C5-4F2B-85DB-6351A4498CAE}"/>
    <cellStyle name="Normal 11 2 5 2 2 4 2 2" xfId="34445" xr:uid="{041955A4-B757-497B-8B41-64AE3B0A9302}"/>
    <cellStyle name="Normal 11 2 5 2 2 4 2 2 2" xfId="34446" xr:uid="{0EEAEDD2-9B9F-44FB-81E6-9304790B5A28}"/>
    <cellStyle name="Normal 11 2 5 2 2 4 2 2 2 2" xfId="34447" xr:uid="{59C85355-14DD-4A95-B500-CF726B5B28E3}"/>
    <cellStyle name="Normal 11 2 5 2 2 4 2 2 3" xfId="34448" xr:uid="{F89D6809-84B2-4DEA-8A85-18F295F4D0DD}"/>
    <cellStyle name="Normal 11 2 5 2 2 4 2 3" xfId="34449" xr:uid="{3540F045-322A-4C4A-8EC8-AE32F9B3F231}"/>
    <cellStyle name="Normal 11 2 5 2 2 4 2 3 2" xfId="34450" xr:uid="{2AFA7208-EEF3-46B6-849E-D8D269A3A556}"/>
    <cellStyle name="Normal 11 2 5 2 2 4 2 4" xfId="34451" xr:uid="{0BD37928-3C29-42C4-A10B-4F9A336559A1}"/>
    <cellStyle name="Normal 11 2 5 2 2 4 3" xfId="34452" xr:uid="{B3D24DF0-A203-4F8D-9568-5E1556B58759}"/>
    <cellStyle name="Normal 11 2 5 2 2 4 3 2" xfId="34453" xr:uid="{4803831F-B6DC-43D5-9236-2AE57FB59636}"/>
    <cellStyle name="Normal 11 2 5 2 2 4 3 2 2" xfId="34454" xr:uid="{7F60E794-3D48-48F2-B2D7-BE356CA3A001}"/>
    <cellStyle name="Normal 11 2 5 2 2 4 3 3" xfId="34455" xr:uid="{EE8BEC58-0684-45A2-9A8C-DAA7F0F8E958}"/>
    <cellStyle name="Normal 11 2 5 2 2 4 4" xfId="34456" xr:uid="{652A42F0-167B-4D6F-AABD-0893B4DC135B}"/>
    <cellStyle name="Normal 11 2 5 2 2 4 4 2" xfId="34457" xr:uid="{B268B43E-D51A-4B66-A253-0A104BD7760D}"/>
    <cellStyle name="Normal 11 2 5 2 2 4 5" xfId="34458" xr:uid="{87515D7D-FFC1-47BB-86F6-ADBAA12EF865}"/>
    <cellStyle name="Normal 11 2 5 2 2 5" xfId="34459" xr:uid="{F7DC2DF2-A361-476F-943D-3B816670C3C4}"/>
    <cellStyle name="Normal 11 2 5 2 2 5 2" xfId="34460" xr:uid="{97993E88-45BA-4BC4-951C-BDAC6F4C90EC}"/>
    <cellStyle name="Normal 11 2 5 2 2 5 2 2" xfId="34461" xr:uid="{7567AF63-E88F-480B-A020-44E0BDE27A23}"/>
    <cellStyle name="Normal 11 2 5 2 2 5 2 2 2" xfId="34462" xr:uid="{9775BA64-A6E6-4F26-A7B6-1045A7C1EB15}"/>
    <cellStyle name="Normal 11 2 5 2 2 5 2 3" xfId="34463" xr:uid="{3CE5DC57-88C7-4C6A-A4D3-52E9F835A8BB}"/>
    <cellStyle name="Normal 11 2 5 2 2 5 3" xfId="34464" xr:uid="{9792D9C3-A9A6-4B33-A02E-BA6F2C9C8D7A}"/>
    <cellStyle name="Normal 11 2 5 2 2 5 3 2" xfId="34465" xr:uid="{0E98BC8B-077C-4F3B-9534-92C9ECFFB0BA}"/>
    <cellStyle name="Normal 11 2 5 2 2 5 4" xfId="34466" xr:uid="{B9F05997-02B1-44A3-8456-86874F082D94}"/>
    <cellStyle name="Normal 11 2 5 2 2 6" xfId="34467" xr:uid="{2E18A055-1635-492B-9261-7A363EC85044}"/>
    <cellStyle name="Normal 11 2 5 2 2 6 2" xfId="34468" xr:uid="{D61010BC-676E-4189-B315-451681180A65}"/>
    <cellStyle name="Normal 11 2 5 2 2 6 2 2" xfId="34469" xr:uid="{CFF0FD03-6B4D-413A-A058-263252870DE8}"/>
    <cellStyle name="Normal 11 2 5 2 2 6 3" xfId="34470" xr:uid="{F7030B54-467E-43F3-B854-C457A095CF93}"/>
    <cellStyle name="Normal 11 2 5 2 2 7" xfId="34471" xr:uid="{A4DF0B0B-5288-44A4-B4A1-83FAEC32A49B}"/>
    <cellStyle name="Normal 11 2 5 2 2 7 2" xfId="34472" xr:uid="{5A676EBD-2255-47A8-8B96-B1EC64689762}"/>
    <cellStyle name="Normal 11 2 5 2 2 8" xfId="34473" xr:uid="{62E6EAFE-FF9A-4BB5-93B1-F0C96BB95F5F}"/>
    <cellStyle name="Normal 11 2 5 2 3" xfId="34474" xr:uid="{666FF3E2-C6A1-4B25-BCB4-CE583585FFE7}"/>
    <cellStyle name="Normal 11 2 5 2 3 2" xfId="34475" xr:uid="{7ACB7F08-322B-418A-9D8F-09DDDB9447EA}"/>
    <cellStyle name="Normal 11 2 5 2 3 2 2" xfId="34476" xr:uid="{0BB3B086-CCFD-4DDC-B0CD-9EB46EE42978}"/>
    <cellStyle name="Normal 11 2 5 2 3 2 2 2" xfId="34477" xr:uid="{9EF49539-6FBA-482C-88D4-53063910356E}"/>
    <cellStyle name="Normal 11 2 5 2 3 2 2 2 2" xfId="34478" xr:uid="{06F090DB-1E9B-4BCA-869A-9405D3FDE618}"/>
    <cellStyle name="Normal 11 2 5 2 3 2 2 2 2 2" xfId="34479" xr:uid="{B845D706-ED17-4B30-B506-0A848460AEC6}"/>
    <cellStyle name="Normal 11 2 5 2 3 2 2 2 2 2 2" xfId="34480" xr:uid="{2B7AD3A0-9442-4C67-830E-7976BBB436BF}"/>
    <cellStyle name="Normal 11 2 5 2 3 2 2 2 2 3" xfId="34481" xr:uid="{1CECA4F5-44AF-4B08-9FE8-D7991409E228}"/>
    <cellStyle name="Normal 11 2 5 2 3 2 2 2 3" xfId="34482" xr:uid="{BA676826-FA1F-451A-8BD5-F3BBD127B1DA}"/>
    <cellStyle name="Normal 11 2 5 2 3 2 2 2 3 2" xfId="34483" xr:uid="{8E302033-0A29-4B4A-9451-B7CEC9D18798}"/>
    <cellStyle name="Normal 11 2 5 2 3 2 2 2 4" xfId="34484" xr:uid="{6CE177FF-B5E2-42F7-8905-DA24760D21FB}"/>
    <cellStyle name="Normal 11 2 5 2 3 2 2 3" xfId="34485" xr:uid="{2EB57BBF-3229-45A1-B81A-9458E27F414E}"/>
    <cellStyle name="Normal 11 2 5 2 3 2 2 3 2" xfId="34486" xr:uid="{050C41D6-0869-4F8B-BA9E-A7E413CE02C4}"/>
    <cellStyle name="Normal 11 2 5 2 3 2 2 3 2 2" xfId="34487" xr:uid="{8ED15C40-A363-4CE7-91B8-62F274DD06DD}"/>
    <cellStyle name="Normal 11 2 5 2 3 2 2 3 3" xfId="34488" xr:uid="{33C87AA3-6C93-471F-B68D-FEB7DCEA8831}"/>
    <cellStyle name="Normal 11 2 5 2 3 2 2 4" xfId="34489" xr:uid="{EE210F87-9B18-4FE0-AAF8-AE90251C1E7D}"/>
    <cellStyle name="Normal 11 2 5 2 3 2 2 4 2" xfId="34490" xr:uid="{19AB5028-3DA7-4198-A6C1-E47DDE62BF65}"/>
    <cellStyle name="Normal 11 2 5 2 3 2 2 5" xfId="34491" xr:uid="{9899EC06-C753-4CC8-A910-8ED6C9D369D1}"/>
    <cellStyle name="Normal 11 2 5 2 3 2 3" xfId="34492" xr:uid="{B9D97DD1-23E5-46B1-BC91-0AE3A7518AB3}"/>
    <cellStyle name="Normal 11 2 5 2 3 2 3 2" xfId="34493" xr:uid="{2FC1C0C4-6A8B-4453-AE27-E7A5E1393B8E}"/>
    <cellStyle name="Normal 11 2 5 2 3 2 3 2 2" xfId="34494" xr:uid="{1BFA7800-49B0-4A9E-95EA-7070CD74325C}"/>
    <cellStyle name="Normal 11 2 5 2 3 2 3 2 2 2" xfId="34495" xr:uid="{27DE16D8-C27C-46AF-8647-3DE1ACB23FE0}"/>
    <cellStyle name="Normal 11 2 5 2 3 2 3 2 3" xfId="34496" xr:uid="{40B952E5-7BAA-4677-8D1A-5EE947E4FD92}"/>
    <cellStyle name="Normal 11 2 5 2 3 2 3 3" xfId="34497" xr:uid="{D9C936BA-EC67-411C-B1DE-31E8B82E3106}"/>
    <cellStyle name="Normal 11 2 5 2 3 2 3 3 2" xfId="34498" xr:uid="{E7ED847C-6DD5-4852-890B-A3EA789BCC7E}"/>
    <cellStyle name="Normal 11 2 5 2 3 2 3 4" xfId="34499" xr:uid="{4BBB3B4B-A67B-409D-AE59-DEE724547E88}"/>
    <cellStyle name="Normal 11 2 5 2 3 2 4" xfId="34500" xr:uid="{54C030E6-3CCF-4226-A707-4D05D579CA09}"/>
    <cellStyle name="Normal 11 2 5 2 3 2 4 2" xfId="34501" xr:uid="{27DEF4D1-BD3F-427A-8589-59CFF04EF467}"/>
    <cellStyle name="Normal 11 2 5 2 3 2 4 2 2" xfId="34502" xr:uid="{B249136F-F107-4151-BCA5-B0925ABBFD36}"/>
    <cellStyle name="Normal 11 2 5 2 3 2 4 3" xfId="34503" xr:uid="{999400CD-B448-4734-852F-65EBC302276C}"/>
    <cellStyle name="Normal 11 2 5 2 3 2 5" xfId="34504" xr:uid="{46F60F3F-234C-49EB-917E-CFF778B07CD9}"/>
    <cellStyle name="Normal 11 2 5 2 3 2 5 2" xfId="34505" xr:uid="{437C7376-D8D9-4DBD-A10C-B4D6D981C505}"/>
    <cellStyle name="Normal 11 2 5 2 3 2 6" xfId="34506" xr:uid="{65854DEC-DAB9-49EC-9C0E-0E8C9C8B7582}"/>
    <cellStyle name="Normal 11 2 5 2 3 3" xfId="34507" xr:uid="{E1738DBB-A51B-4AF2-9659-C0703B9AF923}"/>
    <cellStyle name="Normal 11 2 5 2 3 3 2" xfId="34508" xr:uid="{5C13E568-F766-444F-B55B-A733F4A45B96}"/>
    <cellStyle name="Normal 11 2 5 2 3 3 2 2" xfId="34509" xr:uid="{2B068E87-4919-4ED8-96E1-1ABC65F8011C}"/>
    <cellStyle name="Normal 11 2 5 2 3 3 2 2 2" xfId="34510" xr:uid="{FF64D2D5-BFBB-4219-A183-CB528226DE32}"/>
    <cellStyle name="Normal 11 2 5 2 3 3 2 2 2 2" xfId="34511" xr:uid="{50396FF1-0C95-4293-AA05-8739353C9E8A}"/>
    <cellStyle name="Normal 11 2 5 2 3 3 2 2 3" xfId="34512" xr:uid="{C5787ED2-F9BD-4EA1-9CF5-2937CD40A3CD}"/>
    <cellStyle name="Normal 11 2 5 2 3 3 2 3" xfId="34513" xr:uid="{950D173A-42F6-433F-BF77-4EC2D93F1F31}"/>
    <cellStyle name="Normal 11 2 5 2 3 3 2 3 2" xfId="34514" xr:uid="{9F1558DB-7E73-47E8-AF67-1EF6B533F2A4}"/>
    <cellStyle name="Normal 11 2 5 2 3 3 2 4" xfId="34515" xr:uid="{123219F4-EC52-4A1F-899D-89E7859FB0A8}"/>
    <cellStyle name="Normal 11 2 5 2 3 3 3" xfId="34516" xr:uid="{5113A61B-A6F4-4AA9-A411-3BC947EBBB6A}"/>
    <cellStyle name="Normal 11 2 5 2 3 3 3 2" xfId="34517" xr:uid="{27B6C6DC-79E7-464D-B722-37E490931EAB}"/>
    <cellStyle name="Normal 11 2 5 2 3 3 3 2 2" xfId="34518" xr:uid="{B67D7788-499F-4BB1-982B-A66BCBCB1107}"/>
    <cellStyle name="Normal 11 2 5 2 3 3 3 3" xfId="34519" xr:uid="{678439B0-9523-4707-9A04-7E9FE3637B8F}"/>
    <cellStyle name="Normal 11 2 5 2 3 3 4" xfId="34520" xr:uid="{698D6D2C-5DA1-4424-A116-B68D3F35CE4E}"/>
    <cellStyle name="Normal 11 2 5 2 3 3 4 2" xfId="34521" xr:uid="{CD15105F-E365-4B4B-9108-265E91DF860F}"/>
    <cellStyle name="Normal 11 2 5 2 3 3 5" xfId="34522" xr:uid="{9019D814-CBFB-4C3C-9DEE-A9A16CC5DAB2}"/>
    <cellStyle name="Normal 11 2 5 2 3 4" xfId="34523" xr:uid="{8646B647-F0F8-4DBC-A8E0-2632AD2BA904}"/>
    <cellStyle name="Normal 11 2 5 2 3 4 2" xfId="34524" xr:uid="{B7CED3AF-2F24-498A-B391-AD29C263451E}"/>
    <cellStyle name="Normal 11 2 5 2 3 4 2 2" xfId="34525" xr:uid="{DABF72FD-9473-47CE-B347-759A3A75A5C2}"/>
    <cellStyle name="Normal 11 2 5 2 3 4 2 2 2" xfId="34526" xr:uid="{0DDB2F4D-02CA-4811-98B0-517A82B7BBAB}"/>
    <cellStyle name="Normal 11 2 5 2 3 4 2 3" xfId="34527" xr:uid="{BCDB34A4-A333-4540-B408-A217FA347376}"/>
    <cellStyle name="Normal 11 2 5 2 3 4 3" xfId="34528" xr:uid="{61066A30-3D13-4AE7-B04E-F16FFF251063}"/>
    <cellStyle name="Normal 11 2 5 2 3 4 3 2" xfId="34529" xr:uid="{4A5333A1-B0AD-4AE8-B495-6FB6AC0656CB}"/>
    <cellStyle name="Normal 11 2 5 2 3 4 4" xfId="34530" xr:uid="{D9458815-19B5-4126-8319-5A81AA7C199B}"/>
    <cellStyle name="Normal 11 2 5 2 3 5" xfId="34531" xr:uid="{F7CAAED2-C8F8-49B1-9E3F-AD03CC080EF7}"/>
    <cellStyle name="Normal 11 2 5 2 3 5 2" xfId="34532" xr:uid="{7EAE34EB-C938-4312-A011-C21EA3222BAF}"/>
    <cellStyle name="Normal 11 2 5 2 3 5 2 2" xfId="34533" xr:uid="{CAC8E8C3-F489-4481-ACB4-864B8D488AC6}"/>
    <cellStyle name="Normal 11 2 5 2 3 5 3" xfId="34534" xr:uid="{A7AFD74B-C8E6-4EE2-8AE0-A0EC79488027}"/>
    <cellStyle name="Normal 11 2 5 2 3 6" xfId="34535" xr:uid="{4BDB716F-2C56-45CF-8CF4-B7C71B52AF5E}"/>
    <cellStyle name="Normal 11 2 5 2 3 6 2" xfId="34536" xr:uid="{B3D87E42-781F-473D-8F9E-0CDBFC136633}"/>
    <cellStyle name="Normal 11 2 5 2 3 7" xfId="34537" xr:uid="{30A70248-AFC6-4666-BCE4-4FC53F979DC8}"/>
    <cellStyle name="Normal 11 2 5 2 4" xfId="34538" xr:uid="{320FBAC8-DBCC-4BFB-8C24-A39802B03CFB}"/>
    <cellStyle name="Normal 11 2 5 2 4 2" xfId="34539" xr:uid="{7AEE978B-3AB9-434D-BB02-E4EF2CD1C200}"/>
    <cellStyle name="Normal 11 2 5 2 4 2 2" xfId="34540" xr:uid="{E0955C74-85F6-4E57-B5E9-D6ECF9AA2069}"/>
    <cellStyle name="Normal 11 2 5 2 4 2 2 2" xfId="34541" xr:uid="{C31CB02F-18FD-4B58-8F59-E9C1EA16FDFC}"/>
    <cellStyle name="Normal 11 2 5 2 4 2 2 2 2" xfId="34542" xr:uid="{A66DD0F9-8AA3-4FEE-A9C8-F859607BA91C}"/>
    <cellStyle name="Normal 11 2 5 2 4 2 2 2 2 2" xfId="34543" xr:uid="{98336CD8-C5D9-4674-9F36-21C02814EB96}"/>
    <cellStyle name="Normal 11 2 5 2 4 2 2 2 3" xfId="34544" xr:uid="{B944BABD-B20A-46F9-A33C-F9B3F292A88B}"/>
    <cellStyle name="Normal 11 2 5 2 4 2 2 3" xfId="34545" xr:uid="{0D2392D5-6B30-40A4-927B-92599DAB1586}"/>
    <cellStyle name="Normal 11 2 5 2 4 2 2 3 2" xfId="34546" xr:uid="{B72DB1B8-17C3-4A61-8BDE-E097089EB4F4}"/>
    <cellStyle name="Normal 11 2 5 2 4 2 2 4" xfId="34547" xr:uid="{1B25F9B2-B4F1-44BD-9110-F2707D64C31E}"/>
    <cellStyle name="Normal 11 2 5 2 4 2 3" xfId="34548" xr:uid="{F37EB39A-8BD0-4972-AAD4-9ECA8E25D17E}"/>
    <cellStyle name="Normal 11 2 5 2 4 2 3 2" xfId="34549" xr:uid="{71DEBC4F-51E0-4BC7-88D1-64851F683772}"/>
    <cellStyle name="Normal 11 2 5 2 4 2 3 2 2" xfId="34550" xr:uid="{EB801106-38F6-43CA-9C66-84B188962550}"/>
    <cellStyle name="Normal 11 2 5 2 4 2 3 3" xfId="34551" xr:uid="{5358FB2B-3B48-49A1-A784-7B820FF360EB}"/>
    <cellStyle name="Normal 11 2 5 2 4 2 4" xfId="34552" xr:uid="{B8006284-B78C-4287-94C7-3B0EB70E36DE}"/>
    <cellStyle name="Normal 11 2 5 2 4 2 4 2" xfId="34553" xr:uid="{05AE7C16-8843-4FD6-AFEB-E082595D6510}"/>
    <cellStyle name="Normal 11 2 5 2 4 2 5" xfId="34554" xr:uid="{04AF0C84-73AA-40EE-874C-F2AB177F3B97}"/>
    <cellStyle name="Normal 11 2 5 2 4 3" xfId="34555" xr:uid="{9025276A-65A7-4825-82A0-4CB085CBB6AA}"/>
    <cellStyle name="Normal 11 2 5 2 4 3 2" xfId="34556" xr:uid="{3F45641E-F5AC-429C-B783-FF128F308B37}"/>
    <cellStyle name="Normal 11 2 5 2 4 3 2 2" xfId="34557" xr:uid="{3CFB7244-0426-4074-AC3A-BC8485CF9CBE}"/>
    <cellStyle name="Normal 11 2 5 2 4 3 2 2 2" xfId="34558" xr:uid="{7AEED2BF-6104-4CE2-AE66-39E4658F18B2}"/>
    <cellStyle name="Normal 11 2 5 2 4 3 2 3" xfId="34559" xr:uid="{A434B1E1-82F9-448B-8996-556E9FE388DC}"/>
    <cellStyle name="Normal 11 2 5 2 4 3 3" xfId="34560" xr:uid="{473D6C32-8337-47D3-A992-A2350E5EEA80}"/>
    <cellStyle name="Normal 11 2 5 2 4 3 3 2" xfId="34561" xr:uid="{23D4AFB7-D125-487A-ABC1-F8A921B66474}"/>
    <cellStyle name="Normal 11 2 5 2 4 3 4" xfId="34562" xr:uid="{9A75A848-325E-4184-AB0A-7F6699EA9244}"/>
    <cellStyle name="Normal 11 2 5 2 4 4" xfId="34563" xr:uid="{F403362D-7FD4-4344-B5C9-854E7D328789}"/>
    <cellStyle name="Normal 11 2 5 2 4 4 2" xfId="34564" xr:uid="{F502EA78-18EE-4F4C-B4B8-D67A59D3C061}"/>
    <cellStyle name="Normal 11 2 5 2 4 4 2 2" xfId="34565" xr:uid="{11B5C0A3-C7D3-4C49-A239-D8405E0BBEB1}"/>
    <cellStyle name="Normal 11 2 5 2 4 4 3" xfId="34566" xr:uid="{C00B740E-9D6F-4F92-99B5-7AD2B2880C58}"/>
    <cellStyle name="Normal 11 2 5 2 4 5" xfId="34567" xr:uid="{E531A5DE-7D5C-4652-BEE7-166252A87B7C}"/>
    <cellStyle name="Normal 11 2 5 2 4 5 2" xfId="34568" xr:uid="{C864A64A-2A3E-45ED-96F7-0D7CE496EDC5}"/>
    <cellStyle name="Normal 11 2 5 2 4 6" xfId="34569" xr:uid="{35188C1E-D92B-4A80-93FA-BC2C5943C886}"/>
    <cellStyle name="Normal 11 2 5 2 5" xfId="34570" xr:uid="{0D9932AB-E2F7-4981-A436-D234AA66F6B6}"/>
    <cellStyle name="Normal 11 2 5 2 5 2" xfId="34571" xr:uid="{309D17C8-634E-4D18-BDD9-3FE3F17EB958}"/>
    <cellStyle name="Normal 11 2 5 2 5 2 2" xfId="34572" xr:uid="{E561CC77-7801-4EF5-874A-741FB621BF09}"/>
    <cellStyle name="Normal 11 2 5 2 5 2 2 2" xfId="34573" xr:uid="{0A6B58F7-7594-419D-8F4A-2D9A7B904852}"/>
    <cellStyle name="Normal 11 2 5 2 5 2 2 2 2" xfId="34574" xr:uid="{69E03A36-A67B-4AF5-A6B3-E586801A8776}"/>
    <cellStyle name="Normal 11 2 5 2 5 2 2 3" xfId="34575" xr:uid="{4526E8A6-3D93-45C1-A40E-5BE250FC2D53}"/>
    <cellStyle name="Normal 11 2 5 2 5 2 3" xfId="34576" xr:uid="{37282432-AB4F-4FC5-9921-DA1ECACCE032}"/>
    <cellStyle name="Normal 11 2 5 2 5 2 3 2" xfId="34577" xr:uid="{630D5A72-850C-4D72-861B-57982B22B665}"/>
    <cellStyle name="Normal 11 2 5 2 5 2 4" xfId="34578" xr:uid="{EE250632-84E7-4A33-877B-4970521AF10E}"/>
    <cellStyle name="Normal 11 2 5 2 5 3" xfId="34579" xr:uid="{331DFB68-871D-417A-B8DA-483457274F65}"/>
    <cellStyle name="Normal 11 2 5 2 5 3 2" xfId="34580" xr:uid="{0F025B60-62D1-4BB9-9ABF-FCB32B4FA1DE}"/>
    <cellStyle name="Normal 11 2 5 2 5 3 2 2" xfId="34581" xr:uid="{37A7C242-6072-4AD9-9E61-417D9D35B06B}"/>
    <cellStyle name="Normal 11 2 5 2 5 3 3" xfId="34582" xr:uid="{1761CE60-E971-4C56-A0C1-F332BA04C4AE}"/>
    <cellStyle name="Normal 11 2 5 2 5 4" xfId="34583" xr:uid="{F905CFB7-4679-419B-96A4-ECD96B67DFEB}"/>
    <cellStyle name="Normal 11 2 5 2 5 4 2" xfId="34584" xr:uid="{20D8C6CC-DC00-4AFB-ADB5-5261864FC64A}"/>
    <cellStyle name="Normal 11 2 5 2 5 5" xfId="34585" xr:uid="{FAA8316A-53D4-4814-A079-124BC22EDE7B}"/>
    <cellStyle name="Normal 11 2 5 2 6" xfId="34586" xr:uid="{080A3703-766A-485F-9F3A-49E89417EB59}"/>
    <cellStyle name="Normal 11 2 5 2 6 2" xfId="34587" xr:uid="{0C94CD12-DBF4-4868-8C4D-0EF32314FBA3}"/>
    <cellStyle name="Normal 11 2 5 2 6 2 2" xfId="34588" xr:uid="{941DC65D-B848-4434-A954-C71531282598}"/>
    <cellStyle name="Normal 11 2 5 2 6 2 2 2" xfId="34589" xr:uid="{6A70DD44-9F25-43CD-BBD7-F736D2F68F56}"/>
    <cellStyle name="Normal 11 2 5 2 6 2 3" xfId="34590" xr:uid="{8A7F1031-7291-40CF-B92A-850FE0CB7D41}"/>
    <cellStyle name="Normal 11 2 5 2 6 3" xfId="34591" xr:uid="{4079464F-5126-4277-8048-C36D027C2364}"/>
    <cellStyle name="Normal 11 2 5 2 6 3 2" xfId="34592" xr:uid="{77B875FC-0F9B-4369-96E0-25C980BCBC95}"/>
    <cellStyle name="Normal 11 2 5 2 6 4" xfId="34593" xr:uid="{F8A344A8-4CD5-4DA1-B28B-2129ED2564B9}"/>
    <cellStyle name="Normal 11 2 5 2 7" xfId="34594" xr:uid="{A497C7D6-C9AB-491B-A4AA-86714746C5D7}"/>
    <cellStyle name="Normal 11 2 5 2 7 2" xfId="34595" xr:uid="{34E601BF-CE1D-44EC-9D9F-F36F15C1F4C8}"/>
    <cellStyle name="Normal 11 2 5 2 7 2 2" xfId="34596" xr:uid="{C978469B-C253-4744-BB9E-7CF118DDE9AF}"/>
    <cellStyle name="Normal 11 2 5 2 7 3" xfId="34597" xr:uid="{6BA0E835-9184-4D9E-86F4-9B34F2F6197A}"/>
    <cellStyle name="Normal 11 2 5 2 8" xfId="34598" xr:uid="{5986056A-D831-4563-BD9A-69BE0E84648D}"/>
    <cellStyle name="Normal 11 2 5 2 8 2" xfId="34599" xr:uid="{CD95BB11-57EF-4051-AFC9-0B70F34DE45B}"/>
    <cellStyle name="Normal 11 2 5 2 9" xfId="34600" xr:uid="{3ADA3A8F-1552-40BA-AE2C-6E8290186944}"/>
    <cellStyle name="Normal 11 2 5 3" xfId="455" xr:uid="{B714826E-38F9-487B-A760-ED21083EAB34}"/>
    <cellStyle name="Normal 11 2 5 3 2" xfId="34602" xr:uid="{7EC570C0-38C2-49DA-AB72-7C3B6A3E658D}"/>
    <cellStyle name="Normal 11 2 5 3 2 2" xfId="34603" xr:uid="{17E239FE-F613-47D8-A426-9DC6C703312B}"/>
    <cellStyle name="Normal 11 2 5 3 2 2 2" xfId="34604" xr:uid="{B214FBFF-9413-4744-AE85-CE0C05B6604D}"/>
    <cellStyle name="Normal 11 2 5 3 2 2 2 2" xfId="34605" xr:uid="{D3523955-7EA7-405F-91E0-43FDE9847421}"/>
    <cellStyle name="Normal 11 2 5 3 2 2 2 2 2" xfId="34606" xr:uid="{ADF12BA1-BEEB-4834-AFDB-1941C55C2051}"/>
    <cellStyle name="Normal 11 2 5 3 2 2 2 2 2 2" xfId="34607" xr:uid="{1CEA293B-85F6-439B-B2D7-E9707BB44CF7}"/>
    <cellStyle name="Normal 11 2 5 3 2 2 2 2 2 2 2" xfId="34608" xr:uid="{885E1A97-A72C-47B0-B39E-99464CA41B82}"/>
    <cellStyle name="Normal 11 2 5 3 2 2 2 2 2 3" xfId="34609" xr:uid="{A099024F-F83E-42F9-84F9-152A02863662}"/>
    <cellStyle name="Normal 11 2 5 3 2 2 2 2 3" xfId="34610" xr:uid="{AE1888F9-D046-4FD6-BB65-B40F39807637}"/>
    <cellStyle name="Normal 11 2 5 3 2 2 2 2 3 2" xfId="34611" xr:uid="{80A40D9A-75E0-489C-8590-76A3E735CB9F}"/>
    <cellStyle name="Normal 11 2 5 3 2 2 2 2 4" xfId="34612" xr:uid="{8BF3218B-B56A-4B64-B51D-DEFAE095A18D}"/>
    <cellStyle name="Normal 11 2 5 3 2 2 2 3" xfId="34613" xr:uid="{7ED45BA6-94DB-4023-90C3-F8CBB6EDDFED}"/>
    <cellStyle name="Normal 11 2 5 3 2 2 2 3 2" xfId="34614" xr:uid="{2FC0096B-0882-4FC2-810E-A77FEEE88E70}"/>
    <cellStyle name="Normal 11 2 5 3 2 2 2 3 2 2" xfId="34615" xr:uid="{15D9AFA8-DC1C-44DA-8684-1CDA97386F7F}"/>
    <cellStyle name="Normal 11 2 5 3 2 2 2 3 3" xfId="34616" xr:uid="{CECC5746-0570-4642-8E9A-8341ABF7B977}"/>
    <cellStyle name="Normal 11 2 5 3 2 2 2 4" xfId="34617" xr:uid="{547F333E-B2EB-4461-ADE5-E0B09FBC0A43}"/>
    <cellStyle name="Normal 11 2 5 3 2 2 2 4 2" xfId="34618" xr:uid="{CBF7BB1F-F431-4D63-B7D5-6AEE759AB019}"/>
    <cellStyle name="Normal 11 2 5 3 2 2 2 5" xfId="34619" xr:uid="{95E283C9-93FE-413C-A7B8-3200728B4E40}"/>
    <cellStyle name="Normal 11 2 5 3 2 2 3" xfId="34620" xr:uid="{E135776A-9780-4CCC-90A7-7535F3622FA4}"/>
    <cellStyle name="Normal 11 2 5 3 2 2 3 2" xfId="34621" xr:uid="{EA6E1E38-88EC-49A1-88ED-9C3D0E4BF1D4}"/>
    <cellStyle name="Normal 11 2 5 3 2 2 3 2 2" xfId="34622" xr:uid="{5D93653D-9657-4EF8-A321-02AE5ED3EE12}"/>
    <cellStyle name="Normal 11 2 5 3 2 2 3 2 2 2" xfId="34623" xr:uid="{2619867F-1E1D-45B5-B78E-31377EECE8A0}"/>
    <cellStyle name="Normal 11 2 5 3 2 2 3 2 3" xfId="34624" xr:uid="{902BE416-46AD-4433-81AC-836E6B038A23}"/>
    <cellStyle name="Normal 11 2 5 3 2 2 3 3" xfId="34625" xr:uid="{0C33D024-8F26-42E6-8418-1ABE4B15393A}"/>
    <cellStyle name="Normal 11 2 5 3 2 2 3 3 2" xfId="34626" xr:uid="{270E5F75-3686-497C-9458-0EE5707546EF}"/>
    <cellStyle name="Normal 11 2 5 3 2 2 3 4" xfId="34627" xr:uid="{D4B0F1BE-85BA-42D3-8EF9-E1BA8969B134}"/>
    <cellStyle name="Normal 11 2 5 3 2 2 4" xfId="34628" xr:uid="{B7B285E1-0627-45EB-988A-BB793DC33476}"/>
    <cellStyle name="Normal 11 2 5 3 2 2 4 2" xfId="34629" xr:uid="{220AD414-9C04-4D13-9E51-83639B7991F4}"/>
    <cellStyle name="Normal 11 2 5 3 2 2 4 2 2" xfId="34630" xr:uid="{C38AB01F-381A-4136-B2C9-CA7859420448}"/>
    <cellStyle name="Normal 11 2 5 3 2 2 4 3" xfId="34631" xr:uid="{99399B15-CDD6-43C9-B51D-56D79AB8221D}"/>
    <cellStyle name="Normal 11 2 5 3 2 2 5" xfId="34632" xr:uid="{D4CBA32D-8A0F-4AD7-A538-59AFFF184765}"/>
    <cellStyle name="Normal 11 2 5 3 2 2 5 2" xfId="34633" xr:uid="{42AC528D-B19A-4CCC-81A7-CB1149607BB6}"/>
    <cellStyle name="Normal 11 2 5 3 2 2 6" xfId="34634" xr:uid="{516423D1-9345-402F-AFC2-6609DE8037FD}"/>
    <cellStyle name="Normal 11 2 5 3 2 3" xfId="34635" xr:uid="{3C3C419B-CC0B-478D-8F8A-D84300DB715A}"/>
    <cellStyle name="Normal 11 2 5 3 2 3 2" xfId="34636" xr:uid="{81A05907-45F3-4685-96AD-2507BF10FDD4}"/>
    <cellStyle name="Normal 11 2 5 3 2 3 2 2" xfId="34637" xr:uid="{24496ECA-61E5-4D8B-9C4E-15CF4A4424E5}"/>
    <cellStyle name="Normal 11 2 5 3 2 3 2 2 2" xfId="34638" xr:uid="{91CAB484-89EF-41EC-87D1-73607533BF58}"/>
    <cellStyle name="Normal 11 2 5 3 2 3 2 2 2 2" xfId="34639" xr:uid="{3DC49883-0C9E-42EF-82BC-36BCDFC9124B}"/>
    <cellStyle name="Normal 11 2 5 3 2 3 2 2 3" xfId="34640" xr:uid="{2DE670D9-CF49-4E03-9596-AB41B7CCD633}"/>
    <cellStyle name="Normal 11 2 5 3 2 3 2 3" xfId="34641" xr:uid="{427C60A3-3D36-4B74-A495-684A518B652F}"/>
    <cellStyle name="Normal 11 2 5 3 2 3 2 3 2" xfId="34642" xr:uid="{D6403A74-4AA4-4F1A-BE67-771678AD547D}"/>
    <cellStyle name="Normal 11 2 5 3 2 3 2 4" xfId="34643" xr:uid="{8A3D685C-C3C7-485C-A7DB-F84E06DCE21E}"/>
    <cellStyle name="Normal 11 2 5 3 2 3 3" xfId="34644" xr:uid="{42969970-F5DE-4E19-BEFB-4CF1F22CCEE5}"/>
    <cellStyle name="Normal 11 2 5 3 2 3 3 2" xfId="34645" xr:uid="{F40F22F0-9AD0-40C8-A708-BF21E8BED2C5}"/>
    <cellStyle name="Normal 11 2 5 3 2 3 3 2 2" xfId="34646" xr:uid="{2860E3E1-DFFA-4467-9828-53A09154AF96}"/>
    <cellStyle name="Normal 11 2 5 3 2 3 3 3" xfId="34647" xr:uid="{CCE2BC12-10EF-4CF0-BAC2-51BFC74BC1CD}"/>
    <cellStyle name="Normal 11 2 5 3 2 3 4" xfId="34648" xr:uid="{A58FBE92-CB43-43EE-8D77-FD19165F54E9}"/>
    <cellStyle name="Normal 11 2 5 3 2 3 4 2" xfId="34649" xr:uid="{D51FD38C-307C-4718-A22E-4C5DF787D6FA}"/>
    <cellStyle name="Normal 11 2 5 3 2 3 5" xfId="34650" xr:uid="{8E5780CD-5B11-4526-BF52-C5F6AAC120ED}"/>
    <cellStyle name="Normal 11 2 5 3 2 4" xfId="34651" xr:uid="{679C8019-9A2E-4DD2-BF57-95A93F44153A}"/>
    <cellStyle name="Normal 11 2 5 3 2 4 2" xfId="34652" xr:uid="{5397BD5A-A412-43B9-B466-12166CD674A8}"/>
    <cellStyle name="Normal 11 2 5 3 2 4 2 2" xfId="34653" xr:uid="{947FCE55-DEF9-4F38-A90F-13FA4A9C538A}"/>
    <cellStyle name="Normal 11 2 5 3 2 4 2 2 2" xfId="34654" xr:uid="{1AC681E0-7923-4DA5-A07F-C0822EB9C7E3}"/>
    <cellStyle name="Normal 11 2 5 3 2 4 2 3" xfId="34655" xr:uid="{3B3C5FD4-877D-4652-A29D-6BB625D627F6}"/>
    <cellStyle name="Normal 11 2 5 3 2 4 3" xfId="34656" xr:uid="{FDFBF91A-6309-4715-A1BC-C9E414E00D9B}"/>
    <cellStyle name="Normal 11 2 5 3 2 4 3 2" xfId="34657" xr:uid="{489278D0-50A5-4E57-9709-D6125E8AB839}"/>
    <cellStyle name="Normal 11 2 5 3 2 4 4" xfId="34658" xr:uid="{60415413-1947-47A6-8C95-9DE4ECBFB390}"/>
    <cellStyle name="Normal 11 2 5 3 2 5" xfId="34659" xr:uid="{F8953539-EF63-4829-A117-E77A74458509}"/>
    <cellStyle name="Normal 11 2 5 3 2 5 2" xfId="34660" xr:uid="{B7EFB434-7B8C-4823-80C5-377C2B3E5167}"/>
    <cellStyle name="Normal 11 2 5 3 2 5 2 2" xfId="34661" xr:uid="{BB3E0981-3F34-4009-8C08-F34B263E7057}"/>
    <cellStyle name="Normal 11 2 5 3 2 5 3" xfId="34662" xr:uid="{04118BAD-0AB1-4CE6-9AA9-8B97158F0573}"/>
    <cellStyle name="Normal 11 2 5 3 2 6" xfId="34663" xr:uid="{E718C40F-A925-48A7-AEEA-AC9E2D4A5837}"/>
    <cellStyle name="Normal 11 2 5 3 2 6 2" xfId="34664" xr:uid="{7857432E-041B-4AB9-8BFE-8A5F2AC079E5}"/>
    <cellStyle name="Normal 11 2 5 3 2 7" xfId="34665" xr:uid="{DFDFBB9B-2237-48AF-AC7D-A635A3CB6A38}"/>
    <cellStyle name="Normal 11 2 5 3 3" xfId="34666" xr:uid="{4295A233-54D4-4959-9F91-E20CA9B6C259}"/>
    <cellStyle name="Normal 11 2 5 3 3 2" xfId="34667" xr:uid="{6017DC60-504F-4BE3-B109-82D66698C174}"/>
    <cellStyle name="Normal 11 2 5 3 3 2 2" xfId="34668" xr:uid="{D42586FC-1EB4-4CDD-B574-64C4A25E9E2E}"/>
    <cellStyle name="Normal 11 2 5 3 3 2 2 2" xfId="34669" xr:uid="{7A933A69-3EB7-4F40-AF94-3929089E6237}"/>
    <cellStyle name="Normal 11 2 5 3 3 2 2 2 2" xfId="34670" xr:uid="{82F3DCB7-B07A-4E8E-A302-9F143CAFC5E9}"/>
    <cellStyle name="Normal 11 2 5 3 3 2 2 2 2 2" xfId="34671" xr:uid="{78C65946-CAC9-493D-B352-CE8F116FC301}"/>
    <cellStyle name="Normal 11 2 5 3 3 2 2 2 3" xfId="34672" xr:uid="{5B74544D-BA48-42FC-A160-E0E1D0A97E72}"/>
    <cellStyle name="Normal 11 2 5 3 3 2 2 3" xfId="34673" xr:uid="{52CB0015-2575-4BD0-9EF9-58F5024EAAE4}"/>
    <cellStyle name="Normal 11 2 5 3 3 2 2 3 2" xfId="34674" xr:uid="{A60AD949-2A0C-4558-8CDA-CE359BBCF459}"/>
    <cellStyle name="Normal 11 2 5 3 3 2 2 4" xfId="34675" xr:uid="{302C4891-DBF3-4538-B9FC-A52AB602BC46}"/>
    <cellStyle name="Normal 11 2 5 3 3 2 3" xfId="34676" xr:uid="{AB1D22AE-6409-4D05-A0CA-B4735339C3AD}"/>
    <cellStyle name="Normal 11 2 5 3 3 2 3 2" xfId="34677" xr:uid="{4DD33BAA-CC8F-4B77-A79E-4AFA152D1611}"/>
    <cellStyle name="Normal 11 2 5 3 3 2 3 2 2" xfId="34678" xr:uid="{80825469-17FB-468A-B8D0-65AE3E55F092}"/>
    <cellStyle name="Normal 11 2 5 3 3 2 3 3" xfId="34679" xr:uid="{6750C9C2-3BBF-42A8-8383-B22F58519527}"/>
    <cellStyle name="Normal 11 2 5 3 3 2 4" xfId="34680" xr:uid="{2ACE89FF-6FC4-44AD-84DF-4AEF230FF1C6}"/>
    <cellStyle name="Normal 11 2 5 3 3 2 4 2" xfId="34681" xr:uid="{E2EC5039-1DA2-4216-A4D2-CF03A812EB8A}"/>
    <cellStyle name="Normal 11 2 5 3 3 2 5" xfId="34682" xr:uid="{42C11237-CD9B-4852-A900-AEC888EBC92D}"/>
    <cellStyle name="Normal 11 2 5 3 3 3" xfId="34683" xr:uid="{CDB30EAC-7B99-451C-8D01-09C44B981D8B}"/>
    <cellStyle name="Normal 11 2 5 3 3 3 2" xfId="34684" xr:uid="{5F7EA7A1-9BC4-4320-AD91-9D5868818E2F}"/>
    <cellStyle name="Normal 11 2 5 3 3 3 2 2" xfId="34685" xr:uid="{D3C8F101-49F4-4CC6-970C-DFBBEE34A211}"/>
    <cellStyle name="Normal 11 2 5 3 3 3 2 2 2" xfId="34686" xr:uid="{1E675DB1-679B-4102-A919-5246B3DD845D}"/>
    <cellStyle name="Normal 11 2 5 3 3 3 2 3" xfId="34687" xr:uid="{C2CD2EE8-5106-479A-8545-F7DA9A379098}"/>
    <cellStyle name="Normal 11 2 5 3 3 3 3" xfId="34688" xr:uid="{176CF4C8-35CD-474A-8FF3-A6B86D55015D}"/>
    <cellStyle name="Normal 11 2 5 3 3 3 3 2" xfId="34689" xr:uid="{351FD4BA-E6C0-4D5B-ADD1-F3CF89E34B15}"/>
    <cellStyle name="Normal 11 2 5 3 3 3 4" xfId="34690" xr:uid="{2563CA48-EC72-4F16-AE91-C33D9750AD8B}"/>
    <cellStyle name="Normal 11 2 5 3 3 4" xfId="34691" xr:uid="{0EEDFCFC-9F03-4AB6-946A-FFE58B2939C0}"/>
    <cellStyle name="Normal 11 2 5 3 3 4 2" xfId="34692" xr:uid="{EDD579CA-B4DA-4B53-B828-7D2B9294528F}"/>
    <cellStyle name="Normal 11 2 5 3 3 4 2 2" xfId="34693" xr:uid="{46F9C905-E079-405E-BD59-A610F084A0CD}"/>
    <cellStyle name="Normal 11 2 5 3 3 4 3" xfId="34694" xr:uid="{2F72D02C-6362-4C28-8F99-41144429FB1E}"/>
    <cellStyle name="Normal 11 2 5 3 3 5" xfId="34695" xr:uid="{CCF55765-8B12-4C9B-AD4F-E5128469056A}"/>
    <cellStyle name="Normal 11 2 5 3 3 5 2" xfId="34696" xr:uid="{1DF0FAFB-618F-40E9-8ACB-AC4CD17508AF}"/>
    <cellStyle name="Normal 11 2 5 3 3 6" xfId="34697" xr:uid="{AD7A5C2F-ED6B-404A-A70E-B305227C3201}"/>
    <cellStyle name="Normal 11 2 5 3 4" xfId="34698" xr:uid="{FDF04B5A-7327-4FAF-BFF6-91810B776C96}"/>
    <cellStyle name="Normal 11 2 5 3 4 2" xfId="34699" xr:uid="{8212E22B-D9A0-4065-AEB0-B73C98FE911E}"/>
    <cellStyle name="Normal 11 2 5 3 4 2 2" xfId="34700" xr:uid="{A673F6F0-B71B-4EAA-9CC0-E568D7EBAA9B}"/>
    <cellStyle name="Normal 11 2 5 3 4 2 2 2" xfId="34701" xr:uid="{556DAD70-06DA-4D3E-8148-D02238EFEBBA}"/>
    <cellStyle name="Normal 11 2 5 3 4 2 2 2 2" xfId="34702" xr:uid="{8ADFCAD0-7465-4B5E-BE1F-F1FA16B4F3A9}"/>
    <cellStyle name="Normal 11 2 5 3 4 2 2 3" xfId="34703" xr:uid="{16676858-6F0F-4848-95FD-BC930B05098D}"/>
    <cellStyle name="Normal 11 2 5 3 4 2 3" xfId="34704" xr:uid="{E82A7F89-49D0-4E8F-B95B-CDAC0C1535D2}"/>
    <cellStyle name="Normal 11 2 5 3 4 2 3 2" xfId="34705" xr:uid="{3CDD87C7-45A1-4018-860A-83DD100856EB}"/>
    <cellStyle name="Normal 11 2 5 3 4 2 4" xfId="34706" xr:uid="{3884C503-7688-4FB2-B60A-C8171CC97353}"/>
    <cellStyle name="Normal 11 2 5 3 4 3" xfId="34707" xr:uid="{C297B377-2209-4528-8B2E-244F28A8951C}"/>
    <cellStyle name="Normal 11 2 5 3 4 3 2" xfId="34708" xr:uid="{B90958D1-2F77-4CBF-A3B3-EA0D97788B7B}"/>
    <cellStyle name="Normal 11 2 5 3 4 3 2 2" xfId="34709" xr:uid="{D34DD31D-A5EB-4E64-9210-AFB71EBC4121}"/>
    <cellStyle name="Normal 11 2 5 3 4 3 3" xfId="34710" xr:uid="{48862442-BEB3-42DB-8EE7-40D6F93C1513}"/>
    <cellStyle name="Normal 11 2 5 3 4 4" xfId="34711" xr:uid="{D810B947-923C-43E5-9BEA-41D039BC42AE}"/>
    <cellStyle name="Normal 11 2 5 3 4 4 2" xfId="34712" xr:uid="{15DC8AC6-5E96-4CF0-A3E7-58FE1794B7CE}"/>
    <cellStyle name="Normal 11 2 5 3 4 5" xfId="34713" xr:uid="{A139896C-438B-4A62-88AF-8ED8CF7FF930}"/>
    <cellStyle name="Normal 11 2 5 3 5" xfId="34714" xr:uid="{C77D28E3-0BC9-4553-B627-A2D17FE0A6D1}"/>
    <cellStyle name="Normal 11 2 5 3 5 2" xfId="34715" xr:uid="{04E82CCA-6B95-4932-B6C6-828990113E3F}"/>
    <cellStyle name="Normal 11 2 5 3 5 2 2" xfId="34716" xr:uid="{66CFC841-51BA-455A-9E38-110518315910}"/>
    <cellStyle name="Normal 11 2 5 3 5 2 2 2" xfId="34717" xr:uid="{B0B93103-AE02-4909-B491-E5DD95DE8C7C}"/>
    <cellStyle name="Normal 11 2 5 3 5 2 3" xfId="34718" xr:uid="{6C0A1B88-B27F-4270-9A41-CA33D8803BD2}"/>
    <cellStyle name="Normal 11 2 5 3 5 3" xfId="34719" xr:uid="{9045D96C-E4C8-437A-A4D4-0907ADA83F2C}"/>
    <cellStyle name="Normal 11 2 5 3 5 3 2" xfId="34720" xr:uid="{6C5BDF74-270C-4928-AF03-924F08506D13}"/>
    <cellStyle name="Normal 11 2 5 3 5 4" xfId="34721" xr:uid="{CA955995-A79D-4E58-A732-ACCA87E3C7AB}"/>
    <cellStyle name="Normal 11 2 5 3 6" xfId="34722" xr:uid="{E1A57274-CE9C-4159-8AE5-D7539297A684}"/>
    <cellStyle name="Normal 11 2 5 3 6 2" xfId="34723" xr:uid="{5C0938EC-18C4-4E6A-A894-294EE638DB94}"/>
    <cellStyle name="Normal 11 2 5 3 6 2 2" xfId="34724" xr:uid="{3A0A1199-8501-46B7-A2E2-F77EB8425615}"/>
    <cellStyle name="Normal 11 2 5 3 6 3" xfId="34725" xr:uid="{03E06048-095C-4B62-AF46-3640C89090D1}"/>
    <cellStyle name="Normal 11 2 5 3 7" xfId="34726" xr:uid="{B25AED69-8E9B-4DA0-A4B9-8D01B72F5AC4}"/>
    <cellStyle name="Normal 11 2 5 3 7 2" xfId="34727" xr:uid="{82C901BD-5EE8-4B6C-B044-1590345FF606}"/>
    <cellStyle name="Normal 11 2 5 3 8" xfId="34728" xr:uid="{BB2FCA7D-CEB8-4A5B-AC6A-B332CE95AC88}"/>
    <cellStyle name="Normal 11 2 5 3 9" xfId="34601" xr:uid="{8E85F603-F26C-4C9E-BFA0-A3D06F50D968}"/>
    <cellStyle name="Normal 11 2 5 4" xfId="34729" xr:uid="{2B332F75-9B6C-4C8E-AE6C-8517B7949770}"/>
    <cellStyle name="Normal 11 2 5 4 2" xfId="34730" xr:uid="{5789713F-6316-4786-B217-30F248C0A0D7}"/>
    <cellStyle name="Normal 11 2 5 4 2 2" xfId="34731" xr:uid="{ECFA70F3-5FBC-40FF-9B43-0E5EDC415550}"/>
    <cellStyle name="Normal 11 2 5 4 2 2 2" xfId="34732" xr:uid="{957BE4F4-BC9E-4904-9093-3862B21FFE75}"/>
    <cellStyle name="Normal 11 2 5 4 2 2 2 2" xfId="34733" xr:uid="{B929FA8B-63E4-4B40-8E36-AD8A00272101}"/>
    <cellStyle name="Normal 11 2 5 4 2 2 2 2 2" xfId="34734" xr:uid="{AE515043-5A9C-44A0-A110-ABC5D7D74402}"/>
    <cellStyle name="Normal 11 2 5 4 2 2 2 2 2 2" xfId="34735" xr:uid="{98904C00-34CB-4CE8-B684-6B09E15E0DB5}"/>
    <cellStyle name="Normal 11 2 5 4 2 2 2 2 3" xfId="34736" xr:uid="{F67C4B0A-43BD-40D9-A589-5A91035E20A5}"/>
    <cellStyle name="Normal 11 2 5 4 2 2 2 3" xfId="34737" xr:uid="{4157292A-2E62-42DB-A67C-7A4E3F3F2102}"/>
    <cellStyle name="Normal 11 2 5 4 2 2 2 3 2" xfId="34738" xr:uid="{95F48D10-E2EB-464D-A677-F3960FB74EE2}"/>
    <cellStyle name="Normal 11 2 5 4 2 2 2 4" xfId="34739" xr:uid="{53FDD9D8-F5E5-41DB-A9BC-0F711B4D245F}"/>
    <cellStyle name="Normal 11 2 5 4 2 2 3" xfId="34740" xr:uid="{EEB77EA1-A27C-4552-BCB4-639A2F6D585A}"/>
    <cellStyle name="Normal 11 2 5 4 2 2 3 2" xfId="34741" xr:uid="{9B05482F-8AFE-48F4-BF14-D067E4824A21}"/>
    <cellStyle name="Normal 11 2 5 4 2 2 3 2 2" xfId="34742" xr:uid="{55619BD3-60B2-4B51-A47D-663194CACE89}"/>
    <cellStyle name="Normal 11 2 5 4 2 2 3 3" xfId="34743" xr:uid="{204FEA5E-C663-4375-A1E0-AE46DFD5B586}"/>
    <cellStyle name="Normal 11 2 5 4 2 2 4" xfId="34744" xr:uid="{6CDB1DF9-51C3-41C3-8017-FC28693F451C}"/>
    <cellStyle name="Normal 11 2 5 4 2 2 4 2" xfId="34745" xr:uid="{680F30C1-230B-4497-8B66-C2050DEB80D5}"/>
    <cellStyle name="Normal 11 2 5 4 2 2 5" xfId="34746" xr:uid="{DEBA3C09-B04B-4231-94C0-0EE535A36907}"/>
    <cellStyle name="Normal 11 2 5 4 2 3" xfId="34747" xr:uid="{A16861AA-A8E2-4A32-A22E-6C629EC45E10}"/>
    <cellStyle name="Normal 11 2 5 4 2 3 2" xfId="34748" xr:uid="{01F29624-33F5-469B-9C46-2920FF10A867}"/>
    <cellStyle name="Normal 11 2 5 4 2 3 2 2" xfId="34749" xr:uid="{38EDF5B5-E3EC-4288-9D44-FD5F2B5B5F2F}"/>
    <cellStyle name="Normal 11 2 5 4 2 3 2 2 2" xfId="34750" xr:uid="{1E8DF1E2-47C0-49AB-9F6A-203805571D2B}"/>
    <cellStyle name="Normal 11 2 5 4 2 3 2 3" xfId="34751" xr:uid="{9FD87887-A0A1-4BAB-8058-763E5CD3A935}"/>
    <cellStyle name="Normal 11 2 5 4 2 3 3" xfId="34752" xr:uid="{0A5D806F-B4AB-4769-935D-1A39636CFE64}"/>
    <cellStyle name="Normal 11 2 5 4 2 3 3 2" xfId="34753" xr:uid="{FB6E2CB9-1E3F-4681-A920-F882A44C63A9}"/>
    <cellStyle name="Normal 11 2 5 4 2 3 4" xfId="34754" xr:uid="{A1B9033F-D9C1-4D75-84C5-0E7F0A6BD1D4}"/>
    <cellStyle name="Normal 11 2 5 4 2 4" xfId="34755" xr:uid="{870E0618-FA43-480F-8AE0-38B47578650E}"/>
    <cellStyle name="Normal 11 2 5 4 2 4 2" xfId="34756" xr:uid="{F120DF55-17C2-4828-AB1E-3186BA3EE9B8}"/>
    <cellStyle name="Normal 11 2 5 4 2 4 2 2" xfId="34757" xr:uid="{14D84352-7C93-473B-B62E-69E64EDBF77C}"/>
    <cellStyle name="Normal 11 2 5 4 2 4 3" xfId="34758" xr:uid="{849099A8-0BBF-4036-88F9-FAAE72B77BD8}"/>
    <cellStyle name="Normal 11 2 5 4 2 5" xfId="34759" xr:uid="{0BA1E205-E644-46F2-A1A3-FF6D4BB31493}"/>
    <cellStyle name="Normal 11 2 5 4 2 5 2" xfId="34760" xr:uid="{1500CFAD-4AA2-4B2B-AA98-EE6743168FBC}"/>
    <cellStyle name="Normal 11 2 5 4 2 6" xfId="34761" xr:uid="{8F65611B-1A74-4021-8392-5A10AD95F7E8}"/>
    <cellStyle name="Normal 11 2 5 4 3" xfId="34762" xr:uid="{6BF4A9F9-E2B7-422D-A853-01364754C452}"/>
    <cellStyle name="Normal 11 2 5 4 3 2" xfId="34763" xr:uid="{3086059F-8948-4E56-9A05-E6E55726E61A}"/>
    <cellStyle name="Normal 11 2 5 4 3 2 2" xfId="34764" xr:uid="{827CE64B-C7E1-4A8B-81EB-9CCD9B480F3E}"/>
    <cellStyle name="Normal 11 2 5 4 3 2 2 2" xfId="34765" xr:uid="{BFB41CB3-2C29-453B-9623-7A4D17766614}"/>
    <cellStyle name="Normal 11 2 5 4 3 2 2 2 2" xfId="34766" xr:uid="{E5407857-BFD9-4133-9033-06FB6C9AE984}"/>
    <cellStyle name="Normal 11 2 5 4 3 2 2 3" xfId="34767" xr:uid="{B0F6975D-FD3F-438A-8401-6B7773B5B183}"/>
    <cellStyle name="Normal 11 2 5 4 3 2 3" xfId="34768" xr:uid="{0769CF3F-95B4-4CC7-BF3E-3665B6ABCFA7}"/>
    <cellStyle name="Normal 11 2 5 4 3 2 3 2" xfId="34769" xr:uid="{B8991F03-79B6-4D50-9CA7-318C815174CF}"/>
    <cellStyle name="Normal 11 2 5 4 3 2 4" xfId="34770" xr:uid="{83276D39-D8FB-4775-AEB4-67B59C6534C5}"/>
    <cellStyle name="Normal 11 2 5 4 3 3" xfId="34771" xr:uid="{91CE0DCE-8F52-4EEF-98F9-051F36EB43CF}"/>
    <cellStyle name="Normal 11 2 5 4 3 3 2" xfId="34772" xr:uid="{C4919E58-803E-4683-B783-B5033A4B747F}"/>
    <cellStyle name="Normal 11 2 5 4 3 3 2 2" xfId="34773" xr:uid="{F14D8C59-2D47-49E2-A714-90A8C9B67B76}"/>
    <cellStyle name="Normal 11 2 5 4 3 3 3" xfId="34774" xr:uid="{161222D0-7D3D-42AF-A68E-35E5EAF8032A}"/>
    <cellStyle name="Normal 11 2 5 4 3 4" xfId="34775" xr:uid="{0770811B-3D9B-4224-AF57-2143F82B652E}"/>
    <cellStyle name="Normal 11 2 5 4 3 4 2" xfId="34776" xr:uid="{92ABC880-9DBA-42C5-9D9F-E4377F9DA93C}"/>
    <cellStyle name="Normal 11 2 5 4 3 5" xfId="34777" xr:uid="{114F0B97-9686-4A6B-B93D-2D8BE3E41E49}"/>
    <cellStyle name="Normal 11 2 5 4 4" xfId="34778" xr:uid="{92E0F372-3C3E-48A3-A9AC-4A6F45BE67D5}"/>
    <cellStyle name="Normal 11 2 5 4 4 2" xfId="34779" xr:uid="{58D93774-99FE-4A0D-A1E1-7E168BDF7687}"/>
    <cellStyle name="Normal 11 2 5 4 4 2 2" xfId="34780" xr:uid="{3598EDD3-3C31-4FC0-8C71-E0CB6C6CD69A}"/>
    <cellStyle name="Normal 11 2 5 4 4 2 2 2" xfId="34781" xr:uid="{C1BCAEDA-A620-4CFC-8198-BE743BD10C32}"/>
    <cellStyle name="Normal 11 2 5 4 4 2 3" xfId="34782" xr:uid="{2C185A38-72CD-4350-BD4D-5E8858088C72}"/>
    <cellStyle name="Normal 11 2 5 4 4 3" xfId="34783" xr:uid="{C1B8AC8D-36FE-4748-8624-79F9D1119B1A}"/>
    <cellStyle name="Normal 11 2 5 4 4 3 2" xfId="34784" xr:uid="{DE697D17-6C43-4778-9406-DCE599B6775D}"/>
    <cellStyle name="Normal 11 2 5 4 4 4" xfId="34785" xr:uid="{53EC6854-CB8E-472F-8EBC-7ADCE1A554F3}"/>
    <cellStyle name="Normal 11 2 5 4 5" xfId="34786" xr:uid="{0490A82F-9926-43C6-82B1-92A70F9A5CDD}"/>
    <cellStyle name="Normal 11 2 5 4 5 2" xfId="34787" xr:uid="{D7B28155-E6B2-433A-8B7A-0821F3B4D586}"/>
    <cellStyle name="Normal 11 2 5 4 5 2 2" xfId="34788" xr:uid="{718748DC-1242-4BF9-8628-A6E876AABA57}"/>
    <cellStyle name="Normal 11 2 5 4 5 3" xfId="34789" xr:uid="{B99255CF-BB40-4FA6-8031-0F76A3C9A9A1}"/>
    <cellStyle name="Normal 11 2 5 4 6" xfId="34790" xr:uid="{70336245-E2AA-4FC8-A862-C3E6429FEADD}"/>
    <cellStyle name="Normal 11 2 5 4 6 2" xfId="34791" xr:uid="{0CAA7F78-2B57-488A-A9A0-4285E6860C46}"/>
    <cellStyle name="Normal 11 2 5 4 7" xfId="34792" xr:uid="{5FD8BD0D-2D90-4242-B409-458E1C6DC397}"/>
    <cellStyle name="Normal 11 2 5 5" xfId="34793" xr:uid="{1110587C-17D7-4A43-B192-9241FAA0B247}"/>
    <cellStyle name="Normal 11 2 5 5 2" xfId="34794" xr:uid="{FE253F4A-536C-413E-A5AD-09992DAB27A2}"/>
    <cellStyle name="Normal 11 2 5 5 2 2" xfId="34795" xr:uid="{95720AFC-39AB-41B1-B3D9-8EBAAEEAB4B0}"/>
    <cellStyle name="Normal 11 2 5 5 2 2 2" xfId="34796" xr:uid="{3FD738BE-AD09-42A3-A00A-3F2F4BF79714}"/>
    <cellStyle name="Normal 11 2 5 5 2 2 2 2" xfId="34797" xr:uid="{C23299BF-819D-41F4-A423-9D1790A0BB5E}"/>
    <cellStyle name="Normal 11 2 5 5 2 2 2 2 2" xfId="34798" xr:uid="{33A9CFA7-6147-4A48-B9A5-3C3590A45AB7}"/>
    <cellStyle name="Normal 11 2 5 5 2 2 2 3" xfId="34799" xr:uid="{26327CBB-8C34-4AEC-B0BA-160E96AF2894}"/>
    <cellStyle name="Normal 11 2 5 5 2 2 3" xfId="34800" xr:uid="{522276D3-D781-453F-BC7B-8F68873B0B71}"/>
    <cellStyle name="Normal 11 2 5 5 2 2 3 2" xfId="34801" xr:uid="{0EC609F5-3A9E-4D06-A224-324755EEE65D}"/>
    <cellStyle name="Normal 11 2 5 5 2 2 4" xfId="34802" xr:uid="{6A0E8149-1611-4665-A820-ECFA1B443958}"/>
    <cellStyle name="Normal 11 2 5 5 2 3" xfId="34803" xr:uid="{55759ADB-DA16-42E5-A1B3-D11191412C41}"/>
    <cellStyle name="Normal 11 2 5 5 2 3 2" xfId="34804" xr:uid="{AD2BB576-B4B9-4591-8A03-2FFE861DB601}"/>
    <cellStyle name="Normal 11 2 5 5 2 3 2 2" xfId="34805" xr:uid="{4EB68D81-E3DF-4448-B242-D3D4C62AA937}"/>
    <cellStyle name="Normal 11 2 5 5 2 3 3" xfId="34806" xr:uid="{D84563D5-8C97-45C6-B17B-312C3A194CB2}"/>
    <cellStyle name="Normal 11 2 5 5 2 4" xfId="34807" xr:uid="{26FD9CAF-8B29-44F1-9476-DB0FA8108BD7}"/>
    <cellStyle name="Normal 11 2 5 5 2 4 2" xfId="34808" xr:uid="{AD280FAC-2619-48A1-AD4F-A7AB118B9CA3}"/>
    <cellStyle name="Normal 11 2 5 5 2 5" xfId="34809" xr:uid="{F3834E64-8983-400B-88A3-9966C5298202}"/>
    <cellStyle name="Normal 11 2 5 5 3" xfId="34810" xr:uid="{D55CAC1A-5686-4CEC-B68C-2EFDF7EDC0BC}"/>
    <cellStyle name="Normal 11 2 5 5 3 2" xfId="34811" xr:uid="{2B246383-3541-4087-B893-0749E2C7BD01}"/>
    <cellStyle name="Normal 11 2 5 5 3 2 2" xfId="34812" xr:uid="{F50E17D2-6AFC-4C6B-9C56-C987B12D4041}"/>
    <cellStyle name="Normal 11 2 5 5 3 2 2 2" xfId="34813" xr:uid="{030CD5D5-B3FA-4D34-B1C1-43A6690DC087}"/>
    <cellStyle name="Normal 11 2 5 5 3 2 3" xfId="34814" xr:uid="{812C99BA-4C8E-495D-9E12-6A5CE3864854}"/>
    <cellStyle name="Normal 11 2 5 5 3 3" xfId="34815" xr:uid="{00B5D27C-0782-4F12-A4D5-B4FADC5A5EBD}"/>
    <cellStyle name="Normal 11 2 5 5 3 3 2" xfId="34816" xr:uid="{FFC454D8-03A3-4E2E-B652-B95549E61A54}"/>
    <cellStyle name="Normal 11 2 5 5 3 4" xfId="34817" xr:uid="{2E9069C4-7CA0-4493-9D6F-296B866CB59F}"/>
    <cellStyle name="Normal 11 2 5 5 4" xfId="34818" xr:uid="{4DBFED0C-69E9-4D61-9FD0-93A2A152CC17}"/>
    <cellStyle name="Normal 11 2 5 5 4 2" xfId="34819" xr:uid="{C98976F1-723A-44F8-81BE-9F12546BD4CF}"/>
    <cellStyle name="Normal 11 2 5 5 4 2 2" xfId="34820" xr:uid="{C6F576E6-7356-4E44-8E67-90BA26EBDD70}"/>
    <cellStyle name="Normal 11 2 5 5 4 3" xfId="34821" xr:uid="{47CAF0CC-F062-482E-97F8-B3B201FF0A30}"/>
    <cellStyle name="Normal 11 2 5 5 5" xfId="34822" xr:uid="{7A74BCCE-A6DB-474F-863B-3B5A64CCAA7E}"/>
    <cellStyle name="Normal 11 2 5 5 5 2" xfId="34823" xr:uid="{96228E0F-514C-4C5A-A9DF-046F007C28C5}"/>
    <cellStyle name="Normal 11 2 5 5 6" xfId="34824" xr:uid="{04FCA3D5-58FA-4DBB-9BCD-1D01273BC652}"/>
    <cellStyle name="Normal 11 2 5 6" xfId="34825" xr:uid="{774279A6-882C-4013-BDAA-064DB86A1ED8}"/>
    <cellStyle name="Normal 11 2 5 6 2" xfId="34826" xr:uid="{8CD96F00-1798-4A55-9BE5-1CEF9EC7ACC1}"/>
    <cellStyle name="Normal 11 2 5 6 2 2" xfId="34827" xr:uid="{FB4D9766-D7A0-4576-B013-61A428B17BC2}"/>
    <cellStyle name="Normal 11 2 5 6 2 2 2" xfId="34828" xr:uid="{01F2A07A-22BD-43FE-AD49-2CCE0AC0B2DD}"/>
    <cellStyle name="Normal 11 2 5 6 2 2 2 2" xfId="34829" xr:uid="{D9429920-C28B-409D-A58F-FD01EA46E211}"/>
    <cellStyle name="Normal 11 2 5 6 2 2 3" xfId="34830" xr:uid="{6A459B83-FCEE-4FFC-9257-5646E0E3A7EC}"/>
    <cellStyle name="Normal 11 2 5 6 2 3" xfId="34831" xr:uid="{C8C40066-B7A5-47F4-9BC0-C561D21B6844}"/>
    <cellStyle name="Normal 11 2 5 6 2 3 2" xfId="34832" xr:uid="{635C9250-FD42-4A2D-A365-E4D8283C4EBC}"/>
    <cellStyle name="Normal 11 2 5 6 2 4" xfId="34833" xr:uid="{0B9FCA58-6824-4215-BA7C-0990886C29D8}"/>
    <cellStyle name="Normal 11 2 5 6 3" xfId="34834" xr:uid="{EC193FE3-6A54-4A24-9EDB-921E69436574}"/>
    <cellStyle name="Normal 11 2 5 6 3 2" xfId="34835" xr:uid="{DD7CCADE-3FD9-4834-BAB1-BFA44DA1BD20}"/>
    <cellStyle name="Normal 11 2 5 6 3 2 2" xfId="34836" xr:uid="{67F467B6-5CC3-4B76-9436-66A2A85701B9}"/>
    <cellStyle name="Normal 11 2 5 6 3 3" xfId="34837" xr:uid="{C2AC4E69-CDE4-47B4-92C3-7A62C0DAAD47}"/>
    <cellStyle name="Normal 11 2 5 6 4" xfId="34838" xr:uid="{61C43E83-E07E-4EC1-AE02-1700A14FD6C3}"/>
    <cellStyle name="Normal 11 2 5 6 4 2" xfId="34839" xr:uid="{D19D0937-A5D6-4E60-BC3F-F3D7A9F7AA37}"/>
    <cellStyle name="Normal 11 2 5 6 5" xfId="34840" xr:uid="{017CB342-CF6A-488C-B2FC-208D5B9D5289}"/>
    <cellStyle name="Normal 11 2 5 7" xfId="34841" xr:uid="{75D4C530-B4EF-4E6F-9BC8-301814E05B86}"/>
    <cellStyle name="Normal 11 2 5 7 2" xfId="34842" xr:uid="{2DE20679-3856-4EBC-B56F-1DDB1F95665F}"/>
    <cellStyle name="Normal 11 2 5 7 2 2" xfId="34843" xr:uid="{D12EBB30-30BC-424E-9BDC-8C724752D165}"/>
    <cellStyle name="Normal 11 2 5 7 2 2 2" xfId="34844" xr:uid="{8AB2A33D-00EC-44F5-AFDD-A92E0477F407}"/>
    <cellStyle name="Normal 11 2 5 7 2 3" xfId="34845" xr:uid="{7BC121EC-7365-4316-97C7-ED6E1C9BB61C}"/>
    <cellStyle name="Normal 11 2 5 7 3" xfId="34846" xr:uid="{BF7AE63C-A896-4890-A7EE-DD4FB8E17709}"/>
    <cellStyle name="Normal 11 2 5 7 3 2" xfId="34847" xr:uid="{738373D2-BEF3-4AA5-A99C-5381B27281B9}"/>
    <cellStyle name="Normal 11 2 5 7 4" xfId="34848" xr:uid="{0550A072-FC75-4994-B7D1-A2A3D0D3DF73}"/>
    <cellStyle name="Normal 11 2 5 8" xfId="34849" xr:uid="{92EE79A4-5A90-45DD-8648-1665AA653458}"/>
    <cellStyle name="Normal 11 2 5 8 2" xfId="34850" xr:uid="{DAA3F597-4525-44A6-BC7C-C82DE18B56B0}"/>
    <cellStyle name="Normal 11 2 5 8 2 2" xfId="34851" xr:uid="{C47B1E1F-8D85-4835-BBA9-A6B5BA734607}"/>
    <cellStyle name="Normal 11 2 5 8 3" xfId="34852" xr:uid="{5C7A7528-FCAA-4959-86AE-6BECC954C974}"/>
    <cellStyle name="Normal 11 2 5 9" xfId="34853" xr:uid="{384BB6DC-1482-4E37-BB11-3B57A9529542}"/>
    <cellStyle name="Normal 11 2 5 9 2" xfId="34854" xr:uid="{9984B182-B532-4E86-B21F-9C9B0A1BD468}"/>
    <cellStyle name="Normal 11 2 6" xfId="236" xr:uid="{18AA3CAE-6104-4774-91BB-AA90CD967241}"/>
    <cellStyle name="Normal 11 2 6 10" xfId="34855" xr:uid="{B2076B7D-52F8-48A3-9417-F187AE413F73}"/>
    <cellStyle name="Normal 11 2 6 11" xfId="588" xr:uid="{22F43B9A-FCED-4AAA-9541-A87438DCD089}"/>
    <cellStyle name="Normal 11 2 6 2" xfId="367" xr:uid="{FA8F3495-66AB-4A3D-B9CA-6D8BEC3E2517}"/>
    <cellStyle name="Normal 11 2 6 2 10" xfId="34856" xr:uid="{8E78FEFA-ECB2-4B07-B37F-C5E7BC6D1F3E}"/>
    <cellStyle name="Normal 11 2 6 2 2" xfId="34857" xr:uid="{1ED7BCF1-3621-4CFA-B339-ADEDFCE80E06}"/>
    <cellStyle name="Normal 11 2 6 2 2 2" xfId="34858" xr:uid="{C539CC0C-D2B7-4323-BA16-15276D8A8350}"/>
    <cellStyle name="Normal 11 2 6 2 2 2 2" xfId="34859" xr:uid="{DBCA7616-5AF2-40E9-A5BE-FC4308F49F78}"/>
    <cellStyle name="Normal 11 2 6 2 2 2 2 2" xfId="34860" xr:uid="{9540DDDE-A97A-4B40-BFCF-CEFE46678765}"/>
    <cellStyle name="Normal 11 2 6 2 2 2 2 2 2" xfId="34861" xr:uid="{F12D18AE-2B48-49CA-962C-EA0616717838}"/>
    <cellStyle name="Normal 11 2 6 2 2 2 2 2 2 2" xfId="34862" xr:uid="{F3BA5481-BECB-4958-9983-928FE605599E}"/>
    <cellStyle name="Normal 11 2 6 2 2 2 2 2 2 2 2" xfId="34863" xr:uid="{35201FFC-1856-447A-91E1-D7876C07426B}"/>
    <cellStyle name="Normal 11 2 6 2 2 2 2 2 2 2 2 2" xfId="34864" xr:uid="{EDBE1DA9-89B8-422A-A1A6-BAF8F272BEF9}"/>
    <cellStyle name="Normal 11 2 6 2 2 2 2 2 2 2 3" xfId="34865" xr:uid="{4BE718FA-6B03-41B6-90A7-D88C4948D749}"/>
    <cellStyle name="Normal 11 2 6 2 2 2 2 2 2 3" xfId="34866" xr:uid="{B999B1A7-E03B-4D34-9799-051B22916E57}"/>
    <cellStyle name="Normal 11 2 6 2 2 2 2 2 2 3 2" xfId="34867" xr:uid="{2B0822FC-5D6C-446D-B962-BA7C390D89E2}"/>
    <cellStyle name="Normal 11 2 6 2 2 2 2 2 2 4" xfId="34868" xr:uid="{1BDD6B87-E211-476D-B140-8F9B57CAA69B}"/>
    <cellStyle name="Normal 11 2 6 2 2 2 2 2 3" xfId="34869" xr:uid="{16F63A3B-3D2B-44AF-BDC6-87CEFDEC7E13}"/>
    <cellStyle name="Normal 11 2 6 2 2 2 2 2 3 2" xfId="34870" xr:uid="{4CDF9C7B-3529-4E8D-81CB-B96E60A0B383}"/>
    <cellStyle name="Normal 11 2 6 2 2 2 2 2 3 2 2" xfId="34871" xr:uid="{1AC03ABA-176E-4792-B0BE-182974A942DB}"/>
    <cellStyle name="Normal 11 2 6 2 2 2 2 2 3 3" xfId="34872" xr:uid="{B60F0DD2-E44E-451D-B888-223DE985FC60}"/>
    <cellStyle name="Normal 11 2 6 2 2 2 2 2 4" xfId="34873" xr:uid="{2BCFD828-6E84-4DE4-BDCE-F21C38933E0F}"/>
    <cellStyle name="Normal 11 2 6 2 2 2 2 2 4 2" xfId="34874" xr:uid="{E1B747D5-1842-4F49-BE9D-AFB6C45915EB}"/>
    <cellStyle name="Normal 11 2 6 2 2 2 2 2 5" xfId="34875" xr:uid="{F0D504FC-B4CE-4E63-A57E-38BB40BBA1FD}"/>
    <cellStyle name="Normal 11 2 6 2 2 2 2 3" xfId="34876" xr:uid="{C63893EA-7E32-4C51-AD44-85C294FBCC29}"/>
    <cellStyle name="Normal 11 2 6 2 2 2 2 3 2" xfId="34877" xr:uid="{80781D30-CDF2-4FEA-94AB-FD42D3225B91}"/>
    <cellStyle name="Normal 11 2 6 2 2 2 2 3 2 2" xfId="34878" xr:uid="{57D435A5-7068-4ABC-82DA-D4032B1A7DBA}"/>
    <cellStyle name="Normal 11 2 6 2 2 2 2 3 2 2 2" xfId="34879" xr:uid="{DA023AEA-0BCC-41A0-BE0E-DF53226E7B7C}"/>
    <cellStyle name="Normal 11 2 6 2 2 2 2 3 2 3" xfId="34880" xr:uid="{AC22BCF9-78F0-49F8-8D41-5EE1820DC9B8}"/>
    <cellStyle name="Normal 11 2 6 2 2 2 2 3 3" xfId="34881" xr:uid="{91446786-F005-4005-9DF9-03017A68C110}"/>
    <cellStyle name="Normal 11 2 6 2 2 2 2 3 3 2" xfId="34882" xr:uid="{FFF0CF05-4D46-4FCF-BE86-07FFB0C5F0A9}"/>
    <cellStyle name="Normal 11 2 6 2 2 2 2 3 4" xfId="34883" xr:uid="{6839F74A-FEED-47EA-9C90-2453523FD1BD}"/>
    <cellStyle name="Normal 11 2 6 2 2 2 2 4" xfId="34884" xr:uid="{8BEBC6D5-9E14-4147-8B37-C8E6EE9F3CA1}"/>
    <cellStyle name="Normal 11 2 6 2 2 2 2 4 2" xfId="34885" xr:uid="{8256AA15-DC3C-434D-AAE8-D28EAC75F508}"/>
    <cellStyle name="Normal 11 2 6 2 2 2 2 4 2 2" xfId="34886" xr:uid="{5BEA04EB-12AF-4745-AEDB-AEC89FF3B5FC}"/>
    <cellStyle name="Normal 11 2 6 2 2 2 2 4 3" xfId="34887" xr:uid="{26052926-390D-422B-A02B-6BACFFA21DE4}"/>
    <cellStyle name="Normal 11 2 6 2 2 2 2 5" xfId="34888" xr:uid="{0DB5D3A6-93EE-4892-AD9A-E0E574548DCB}"/>
    <cellStyle name="Normal 11 2 6 2 2 2 2 5 2" xfId="34889" xr:uid="{34326CA9-64AA-4DDD-82BB-ED18A28B5809}"/>
    <cellStyle name="Normal 11 2 6 2 2 2 2 6" xfId="34890" xr:uid="{7555E993-780D-480E-80C7-BE8B3CA3AB89}"/>
    <cellStyle name="Normal 11 2 6 2 2 2 3" xfId="34891" xr:uid="{A994F822-0F4A-4EAC-8C1B-C4B0EA798E0F}"/>
    <cellStyle name="Normal 11 2 6 2 2 2 3 2" xfId="34892" xr:uid="{C04ACAC5-0901-442C-A3CF-A3F3B62F5483}"/>
    <cellStyle name="Normal 11 2 6 2 2 2 3 2 2" xfId="34893" xr:uid="{29FAEFDB-0779-4CAD-8697-63B50E76D265}"/>
    <cellStyle name="Normal 11 2 6 2 2 2 3 2 2 2" xfId="34894" xr:uid="{C0B0FEBF-C47F-4479-A881-82769E42518F}"/>
    <cellStyle name="Normal 11 2 6 2 2 2 3 2 2 2 2" xfId="34895" xr:uid="{EDFF257F-DA8B-4E6D-A9B5-71357FC477CC}"/>
    <cellStyle name="Normal 11 2 6 2 2 2 3 2 2 3" xfId="34896" xr:uid="{F10EF5B9-2889-49AB-AA1D-F5A342DA6258}"/>
    <cellStyle name="Normal 11 2 6 2 2 2 3 2 3" xfId="34897" xr:uid="{893121CB-0BAB-4EA6-A163-74FA99099841}"/>
    <cellStyle name="Normal 11 2 6 2 2 2 3 2 3 2" xfId="34898" xr:uid="{9AF5490F-E9D5-4CE5-8C5D-6EA6837D0C4E}"/>
    <cellStyle name="Normal 11 2 6 2 2 2 3 2 4" xfId="34899" xr:uid="{0EF0262B-99F6-4A56-9140-43BF1A0A5EDD}"/>
    <cellStyle name="Normal 11 2 6 2 2 2 3 3" xfId="34900" xr:uid="{512B98EB-F9EF-4A33-9B24-16030B3003AA}"/>
    <cellStyle name="Normal 11 2 6 2 2 2 3 3 2" xfId="34901" xr:uid="{FCCE71FD-F91E-4341-A18F-51FB5BDA7640}"/>
    <cellStyle name="Normal 11 2 6 2 2 2 3 3 2 2" xfId="34902" xr:uid="{D3BC2F28-D558-4FD2-8055-8C28C6C00C36}"/>
    <cellStyle name="Normal 11 2 6 2 2 2 3 3 3" xfId="34903" xr:uid="{4097C2CD-E709-4D01-BC71-A05865BC9BB0}"/>
    <cellStyle name="Normal 11 2 6 2 2 2 3 4" xfId="34904" xr:uid="{6F6CDD19-224D-4529-9756-CE0DB61BDB0F}"/>
    <cellStyle name="Normal 11 2 6 2 2 2 3 4 2" xfId="34905" xr:uid="{FF0BA71D-5A7E-464A-85AD-28561C6DE4A3}"/>
    <cellStyle name="Normal 11 2 6 2 2 2 3 5" xfId="34906" xr:uid="{E64A232D-61B4-4FAF-B1A2-D2B5ECFF8386}"/>
    <cellStyle name="Normal 11 2 6 2 2 2 4" xfId="34907" xr:uid="{37365673-F465-48CC-9AF5-E0D7D2D96A83}"/>
    <cellStyle name="Normal 11 2 6 2 2 2 4 2" xfId="34908" xr:uid="{4979CEF6-DA60-4049-9027-2814ECE3BD39}"/>
    <cellStyle name="Normal 11 2 6 2 2 2 4 2 2" xfId="34909" xr:uid="{7F19CD13-0378-4CF0-BDD1-FA1434F174B5}"/>
    <cellStyle name="Normal 11 2 6 2 2 2 4 2 2 2" xfId="34910" xr:uid="{14F84F5D-62EB-438E-B593-5F97954559FE}"/>
    <cellStyle name="Normal 11 2 6 2 2 2 4 2 3" xfId="34911" xr:uid="{881B03C3-E716-44D9-B7C6-5B73C5C68BA9}"/>
    <cellStyle name="Normal 11 2 6 2 2 2 4 3" xfId="34912" xr:uid="{4F69744B-E9CB-4B71-B784-9EC078692E5C}"/>
    <cellStyle name="Normal 11 2 6 2 2 2 4 3 2" xfId="34913" xr:uid="{AACCB7C5-C9D4-4644-9B23-2D2E791BC175}"/>
    <cellStyle name="Normal 11 2 6 2 2 2 4 4" xfId="34914" xr:uid="{7FF24086-2B5B-4E4F-8F6F-E75EDB40C7A5}"/>
    <cellStyle name="Normal 11 2 6 2 2 2 5" xfId="34915" xr:uid="{AE9301AB-3237-4CDC-9AE1-04D4A576B12D}"/>
    <cellStyle name="Normal 11 2 6 2 2 2 5 2" xfId="34916" xr:uid="{2A0DB13A-F4AD-40AE-B842-E8E31FE4FEC0}"/>
    <cellStyle name="Normal 11 2 6 2 2 2 5 2 2" xfId="34917" xr:uid="{0584D152-9846-4571-AB3F-1CAFDCBC44FD}"/>
    <cellStyle name="Normal 11 2 6 2 2 2 5 3" xfId="34918" xr:uid="{27BE42E6-3DEF-48C1-A957-206BBBF3402F}"/>
    <cellStyle name="Normal 11 2 6 2 2 2 6" xfId="34919" xr:uid="{2A65FC94-8F4D-43C9-B44D-30495E3015EC}"/>
    <cellStyle name="Normal 11 2 6 2 2 2 6 2" xfId="34920" xr:uid="{746D85B0-CC3D-4163-9AC3-C3A38D4126D0}"/>
    <cellStyle name="Normal 11 2 6 2 2 2 7" xfId="34921" xr:uid="{05332BFC-76F9-416D-B9D8-56232B9926BE}"/>
    <cellStyle name="Normal 11 2 6 2 2 3" xfId="34922" xr:uid="{BAF5D890-6309-4277-BEFE-EF3B157FA269}"/>
    <cellStyle name="Normal 11 2 6 2 2 3 2" xfId="34923" xr:uid="{D83B3919-0C21-4066-930B-B971D087E3FB}"/>
    <cellStyle name="Normal 11 2 6 2 2 3 2 2" xfId="34924" xr:uid="{C4845344-97D5-40E8-AF3C-F07F8455F2CA}"/>
    <cellStyle name="Normal 11 2 6 2 2 3 2 2 2" xfId="34925" xr:uid="{C8296513-0B23-4ED9-9D7D-00DCFA8CE336}"/>
    <cellStyle name="Normal 11 2 6 2 2 3 2 2 2 2" xfId="34926" xr:uid="{70D35DFF-9772-46E9-9321-3D93A034635C}"/>
    <cellStyle name="Normal 11 2 6 2 2 3 2 2 2 2 2" xfId="34927" xr:uid="{30F32398-4850-4435-B700-FF9194E62445}"/>
    <cellStyle name="Normal 11 2 6 2 2 3 2 2 2 3" xfId="34928" xr:uid="{EC86F237-7D63-4EA1-98A5-BE21E3D7C1BC}"/>
    <cellStyle name="Normal 11 2 6 2 2 3 2 2 3" xfId="34929" xr:uid="{5AA0EB12-F376-40B6-815A-23D50601E52E}"/>
    <cellStyle name="Normal 11 2 6 2 2 3 2 2 3 2" xfId="34930" xr:uid="{65415350-68D3-4766-8AE2-0A5C5C13468D}"/>
    <cellStyle name="Normal 11 2 6 2 2 3 2 2 4" xfId="34931" xr:uid="{D399C382-4A5D-4607-9258-BBB533CBD35D}"/>
    <cellStyle name="Normal 11 2 6 2 2 3 2 3" xfId="34932" xr:uid="{CEC6BCC1-1791-48B2-8E02-AFE8A2CA5943}"/>
    <cellStyle name="Normal 11 2 6 2 2 3 2 3 2" xfId="34933" xr:uid="{005FDFE6-7BC8-403A-BB7F-8E0FBD2491D6}"/>
    <cellStyle name="Normal 11 2 6 2 2 3 2 3 2 2" xfId="34934" xr:uid="{1CA1C5E5-6B8D-4E94-B54B-1A1C07EAD619}"/>
    <cellStyle name="Normal 11 2 6 2 2 3 2 3 3" xfId="34935" xr:uid="{8A074126-6E79-418E-A479-71CEC5DADB3A}"/>
    <cellStyle name="Normal 11 2 6 2 2 3 2 4" xfId="34936" xr:uid="{2C81E981-FC71-4D5B-B8E3-6EEB157C2173}"/>
    <cellStyle name="Normal 11 2 6 2 2 3 2 4 2" xfId="34937" xr:uid="{CEF4DCB9-7D34-47D1-9723-8151DB7DCA13}"/>
    <cellStyle name="Normal 11 2 6 2 2 3 2 5" xfId="34938" xr:uid="{D3A95561-7AF3-4AC9-BFC7-1DF9D3589C97}"/>
    <cellStyle name="Normal 11 2 6 2 2 3 3" xfId="34939" xr:uid="{EE29B793-16F8-4F30-85A8-1BC24FA82FDD}"/>
    <cellStyle name="Normal 11 2 6 2 2 3 3 2" xfId="34940" xr:uid="{EBA6D6D6-1066-4466-B9AD-7AC1A835FA1D}"/>
    <cellStyle name="Normal 11 2 6 2 2 3 3 2 2" xfId="34941" xr:uid="{AD9B00D8-1CAB-4910-BB15-D456D87D9FD0}"/>
    <cellStyle name="Normal 11 2 6 2 2 3 3 2 2 2" xfId="34942" xr:uid="{56B2397D-30B9-4185-806E-BEB09796123B}"/>
    <cellStyle name="Normal 11 2 6 2 2 3 3 2 3" xfId="34943" xr:uid="{9F5FE165-C56A-49A6-90C8-D79407980970}"/>
    <cellStyle name="Normal 11 2 6 2 2 3 3 3" xfId="34944" xr:uid="{4FD19012-AE2A-4E75-8155-1D310F1B7D7C}"/>
    <cellStyle name="Normal 11 2 6 2 2 3 3 3 2" xfId="34945" xr:uid="{BBC7DA3D-4F9D-4916-AB03-29E60AEC976C}"/>
    <cellStyle name="Normal 11 2 6 2 2 3 3 4" xfId="34946" xr:uid="{B83D44BB-81B7-4DF7-B7F0-8418C9A4F22F}"/>
    <cellStyle name="Normal 11 2 6 2 2 3 4" xfId="34947" xr:uid="{FA7825E7-8C4D-4C61-AC8A-1A22CB448E32}"/>
    <cellStyle name="Normal 11 2 6 2 2 3 4 2" xfId="34948" xr:uid="{E9BBD0A4-339E-48C6-A4CB-3B74688C96B4}"/>
    <cellStyle name="Normal 11 2 6 2 2 3 4 2 2" xfId="34949" xr:uid="{2C3CCA05-C872-4721-874F-B2E1BDF974C7}"/>
    <cellStyle name="Normal 11 2 6 2 2 3 4 3" xfId="34950" xr:uid="{5AB25A5E-2C2F-4F45-A626-2E239AA361AF}"/>
    <cellStyle name="Normal 11 2 6 2 2 3 5" xfId="34951" xr:uid="{61F0595C-DDDD-40F9-AD6E-F28BC913E64B}"/>
    <cellStyle name="Normal 11 2 6 2 2 3 5 2" xfId="34952" xr:uid="{81CC3689-6173-4B70-919D-16E8CA356CE4}"/>
    <cellStyle name="Normal 11 2 6 2 2 3 6" xfId="34953" xr:uid="{B4CCDD1A-5BA7-4FD8-9C78-D7167BCA7FD6}"/>
    <cellStyle name="Normal 11 2 6 2 2 4" xfId="34954" xr:uid="{7FB6B492-1D01-4C5A-AF1E-09742C59B7D7}"/>
    <cellStyle name="Normal 11 2 6 2 2 4 2" xfId="34955" xr:uid="{36AFDD48-04BC-4277-B24D-C5BA004C8B1C}"/>
    <cellStyle name="Normal 11 2 6 2 2 4 2 2" xfId="34956" xr:uid="{1AF49C25-E41F-4351-9172-B39E87DCE3B0}"/>
    <cellStyle name="Normal 11 2 6 2 2 4 2 2 2" xfId="34957" xr:uid="{747B203D-1264-46BC-A506-9C04A894F299}"/>
    <cellStyle name="Normal 11 2 6 2 2 4 2 2 2 2" xfId="34958" xr:uid="{2B2A3112-F05F-4A17-B73A-EA0A21B279E1}"/>
    <cellStyle name="Normal 11 2 6 2 2 4 2 2 3" xfId="34959" xr:uid="{0E32ABDE-438B-454A-AA06-12044C4D3E35}"/>
    <cellStyle name="Normal 11 2 6 2 2 4 2 3" xfId="34960" xr:uid="{766B58F7-5AD3-488C-8856-8AE520DDE7D1}"/>
    <cellStyle name="Normal 11 2 6 2 2 4 2 3 2" xfId="34961" xr:uid="{40A66E7B-8E11-4E5D-B7E1-8FD0BCC60A3F}"/>
    <cellStyle name="Normal 11 2 6 2 2 4 2 4" xfId="34962" xr:uid="{FFED8207-88A0-4B5F-A9F3-F6EB16000E92}"/>
    <cellStyle name="Normal 11 2 6 2 2 4 3" xfId="34963" xr:uid="{F988816E-36EF-4E9D-956C-283FC12BBB0D}"/>
    <cellStyle name="Normal 11 2 6 2 2 4 3 2" xfId="34964" xr:uid="{98A718F9-3C13-4D2A-AF74-2A229A67CBE0}"/>
    <cellStyle name="Normal 11 2 6 2 2 4 3 2 2" xfId="34965" xr:uid="{82C37E2A-6697-4B16-B722-594D9310AD9C}"/>
    <cellStyle name="Normal 11 2 6 2 2 4 3 3" xfId="34966" xr:uid="{59878E12-D019-456B-8E24-EB46C86F0A73}"/>
    <cellStyle name="Normal 11 2 6 2 2 4 4" xfId="34967" xr:uid="{1672F237-693C-4E40-A7C0-92C71B5B026C}"/>
    <cellStyle name="Normal 11 2 6 2 2 4 4 2" xfId="34968" xr:uid="{06235D03-1AB2-4D91-8E0C-6458FF5CCEB3}"/>
    <cellStyle name="Normal 11 2 6 2 2 4 5" xfId="34969" xr:uid="{C7DC042D-A4D3-4D61-B6E7-042C6BB7E55C}"/>
    <cellStyle name="Normal 11 2 6 2 2 5" xfId="34970" xr:uid="{CA7AC319-A947-49E1-BC89-465ECC861C63}"/>
    <cellStyle name="Normal 11 2 6 2 2 5 2" xfId="34971" xr:uid="{C2CDDBCF-006A-4FC9-B3C2-6B14E372C90A}"/>
    <cellStyle name="Normal 11 2 6 2 2 5 2 2" xfId="34972" xr:uid="{C0ABCBD4-D118-4261-B8D5-BD660665CD0C}"/>
    <cellStyle name="Normal 11 2 6 2 2 5 2 2 2" xfId="34973" xr:uid="{5ED49B94-84B8-4B9F-AE59-625A21FFDDA0}"/>
    <cellStyle name="Normal 11 2 6 2 2 5 2 3" xfId="34974" xr:uid="{3890E0FA-07D6-4E23-8CA5-36E627B7034D}"/>
    <cellStyle name="Normal 11 2 6 2 2 5 3" xfId="34975" xr:uid="{D762872A-52B8-47DD-95A4-BA12399BE1A9}"/>
    <cellStyle name="Normal 11 2 6 2 2 5 3 2" xfId="34976" xr:uid="{FA48B48A-ABBB-477C-8643-994D7B60C350}"/>
    <cellStyle name="Normal 11 2 6 2 2 5 4" xfId="34977" xr:uid="{44C68C88-C025-428C-B051-825D41E2AEEA}"/>
    <cellStyle name="Normal 11 2 6 2 2 6" xfId="34978" xr:uid="{3FDBFF61-CBA3-4A82-ABD5-533119A9C3B0}"/>
    <cellStyle name="Normal 11 2 6 2 2 6 2" xfId="34979" xr:uid="{8E22B723-1500-4704-AFDE-783D4295899A}"/>
    <cellStyle name="Normal 11 2 6 2 2 6 2 2" xfId="34980" xr:uid="{60424777-22BE-418F-B6E7-7636CEEABEDE}"/>
    <cellStyle name="Normal 11 2 6 2 2 6 3" xfId="34981" xr:uid="{D4FBE086-7A96-4B7F-83DD-F2C6D4A53BB6}"/>
    <cellStyle name="Normal 11 2 6 2 2 7" xfId="34982" xr:uid="{DB774F83-7419-4240-A6D0-C89EEEFCB37C}"/>
    <cellStyle name="Normal 11 2 6 2 2 7 2" xfId="34983" xr:uid="{C528BBCF-7FED-4724-80FB-0AC22B47E390}"/>
    <cellStyle name="Normal 11 2 6 2 2 8" xfId="34984" xr:uid="{0739E84C-DCC0-42FB-B7D5-9503209BA0B2}"/>
    <cellStyle name="Normal 11 2 6 2 3" xfId="34985" xr:uid="{49CAEE86-CC03-482D-9CAB-479030C99896}"/>
    <cellStyle name="Normal 11 2 6 2 3 2" xfId="34986" xr:uid="{B69FBCAF-8D3E-46AD-ACF2-DE2BC1A4FC74}"/>
    <cellStyle name="Normal 11 2 6 2 3 2 2" xfId="34987" xr:uid="{4438DB08-CC59-4DD5-8B4D-440477E0B332}"/>
    <cellStyle name="Normal 11 2 6 2 3 2 2 2" xfId="34988" xr:uid="{33BBD052-C3B5-4C7A-A20A-96E7D45EB101}"/>
    <cellStyle name="Normal 11 2 6 2 3 2 2 2 2" xfId="34989" xr:uid="{0477EFE9-B871-4D8C-8974-BDE4B4B41924}"/>
    <cellStyle name="Normal 11 2 6 2 3 2 2 2 2 2" xfId="34990" xr:uid="{050DF0DF-699B-42A0-9853-D1661609B239}"/>
    <cellStyle name="Normal 11 2 6 2 3 2 2 2 2 2 2" xfId="34991" xr:uid="{D342A38D-2F5C-434D-BDE2-30351EB75BD8}"/>
    <cellStyle name="Normal 11 2 6 2 3 2 2 2 2 3" xfId="34992" xr:uid="{AF423C40-88D9-4F8F-8797-844DDB053713}"/>
    <cellStyle name="Normal 11 2 6 2 3 2 2 2 3" xfId="34993" xr:uid="{D8281328-28FD-47D9-85AB-BA24F57BE5AB}"/>
    <cellStyle name="Normal 11 2 6 2 3 2 2 2 3 2" xfId="34994" xr:uid="{B486FF13-3DC9-4D37-AFF6-4CE47BFF017D}"/>
    <cellStyle name="Normal 11 2 6 2 3 2 2 2 4" xfId="34995" xr:uid="{59643120-EECE-4EA0-B5CD-013B3DB15C7B}"/>
    <cellStyle name="Normal 11 2 6 2 3 2 2 3" xfId="34996" xr:uid="{53DA0CFB-B9C8-4FC3-9C08-9DED8A0BE6F0}"/>
    <cellStyle name="Normal 11 2 6 2 3 2 2 3 2" xfId="34997" xr:uid="{2F6E0911-F2DF-4879-91D4-743785BFDB5A}"/>
    <cellStyle name="Normal 11 2 6 2 3 2 2 3 2 2" xfId="34998" xr:uid="{00C913A6-DB34-493F-9DEC-176711FA255F}"/>
    <cellStyle name="Normal 11 2 6 2 3 2 2 3 3" xfId="34999" xr:uid="{2F72E428-C2CD-4AF8-B500-93583560E5D6}"/>
    <cellStyle name="Normal 11 2 6 2 3 2 2 4" xfId="35000" xr:uid="{F368FA95-AD2E-4734-9633-BEA3B52AE427}"/>
    <cellStyle name="Normal 11 2 6 2 3 2 2 4 2" xfId="35001" xr:uid="{CE407450-268A-41FC-A3ED-7ACAE9E7A677}"/>
    <cellStyle name="Normal 11 2 6 2 3 2 2 5" xfId="35002" xr:uid="{77B86633-9A06-49B5-B03F-B81381F7E882}"/>
    <cellStyle name="Normal 11 2 6 2 3 2 3" xfId="35003" xr:uid="{403A2A00-68F2-4DE4-B883-DE7E1B8047CB}"/>
    <cellStyle name="Normal 11 2 6 2 3 2 3 2" xfId="35004" xr:uid="{E161F291-231E-41BA-9D28-1CEF8470F7CD}"/>
    <cellStyle name="Normal 11 2 6 2 3 2 3 2 2" xfId="35005" xr:uid="{137DC76B-053F-4FBB-889F-FE3738B643B8}"/>
    <cellStyle name="Normal 11 2 6 2 3 2 3 2 2 2" xfId="35006" xr:uid="{A3979DB5-2522-4847-B566-2BCB08A47E5C}"/>
    <cellStyle name="Normal 11 2 6 2 3 2 3 2 3" xfId="35007" xr:uid="{FFF7EA9D-42CB-4AA1-AB79-A55C9C349BAE}"/>
    <cellStyle name="Normal 11 2 6 2 3 2 3 3" xfId="35008" xr:uid="{AA54E67D-4400-4835-8BB1-B36F66FFB1BF}"/>
    <cellStyle name="Normal 11 2 6 2 3 2 3 3 2" xfId="35009" xr:uid="{B49D44B4-5D15-4D81-9C70-AEBA520B6B93}"/>
    <cellStyle name="Normal 11 2 6 2 3 2 3 4" xfId="35010" xr:uid="{361F7E65-7D83-41F4-8EB6-E649FF5FDA54}"/>
    <cellStyle name="Normal 11 2 6 2 3 2 4" xfId="35011" xr:uid="{20888EF7-CF6E-45BC-9644-57B6DA6E9E13}"/>
    <cellStyle name="Normal 11 2 6 2 3 2 4 2" xfId="35012" xr:uid="{FD013829-8D21-4337-B39D-5583AEE9010D}"/>
    <cellStyle name="Normal 11 2 6 2 3 2 4 2 2" xfId="35013" xr:uid="{65FD6E20-EB8D-43A3-AAB8-BDF8D628F45A}"/>
    <cellStyle name="Normal 11 2 6 2 3 2 4 3" xfId="35014" xr:uid="{05C5DDBC-286A-47FB-8332-E6EDC301A08B}"/>
    <cellStyle name="Normal 11 2 6 2 3 2 5" xfId="35015" xr:uid="{AC7DF761-C7D8-474D-96F1-298C1E1804D0}"/>
    <cellStyle name="Normal 11 2 6 2 3 2 5 2" xfId="35016" xr:uid="{B14F77F0-4C05-49A0-B30E-7AC8AE132F3E}"/>
    <cellStyle name="Normal 11 2 6 2 3 2 6" xfId="35017" xr:uid="{878706BA-DCD9-4498-8DA2-E34248E2E6DD}"/>
    <cellStyle name="Normal 11 2 6 2 3 3" xfId="35018" xr:uid="{E7C13508-C0DE-41FB-902E-56CDA038796B}"/>
    <cellStyle name="Normal 11 2 6 2 3 3 2" xfId="35019" xr:uid="{A4A8082F-209E-423D-9B03-D97277A3490A}"/>
    <cellStyle name="Normal 11 2 6 2 3 3 2 2" xfId="35020" xr:uid="{793D9C52-1556-41A4-A6A6-91CB0EA8F91E}"/>
    <cellStyle name="Normal 11 2 6 2 3 3 2 2 2" xfId="35021" xr:uid="{AC11BDF2-8F3B-4A1C-A239-7D548E7B3AD6}"/>
    <cellStyle name="Normal 11 2 6 2 3 3 2 2 2 2" xfId="35022" xr:uid="{7BFCEA6D-495C-4131-BD7F-965C8834594E}"/>
    <cellStyle name="Normal 11 2 6 2 3 3 2 2 3" xfId="35023" xr:uid="{DCE9A153-F6F1-4D90-B21C-E2A138C883C1}"/>
    <cellStyle name="Normal 11 2 6 2 3 3 2 3" xfId="35024" xr:uid="{A5F2EF69-C1D1-40D3-8749-BCEFD760D45B}"/>
    <cellStyle name="Normal 11 2 6 2 3 3 2 3 2" xfId="35025" xr:uid="{0866B105-F1A4-48C5-8111-2AF32C20ED93}"/>
    <cellStyle name="Normal 11 2 6 2 3 3 2 4" xfId="35026" xr:uid="{29AA9513-09F7-4A52-8547-F75A408C57C0}"/>
    <cellStyle name="Normal 11 2 6 2 3 3 3" xfId="35027" xr:uid="{523DD32B-60BD-4A5B-AC4D-904A5C875743}"/>
    <cellStyle name="Normal 11 2 6 2 3 3 3 2" xfId="35028" xr:uid="{CCE3DC97-BB54-4CF1-86A9-821C73F43FE0}"/>
    <cellStyle name="Normal 11 2 6 2 3 3 3 2 2" xfId="35029" xr:uid="{987B9E55-EBB0-4A0A-8E19-49E33703F92D}"/>
    <cellStyle name="Normal 11 2 6 2 3 3 3 3" xfId="35030" xr:uid="{2F8B99BC-5EA4-4C51-812F-CEC4ED38DDC7}"/>
    <cellStyle name="Normal 11 2 6 2 3 3 4" xfId="35031" xr:uid="{8C7EAEC5-89DA-470B-A88D-FA22ABEC96DD}"/>
    <cellStyle name="Normal 11 2 6 2 3 3 4 2" xfId="35032" xr:uid="{C95C2FDE-3E9D-4291-AFB4-E6EA11657F40}"/>
    <cellStyle name="Normal 11 2 6 2 3 3 5" xfId="35033" xr:uid="{A24EA9E6-74FC-44E1-8AA9-B9DBBD93B424}"/>
    <cellStyle name="Normal 11 2 6 2 3 4" xfId="35034" xr:uid="{30EA512E-98E7-408F-8F41-F68A75E5E4ED}"/>
    <cellStyle name="Normal 11 2 6 2 3 4 2" xfId="35035" xr:uid="{9F668B83-95F0-4F17-B125-D71CF20DED7B}"/>
    <cellStyle name="Normal 11 2 6 2 3 4 2 2" xfId="35036" xr:uid="{356012C4-8ECE-4250-918A-0F57E18ADD64}"/>
    <cellStyle name="Normal 11 2 6 2 3 4 2 2 2" xfId="35037" xr:uid="{CBF9E21D-F248-4341-A921-C1FB1BA02708}"/>
    <cellStyle name="Normal 11 2 6 2 3 4 2 3" xfId="35038" xr:uid="{FC0C832F-8F92-439E-B66E-40187D2B1272}"/>
    <cellStyle name="Normal 11 2 6 2 3 4 3" xfId="35039" xr:uid="{33CBCFA4-02E1-4947-8078-A8A7626F9F7E}"/>
    <cellStyle name="Normal 11 2 6 2 3 4 3 2" xfId="35040" xr:uid="{08BBD47D-B7D9-4752-BB80-5FD80A49A37F}"/>
    <cellStyle name="Normal 11 2 6 2 3 4 4" xfId="35041" xr:uid="{213F3AF8-7BE4-4638-A81E-4994CE414B69}"/>
    <cellStyle name="Normal 11 2 6 2 3 5" xfId="35042" xr:uid="{623E72D0-8A2D-4250-B564-F825307BBE4E}"/>
    <cellStyle name="Normal 11 2 6 2 3 5 2" xfId="35043" xr:uid="{94D90A64-4555-4A42-91CB-A5E7DCFEA723}"/>
    <cellStyle name="Normal 11 2 6 2 3 5 2 2" xfId="35044" xr:uid="{9160B439-A9E1-45BE-920C-B53E6CAB9DAB}"/>
    <cellStyle name="Normal 11 2 6 2 3 5 3" xfId="35045" xr:uid="{4188F35A-4F89-4DE0-85D1-33B8E3758BF9}"/>
    <cellStyle name="Normal 11 2 6 2 3 6" xfId="35046" xr:uid="{EC9FAA56-4640-4101-9169-4DC5D3DB0C97}"/>
    <cellStyle name="Normal 11 2 6 2 3 6 2" xfId="35047" xr:uid="{31D7E7EE-98FB-4CC5-80CA-3033DFE46D76}"/>
    <cellStyle name="Normal 11 2 6 2 3 7" xfId="35048" xr:uid="{65C3E5FA-A3B8-4C32-A18D-51AFF44B603C}"/>
    <cellStyle name="Normal 11 2 6 2 4" xfId="35049" xr:uid="{841050CC-BEF5-48B2-8A0B-25499D585E78}"/>
    <cellStyle name="Normal 11 2 6 2 4 2" xfId="35050" xr:uid="{25722199-4FAC-4388-9327-7428855EEEB5}"/>
    <cellStyle name="Normal 11 2 6 2 4 2 2" xfId="35051" xr:uid="{221A8795-7AA7-4A6A-A7B1-63DC0E6F8077}"/>
    <cellStyle name="Normal 11 2 6 2 4 2 2 2" xfId="35052" xr:uid="{D4CDE325-0993-41E9-806C-6411E636E96A}"/>
    <cellStyle name="Normal 11 2 6 2 4 2 2 2 2" xfId="35053" xr:uid="{93F68C9E-08DC-42AF-B99B-5424509C7EAF}"/>
    <cellStyle name="Normal 11 2 6 2 4 2 2 2 2 2" xfId="35054" xr:uid="{ED93CFCC-A06E-4968-BC1C-843F9BB3B737}"/>
    <cellStyle name="Normal 11 2 6 2 4 2 2 2 3" xfId="35055" xr:uid="{81A057BD-98A2-4ADB-AE9E-46F5600F9A10}"/>
    <cellStyle name="Normal 11 2 6 2 4 2 2 3" xfId="35056" xr:uid="{4E5A104B-F55C-40B5-9D2D-C931C648227E}"/>
    <cellStyle name="Normal 11 2 6 2 4 2 2 3 2" xfId="35057" xr:uid="{536E279E-803E-42D4-9B00-B356CF46D76A}"/>
    <cellStyle name="Normal 11 2 6 2 4 2 2 4" xfId="35058" xr:uid="{96D7292C-ABB5-4BD1-AF4B-C09B39D598A3}"/>
    <cellStyle name="Normal 11 2 6 2 4 2 3" xfId="35059" xr:uid="{69578BF0-3200-4676-9155-0706986BC6A7}"/>
    <cellStyle name="Normal 11 2 6 2 4 2 3 2" xfId="35060" xr:uid="{8717D653-D26B-4519-AB14-4540F43815AA}"/>
    <cellStyle name="Normal 11 2 6 2 4 2 3 2 2" xfId="35061" xr:uid="{19903646-99A1-471E-A385-F1A229E33F2E}"/>
    <cellStyle name="Normal 11 2 6 2 4 2 3 3" xfId="35062" xr:uid="{7C1DE9E7-0E1A-453C-9857-BA6DBD774AEF}"/>
    <cellStyle name="Normal 11 2 6 2 4 2 4" xfId="35063" xr:uid="{730B4E00-16AB-49E6-8730-B553DF7FD08F}"/>
    <cellStyle name="Normal 11 2 6 2 4 2 4 2" xfId="35064" xr:uid="{845E696D-37AC-457A-B60B-A5FFF9C9EB0B}"/>
    <cellStyle name="Normal 11 2 6 2 4 2 5" xfId="35065" xr:uid="{21EB43DE-0167-478A-99C4-270D87709B70}"/>
    <cellStyle name="Normal 11 2 6 2 4 3" xfId="35066" xr:uid="{FA1CCE02-21D0-4F14-B8D4-E5B14233ECA1}"/>
    <cellStyle name="Normal 11 2 6 2 4 3 2" xfId="35067" xr:uid="{7D6CB37D-D758-40DB-8B1C-6B0750D8253A}"/>
    <cellStyle name="Normal 11 2 6 2 4 3 2 2" xfId="35068" xr:uid="{724195EC-F394-401E-8773-504AE49FA17D}"/>
    <cellStyle name="Normal 11 2 6 2 4 3 2 2 2" xfId="35069" xr:uid="{B21C8A54-C29C-4B19-9512-A96CC84D2023}"/>
    <cellStyle name="Normal 11 2 6 2 4 3 2 3" xfId="35070" xr:uid="{C580C086-D2AE-426E-BD20-9B223E6F4B25}"/>
    <cellStyle name="Normal 11 2 6 2 4 3 3" xfId="35071" xr:uid="{BEA75C30-3F31-4B9F-A053-F2DE572411BA}"/>
    <cellStyle name="Normal 11 2 6 2 4 3 3 2" xfId="35072" xr:uid="{9B6ED079-FDBA-4C80-82F4-0254AAA83ACF}"/>
    <cellStyle name="Normal 11 2 6 2 4 3 4" xfId="35073" xr:uid="{1C8C2E26-59EF-4113-B7D4-5B8237955E1C}"/>
    <cellStyle name="Normal 11 2 6 2 4 4" xfId="35074" xr:uid="{CDEC3390-E70B-42CF-9FBA-93A9A9B388D7}"/>
    <cellStyle name="Normal 11 2 6 2 4 4 2" xfId="35075" xr:uid="{A3BDC472-D16D-44A3-A797-11262A704FF1}"/>
    <cellStyle name="Normal 11 2 6 2 4 4 2 2" xfId="35076" xr:uid="{7E468060-0378-482A-861D-9F6A86830A69}"/>
    <cellStyle name="Normal 11 2 6 2 4 4 3" xfId="35077" xr:uid="{6978B90D-E76D-4BAE-8B3C-50EEB4B51097}"/>
    <cellStyle name="Normal 11 2 6 2 4 5" xfId="35078" xr:uid="{BBF77688-45BA-4BC8-A54F-209000FB9111}"/>
    <cellStyle name="Normal 11 2 6 2 4 5 2" xfId="35079" xr:uid="{B225FBE8-9DA5-41BC-B070-EE3E1F10BEA1}"/>
    <cellStyle name="Normal 11 2 6 2 4 6" xfId="35080" xr:uid="{CB03DC7A-2040-488F-BF7C-05FE99D70FBF}"/>
    <cellStyle name="Normal 11 2 6 2 5" xfId="35081" xr:uid="{4269F42C-951D-4AB7-BB0F-300DEB944327}"/>
    <cellStyle name="Normal 11 2 6 2 5 2" xfId="35082" xr:uid="{B94DF397-5AAE-477F-8F83-2C3B080B7B11}"/>
    <cellStyle name="Normal 11 2 6 2 5 2 2" xfId="35083" xr:uid="{C2B45223-B9E2-45C9-85E8-BF15AC841FE7}"/>
    <cellStyle name="Normal 11 2 6 2 5 2 2 2" xfId="35084" xr:uid="{1220D201-60F3-42B2-A6FB-DC54F06A3F34}"/>
    <cellStyle name="Normal 11 2 6 2 5 2 2 2 2" xfId="35085" xr:uid="{D2E78A32-5F2E-4660-9ACE-99FD7489C55C}"/>
    <cellStyle name="Normal 11 2 6 2 5 2 2 3" xfId="35086" xr:uid="{9A964951-0A56-420E-A5A1-738FD28AF92E}"/>
    <cellStyle name="Normal 11 2 6 2 5 2 3" xfId="35087" xr:uid="{54699046-5BAA-44CF-B0EB-FF7D4F372BA8}"/>
    <cellStyle name="Normal 11 2 6 2 5 2 3 2" xfId="35088" xr:uid="{57D9DC0F-8489-428C-BF2A-AFC28B9F0045}"/>
    <cellStyle name="Normal 11 2 6 2 5 2 4" xfId="35089" xr:uid="{E2D9174B-452D-4D02-B41F-6DAFD98884EB}"/>
    <cellStyle name="Normal 11 2 6 2 5 3" xfId="35090" xr:uid="{5B038698-3DAE-4427-A1F9-AFB7808FFA94}"/>
    <cellStyle name="Normal 11 2 6 2 5 3 2" xfId="35091" xr:uid="{C7ACD4C2-7DD1-4358-928A-DDDF37FEB650}"/>
    <cellStyle name="Normal 11 2 6 2 5 3 2 2" xfId="35092" xr:uid="{4C317DEE-8969-42B0-88CA-3940DD6737A7}"/>
    <cellStyle name="Normal 11 2 6 2 5 3 3" xfId="35093" xr:uid="{1E73C58F-BEE6-4760-8A6A-53B51DD20781}"/>
    <cellStyle name="Normal 11 2 6 2 5 4" xfId="35094" xr:uid="{280FE790-7AC9-4876-BAA7-A71ABB8D6645}"/>
    <cellStyle name="Normal 11 2 6 2 5 4 2" xfId="35095" xr:uid="{FAD64991-2A9C-4683-A8A9-45B453E8E840}"/>
    <cellStyle name="Normal 11 2 6 2 5 5" xfId="35096" xr:uid="{0A34D7C6-08EA-4BC5-BC47-E566DBC435F9}"/>
    <cellStyle name="Normal 11 2 6 2 6" xfId="35097" xr:uid="{F2F79600-71E4-4A92-99BB-058BACE39C2F}"/>
    <cellStyle name="Normal 11 2 6 2 6 2" xfId="35098" xr:uid="{BD8BD3AF-88F7-4157-98F8-F89B9302546F}"/>
    <cellStyle name="Normal 11 2 6 2 6 2 2" xfId="35099" xr:uid="{D266CA8B-34C1-473A-970E-A785EA80EF13}"/>
    <cellStyle name="Normal 11 2 6 2 6 2 2 2" xfId="35100" xr:uid="{8ADD3E0C-7EB7-4A14-895E-26E8BC3B10D5}"/>
    <cellStyle name="Normal 11 2 6 2 6 2 3" xfId="35101" xr:uid="{A3DA1A71-159A-4776-8802-FC0C1622AA1D}"/>
    <cellStyle name="Normal 11 2 6 2 6 3" xfId="35102" xr:uid="{956E9742-4611-4AC3-A136-016D45A144F9}"/>
    <cellStyle name="Normal 11 2 6 2 6 3 2" xfId="35103" xr:uid="{34E30DDE-25D5-4D53-A64D-EA9221E12CCC}"/>
    <cellStyle name="Normal 11 2 6 2 6 4" xfId="35104" xr:uid="{5E9B2867-CF8A-4B26-8523-E322A000ADB7}"/>
    <cellStyle name="Normal 11 2 6 2 7" xfId="35105" xr:uid="{1131A341-4670-4E68-AC99-AE130E9E1AE7}"/>
    <cellStyle name="Normal 11 2 6 2 7 2" xfId="35106" xr:uid="{08CFE289-94DF-4EDB-BD2B-134E0F9E19C6}"/>
    <cellStyle name="Normal 11 2 6 2 7 2 2" xfId="35107" xr:uid="{22001947-53DA-4B81-966D-390D318E42D5}"/>
    <cellStyle name="Normal 11 2 6 2 7 3" xfId="35108" xr:uid="{4605A67E-A08B-49BB-AD67-5849F244E41B}"/>
    <cellStyle name="Normal 11 2 6 2 8" xfId="35109" xr:uid="{3F493D42-0C0E-4294-A05D-3ACC12C9A317}"/>
    <cellStyle name="Normal 11 2 6 2 8 2" xfId="35110" xr:uid="{EC778B27-F815-4D1E-AFB0-3BD095A720B4}"/>
    <cellStyle name="Normal 11 2 6 2 9" xfId="35111" xr:uid="{61258409-4818-464C-82D7-3C6919D66CEA}"/>
    <cellStyle name="Normal 11 2 6 3" xfId="471" xr:uid="{C0098AAB-F89A-42D2-9336-F65D1F03CA9F}"/>
    <cellStyle name="Normal 11 2 6 3 2" xfId="35113" xr:uid="{60E4FB12-EBB0-4C54-8F1C-992809884486}"/>
    <cellStyle name="Normal 11 2 6 3 2 2" xfId="35114" xr:uid="{5AA15BB3-604C-42AC-9923-F958ACC58FCA}"/>
    <cellStyle name="Normal 11 2 6 3 2 2 2" xfId="35115" xr:uid="{ABB97FD6-7D68-4428-9F47-4FC12D0530DF}"/>
    <cellStyle name="Normal 11 2 6 3 2 2 2 2" xfId="35116" xr:uid="{CB020611-F2D1-419B-A66C-D76AA1934542}"/>
    <cellStyle name="Normal 11 2 6 3 2 2 2 2 2" xfId="35117" xr:uid="{734D9CA6-A5B1-4048-99D2-7B5860AAB36E}"/>
    <cellStyle name="Normal 11 2 6 3 2 2 2 2 2 2" xfId="35118" xr:uid="{B2B520CE-AFCD-4259-BC19-57DA112DFCA6}"/>
    <cellStyle name="Normal 11 2 6 3 2 2 2 2 2 2 2" xfId="35119" xr:uid="{3B7E3B3F-E473-4DDF-B8C4-5823144EE140}"/>
    <cellStyle name="Normal 11 2 6 3 2 2 2 2 2 3" xfId="35120" xr:uid="{F378796C-3CAA-4D92-805B-935E9BD545DF}"/>
    <cellStyle name="Normal 11 2 6 3 2 2 2 2 3" xfId="35121" xr:uid="{165EE62A-F63F-4B76-829E-B0630C058423}"/>
    <cellStyle name="Normal 11 2 6 3 2 2 2 2 3 2" xfId="35122" xr:uid="{6C7E7D60-A785-4AE0-AF18-DF41425BF0A8}"/>
    <cellStyle name="Normal 11 2 6 3 2 2 2 2 4" xfId="35123" xr:uid="{5EAF2330-B2D9-43E6-9A46-CE175397ECE7}"/>
    <cellStyle name="Normal 11 2 6 3 2 2 2 3" xfId="35124" xr:uid="{264413DE-E967-4DB4-9BF7-C4DADB5F6F09}"/>
    <cellStyle name="Normal 11 2 6 3 2 2 2 3 2" xfId="35125" xr:uid="{CBD828A3-7350-41A1-A091-BDC2251EA093}"/>
    <cellStyle name="Normal 11 2 6 3 2 2 2 3 2 2" xfId="35126" xr:uid="{0F310455-0E91-4435-B748-E53F5906365C}"/>
    <cellStyle name="Normal 11 2 6 3 2 2 2 3 3" xfId="35127" xr:uid="{C96523CB-C1BA-46DA-B75B-A15D4C60C230}"/>
    <cellStyle name="Normal 11 2 6 3 2 2 2 4" xfId="35128" xr:uid="{FEC5FB80-C5F1-4EB7-A77E-43AFF97219D6}"/>
    <cellStyle name="Normal 11 2 6 3 2 2 2 4 2" xfId="35129" xr:uid="{C664911B-C86C-4BAB-95DF-38661371173F}"/>
    <cellStyle name="Normal 11 2 6 3 2 2 2 5" xfId="35130" xr:uid="{D8D54C39-939F-40C0-B781-A602A38E3F01}"/>
    <cellStyle name="Normal 11 2 6 3 2 2 3" xfId="35131" xr:uid="{D36CA924-76F5-4BBE-BF78-F44DE770B0B0}"/>
    <cellStyle name="Normal 11 2 6 3 2 2 3 2" xfId="35132" xr:uid="{2FE957AB-8C58-41FB-99E8-B6512E6538DC}"/>
    <cellStyle name="Normal 11 2 6 3 2 2 3 2 2" xfId="35133" xr:uid="{07A2731B-AE5B-4E31-940E-000FC2310EF4}"/>
    <cellStyle name="Normal 11 2 6 3 2 2 3 2 2 2" xfId="35134" xr:uid="{057D4F93-A224-49E5-853C-BE6056302B68}"/>
    <cellStyle name="Normal 11 2 6 3 2 2 3 2 3" xfId="35135" xr:uid="{46B68872-5B0F-40BE-8637-B79D3466B193}"/>
    <cellStyle name="Normal 11 2 6 3 2 2 3 3" xfId="35136" xr:uid="{8E5111E7-B0D5-486A-9C0F-8845AC59F6BD}"/>
    <cellStyle name="Normal 11 2 6 3 2 2 3 3 2" xfId="35137" xr:uid="{861EFEDE-6DC7-4FB3-A1EF-274DB8337678}"/>
    <cellStyle name="Normal 11 2 6 3 2 2 3 4" xfId="35138" xr:uid="{5A74B558-E57E-4857-BA70-3F9286C1B3E8}"/>
    <cellStyle name="Normal 11 2 6 3 2 2 4" xfId="35139" xr:uid="{3E54742B-9B1D-4F46-B00A-62BBAC894D57}"/>
    <cellStyle name="Normal 11 2 6 3 2 2 4 2" xfId="35140" xr:uid="{145DF9FB-BBB6-41DA-96B6-3B582CDB62A0}"/>
    <cellStyle name="Normal 11 2 6 3 2 2 4 2 2" xfId="35141" xr:uid="{2D8DC5F1-0210-469E-B406-6E3460219950}"/>
    <cellStyle name="Normal 11 2 6 3 2 2 4 3" xfId="35142" xr:uid="{845CAA44-1201-43A9-ABCF-A46C0FDB76FA}"/>
    <cellStyle name="Normal 11 2 6 3 2 2 5" xfId="35143" xr:uid="{51464B01-9431-4A53-8038-AA6B6644F95A}"/>
    <cellStyle name="Normal 11 2 6 3 2 2 5 2" xfId="35144" xr:uid="{E983A0EC-415B-4419-8190-DAF3F250E7D0}"/>
    <cellStyle name="Normal 11 2 6 3 2 2 6" xfId="35145" xr:uid="{8680307B-ED1A-4846-8FF4-DA3179D726DF}"/>
    <cellStyle name="Normal 11 2 6 3 2 3" xfId="35146" xr:uid="{4D83EB24-7AE2-4388-8657-9792C54CC4FA}"/>
    <cellStyle name="Normal 11 2 6 3 2 3 2" xfId="35147" xr:uid="{102ACF18-4615-4EF8-A513-4F4EF4960FDB}"/>
    <cellStyle name="Normal 11 2 6 3 2 3 2 2" xfId="35148" xr:uid="{E731714B-4F7B-4250-89C1-985D60909B44}"/>
    <cellStyle name="Normal 11 2 6 3 2 3 2 2 2" xfId="35149" xr:uid="{1D32CB6C-0C30-4689-8B2D-0008EB1033A7}"/>
    <cellStyle name="Normal 11 2 6 3 2 3 2 2 2 2" xfId="35150" xr:uid="{A51DC951-B8E5-4A3F-A297-59FBFD31A594}"/>
    <cellStyle name="Normal 11 2 6 3 2 3 2 2 3" xfId="35151" xr:uid="{C378D0B7-5EA0-4D86-A257-93FB1801AD61}"/>
    <cellStyle name="Normal 11 2 6 3 2 3 2 3" xfId="35152" xr:uid="{F5195926-62FA-4448-AE29-082E540BD666}"/>
    <cellStyle name="Normal 11 2 6 3 2 3 2 3 2" xfId="35153" xr:uid="{6E5263E5-D9D3-4590-942F-D598FC568DA8}"/>
    <cellStyle name="Normal 11 2 6 3 2 3 2 4" xfId="35154" xr:uid="{CE8038A0-43FD-4EF1-B9D6-890C291D23E7}"/>
    <cellStyle name="Normal 11 2 6 3 2 3 3" xfId="35155" xr:uid="{C8ACEF60-0E7B-4D9D-98C5-30F22B6C2569}"/>
    <cellStyle name="Normal 11 2 6 3 2 3 3 2" xfId="35156" xr:uid="{4B1EE5BD-1905-4EA5-95E7-6722E4A17233}"/>
    <cellStyle name="Normal 11 2 6 3 2 3 3 2 2" xfId="35157" xr:uid="{47E4D0B2-BA51-4B0A-B28F-6E72E0131612}"/>
    <cellStyle name="Normal 11 2 6 3 2 3 3 3" xfId="35158" xr:uid="{63A3B806-C887-467F-97E3-9C83FE9835D9}"/>
    <cellStyle name="Normal 11 2 6 3 2 3 4" xfId="35159" xr:uid="{DD96FB30-12D0-430A-B779-0927ED167B59}"/>
    <cellStyle name="Normal 11 2 6 3 2 3 4 2" xfId="35160" xr:uid="{40056514-676E-4C4D-B7F2-C7ECC82003DB}"/>
    <cellStyle name="Normal 11 2 6 3 2 3 5" xfId="35161" xr:uid="{A629A2EE-3A02-4600-BE6B-DB5C38ED8F73}"/>
    <cellStyle name="Normal 11 2 6 3 2 4" xfId="35162" xr:uid="{D6BD10AE-0883-4CD7-8813-4444E2A8FFD2}"/>
    <cellStyle name="Normal 11 2 6 3 2 4 2" xfId="35163" xr:uid="{2B0ECF63-6829-40ED-B6C2-5FEFB30AD6EE}"/>
    <cellStyle name="Normal 11 2 6 3 2 4 2 2" xfId="35164" xr:uid="{FE54FE81-50A0-41DE-B329-53FAE5467503}"/>
    <cellStyle name="Normal 11 2 6 3 2 4 2 2 2" xfId="35165" xr:uid="{5C35FADF-F10E-4EDC-80DF-B7EB1EAF07E6}"/>
    <cellStyle name="Normal 11 2 6 3 2 4 2 3" xfId="35166" xr:uid="{C044ED8A-76A3-4CBD-AA1B-AD49B8A44798}"/>
    <cellStyle name="Normal 11 2 6 3 2 4 3" xfId="35167" xr:uid="{5C373FB1-7FC6-408A-A40A-61CFEAD264CD}"/>
    <cellStyle name="Normal 11 2 6 3 2 4 3 2" xfId="35168" xr:uid="{611B5B1B-0A13-4D67-B2E6-10962230599D}"/>
    <cellStyle name="Normal 11 2 6 3 2 4 4" xfId="35169" xr:uid="{3012A5A0-FED5-41A2-9F1B-3CEC7D75919F}"/>
    <cellStyle name="Normal 11 2 6 3 2 5" xfId="35170" xr:uid="{6E68851D-9B7D-4433-A824-502A336E8612}"/>
    <cellStyle name="Normal 11 2 6 3 2 5 2" xfId="35171" xr:uid="{3F6DBED4-B50F-4569-8D2D-DCB32BD45F2F}"/>
    <cellStyle name="Normal 11 2 6 3 2 5 2 2" xfId="35172" xr:uid="{5CF4E6AA-B3C9-43D0-A487-90FFF049A96A}"/>
    <cellStyle name="Normal 11 2 6 3 2 5 3" xfId="35173" xr:uid="{879CBBEA-7AC1-4B68-8C11-43096B90B130}"/>
    <cellStyle name="Normal 11 2 6 3 2 6" xfId="35174" xr:uid="{7F7E8756-7BD3-4790-92C4-508FCC7BE88B}"/>
    <cellStyle name="Normal 11 2 6 3 2 6 2" xfId="35175" xr:uid="{5BFEFBDB-46B9-462F-B4AD-8919A752AAF2}"/>
    <cellStyle name="Normal 11 2 6 3 2 7" xfId="35176" xr:uid="{9DCC5535-15DB-4E7C-8E01-6690D92A58D5}"/>
    <cellStyle name="Normal 11 2 6 3 3" xfId="35177" xr:uid="{4D959112-6F70-444D-92C7-B4989D7C0AA1}"/>
    <cellStyle name="Normal 11 2 6 3 3 2" xfId="35178" xr:uid="{238F3A4E-54E6-4DE2-AC82-2AA527CC5DF4}"/>
    <cellStyle name="Normal 11 2 6 3 3 2 2" xfId="35179" xr:uid="{87F7F3E0-774B-4116-80F4-4F7DE612E07C}"/>
    <cellStyle name="Normal 11 2 6 3 3 2 2 2" xfId="35180" xr:uid="{2B177B26-8E7E-4BF1-83E8-13E38229FA4B}"/>
    <cellStyle name="Normal 11 2 6 3 3 2 2 2 2" xfId="35181" xr:uid="{81005376-2C56-4131-BE6F-5109B0612EA1}"/>
    <cellStyle name="Normal 11 2 6 3 3 2 2 2 2 2" xfId="35182" xr:uid="{D406AA2E-7CE5-4E37-9413-03418AE932DE}"/>
    <cellStyle name="Normal 11 2 6 3 3 2 2 2 3" xfId="35183" xr:uid="{C3CC3784-8CFE-4FE8-970D-D87BD833EE11}"/>
    <cellStyle name="Normal 11 2 6 3 3 2 2 3" xfId="35184" xr:uid="{6FAE3910-C8F3-4500-B433-859E6DA87372}"/>
    <cellStyle name="Normal 11 2 6 3 3 2 2 3 2" xfId="35185" xr:uid="{F99FB733-A1BB-48EA-835E-F5E1D3CAAD76}"/>
    <cellStyle name="Normal 11 2 6 3 3 2 2 4" xfId="35186" xr:uid="{D6C078CA-BDD5-4A8F-9830-4FD7805DE334}"/>
    <cellStyle name="Normal 11 2 6 3 3 2 3" xfId="35187" xr:uid="{81E7B64E-CDF9-45DC-B542-727FF56A9E41}"/>
    <cellStyle name="Normal 11 2 6 3 3 2 3 2" xfId="35188" xr:uid="{3EC75815-D5C1-4F89-81BC-A1A6FA5147CA}"/>
    <cellStyle name="Normal 11 2 6 3 3 2 3 2 2" xfId="35189" xr:uid="{A456B0D2-9944-4785-AD51-ADE07B61248C}"/>
    <cellStyle name="Normal 11 2 6 3 3 2 3 3" xfId="35190" xr:uid="{73391797-00DF-472D-9CFF-594D6231D88E}"/>
    <cellStyle name="Normal 11 2 6 3 3 2 4" xfId="35191" xr:uid="{1C0849C1-6CF3-4FA5-BE8D-ED9016000037}"/>
    <cellStyle name="Normal 11 2 6 3 3 2 4 2" xfId="35192" xr:uid="{5D6BA83D-FD31-44E1-B444-2803DD59079C}"/>
    <cellStyle name="Normal 11 2 6 3 3 2 5" xfId="35193" xr:uid="{D47A8FD9-45FF-41D5-AAFB-FFEC97CEDE42}"/>
    <cellStyle name="Normal 11 2 6 3 3 3" xfId="35194" xr:uid="{E4312379-5CFC-4F15-A3EA-080EE04A4463}"/>
    <cellStyle name="Normal 11 2 6 3 3 3 2" xfId="35195" xr:uid="{55893EAB-4343-4EC2-9CE7-26F4466BCD08}"/>
    <cellStyle name="Normal 11 2 6 3 3 3 2 2" xfId="35196" xr:uid="{11698455-AF13-4630-A3A4-3A05AAF2C7BD}"/>
    <cellStyle name="Normal 11 2 6 3 3 3 2 2 2" xfId="35197" xr:uid="{DE066A78-3AC5-4C91-8391-68B645388CD3}"/>
    <cellStyle name="Normal 11 2 6 3 3 3 2 3" xfId="35198" xr:uid="{4B81CD06-68B0-4C04-B2C9-C810A7E145F8}"/>
    <cellStyle name="Normal 11 2 6 3 3 3 3" xfId="35199" xr:uid="{C0B1389E-54A9-426D-BCBD-6F41E291EACD}"/>
    <cellStyle name="Normal 11 2 6 3 3 3 3 2" xfId="35200" xr:uid="{0E173C8E-709D-467F-AA7E-20D491C696CB}"/>
    <cellStyle name="Normal 11 2 6 3 3 3 4" xfId="35201" xr:uid="{38E5476E-63B5-4723-BEB8-DBA7BDB07EB6}"/>
    <cellStyle name="Normal 11 2 6 3 3 4" xfId="35202" xr:uid="{AAA0B25E-BD94-4895-BD1B-CE875E86C97D}"/>
    <cellStyle name="Normal 11 2 6 3 3 4 2" xfId="35203" xr:uid="{5E5E8B3E-375A-4F81-9EFD-794D41AE0F9D}"/>
    <cellStyle name="Normal 11 2 6 3 3 4 2 2" xfId="35204" xr:uid="{F1B5F75B-FE95-4F2C-9645-1BAD9D328FCE}"/>
    <cellStyle name="Normal 11 2 6 3 3 4 3" xfId="35205" xr:uid="{5F79F7FC-3229-45A3-A61D-FC45D405918A}"/>
    <cellStyle name="Normal 11 2 6 3 3 5" xfId="35206" xr:uid="{EDC7C957-1E31-4C01-A1AB-756DAE527D59}"/>
    <cellStyle name="Normal 11 2 6 3 3 5 2" xfId="35207" xr:uid="{5B9C277B-2E9C-4DCE-8C57-947F3D1C6B08}"/>
    <cellStyle name="Normal 11 2 6 3 3 6" xfId="35208" xr:uid="{D4A1D7A5-B15F-4932-9298-B6BB8C7DAF74}"/>
    <cellStyle name="Normal 11 2 6 3 4" xfId="35209" xr:uid="{ADAEDA81-273A-48D5-930F-9AAAA03D547A}"/>
    <cellStyle name="Normal 11 2 6 3 4 2" xfId="35210" xr:uid="{D7FDD0EB-5245-426D-8321-E48E29C05A38}"/>
    <cellStyle name="Normal 11 2 6 3 4 2 2" xfId="35211" xr:uid="{F30F2CE0-935F-49AE-8919-61FD336354B3}"/>
    <cellStyle name="Normal 11 2 6 3 4 2 2 2" xfId="35212" xr:uid="{6FCDCE2B-3C8B-4117-90BE-6BB70552F5B5}"/>
    <cellStyle name="Normal 11 2 6 3 4 2 2 2 2" xfId="35213" xr:uid="{F8156840-B28E-403D-BE6C-F3ADE7EAF14F}"/>
    <cellStyle name="Normal 11 2 6 3 4 2 2 3" xfId="35214" xr:uid="{D0B0A4D7-C694-45CA-9A2F-06132597F5F7}"/>
    <cellStyle name="Normal 11 2 6 3 4 2 3" xfId="35215" xr:uid="{65DA901A-B9E8-487C-ADBB-D8A433674F73}"/>
    <cellStyle name="Normal 11 2 6 3 4 2 3 2" xfId="35216" xr:uid="{9F8C2317-16AC-4B6B-A708-99A856B98027}"/>
    <cellStyle name="Normal 11 2 6 3 4 2 4" xfId="35217" xr:uid="{5C552D83-C81A-4E93-B4E9-A4D4796AC346}"/>
    <cellStyle name="Normal 11 2 6 3 4 3" xfId="35218" xr:uid="{47E89CEA-1DD1-4E6B-BDE8-132D3581A14D}"/>
    <cellStyle name="Normal 11 2 6 3 4 3 2" xfId="35219" xr:uid="{E53846F3-56DA-4697-88BD-4A428F2B6975}"/>
    <cellStyle name="Normal 11 2 6 3 4 3 2 2" xfId="35220" xr:uid="{43E87C22-A2CA-48A7-BDE3-951F89C77D85}"/>
    <cellStyle name="Normal 11 2 6 3 4 3 3" xfId="35221" xr:uid="{D4E0BF78-2021-4D3E-89C8-F93FE829D576}"/>
    <cellStyle name="Normal 11 2 6 3 4 4" xfId="35222" xr:uid="{022EEA02-13F6-4183-A8B1-A6CC2A7E1782}"/>
    <cellStyle name="Normal 11 2 6 3 4 4 2" xfId="35223" xr:uid="{E2E5EA2C-B85E-4CB4-A8B1-8FA4CF820DD1}"/>
    <cellStyle name="Normal 11 2 6 3 4 5" xfId="35224" xr:uid="{AB1935E3-5328-45F2-92A8-464F5A27B74F}"/>
    <cellStyle name="Normal 11 2 6 3 5" xfId="35225" xr:uid="{75575C85-C6B8-44FF-9855-8B8D31212F56}"/>
    <cellStyle name="Normal 11 2 6 3 5 2" xfId="35226" xr:uid="{941E2707-F9B6-4DDE-9C5D-C7A83DB1E206}"/>
    <cellStyle name="Normal 11 2 6 3 5 2 2" xfId="35227" xr:uid="{1B84F365-0E73-4B58-AB32-82745E67769C}"/>
    <cellStyle name="Normal 11 2 6 3 5 2 2 2" xfId="35228" xr:uid="{6563D535-335F-4F47-BCEE-F67FF7634589}"/>
    <cellStyle name="Normal 11 2 6 3 5 2 3" xfId="35229" xr:uid="{EE0966BB-683C-4D88-A5D0-3D454FF6CE4A}"/>
    <cellStyle name="Normal 11 2 6 3 5 3" xfId="35230" xr:uid="{EA5F1A32-4261-484F-AF31-4196785E5D99}"/>
    <cellStyle name="Normal 11 2 6 3 5 3 2" xfId="35231" xr:uid="{84333B95-3B1A-4ECC-A9CF-05BF4CEE2741}"/>
    <cellStyle name="Normal 11 2 6 3 5 4" xfId="35232" xr:uid="{D679F913-0843-4D64-A53D-1CC8C409E079}"/>
    <cellStyle name="Normal 11 2 6 3 6" xfId="35233" xr:uid="{E0401B01-A42B-4ECE-A47D-9FF3373B55CF}"/>
    <cellStyle name="Normal 11 2 6 3 6 2" xfId="35234" xr:uid="{DB36E7AE-87C3-4DC3-920C-758C2C92E1C9}"/>
    <cellStyle name="Normal 11 2 6 3 6 2 2" xfId="35235" xr:uid="{275B4058-46F1-4232-BF53-852E6925F75E}"/>
    <cellStyle name="Normal 11 2 6 3 6 3" xfId="35236" xr:uid="{11CC42D6-6269-4D8E-8939-9C9154E7818A}"/>
    <cellStyle name="Normal 11 2 6 3 7" xfId="35237" xr:uid="{6F00FA48-73AA-4A87-897C-D118E02711AC}"/>
    <cellStyle name="Normal 11 2 6 3 7 2" xfId="35238" xr:uid="{2B286FD2-5659-4B09-ABB2-95C265F97BEE}"/>
    <cellStyle name="Normal 11 2 6 3 8" xfId="35239" xr:uid="{299CAE55-53BD-4C66-8FC3-4556AC979932}"/>
    <cellStyle name="Normal 11 2 6 3 9" xfId="35112" xr:uid="{D7507844-ABEE-4CE8-AE6C-F82230FEB910}"/>
    <cellStyle name="Normal 11 2 6 4" xfId="35240" xr:uid="{A49A2B0D-39A9-477F-8A57-7E8CCFC8AE00}"/>
    <cellStyle name="Normal 11 2 6 4 2" xfId="35241" xr:uid="{F15F8B04-2A4D-447A-A664-E7DE26928B1E}"/>
    <cellStyle name="Normal 11 2 6 4 2 2" xfId="35242" xr:uid="{2B7E88D8-AC72-4EF3-8557-07CA74B12783}"/>
    <cellStyle name="Normal 11 2 6 4 2 2 2" xfId="35243" xr:uid="{CC8423F9-64B2-44DE-9DB7-A3B0AB258185}"/>
    <cellStyle name="Normal 11 2 6 4 2 2 2 2" xfId="35244" xr:uid="{8DA2AE09-33FE-4EBC-8EEA-65ADEAFFACEA}"/>
    <cellStyle name="Normal 11 2 6 4 2 2 2 2 2" xfId="35245" xr:uid="{A95533CD-768D-4A88-BB6C-E872C2DA1BBD}"/>
    <cellStyle name="Normal 11 2 6 4 2 2 2 2 2 2" xfId="35246" xr:uid="{D442A669-6257-4531-8702-1DBAD020E7A9}"/>
    <cellStyle name="Normal 11 2 6 4 2 2 2 2 3" xfId="35247" xr:uid="{EC40C4E8-6601-444A-9498-4DD91EFFCA14}"/>
    <cellStyle name="Normal 11 2 6 4 2 2 2 3" xfId="35248" xr:uid="{8AC94050-81CA-4258-99E2-C2188BB8EEFB}"/>
    <cellStyle name="Normal 11 2 6 4 2 2 2 3 2" xfId="35249" xr:uid="{E0B08DDF-C90E-47CF-A73F-9664943F65BD}"/>
    <cellStyle name="Normal 11 2 6 4 2 2 2 4" xfId="35250" xr:uid="{221A4633-81C5-4CEC-A5EE-7F30DEC1882B}"/>
    <cellStyle name="Normal 11 2 6 4 2 2 3" xfId="35251" xr:uid="{3D065E40-F8F3-4806-8274-5165712A5793}"/>
    <cellStyle name="Normal 11 2 6 4 2 2 3 2" xfId="35252" xr:uid="{DC5516D5-F6CE-49D4-A625-8B8CE522A505}"/>
    <cellStyle name="Normal 11 2 6 4 2 2 3 2 2" xfId="35253" xr:uid="{48DB6065-3B17-4F6D-8E18-27CA9831C8CA}"/>
    <cellStyle name="Normal 11 2 6 4 2 2 3 3" xfId="35254" xr:uid="{30054945-5949-4E7C-9278-56D6D64831CB}"/>
    <cellStyle name="Normal 11 2 6 4 2 2 4" xfId="35255" xr:uid="{79A3D2A5-D6BE-4D9A-B34E-37A20CA6AA0E}"/>
    <cellStyle name="Normal 11 2 6 4 2 2 4 2" xfId="35256" xr:uid="{D45E2E67-3433-48A7-A54D-5B2F54845CAD}"/>
    <cellStyle name="Normal 11 2 6 4 2 2 5" xfId="35257" xr:uid="{27A1E0D9-FFC2-4145-80DF-BB0AA019FEEC}"/>
    <cellStyle name="Normal 11 2 6 4 2 3" xfId="35258" xr:uid="{4E7A647B-C55C-4923-AEED-41C94FD4A685}"/>
    <cellStyle name="Normal 11 2 6 4 2 3 2" xfId="35259" xr:uid="{2EE9EA50-E070-4F41-B2E3-8D8E0B5589E9}"/>
    <cellStyle name="Normal 11 2 6 4 2 3 2 2" xfId="35260" xr:uid="{2A27B5AA-606F-4811-9FFB-D93B5786A941}"/>
    <cellStyle name="Normal 11 2 6 4 2 3 2 2 2" xfId="35261" xr:uid="{F8C49597-AF57-45F2-8CC4-E0C51947CE27}"/>
    <cellStyle name="Normal 11 2 6 4 2 3 2 3" xfId="35262" xr:uid="{ECB83F73-EEBB-4B2A-AB1C-A84ADC33F46D}"/>
    <cellStyle name="Normal 11 2 6 4 2 3 3" xfId="35263" xr:uid="{5BC7E6A8-C54A-4540-9324-60715C928785}"/>
    <cellStyle name="Normal 11 2 6 4 2 3 3 2" xfId="35264" xr:uid="{362A6CA2-0DDD-4A86-914F-7F043B76F436}"/>
    <cellStyle name="Normal 11 2 6 4 2 3 4" xfId="35265" xr:uid="{AB198FF7-84ED-491A-B96D-27CCC10333B5}"/>
    <cellStyle name="Normal 11 2 6 4 2 4" xfId="35266" xr:uid="{5834272C-A71B-4650-AFF2-45C7C738EE18}"/>
    <cellStyle name="Normal 11 2 6 4 2 4 2" xfId="35267" xr:uid="{1966BE48-AEAD-4171-B03D-946AB4A481D8}"/>
    <cellStyle name="Normal 11 2 6 4 2 4 2 2" xfId="35268" xr:uid="{3E47C1F2-9D03-40F1-8472-A3D31E6A579D}"/>
    <cellStyle name="Normal 11 2 6 4 2 4 3" xfId="35269" xr:uid="{93D3BD3B-5B46-49B2-9318-D928512F643D}"/>
    <cellStyle name="Normal 11 2 6 4 2 5" xfId="35270" xr:uid="{D083FDEB-994E-49A9-8271-73046A61F2FB}"/>
    <cellStyle name="Normal 11 2 6 4 2 5 2" xfId="35271" xr:uid="{91928C18-CE8F-4C9A-9ECA-9D2DF84850DB}"/>
    <cellStyle name="Normal 11 2 6 4 2 6" xfId="35272" xr:uid="{67BAED1E-7B18-456C-BF51-040B1D67F293}"/>
    <cellStyle name="Normal 11 2 6 4 3" xfId="35273" xr:uid="{2807173F-A329-4706-B004-387168FB2BCF}"/>
    <cellStyle name="Normal 11 2 6 4 3 2" xfId="35274" xr:uid="{53805777-84BE-4E20-AC9E-C8D3186FD05C}"/>
    <cellStyle name="Normal 11 2 6 4 3 2 2" xfId="35275" xr:uid="{B5139ACB-CC23-42BA-AE0D-7E0AC66F1F68}"/>
    <cellStyle name="Normal 11 2 6 4 3 2 2 2" xfId="35276" xr:uid="{7748663E-7EEA-444A-9C65-2D32FC94F928}"/>
    <cellStyle name="Normal 11 2 6 4 3 2 2 2 2" xfId="35277" xr:uid="{02BB35D7-620B-4492-86A3-1CD3C3DC8A03}"/>
    <cellStyle name="Normal 11 2 6 4 3 2 2 3" xfId="35278" xr:uid="{F11847AE-CC33-4EEE-8C03-8DE85A4DBC39}"/>
    <cellStyle name="Normal 11 2 6 4 3 2 3" xfId="35279" xr:uid="{7CEC52A4-234D-44B8-BD18-EB2507AC80FA}"/>
    <cellStyle name="Normal 11 2 6 4 3 2 3 2" xfId="35280" xr:uid="{7E927580-2CAC-433F-97F1-E283CCAF6C4B}"/>
    <cellStyle name="Normal 11 2 6 4 3 2 4" xfId="35281" xr:uid="{A8A3A48E-F0B9-4C4C-89F4-AB71E723A85E}"/>
    <cellStyle name="Normal 11 2 6 4 3 3" xfId="35282" xr:uid="{B92A218A-4951-4E9B-9616-13089A5060BB}"/>
    <cellStyle name="Normal 11 2 6 4 3 3 2" xfId="35283" xr:uid="{1FDD7A9B-8EE3-4CB5-AD5F-DA24E2A5E5C7}"/>
    <cellStyle name="Normal 11 2 6 4 3 3 2 2" xfId="35284" xr:uid="{B5E5DDBC-9420-40D1-A121-855C50F4B7AA}"/>
    <cellStyle name="Normal 11 2 6 4 3 3 3" xfId="35285" xr:uid="{7800161C-991A-4BC0-9EA3-ADD6DEC891FF}"/>
    <cellStyle name="Normal 11 2 6 4 3 4" xfId="35286" xr:uid="{72592EA7-C522-4A37-BCCB-2B397A7FBB50}"/>
    <cellStyle name="Normal 11 2 6 4 3 4 2" xfId="35287" xr:uid="{5D815E7A-8970-432A-A810-E8B2F08AF28D}"/>
    <cellStyle name="Normal 11 2 6 4 3 5" xfId="35288" xr:uid="{078CE166-D78E-42CB-9CA8-0605AC4EC7A3}"/>
    <cellStyle name="Normal 11 2 6 4 4" xfId="35289" xr:uid="{14DB1C51-F695-4A09-A57B-F5FFD3FDFEED}"/>
    <cellStyle name="Normal 11 2 6 4 4 2" xfId="35290" xr:uid="{6AB2D08A-DF35-4401-9D49-BBF89AD2487D}"/>
    <cellStyle name="Normal 11 2 6 4 4 2 2" xfId="35291" xr:uid="{F9D7EC2C-26DF-4177-80CF-E9F191749AB0}"/>
    <cellStyle name="Normal 11 2 6 4 4 2 2 2" xfId="35292" xr:uid="{45537402-0D46-4393-89B1-763E0CFD4EB6}"/>
    <cellStyle name="Normal 11 2 6 4 4 2 3" xfId="35293" xr:uid="{B236412F-2F65-4C33-AE2F-9EC9B5930460}"/>
    <cellStyle name="Normal 11 2 6 4 4 3" xfId="35294" xr:uid="{BF913E06-CE4B-40E4-A163-EAFE83E3FBC0}"/>
    <cellStyle name="Normal 11 2 6 4 4 3 2" xfId="35295" xr:uid="{61BA97F3-2A80-4594-B2B4-AD293015FBC8}"/>
    <cellStyle name="Normal 11 2 6 4 4 4" xfId="35296" xr:uid="{561CAE1A-1AF1-4CE8-8404-874739F0763E}"/>
    <cellStyle name="Normal 11 2 6 4 5" xfId="35297" xr:uid="{356FF4D7-BD87-49AA-981E-03FE96D17E2C}"/>
    <cellStyle name="Normal 11 2 6 4 5 2" xfId="35298" xr:uid="{4CF358B0-3E24-4CBF-A54E-7F68A275CEF2}"/>
    <cellStyle name="Normal 11 2 6 4 5 2 2" xfId="35299" xr:uid="{4425287F-C85D-4F07-AE8D-06EDBF9E0C61}"/>
    <cellStyle name="Normal 11 2 6 4 5 3" xfId="35300" xr:uid="{8753736E-426A-41F7-AE6C-D85630A647F6}"/>
    <cellStyle name="Normal 11 2 6 4 6" xfId="35301" xr:uid="{068B9725-434F-4423-907C-92135C9C982E}"/>
    <cellStyle name="Normal 11 2 6 4 6 2" xfId="35302" xr:uid="{2348E7AA-DDB1-42C7-BD06-A027B8B76AA6}"/>
    <cellStyle name="Normal 11 2 6 4 7" xfId="35303" xr:uid="{B474D13C-BFF3-4131-851F-4F4B28D2F1ED}"/>
    <cellStyle name="Normal 11 2 6 5" xfId="35304" xr:uid="{A5117613-429E-485B-91B4-8A058E418AEB}"/>
    <cellStyle name="Normal 11 2 6 5 2" xfId="35305" xr:uid="{C128465C-33DF-4291-92B9-3EE099D05773}"/>
    <cellStyle name="Normal 11 2 6 5 2 2" xfId="35306" xr:uid="{6A1D379D-4962-4F45-A6EB-FA8B53C428BA}"/>
    <cellStyle name="Normal 11 2 6 5 2 2 2" xfId="35307" xr:uid="{B17E273A-EE8B-49DA-8A8C-E5B62D6BC053}"/>
    <cellStyle name="Normal 11 2 6 5 2 2 2 2" xfId="35308" xr:uid="{7338DCBC-2AB6-4DFC-A300-BF0C9AE61FBD}"/>
    <cellStyle name="Normal 11 2 6 5 2 2 2 2 2" xfId="35309" xr:uid="{DC9F720C-B490-45C5-A797-C0B7B8A20BAE}"/>
    <cellStyle name="Normal 11 2 6 5 2 2 2 3" xfId="35310" xr:uid="{EBD659C2-33EA-4DEE-BC46-5191A538F5A9}"/>
    <cellStyle name="Normal 11 2 6 5 2 2 3" xfId="35311" xr:uid="{49B24E61-F76C-43E9-947A-5DADCBD4DA5F}"/>
    <cellStyle name="Normal 11 2 6 5 2 2 3 2" xfId="35312" xr:uid="{E80F7F65-3DBB-4ED8-B513-A721ADC98F6C}"/>
    <cellStyle name="Normal 11 2 6 5 2 2 4" xfId="35313" xr:uid="{73A3DB4A-94C8-4F5D-A90F-52005892D267}"/>
    <cellStyle name="Normal 11 2 6 5 2 3" xfId="35314" xr:uid="{B817A696-EDD7-4B81-92C5-89EEA2A3B981}"/>
    <cellStyle name="Normal 11 2 6 5 2 3 2" xfId="35315" xr:uid="{21D1F9E3-62CA-4246-9FDF-A4C0B8087CB4}"/>
    <cellStyle name="Normal 11 2 6 5 2 3 2 2" xfId="35316" xr:uid="{A36E4220-03E1-4AF0-BA1D-2CC642B0114E}"/>
    <cellStyle name="Normal 11 2 6 5 2 3 3" xfId="35317" xr:uid="{5B0ED7A1-6A76-43C0-BD2D-37CB911A9108}"/>
    <cellStyle name="Normal 11 2 6 5 2 4" xfId="35318" xr:uid="{9F12858C-6970-4DBD-84B4-A6C0E887953A}"/>
    <cellStyle name="Normal 11 2 6 5 2 4 2" xfId="35319" xr:uid="{8D578150-BC49-4821-AF7E-95FE3903B5E6}"/>
    <cellStyle name="Normal 11 2 6 5 2 5" xfId="35320" xr:uid="{B3E513DA-7DB9-441D-85EE-CD11772A1D8A}"/>
    <cellStyle name="Normal 11 2 6 5 3" xfId="35321" xr:uid="{8729018A-2A27-4E74-996B-4E491A7A1B32}"/>
    <cellStyle name="Normal 11 2 6 5 3 2" xfId="35322" xr:uid="{891BC1C4-DB17-477D-AEB2-EF71964AB394}"/>
    <cellStyle name="Normal 11 2 6 5 3 2 2" xfId="35323" xr:uid="{3BCAAB07-A0DD-4411-8FEC-768BCF06DDE8}"/>
    <cellStyle name="Normal 11 2 6 5 3 2 2 2" xfId="35324" xr:uid="{173B3E58-10D4-44B9-9B1A-9CB2E2767588}"/>
    <cellStyle name="Normal 11 2 6 5 3 2 3" xfId="35325" xr:uid="{15C5F668-B058-493E-816C-E76883A1862D}"/>
    <cellStyle name="Normal 11 2 6 5 3 3" xfId="35326" xr:uid="{2F6C6467-5F60-4575-986C-F58433F59811}"/>
    <cellStyle name="Normal 11 2 6 5 3 3 2" xfId="35327" xr:uid="{067A966C-B89E-461A-B05E-30092FD13058}"/>
    <cellStyle name="Normal 11 2 6 5 3 4" xfId="35328" xr:uid="{89602FCD-89D9-44AE-A41E-FDB3BC35E3B1}"/>
    <cellStyle name="Normal 11 2 6 5 4" xfId="35329" xr:uid="{EE73F3C8-C53E-4F2E-A6D5-F5B9385BCFA1}"/>
    <cellStyle name="Normal 11 2 6 5 4 2" xfId="35330" xr:uid="{4F03F3EF-39DB-47FC-8410-FC238B90CD19}"/>
    <cellStyle name="Normal 11 2 6 5 4 2 2" xfId="35331" xr:uid="{898D981B-DB3F-441C-87A2-1CD90277A7A2}"/>
    <cellStyle name="Normal 11 2 6 5 4 3" xfId="35332" xr:uid="{5080DF0F-44DC-4C98-AAFF-E7C8CC21867D}"/>
    <cellStyle name="Normal 11 2 6 5 5" xfId="35333" xr:uid="{D863DC16-60F4-48A4-8D5E-E72D33AFCF3E}"/>
    <cellStyle name="Normal 11 2 6 5 5 2" xfId="35334" xr:uid="{3EA49925-4767-49B0-932E-15181ECE813E}"/>
    <cellStyle name="Normal 11 2 6 5 6" xfId="35335" xr:uid="{8D025FC0-4684-4AC5-AA10-79DF6DD4C198}"/>
    <cellStyle name="Normal 11 2 6 6" xfId="35336" xr:uid="{275FD4FB-8D33-4B9E-977A-1E1CFDD0D876}"/>
    <cellStyle name="Normal 11 2 6 6 2" xfId="35337" xr:uid="{57933340-CDAA-4116-BE2A-0F06DCFB8307}"/>
    <cellStyle name="Normal 11 2 6 6 2 2" xfId="35338" xr:uid="{671FB4F9-6565-49C6-8ADF-555F6BBD7182}"/>
    <cellStyle name="Normal 11 2 6 6 2 2 2" xfId="35339" xr:uid="{93B51FC1-B782-4B03-9049-819AC077334A}"/>
    <cellStyle name="Normal 11 2 6 6 2 2 2 2" xfId="35340" xr:uid="{083E3846-3AC4-4230-91F6-5D93D68C660C}"/>
    <cellStyle name="Normal 11 2 6 6 2 2 3" xfId="35341" xr:uid="{3D2C74A4-20DD-41CA-BC6D-4599903583BB}"/>
    <cellStyle name="Normal 11 2 6 6 2 3" xfId="35342" xr:uid="{FE33FDC2-8E10-4E8F-BC23-B11B6E735EF5}"/>
    <cellStyle name="Normal 11 2 6 6 2 3 2" xfId="35343" xr:uid="{482F3BCF-2092-4E95-B09A-08D147431358}"/>
    <cellStyle name="Normal 11 2 6 6 2 4" xfId="35344" xr:uid="{5EEC3FC2-099D-4F04-AF8C-88702C5E7501}"/>
    <cellStyle name="Normal 11 2 6 6 3" xfId="35345" xr:uid="{0FA5D807-3C1D-4864-AA5C-117418E11AD1}"/>
    <cellStyle name="Normal 11 2 6 6 3 2" xfId="35346" xr:uid="{70A5C393-B742-4608-8889-3ECC7A6C4F3D}"/>
    <cellStyle name="Normal 11 2 6 6 3 2 2" xfId="35347" xr:uid="{6ABA24E6-D8A2-4B07-B80E-E1952479322A}"/>
    <cellStyle name="Normal 11 2 6 6 3 3" xfId="35348" xr:uid="{AE104303-B501-420F-B2DF-09739F473636}"/>
    <cellStyle name="Normal 11 2 6 6 4" xfId="35349" xr:uid="{49BEAE51-1434-4BCF-B3C4-8F41D60C58FB}"/>
    <cellStyle name="Normal 11 2 6 6 4 2" xfId="35350" xr:uid="{8E14EE48-EA3C-46CA-BC04-EF100DD03EE3}"/>
    <cellStyle name="Normal 11 2 6 6 5" xfId="35351" xr:uid="{B7C7F9EA-688C-4F1C-A217-CDF5CAC04843}"/>
    <cellStyle name="Normal 11 2 6 7" xfId="35352" xr:uid="{BA4C38C9-8FFE-4F67-A18C-79FEAA6D3AA5}"/>
    <cellStyle name="Normal 11 2 6 7 2" xfId="35353" xr:uid="{B44F4111-72FB-418B-9E2D-0E09EDACF14E}"/>
    <cellStyle name="Normal 11 2 6 7 2 2" xfId="35354" xr:uid="{B4E12247-97C9-414F-A192-04F40FFC0019}"/>
    <cellStyle name="Normal 11 2 6 7 2 2 2" xfId="35355" xr:uid="{9210DC34-9723-4711-8F51-DE0E799A29C1}"/>
    <cellStyle name="Normal 11 2 6 7 2 3" xfId="35356" xr:uid="{E61ED5C8-9024-497E-804E-7C40024CA565}"/>
    <cellStyle name="Normal 11 2 6 7 3" xfId="35357" xr:uid="{FEB56FDF-D3CB-45A6-BE46-BCC40E1D2A13}"/>
    <cellStyle name="Normal 11 2 6 7 3 2" xfId="35358" xr:uid="{28DB470F-F403-4538-B76B-9E55A443E946}"/>
    <cellStyle name="Normal 11 2 6 7 4" xfId="35359" xr:uid="{6676A005-08FD-414F-99AA-7717E9AE001D}"/>
    <cellStyle name="Normal 11 2 6 8" xfId="35360" xr:uid="{E59A2CF2-3D44-4BF1-97D6-3137BFD5B04C}"/>
    <cellStyle name="Normal 11 2 6 8 2" xfId="35361" xr:uid="{387BA3F1-4AEB-4B33-A633-725EE1C17B78}"/>
    <cellStyle name="Normal 11 2 6 8 2 2" xfId="35362" xr:uid="{D9D19D1A-6864-48B1-93CF-0B43F54E4648}"/>
    <cellStyle name="Normal 11 2 6 8 3" xfId="35363" xr:uid="{212438D5-4DCB-409B-9FE8-BAA0016121F7}"/>
    <cellStyle name="Normal 11 2 6 9" xfId="35364" xr:uid="{4954004B-94AD-45D7-A017-C77947240D1C}"/>
    <cellStyle name="Normal 11 2 6 9 2" xfId="35365" xr:uid="{A001F7D7-9A59-482F-9CAF-13E9F7DF20F7}"/>
    <cellStyle name="Normal 11 2 7" xfId="252" xr:uid="{E82D6FA7-C0F7-4E57-BCA6-1CD13666459C}"/>
    <cellStyle name="Normal 11 2 7 10" xfId="35366" xr:uid="{92538219-14B3-4B8E-85DD-880982B4A9D7}"/>
    <cellStyle name="Normal 11 2 7 11" xfId="589" xr:uid="{8A7E39E2-EE66-4B75-92A6-6DCCAF8CC045}"/>
    <cellStyle name="Normal 11 2 7 2" xfId="368" xr:uid="{6DC189D2-EA8A-43B0-BDB0-6AC2383F88B1}"/>
    <cellStyle name="Normal 11 2 7 2 10" xfId="35367" xr:uid="{F388CF52-5FD3-4EA1-9201-649703591A68}"/>
    <cellStyle name="Normal 11 2 7 2 2" xfId="35368" xr:uid="{0C51B874-C0A7-4F98-8101-639E98DB28F0}"/>
    <cellStyle name="Normal 11 2 7 2 2 2" xfId="35369" xr:uid="{3841811F-402A-4999-B6B0-5537AAC1C202}"/>
    <cellStyle name="Normal 11 2 7 2 2 2 2" xfId="35370" xr:uid="{11FC9DEE-4F49-4B54-AF30-8CD565B75FEB}"/>
    <cellStyle name="Normal 11 2 7 2 2 2 2 2" xfId="35371" xr:uid="{EA31C186-6369-4646-A4A5-1B633C3F9AAC}"/>
    <cellStyle name="Normal 11 2 7 2 2 2 2 2 2" xfId="35372" xr:uid="{A1B4B2BA-724D-44CF-869E-FD23767BD0A2}"/>
    <cellStyle name="Normal 11 2 7 2 2 2 2 2 2 2" xfId="35373" xr:uid="{ABE7DD8C-EE07-412D-A0B5-3046C6F21CA6}"/>
    <cellStyle name="Normal 11 2 7 2 2 2 2 2 2 2 2" xfId="35374" xr:uid="{3D9328E5-11E0-429F-B430-C8BB98E02E09}"/>
    <cellStyle name="Normal 11 2 7 2 2 2 2 2 2 2 2 2" xfId="35375" xr:uid="{1EE2A828-0E44-48FE-8DAE-D72C3AF44FEB}"/>
    <cellStyle name="Normal 11 2 7 2 2 2 2 2 2 2 3" xfId="35376" xr:uid="{C2F2A229-B3BA-4A37-A437-6B6D899FC052}"/>
    <cellStyle name="Normal 11 2 7 2 2 2 2 2 2 3" xfId="35377" xr:uid="{0EBF1F9E-2D04-4365-8E1F-36034061558D}"/>
    <cellStyle name="Normal 11 2 7 2 2 2 2 2 2 3 2" xfId="35378" xr:uid="{49C9BDDA-585B-4441-A78B-B8F6DEEB4889}"/>
    <cellStyle name="Normal 11 2 7 2 2 2 2 2 2 4" xfId="35379" xr:uid="{23F07D42-5644-4ED6-841B-D1A057181CC5}"/>
    <cellStyle name="Normal 11 2 7 2 2 2 2 2 3" xfId="35380" xr:uid="{343A14F3-19C2-4A91-86EC-65451B060A4B}"/>
    <cellStyle name="Normal 11 2 7 2 2 2 2 2 3 2" xfId="35381" xr:uid="{6410BEE9-ACD0-40BB-A8C5-6AAE10D494DC}"/>
    <cellStyle name="Normal 11 2 7 2 2 2 2 2 3 2 2" xfId="35382" xr:uid="{ADAF8489-0E03-4FB9-8B05-DD1664F92CB5}"/>
    <cellStyle name="Normal 11 2 7 2 2 2 2 2 3 3" xfId="35383" xr:uid="{13BA7CF7-1A8B-4B48-AC1A-EE7ABCBB2BA6}"/>
    <cellStyle name="Normal 11 2 7 2 2 2 2 2 4" xfId="35384" xr:uid="{782DD6CC-A7EC-42F8-909B-E46BCF02A629}"/>
    <cellStyle name="Normal 11 2 7 2 2 2 2 2 4 2" xfId="35385" xr:uid="{ABC5EAFE-B56A-4304-9D3E-C48ADE99AE9B}"/>
    <cellStyle name="Normal 11 2 7 2 2 2 2 2 5" xfId="35386" xr:uid="{5FB97628-0824-4D88-B659-04167E580E3F}"/>
    <cellStyle name="Normal 11 2 7 2 2 2 2 3" xfId="35387" xr:uid="{C91E6ABC-1D68-4D23-8717-3F1FED6158F1}"/>
    <cellStyle name="Normal 11 2 7 2 2 2 2 3 2" xfId="35388" xr:uid="{DCB6FA03-EDA5-470D-88C2-1C5A6AC7E684}"/>
    <cellStyle name="Normal 11 2 7 2 2 2 2 3 2 2" xfId="35389" xr:uid="{57139CEA-2A5E-4B96-929F-8E93176C86CC}"/>
    <cellStyle name="Normal 11 2 7 2 2 2 2 3 2 2 2" xfId="35390" xr:uid="{70A673D3-2BF4-4BB5-B027-97F8A99625E9}"/>
    <cellStyle name="Normal 11 2 7 2 2 2 2 3 2 3" xfId="35391" xr:uid="{3EF12DFA-085C-4301-BE97-6BBB2ADCBCCD}"/>
    <cellStyle name="Normal 11 2 7 2 2 2 2 3 3" xfId="35392" xr:uid="{54DDD2BD-F9DF-4C17-9A41-ABA2BA3B499D}"/>
    <cellStyle name="Normal 11 2 7 2 2 2 2 3 3 2" xfId="35393" xr:uid="{4D88AD69-BDC4-4398-837E-E13B50BB42D7}"/>
    <cellStyle name="Normal 11 2 7 2 2 2 2 3 4" xfId="35394" xr:uid="{1C0236CD-2BB2-40DD-BB7E-AB6E923D7EAA}"/>
    <cellStyle name="Normal 11 2 7 2 2 2 2 4" xfId="35395" xr:uid="{EFF92066-8C0B-4359-88FF-CF31F8B89983}"/>
    <cellStyle name="Normal 11 2 7 2 2 2 2 4 2" xfId="35396" xr:uid="{96504E05-EBB9-46A6-ADEA-DC4E0AA2584E}"/>
    <cellStyle name="Normal 11 2 7 2 2 2 2 4 2 2" xfId="35397" xr:uid="{A8146064-28DB-48D2-841C-31D3D17F7D90}"/>
    <cellStyle name="Normal 11 2 7 2 2 2 2 4 3" xfId="35398" xr:uid="{0CEBB23B-0AC9-400B-A36A-E7539D0ED149}"/>
    <cellStyle name="Normal 11 2 7 2 2 2 2 5" xfId="35399" xr:uid="{7FB5515D-6718-4A46-A86D-6156A6D1AF0D}"/>
    <cellStyle name="Normal 11 2 7 2 2 2 2 5 2" xfId="35400" xr:uid="{B570C819-7010-4BEB-9C86-09083F6CCA87}"/>
    <cellStyle name="Normal 11 2 7 2 2 2 2 6" xfId="35401" xr:uid="{1D2E65C0-606E-4842-AE3D-B5C64E4E88E6}"/>
    <cellStyle name="Normal 11 2 7 2 2 2 3" xfId="35402" xr:uid="{7E883D70-DC68-46E0-93E7-B4BEB0DDE124}"/>
    <cellStyle name="Normal 11 2 7 2 2 2 3 2" xfId="35403" xr:uid="{478D086A-139C-432E-A441-F41D164C600A}"/>
    <cellStyle name="Normal 11 2 7 2 2 2 3 2 2" xfId="35404" xr:uid="{E3B3EA66-2727-4540-9D23-3B21824E9AAB}"/>
    <cellStyle name="Normal 11 2 7 2 2 2 3 2 2 2" xfId="35405" xr:uid="{EF3C727C-4C5D-47C6-82BC-524914FF7F56}"/>
    <cellStyle name="Normal 11 2 7 2 2 2 3 2 2 2 2" xfId="35406" xr:uid="{7E363206-BB73-4F61-828A-61CE4669C576}"/>
    <cellStyle name="Normal 11 2 7 2 2 2 3 2 2 3" xfId="35407" xr:uid="{1E228EBD-8F05-4473-8760-78ED210C9655}"/>
    <cellStyle name="Normal 11 2 7 2 2 2 3 2 3" xfId="35408" xr:uid="{325D0B20-7491-49B6-881C-6418B18B3460}"/>
    <cellStyle name="Normal 11 2 7 2 2 2 3 2 3 2" xfId="35409" xr:uid="{FD60AFD5-4619-4EE4-88B4-65F1B6144DEE}"/>
    <cellStyle name="Normal 11 2 7 2 2 2 3 2 4" xfId="35410" xr:uid="{BCE72FA5-ECA8-41C1-B819-8D1B6EF9F5FA}"/>
    <cellStyle name="Normal 11 2 7 2 2 2 3 3" xfId="35411" xr:uid="{740BDE3F-CC63-457C-A11D-DEC66848B5AC}"/>
    <cellStyle name="Normal 11 2 7 2 2 2 3 3 2" xfId="35412" xr:uid="{E06C96F4-4FE1-47B6-94F0-2BFFAD145D03}"/>
    <cellStyle name="Normal 11 2 7 2 2 2 3 3 2 2" xfId="35413" xr:uid="{F3D5A837-50AD-491D-AC89-B5265BA1F8D6}"/>
    <cellStyle name="Normal 11 2 7 2 2 2 3 3 3" xfId="35414" xr:uid="{7B490C71-BC09-40A7-82C1-784D1DB3A359}"/>
    <cellStyle name="Normal 11 2 7 2 2 2 3 4" xfId="35415" xr:uid="{0041AB62-5C66-43DC-A46B-36DA40958237}"/>
    <cellStyle name="Normal 11 2 7 2 2 2 3 4 2" xfId="35416" xr:uid="{5FF9CE58-D6BB-496F-B813-B6F236B55103}"/>
    <cellStyle name="Normal 11 2 7 2 2 2 3 5" xfId="35417" xr:uid="{BC536BC2-E1C0-4AAD-B270-BB9983FD16D6}"/>
    <cellStyle name="Normal 11 2 7 2 2 2 4" xfId="35418" xr:uid="{F0003946-4D72-4818-A856-A351C68E46AB}"/>
    <cellStyle name="Normal 11 2 7 2 2 2 4 2" xfId="35419" xr:uid="{63515BA5-ED26-4339-9F3F-3FC2DCA97895}"/>
    <cellStyle name="Normal 11 2 7 2 2 2 4 2 2" xfId="35420" xr:uid="{D9FC00B6-1CCB-47F8-A9D5-BB3A6B9E8E0C}"/>
    <cellStyle name="Normal 11 2 7 2 2 2 4 2 2 2" xfId="35421" xr:uid="{3C9B55A3-8CF3-48E4-96BF-3A22A8B6128B}"/>
    <cellStyle name="Normal 11 2 7 2 2 2 4 2 3" xfId="35422" xr:uid="{0FB16482-C801-46A5-99F7-B023E9A84B33}"/>
    <cellStyle name="Normal 11 2 7 2 2 2 4 3" xfId="35423" xr:uid="{399BF478-2D3D-49F3-9279-41F09231BF1C}"/>
    <cellStyle name="Normal 11 2 7 2 2 2 4 3 2" xfId="35424" xr:uid="{B69D610F-ADAE-45A4-9947-04C4B15B79AA}"/>
    <cellStyle name="Normal 11 2 7 2 2 2 4 4" xfId="35425" xr:uid="{A2893B73-E98B-4B2F-8288-78535B0874C5}"/>
    <cellStyle name="Normal 11 2 7 2 2 2 5" xfId="35426" xr:uid="{086DB18D-679B-4AA3-A067-3FDA8AE8F42F}"/>
    <cellStyle name="Normal 11 2 7 2 2 2 5 2" xfId="35427" xr:uid="{78DCE678-172F-4244-9A96-A687836CC633}"/>
    <cellStyle name="Normal 11 2 7 2 2 2 5 2 2" xfId="35428" xr:uid="{EAF94A01-7CCE-4116-A6BF-0BC921E06447}"/>
    <cellStyle name="Normal 11 2 7 2 2 2 5 3" xfId="35429" xr:uid="{AFC250EF-0FA8-4DF1-B353-68B89888CF2A}"/>
    <cellStyle name="Normal 11 2 7 2 2 2 6" xfId="35430" xr:uid="{27976009-B4A1-40B0-898E-B4673FF4309A}"/>
    <cellStyle name="Normal 11 2 7 2 2 2 6 2" xfId="35431" xr:uid="{009754B2-734A-4F10-B366-3B43580246CA}"/>
    <cellStyle name="Normal 11 2 7 2 2 2 7" xfId="35432" xr:uid="{756A9FA3-ED91-410F-9517-077AF799B372}"/>
    <cellStyle name="Normal 11 2 7 2 2 3" xfId="35433" xr:uid="{19FF8F07-A468-4048-B2CC-5769F31E0E7B}"/>
    <cellStyle name="Normal 11 2 7 2 2 3 2" xfId="35434" xr:uid="{48880C21-4779-4E35-BCF6-4DD165637BAE}"/>
    <cellStyle name="Normal 11 2 7 2 2 3 2 2" xfId="35435" xr:uid="{3819633F-1725-40D2-8DB5-9B4399E27E03}"/>
    <cellStyle name="Normal 11 2 7 2 2 3 2 2 2" xfId="35436" xr:uid="{C3F36E5F-9A5C-4231-AFFE-D8C3103B5DCA}"/>
    <cellStyle name="Normal 11 2 7 2 2 3 2 2 2 2" xfId="35437" xr:uid="{4531E16F-1C66-4B3C-B6A4-8F6FF6131142}"/>
    <cellStyle name="Normal 11 2 7 2 2 3 2 2 2 2 2" xfId="35438" xr:uid="{C4E93E46-0C35-4A4D-9307-E3769D2F3A1D}"/>
    <cellStyle name="Normal 11 2 7 2 2 3 2 2 2 3" xfId="35439" xr:uid="{FC824C5B-B9EE-4DF3-BC76-EDDCCDD15C3C}"/>
    <cellStyle name="Normal 11 2 7 2 2 3 2 2 3" xfId="35440" xr:uid="{6B0D8DDF-E602-4E62-A01B-CBA09F99A139}"/>
    <cellStyle name="Normal 11 2 7 2 2 3 2 2 3 2" xfId="35441" xr:uid="{5A5BC5D5-67CC-462C-9CCF-DF1A861E5CAC}"/>
    <cellStyle name="Normal 11 2 7 2 2 3 2 2 4" xfId="35442" xr:uid="{8455A12F-D623-48F2-A0AA-2CD6D812D938}"/>
    <cellStyle name="Normal 11 2 7 2 2 3 2 3" xfId="35443" xr:uid="{5D762FAC-1D53-453D-B20A-003CE01AB155}"/>
    <cellStyle name="Normal 11 2 7 2 2 3 2 3 2" xfId="35444" xr:uid="{27638E5F-993C-48A5-95A1-B95C151F2F04}"/>
    <cellStyle name="Normal 11 2 7 2 2 3 2 3 2 2" xfId="35445" xr:uid="{A5540860-15BB-4785-8FB9-301D1AF54D7D}"/>
    <cellStyle name="Normal 11 2 7 2 2 3 2 3 3" xfId="35446" xr:uid="{BC62BD3B-EDA2-41E2-BC99-5B8859955C09}"/>
    <cellStyle name="Normal 11 2 7 2 2 3 2 4" xfId="35447" xr:uid="{F7D44184-60DA-411C-92DB-36F5A06D2AE5}"/>
    <cellStyle name="Normal 11 2 7 2 2 3 2 4 2" xfId="35448" xr:uid="{2C05E214-89A6-4875-8F80-402869EEA16F}"/>
    <cellStyle name="Normal 11 2 7 2 2 3 2 5" xfId="35449" xr:uid="{8E2380CA-E0F4-45E1-8453-0AC45FC7DF8D}"/>
    <cellStyle name="Normal 11 2 7 2 2 3 3" xfId="35450" xr:uid="{43AEFA47-C31E-4FCA-9EF3-E5DE7120D450}"/>
    <cellStyle name="Normal 11 2 7 2 2 3 3 2" xfId="35451" xr:uid="{DCE45BBC-5CC5-4B20-8EBA-BC3E4B9C6F54}"/>
    <cellStyle name="Normal 11 2 7 2 2 3 3 2 2" xfId="35452" xr:uid="{B2B04A16-86D8-4F57-9C52-A7EA9D7E9690}"/>
    <cellStyle name="Normal 11 2 7 2 2 3 3 2 2 2" xfId="35453" xr:uid="{BD5D6A73-76F4-430F-B53F-78713A28B372}"/>
    <cellStyle name="Normal 11 2 7 2 2 3 3 2 3" xfId="35454" xr:uid="{7930578F-3690-47BC-B615-8BFFB310055E}"/>
    <cellStyle name="Normal 11 2 7 2 2 3 3 3" xfId="35455" xr:uid="{7A528133-E5CB-41C8-9E65-8A92A19FDAE0}"/>
    <cellStyle name="Normal 11 2 7 2 2 3 3 3 2" xfId="35456" xr:uid="{C02191D8-C50B-4C6B-A747-9B221D8EA3A5}"/>
    <cellStyle name="Normal 11 2 7 2 2 3 3 4" xfId="35457" xr:uid="{639AA0B7-05C8-4A39-9478-3BBCA76F2D19}"/>
    <cellStyle name="Normal 11 2 7 2 2 3 4" xfId="35458" xr:uid="{B7E310D9-F897-44DC-9FE3-8EA0C0BC0FFD}"/>
    <cellStyle name="Normal 11 2 7 2 2 3 4 2" xfId="35459" xr:uid="{12204E9B-B1D3-4BAC-B3B7-F2A549998A63}"/>
    <cellStyle name="Normal 11 2 7 2 2 3 4 2 2" xfId="35460" xr:uid="{2D6E624E-2BA6-47F0-90E1-6B6F619336C2}"/>
    <cellStyle name="Normal 11 2 7 2 2 3 4 3" xfId="35461" xr:uid="{D1C3DD2D-D068-44EC-8967-318C2DEC365B}"/>
    <cellStyle name="Normal 11 2 7 2 2 3 5" xfId="35462" xr:uid="{92E23839-B8C0-4C6D-8290-45957634D09F}"/>
    <cellStyle name="Normal 11 2 7 2 2 3 5 2" xfId="35463" xr:uid="{0AF77D3A-94AA-480D-B4DE-93AA81FC4AF2}"/>
    <cellStyle name="Normal 11 2 7 2 2 3 6" xfId="35464" xr:uid="{259BCB3B-DAF1-419F-B4AD-5BD86A6715B0}"/>
    <cellStyle name="Normal 11 2 7 2 2 4" xfId="35465" xr:uid="{4A6261C2-A84B-4794-9EA4-10A298555B8F}"/>
    <cellStyle name="Normal 11 2 7 2 2 4 2" xfId="35466" xr:uid="{C7875E6B-B381-4635-813D-D84343828CEC}"/>
    <cellStyle name="Normal 11 2 7 2 2 4 2 2" xfId="35467" xr:uid="{5D489027-3FCE-4939-AE6E-0A45145ED1A9}"/>
    <cellStyle name="Normal 11 2 7 2 2 4 2 2 2" xfId="35468" xr:uid="{BD49ACEF-0BEC-4551-956A-0AD43DE006A6}"/>
    <cellStyle name="Normal 11 2 7 2 2 4 2 2 2 2" xfId="35469" xr:uid="{417EC41D-CCDD-44B1-8C9A-031DE002AC8D}"/>
    <cellStyle name="Normal 11 2 7 2 2 4 2 2 3" xfId="35470" xr:uid="{05B9E0E0-C4C4-4E09-9157-EA46F3A109B5}"/>
    <cellStyle name="Normal 11 2 7 2 2 4 2 3" xfId="35471" xr:uid="{0742F973-87A8-476A-8C80-6A45B1B37187}"/>
    <cellStyle name="Normal 11 2 7 2 2 4 2 3 2" xfId="35472" xr:uid="{BFACF4F4-659E-45C7-9E22-9FD32B60B129}"/>
    <cellStyle name="Normal 11 2 7 2 2 4 2 4" xfId="35473" xr:uid="{7EE2CA31-4CC2-4BDB-8E5D-780C3A2435E3}"/>
    <cellStyle name="Normal 11 2 7 2 2 4 3" xfId="35474" xr:uid="{D77E19BD-A6BE-4CBA-8310-DE5244562F86}"/>
    <cellStyle name="Normal 11 2 7 2 2 4 3 2" xfId="35475" xr:uid="{F7E0FF40-54DE-43F9-AB98-ADA0C21BBC21}"/>
    <cellStyle name="Normal 11 2 7 2 2 4 3 2 2" xfId="35476" xr:uid="{5406AD49-FAEF-41A9-9157-28C1C19B1471}"/>
    <cellStyle name="Normal 11 2 7 2 2 4 3 3" xfId="35477" xr:uid="{798E7DF8-4443-4E8B-B5EA-C1297A963CA4}"/>
    <cellStyle name="Normal 11 2 7 2 2 4 4" xfId="35478" xr:uid="{37606326-F039-4727-8D55-E5C8AD5C3E30}"/>
    <cellStyle name="Normal 11 2 7 2 2 4 4 2" xfId="35479" xr:uid="{BDCADDE3-3BBB-4415-8A1E-830D8C729C3E}"/>
    <cellStyle name="Normal 11 2 7 2 2 4 5" xfId="35480" xr:uid="{0EEA109A-C13E-40C6-B813-1B6BD237307D}"/>
    <cellStyle name="Normal 11 2 7 2 2 5" xfId="35481" xr:uid="{88DC45F8-85E4-40E0-9056-24C2F30A34EF}"/>
    <cellStyle name="Normal 11 2 7 2 2 5 2" xfId="35482" xr:uid="{02DA5B5C-1828-4D7B-98A0-94EAB67454AC}"/>
    <cellStyle name="Normal 11 2 7 2 2 5 2 2" xfId="35483" xr:uid="{9A5F3538-6368-436D-98F3-072291BC185B}"/>
    <cellStyle name="Normal 11 2 7 2 2 5 2 2 2" xfId="35484" xr:uid="{1FE7F085-2051-454B-8007-FF17809C9B40}"/>
    <cellStyle name="Normal 11 2 7 2 2 5 2 3" xfId="35485" xr:uid="{75D35D66-CAA3-47B7-A60D-268E1566E81C}"/>
    <cellStyle name="Normal 11 2 7 2 2 5 3" xfId="35486" xr:uid="{830B3E3E-D64C-4240-8C14-E6B1FE606979}"/>
    <cellStyle name="Normal 11 2 7 2 2 5 3 2" xfId="35487" xr:uid="{325999F1-A034-4497-A0DA-D31AB161F6FE}"/>
    <cellStyle name="Normal 11 2 7 2 2 5 4" xfId="35488" xr:uid="{DA70C3D4-C3F4-4847-A5D2-A2BA008DFB0D}"/>
    <cellStyle name="Normal 11 2 7 2 2 6" xfId="35489" xr:uid="{7A7E1DF4-C2F4-4187-9D42-096931C2089B}"/>
    <cellStyle name="Normal 11 2 7 2 2 6 2" xfId="35490" xr:uid="{0EE10AB0-B9F5-4721-8D33-8F119B70312D}"/>
    <cellStyle name="Normal 11 2 7 2 2 6 2 2" xfId="35491" xr:uid="{F115B996-034B-4897-A4F0-A19492B03B46}"/>
    <cellStyle name="Normal 11 2 7 2 2 6 3" xfId="35492" xr:uid="{CD556A8A-A51F-4137-9324-5F4E12330291}"/>
    <cellStyle name="Normal 11 2 7 2 2 7" xfId="35493" xr:uid="{53279494-DAEE-4F45-AB80-FB73594B4EFE}"/>
    <cellStyle name="Normal 11 2 7 2 2 7 2" xfId="35494" xr:uid="{1E9F114A-308D-497E-ACC2-6EE3E5FAF771}"/>
    <cellStyle name="Normal 11 2 7 2 2 8" xfId="35495" xr:uid="{9C7323E2-D930-4773-AE9D-0FA539B9844F}"/>
    <cellStyle name="Normal 11 2 7 2 3" xfId="35496" xr:uid="{A3D8D425-6AE1-4F43-99AC-DCF31E83FD58}"/>
    <cellStyle name="Normal 11 2 7 2 3 2" xfId="35497" xr:uid="{8FEC756C-2E7C-4323-9092-112754B164CE}"/>
    <cellStyle name="Normal 11 2 7 2 3 2 2" xfId="35498" xr:uid="{671B165C-CF82-4128-B8E0-290333F1B788}"/>
    <cellStyle name="Normal 11 2 7 2 3 2 2 2" xfId="35499" xr:uid="{6726ACAD-3168-4F39-B2DB-EFAFEFED22CF}"/>
    <cellStyle name="Normal 11 2 7 2 3 2 2 2 2" xfId="35500" xr:uid="{4EAE657F-A067-4B73-AE54-7511551A733F}"/>
    <cellStyle name="Normal 11 2 7 2 3 2 2 2 2 2" xfId="35501" xr:uid="{A80A131A-1ED2-428D-9416-26AD7505F728}"/>
    <cellStyle name="Normal 11 2 7 2 3 2 2 2 2 2 2" xfId="35502" xr:uid="{4C91C54E-749C-40A9-9DA2-6834D891CA5F}"/>
    <cellStyle name="Normal 11 2 7 2 3 2 2 2 2 3" xfId="35503" xr:uid="{25EDFB72-96CD-4C0E-8F32-DC8341AF9D87}"/>
    <cellStyle name="Normal 11 2 7 2 3 2 2 2 3" xfId="35504" xr:uid="{628AD16D-73FB-44B5-8A4B-95B24725808C}"/>
    <cellStyle name="Normal 11 2 7 2 3 2 2 2 3 2" xfId="35505" xr:uid="{3EAD56FE-B0D8-4704-9EAC-86F3EFFDA15C}"/>
    <cellStyle name="Normal 11 2 7 2 3 2 2 2 4" xfId="35506" xr:uid="{ACA72198-5479-49F2-B9BE-AECB9D3CAE3D}"/>
    <cellStyle name="Normal 11 2 7 2 3 2 2 3" xfId="35507" xr:uid="{520DEE81-9870-4438-8193-D0CC1F283162}"/>
    <cellStyle name="Normal 11 2 7 2 3 2 2 3 2" xfId="35508" xr:uid="{EEABD405-92D5-486A-ADA7-95C8482AB4CA}"/>
    <cellStyle name="Normal 11 2 7 2 3 2 2 3 2 2" xfId="35509" xr:uid="{E8104639-DC90-498B-8603-CF16BCBE663A}"/>
    <cellStyle name="Normal 11 2 7 2 3 2 2 3 3" xfId="35510" xr:uid="{59FB9E97-326B-41BD-A85D-F139C4C8B64B}"/>
    <cellStyle name="Normal 11 2 7 2 3 2 2 4" xfId="35511" xr:uid="{DEEB0CA8-D5F0-46E1-B50E-5068E82D16B2}"/>
    <cellStyle name="Normal 11 2 7 2 3 2 2 4 2" xfId="35512" xr:uid="{260A8BA7-3228-405F-AC4C-067A5CB82CFF}"/>
    <cellStyle name="Normal 11 2 7 2 3 2 2 5" xfId="35513" xr:uid="{1EE973B9-9155-4C8B-A1F6-23737A419841}"/>
    <cellStyle name="Normal 11 2 7 2 3 2 3" xfId="35514" xr:uid="{9723DE02-D66E-459A-9064-B838BC056FCD}"/>
    <cellStyle name="Normal 11 2 7 2 3 2 3 2" xfId="35515" xr:uid="{7DC69AA6-D555-4DCA-AAD1-1CEB216E237E}"/>
    <cellStyle name="Normal 11 2 7 2 3 2 3 2 2" xfId="35516" xr:uid="{25EC2D08-37C4-458C-AE2D-5B03844CF450}"/>
    <cellStyle name="Normal 11 2 7 2 3 2 3 2 2 2" xfId="35517" xr:uid="{B72904EF-6096-439A-B5E2-91455D5E6B3E}"/>
    <cellStyle name="Normal 11 2 7 2 3 2 3 2 3" xfId="35518" xr:uid="{B36FA9A0-1A40-415A-B8AC-3CDF90669A21}"/>
    <cellStyle name="Normal 11 2 7 2 3 2 3 3" xfId="35519" xr:uid="{5C91D779-3F89-44D4-8DD3-E892B3193802}"/>
    <cellStyle name="Normal 11 2 7 2 3 2 3 3 2" xfId="35520" xr:uid="{2C7FC24C-71CE-43BC-A961-164F9864D054}"/>
    <cellStyle name="Normal 11 2 7 2 3 2 3 4" xfId="35521" xr:uid="{64BBB650-1B69-4EA3-95EA-8CCC3157351F}"/>
    <cellStyle name="Normal 11 2 7 2 3 2 4" xfId="35522" xr:uid="{E5442B04-668D-4A79-AED6-2D5AFA72B660}"/>
    <cellStyle name="Normal 11 2 7 2 3 2 4 2" xfId="35523" xr:uid="{04818466-DB7D-4090-A97A-E2289494FB8C}"/>
    <cellStyle name="Normal 11 2 7 2 3 2 4 2 2" xfId="35524" xr:uid="{B32BC6FD-4A5F-4B02-B930-D4D2EB8688F9}"/>
    <cellStyle name="Normal 11 2 7 2 3 2 4 3" xfId="35525" xr:uid="{4035C4F4-30B6-45DF-AE8F-C6B5F33CF05C}"/>
    <cellStyle name="Normal 11 2 7 2 3 2 5" xfId="35526" xr:uid="{26213B90-4227-4EFD-BBE0-28547A40C300}"/>
    <cellStyle name="Normal 11 2 7 2 3 2 5 2" xfId="35527" xr:uid="{46134BD7-85F9-483F-8DC7-06EE98E92AE0}"/>
    <cellStyle name="Normal 11 2 7 2 3 2 6" xfId="35528" xr:uid="{F55B440E-F610-4DE7-AA46-8A883583CE35}"/>
    <cellStyle name="Normal 11 2 7 2 3 3" xfId="35529" xr:uid="{435196DA-531D-4CE2-A098-CEF3944D91E8}"/>
    <cellStyle name="Normal 11 2 7 2 3 3 2" xfId="35530" xr:uid="{E00D3670-9B4A-43FA-8263-21C8E38E54C1}"/>
    <cellStyle name="Normal 11 2 7 2 3 3 2 2" xfId="35531" xr:uid="{408BE068-DE02-4B7F-8C0D-8781D33BCA93}"/>
    <cellStyle name="Normal 11 2 7 2 3 3 2 2 2" xfId="35532" xr:uid="{4975E6C3-9285-49DC-AF86-FB61E4CE3409}"/>
    <cellStyle name="Normal 11 2 7 2 3 3 2 2 2 2" xfId="35533" xr:uid="{2D908891-31B3-4250-8EC8-D245ABE539E7}"/>
    <cellStyle name="Normal 11 2 7 2 3 3 2 2 3" xfId="35534" xr:uid="{EF20DD32-66D8-4DA1-8E12-21A77BEB3BD5}"/>
    <cellStyle name="Normal 11 2 7 2 3 3 2 3" xfId="35535" xr:uid="{537811FC-28B4-4C61-AB90-7D320457C6D2}"/>
    <cellStyle name="Normal 11 2 7 2 3 3 2 3 2" xfId="35536" xr:uid="{2661F3D6-D658-4040-A046-343AE230F907}"/>
    <cellStyle name="Normal 11 2 7 2 3 3 2 4" xfId="35537" xr:uid="{DC885883-19E0-43EF-8475-5B79DB1EA3D2}"/>
    <cellStyle name="Normal 11 2 7 2 3 3 3" xfId="35538" xr:uid="{40E7ACDE-07E8-4B5C-9518-C9A5A93EF94C}"/>
    <cellStyle name="Normal 11 2 7 2 3 3 3 2" xfId="35539" xr:uid="{3E107823-41DD-415E-984A-A3D1248BB024}"/>
    <cellStyle name="Normal 11 2 7 2 3 3 3 2 2" xfId="35540" xr:uid="{4D5A8856-7FFC-4B10-803D-4BA998EC39CF}"/>
    <cellStyle name="Normal 11 2 7 2 3 3 3 3" xfId="35541" xr:uid="{F20A61D2-242E-452E-927A-3F264D921B59}"/>
    <cellStyle name="Normal 11 2 7 2 3 3 4" xfId="35542" xr:uid="{45561DCC-3179-459D-92B3-990E085D129D}"/>
    <cellStyle name="Normal 11 2 7 2 3 3 4 2" xfId="35543" xr:uid="{A327F842-516F-43A6-A297-3CDBE44E6965}"/>
    <cellStyle name="Normal 11 2 7 2 3 3 5" xfId="35544" xr:uid="{F2C3CFD6-58E8-49C9-B941-70D85F851722}"/>
    <cellStyle name="Normal 11 2 7 2 3 4" xfId="35545" xr:uid="{E3FE6293-D653-4239-A693-8D5FBDEDE431}"/>
    <cellStyle name="Normal 11 2 7 2 3 4 2" xfId="35546" xr:uid="{8B5B3D16-4384-4E6F-93D6-DA1DD58DDBD5}"/>
    <cellStyle name="Normal 11 2 7 2 3 4 2 2" xfId="35547" xr:uid="{D958C620-66E7-47C9-B58B-34E5CE4D67B4}"/>
    <cellStyle name="Normal 11 2 7 2 3 4 2 2 2" xfId="35548" xr:uid="{5E8C12DD-925D-4A54-AA1B-7BF4E0D6B75F}"/>
    <cellStyle name="Normal 11 2 7 2 3 4 2 3" xfId="35549" xr:uid="{13BF8A45-10DB-46A4-8671-75451E6FBDEE}"/>
    <cellStyle name="Normal 11 2 7 2 3 4 3" xfId="35550" xr:uid="{201E1B3A-AE31-458F-85C8-1A07CD42D582}"/>
    <cellStyle name="Normal 11 2 7 2 3 4 3 2" xfId="35551" xr:uid="{9F217BF2-3A91-4CE1-9B2E-1DA54482B92F}"/>
    <cellStyle name="Normal 11 2 7 2 3 4 4" xfId="35552" xr:uid="{0A74A8C0-1602-4894-8498-58935D314E55}"/>
    <cellStyle name="Normal 11 2 7 2 3 5" xfId="35553" xr:uid="{E9981573-058A-4B8E-89B1-390F0EEE1BE4}"/>
    <cellStyle name="Normal 11 2 7 2 3 5 2" xfId="35554" xr:uid="{D2685642-26A7-48E2-A12C-2B589BD34794}"/>
    <cellStyle name="Normal 11 2 7 2 3 5 2 2" xfId="35555" xr:uid="{E5324488-250B-4761-8E37-BC33967EEF4C}"/>
    <cellStyle name="Normal 11 2 7 2 3 5 3" xfId="35556" xr:uid="{92BA6BC3-87F2-40F3-AA91-E650AB85407C}"/>
    <cellStyle name="Normal 11 2 7 2 3 6" xfId="35557" xr:uid="{DA472711-8A64-434D-862A-D4A2D6FC8CD1}"/>
    <cellStyle name="Normal 11 2 7 2 3 6 2" xfId="35558" xr:uid="{AD393AF6-2C53-48C9-861B-D3A3DEAE6A71}"/>
    <cellStyle name="Normal 11 2 7 2 3 7" xfId="35559" xr:uid="{E429E4AB-921A-44CD-AE2A-363609D0364A}"/>
    <cellStyle name="Normal 11 2 7 2 4" xfId="35560" xr:uid="{3EC14D07-A438-44E9-8DF7-CB956FB3AEC4}"/>
    <cellStyle name="Normal 11 2 7 2 4 2" xfId="35561" xr:uid="{D8E8B2DD-1EBA-41B4-943D-F099D9393945}"/>
    <cellStyle name="Normal 11 2 7 2 4 2 2" xfId="35562" xr:uid="{225AC7C3-01C7-4D87-A13F-C798EC8F6AC2}"/>
    <cellStyle name="Normal 11 2 7 2 4 2 2 2" xfId="35563" xr:uid="{286D212D-033E-44DF-B0BA-8D87BAE732B0}"/>
    <cellStyle name="Normal 11 2 7 2 4 2 2 2 2" xfId="35564" xr:uid="{4780E174-67DA-43C0-B88C-1C938C0CBD00}"/>
    <cellStyle name="Normal 11 2 7 2 4 2 2 2 2 2" xfId="35565" xr:uid="{9927E888-4A64-4133-8DED-EDF53FA74062}"/>
    <cellStyle name="Normal 11 2 7 2 4 2 2 2 3" xfId="35566" xr:uid="{55D5AEB0-FFDD-4020-AD36-66102460A20F}"/>
    <cellStyle name="Normal 11 2 7 2 4 2 2 3" xfId="35567" xr:uid="{49463DCD-B6A9-418F-B1D3-3F452CAF58DF}"/>
    <cellStyle name="Normal 11 2 7 2 4 2 2 3 2" xfId="35568" xr:uid="{B4F4606D-3309-4B57-870A-84FCAE6C10F3}"/>
    <cellStyle name="Normal 11 2 7 2 4 2 2 4" xfId="35569" xr:uid="{63F889F1-96D8-40A4-A871-129DC9095A13}"/>
    <cellStyle name="Normal 11 2 7 2 4 2 3" xfId="35570" xr:uid="{BFCB5147-9B91-4F13-9514-5D11C4C1E439}"/>
    <cellStyle name="Normal 11 2 7 2 4 2 3 2" xfId="35571" xr:uid="{10804B8F-673E-4CD8-9FD6-DC32C1E695BA}"/>
    <cellStyle name="Normal 11 2 7 2 4 2 3 2 2" xfId="35572" xr:uid="{71B1949E-83EA-482B-B546-C2B02B8B9FCC}"/>
    <cellStyle name="Normal 11 2 7 2 4 2 3 3" xfId="35573" xr:uid="{8593C0C8-349D-4A26-8541-A6C4C82A8B48}"/>
    <cellStyle name="Normal 11 2 7 2 4 2 4" xfId="35574" xr:uid="{08ADCD9B-3480-4558-B7E6-C835EB15DB25}"/>
    <cellStyle name="Normal 11 2 7 2 4 2 4 2" xfId="35575" xr:uid="{C8F1272C-9CDF-4896-91FB-B0FC8F634F1B}"/>
    <cellStyle name="Normal 11 2 7 2 4 2 5" xfId="35576" xr:uid="{94FF9306-7665-4F57-B18D-52A5E24D2C04}"/>
    <cellStyle name="Normal 11 2 7 2 4 3" xfId="35577" xr:uid="{49D5E96C-EDA2-4ABF-85FB-F13EEDA2F484}"/>
    <cellStyle name="Normal 11 2 7 2 4 3 2" xfId="35578" xr:uid="{87597140-6928-4F58-A2B1-D624A4C3BA05}"/>
    <cellStyle name="Normal 11 2 7 2 4 3 2 2" xfId="35579" xr:uid="{E3A14B48-E725-4800-822D-2BA4F9F3369C}"/>
    <cellStyle name="Normal 11 2 7 2 4 3 2 2 2" xfId="35580" xr:uid="{F047F835-398F-47A5-9B20-853B5EFE3003}"/>
    <cellStyle name="Normal 11 2 7 2 4 3 2 3" xfId="35581" xr:uid="{C874EB20-E21A-4D23-96D9-03BE698CC088}"/>
    <cellStyle name="Normal 11 2 7 2 4 3 3" xfId="35582" xr:uid="{8ACDD107-15BF-44B0-B507-D72C300ECEC9}"/>
    <cellStyle name="Normal 11 2 7 2 4 3 3 2" xfId="35583" xr:uid="{C6D7F7A8-D2CF-4E55-ADE4-A274EC833859}"/>
    <cellStyle name="Normal 11 2 7 2 4 3 4" xfId="35584" xr:uid="{96615F70-9E16-463F-BD47-29D13F48E2F8}"/>
    <cellStyle name="Normal 11 2 7 2 4 4" xfId="35585" xr:uid="{8ACB2CD8-DA2D-46C7-9BFC-56CB218DAE24}"/>
    <cellStyle name="Normal 11 2 7 2 4 4 2" xfId="35586" xr:uid="{BC7B2E67-4B25-4AA0-8ADD-8FBDC4DE6BDB}"/>
    <cellStyle name="Normal 11 2 7 2 4 4 2 2" xfId="35587" xr:uid="{B75EAF36-B80F-4F19-9CDD-2C66DD941916}"/>
    <cellStyle name="Normal 11 2 7 2 4 4 3" xfId="35588" xr:uid="{3E1B8FCE-685C-4814-8EED-B36D03061E83}"/>
    <cellStyle name="Normal 11 2 7 2 4 5" xfId="35589" xr:uid="{3BB33862-2D1B-48DA-93D6-F9391E08AAF8}"/>
    <cellStyle name="Normal 11 2 7 2 4 5 2" xfId="35590" xr:uid="{1CEF44CA-89AB-421F-B359-982EB36405FA}"/>
    <cellStyle name="Normal 11 2 7 2 4 6" xfId="35591" xr:uid="{FA2BB10A-5C2C-4F76-AF80-0F63991BBFF6}"/>
    <cellStyle name="Normal 11 2 7 2 5" xfId="35592" xr:uid="{F545CB7A-70D3-4BB3-97EE-C54E7FFC2522}"/>
    <cellStyle name="Normal 11 2 7 2 5 2" xfId="35593" xr:uid="{FD62F89C-EAF6-4C3A-B66E-8D3328D266A9}"/>
    <cellStyle name="Normal 11 2 7 2 5 2 2" xfId="35594" xr:uid="{22A915B7-9C32-46C6-8A70-32E299DA57D9}"/>
    <cellStyle name="Normal 11 2 7 2 5 2 2 2" xfId="35595" xr:uid="{16B091C7-DD3D-4AB3-A5F1-6B2ED0926D4C}"/>
    <cellStyle name="Normal 11 2 7 2 5 2 2 2 2" xfId="35596" xr:uid="{E9949AA8-1903-411F-B3FE-7338F74CCA0A}"/>
    <cellStyle name="Normal 11 2 7 2 5 2 2 3" xfId="35597" xr:uid="{C35768C5-7596-45F4-A94F-3444A8D3600C}"/>
    <cellStyle name="Normal 11 2 7 2 5 2 3" xfId="35598" xr:uid="{13EB5F65-2F86-407A-B9D1-3DED63254AEC}"/>
    <cellStyle name="Normal 11 2 7 2 5 2 3 2" xfId="35599" xr:uid="{66A7C67E-B857-4D5B-8801-E7E962201F12}"/>
    <cellStyle name="Normal 11 2 7 2 5 2 4" xfId="35600" xr:uid="{F19B2367-D05F-4073-99AB-99BD13142539}"/>
    <cellStyle name="Normal 11 2 7 2 5 3" xfId="35601" xr:uid="{ED528BF0-3F63-4659-96FB-4A54D424B011}"/>
    <cellStyle name="Normal 11 2 7 2 5 3 2" xfId="35602" xr:uid="{DDE11012-B0F8-4A90-B161-B4E5D0D6794D}"/>
    <cellStyle name="Normal 11 2 7 2 5 3 2 2" xfId="35603" xr:uid="{5397A715-FC77-4412-A1B0-701D82B13D4E}"/>
    <cellStyle name="Normal 11 2 7 2 5 3 3" xfId="35604" xr:uid="{D8A27FEF-DC6E-40DB-9F6C-72B69B64EDA5}"/>
    <cellStyle name="Normal 11 2 7 2 5 4" xfId="35605" xr:uid="{69B904E0-245E-49EE-A6BA-BDCC32A7C730}"/>
    <cellStyle name="Normal 11 2 7 2 5 4 2" xfId="35606" xr:uid="{FD75D039-C144-4D80-97BE-9F535B060C57}"/>
    <cellStyle name="Normal 11 2 7 2 5 5" xfId="35607" xr:uid="{53EAFD24-9092-4A22-8D99-7E841035444C}"/>
    <cellStyle name="Normal 11 2 7 2 6" xfId="35608" xr:uid="{4E16C16A-9254-492D-8AE5-D6E40C9F1558}"/>
    <cellStyle name="Normal 11 2 7 2 6 2" xfId="35609" xr:uid="{806BA9C2-0A6D-42A5-8024-980333542AA1}"/>
    <cellStyle name="Normal 11 2 7 2 6 2 2" xfId="35610" xr:uid="{28687767-816D-43E8-A181-58AF6508E7FA}"/>
    <cellStyle name="Normal 11 2 7 2 6 2 2 2" xfId="35611" xr:uid="{55C5E6AE-CFDA-491C-8501-F86B44E85F0A}"/>
    <cellStyle name="Normal 11 2 7 2 6 2 3" xfId="35612" xr:uid="{3345C9B6-6883-46CB-A45C-E4171D5C72AF}"/>
    <cellStyle name="Normal 11 2 7 2 6 3" xfId="35613" xr:uid="{3BE04373-BA6A-4C5C-87B8-E0BF1BE728E6}"/>
    <cellStyle name="Normal 11 2 7 2 6 3 2" xfId="35614" xr:uid="{69A62E65-2496-4E15-8CD2-72002CB9AE9A}"/>
    <cellStyle name="Normal 11 2 7 2 6 4" xfId="35615" xr:uid="{873DFBD1-BA8F-47DE-82EA-7380E3C875F4}"/>
    <cellStyle name="Normal 11 2 7 2 7" xfId="35616" xr:uid="{9215FF2A-CE07-467E-9175-12A4B5EC0B2F}"/>
    <cellStyle name="Normal 11 2 7 2 7 2" xfId="35617" xr:uid="{8968C870-8F2C-47A0-B978-D77B7802B13E}"/>
    <cellStyle name="Normal 11 2 7 2 7 2 2" xfId="35618" xr:uid="{576AE7CA-AB41-4FC9-A42C-18E42D52A02A}"/>
    <cellStyle name="Normal 11 2 7 2 7 3" xfId="35619" xr:uid="{495BB95F-79A1-4FA1-AEA8-40D3B1619B9E}"/>
    <cellStyle name="Normal 11 2 7 2 8" xfId="35620" xr:uid="{29C00F92-F7A0-4CDD-A95A-9D4D76379988}"/>
    <cellStyle name="Normal 11 2 7 2 8 2" xfId="35621" xr:uid="{5F58AD4A-B71E-4184-AF45-1077448C443C}"/>
    <cellStyle name="Normal 11 2 7 2 9" xfId="35622" xr:uid="{2D6BBB27-16B9-4B96-97A3-78A8435206DA}"/>
    <cellStyle name="Normal 11 2 7 3" xfId="487" xr:uid="{9DF37B8A-A3C0-498D-AEED-643005E3643D}"/>
    <cellStyle name="Normal 11 2 7 3 2" xfId="35624" xr:uid="{0420732A-848D-400C-9B42-FE5CF5519C74}"/>
    <cellStyle name="Normal 11 2 7 3 2 2" xfId="35625" xr:uid="{2C59F936-8C7D-42C8-B619-AE11B027ABC7}"/>
    <cellStyle name="Normal 11 2 7 3 2 2 2" xfId="35626" xr:uid="{AF33D116-E438-469C-8595-E0EC8AEF3BC1}"/>
    <cellStyle name="Normal 11 2 7 3 2 2 2 2" xfId="35627" xr:uid="{A55F25F4-E455-4C72-9E69-1A27253692BB}"/>
    <cellStyle name="Normal 11 2 7 3 2 2 2 2 2" xfId="35628" xr:uid="{32B2DA9F-4416-476F-915A-78B1EF952848}"/>
    <cellStyle name="Normal 11 2 7 3 2 2 2 2 2 2" xfId="35629" xr:uid="{4EA11EB8-1ACF-445B-B571-0C85DA40FE1A}"/>
    <cellStyle name="Normal 11 2 7 3 2 2 2 2 2 2 2" xfId="35630" xr:uid="{A3AE60EF-182D-4770-BF10-D252EE7E6C92}"/>
    <cellStyle name="Normal 11 2 7 3 2 2 2 2 2 3" xfId="35631" xr:uid="{73D0DE09-653A-4034-BAF7-9CC3687BF947}"/>
    <cellStyle name="Normal 11 2 7 3 2 2 2 2 3" xfId="35632" xr:uid="{981F5197-ED05-44C5-89D1-706CCE2D84D1}"/>
    <cellStyle name="Normal 11 2 7 3 2 2 2 2 3 2" xfId="35633" xr:uid="{8D038857-85B2-4666-9592-DA0D16F2F01B}"/>
    <cellStyle name="Normal 11 2 7 3 2 2 2 2 4" xfId="35634" xr:uid="{1A52A151-00AD-4D91-AF78-7C95EF338E86}"/>
    <cellStyle name="Normal 11 2 7 3 2 2 2 3" xfId="35635" xr:uid="{AD723DD8-C10D-442C-A4B9-C5084916D245}"/>
    <cellStyle name="Normal 11 2 7 3 2 2 2 3 2" xfId="35636" xr:uid="{842598E0-37C3-4510-BEA7-7E6175310AA9}"/>
    <cellStyle name="Normal 11 2 7 3 2 2 2 3 2 2" xfId="35637" xr:uid="{298C6994-C3CE-4BDD-ACFD-2E133F2DF540}"/>
    <cellStyle name="Normal 11 2 7 3 2 2 2 3 3" xfId="35638" xr:uid="{3DF1AAF7-B952-4755-8E2D-E0F81F1BC1F5}"/>
    <cellStyle name="Normal 11 2 7 3 2 2 2 4" xfId="35639" xr:uid="{E394CBD1-2E92-40F3-86CE-74A8D2A7665C}"/>
    <cellStyle name="Normal 11 2 7 3 2 2 2 4 2" xfId="35640" xr:uid="{8FD9B708-0104-40EF-B045-EFD13B62BB01}"/>
    <cellStyle name="Normal 11 2 7 3 2 2 2 5" xfId="35641" xr:uid="{F1301336-9577-4E1C-A36D-0DC44B64BBFF}"/>
    <cellStyle name="Normal 11 2 7 3 2 2 3" xfId="35642" xr:uid="{69CE82BD-75BA-421A-9F16-77D46F18AB63}"/>
    <cellStyle name="Normal 11 2 7 3 2 2 3 2" xfId="35643" xr:uid="{F585EA81-CAD7-49E8-8569-DF44F46200DB}"/>
    <cellStyle name="Normal 11 2 7 3 2 2 3 2 2" xfId="35644" xr:uid="{9D252498-B062-45FA-A945-248883006EC2}"/>
    <cellStyle name="Normal 11 2 7 3 2 2 3 2 2 2" xfId="35645" xr:uid="{F628A84C-9E64-44F0-B036-9D90954E8FC6}"/>
    <cellStyle name="Normal 11 2 7 3 2 2 3 2 3" xfId="35646" xr:uid="{6B069D7F-3E8D-4BC7-A8CF-3E3F94B7A01D}"/>
    <cellStyle name="Normal 11 2 7 3 2 2 3 3" xfId="35647" xr:uid="{0CB62831-5C4E-441C-A6E8-94050D462747}"/>
    <cellStyle name="Normal 11 2 7 3 2 2 3 3 2" xfId="35648" xr:uid="{0FCD3DD0-795A-4B7F-B5F7-AA93B6507842}"/>
    <cellStyle name="Normal 11 2 7 3 2 2 3 4" xfId="35649" xr:uid="{0F9EAFD2-B087-4E96-9058-4527599E2390}"/>
    <cellStyle name="Normal 11 2 7 3 2 2 4" xfId="35650" xr:uid="{456594B6-E4A8-4587-842B-E9929D2C6736}"/>
    <cellStyle name="Normal 11 2 7 3 2 2 4 2" xfId="35651" xr:uid="{71938C99-C807-4C55-AA07-111310E50B3A}"/>
    <cellStyle name="Normal 11 2 7 3 2 2 4 2 2" xfId="35652" xr:uid="{77A80DE5-61C4-4B83-9F6F-1ED1D0149EB8}"/>
    <cellStyle name="Normal 11 2 7 3 2 2 4 3" xfId="35653" xr:uid="{1DC4C0F7-C4D6-4C17-AB28-F35E0B694708}"/>
    <cellStyle name="Normal 11 2 7 3 2 2 5" xfId="35654" xr:uid="{74AC86D3-7FEF-4D36-AB0B-3FC3F036BCE8}"/>
    <cellStyle name="Normal 11 2 7 3 2 2 5 2" xfId="35655" xr:uid="{5E775C08-AB8B-455B-85D0-3D6175A33974}"/>
    <cellStyle name="Normal 11 2 7 3 2 2 6" xfId="35656" xr:uid="{0C369686-8750-4D07-AD9B-3EC116676920}"/>
    <cellStyle name="Normal 11 2 7 3 2 3" xfId="35657" xr:uid="{8F49A309-9E8A-4EE9-99EF-66D6719C6F4B}"/>
    <cellStyle name="Normal 11 2 7 3 2 3 2" xfId="35658" xr:uid="{AFF9FD57-6854-4E65-ABDC-D2208E0E4A16}"/>
    <cellStyle name="Normal 11 2 7 3 2 3 2 2" xfId="35659" xr:uid="{F003928F-8F0C-46B8-BFF0-A987D339022C}"/>
    <cellStyle name="Normal 11 2 7 3 2 3 2 2 2" xfId="35660" xr:uid="{A0222BE4-335F-4012-AB88-04D7F7AE2577}"/>
    <cellStyle name="Normal 11 2 7 3 2 3 2 2 2 2" xfId="35661" xr:uid="{A982356C-75B8-496F-924B-FA6BE42B3AEB}"/>
    <cellStyle name="Normal 11 2 7 3 2 3 2 2 3" xfId="35662" xr:uid="{94A9439A-58BA-43D0-98A9-EA0B56025921}"/>
    <cellStyle name="Normal 11 2 7 3 2 3 2 3" xfId="35663" xr:uid="{4B73FDA1-F8C3-4CE2-A768-CBE3F0BA71B7}"/>
    <cellStyle name="Normal 11 2 7 3 2 3 2 3 2" xfId="35664" xr:uid="{AF2F1AD9-92E4-499A-82E7-D299A550E063}"/>
    <cellStyle name="Normal 11 2 7 3 2 3 2 4" xfId="35665" xr:uid="{CDC377E6-18D9-4746-85ED-AF86ABD1FD2F}"/>
    <cellStyle name="Normal 11 2 7 3 2 3 3" xfId="35666" xr:uid="{C35C6095-A81C-44EB-A2F5-598323AB5DDE}"/>
    <cellStyle name="Normal 11 2 7 3 2 3 3 2" xfId="35667" xr:uid="{9054A068-D4CD-4543-AF9A-23DD70EC0457}"/>
    <cellStyle name="Normal 11 2 7 3 2 3 3 2 2" xfId="35668" xr:uid="{91E0EB5E-2471-42BB-B765-225AA9853EC9}"/>
    <cellStyle name="Normal 11 2 7 3 2 3 3 3" xfId="35669" xr:uid="{F8F2E9F8-AC4B-48C1-B2C2-365FA55E58AE}"/>
    <cellStyle name="Normal 11 2 7 3 2 3 4" xfId="35670" xr:uid="{5AECCB2A-A0AE-47E3-A061-8234141847A0}"/>
    <cellStyle name="Normal 11 2 7 3 2 3 4 2" xfId="35671" xr:uid="{4404A274-FAE4-46EB-97BA-31A51BDB1842}"/>
    <cellStyle name="Normal 11 2 7 3 2 3 5" xfId="35672" xr:uid="{F6503E13-64C8-4DC6-9173-C549BA91E894}"/>
    <cellStyle name="Normal 11 2 7 3 2 4" xfId="35673" xr:uid="{1C316198-4847-4A39-8E4E-802041643EA2}"/>
    <cellStyle name="Normal 11 2 7 3 2 4 2" xfId="35674" xr:uid="{40654867-3042-4C9B-A71E-9D207E9D26CF}"/>
    <cellStyle name="Normal 11 2 7 3 2 4 2 2" xfId="35675" xr:uid="{7007B2B7-68DD-4144-A03B-57C13E5427A6}"/>
    <cellStyle name="Normal 11 2 7 3 2 4 2 2 2" xfId="35676" xr:uid="{710A1B68-CF5A-423F-8A57-EE1602E75C69}"/>
    <cellStyle name="Normal 11 2 7 3 2 4 2 3" xfId="35677" xr:uid="{81704FD4-E910-40BB-B386-22AC49EADCC8}"/>
    <cellStyle name="Normal 11 2 7 3 2 4 3" xfId="35678" xr:uid="{81D7715E-6FAC-4715-85ED-BA4E84E9F850}"/>
    <cellStyle name="Normal 11 2 7 3 2 4 3 2" xfId="35679" xr:uid="{E94DA0D9-5C0F-45C1-8E79-43EB337431D9}"/>
    <cellStyle name="Normal 11 2 7 3 2 4 4" xfId="35680" xr:uid="{522E55AE-036D-437B-8BFA-071AA74ADB18}"/>
    <cellStyle name="Normal 11 2 7 3 2 5" xfId="35681" xr:uid="{44B57446-6601-4736-9430-535C1D85C393}"/>
    <cellStyle name="Normal 11 2 7 3 2 5 2" xfId="35682" xr:uid="{095318FF-03AE-4A3F-BA78-2A1AF7977175}"/>
    <cellStyle name="Normal 11 2 7 3 2 5 2 2" xfId="35683" xr:uid="{DB1EF5F4-3A1F-4B2C-8FF5-5100DF5017BD}"/>
    <cellStyle name="Normal 11 2 7 3 2 5 3" xfId="35684" xr:uid="{2F8A7FDA-A4EA-413B-B3EF-7CF31427D702}"/>
    <cellStyle name="Normal 11 2 7 3 2 6" xfId="35685" xr:uid="{DA2C0FE8-2318-4A63-9BFC-495E537D2D4F}"/>
    <cellStyle name="Normal 11 2 7 3 2 6 2" xfId="35686" xr:uid="{61AB26EB-BC89-428E-87CC-F8D828243E04}"/>
    <cellStyle name="Normal 11 2 7 3 2 7" xfId="35687" xr:uid="{5934D3AE-4757-4337-8EE0-DABD29F20469}"/>
    <cellStyle name="Normal 11 2 7 3 3" xfId="35688" xr:uid="{17A8FF79-2FB9-40F4-B38C-65633671715B}"/>
    <cellStyle name="Normal 11 2 7 3 3 2" xfId="35689" xr:uid="{3FE07921-AA11-4D9F-9987-474E6F644A37}"/>
    <cellStyle name="Normal 11 2 7 3 3 2 2" xfId="35690" xr:uid="{7DC603EC-0217-45D3-A0AC-6F421A60B3D5}"/>
    <cellStyle name="Normal 11 2 7 3 3 2 2 2" xfId="35691" xr:uid="{15B7C992-8B21-41B4-9E29-38ED5BBAC178}"/>
    <cellStyle name="Normal 11 2 7 3 3 2 2 2 2" xfId="35692" xr:uid="{619E9417-4DF3-43D7-85D7-D24615ACDBCA}"/>
    <cellStyle name="Normal 11 2 7 3 3 2 2 2 2 2" xfId="35693" xr:uid="{952377D0-2CAE-44DB-AFDF-F2472D5EB4F3}"/>
    <cellStyle name="Normal 11 2 7 3 3 2 2 2 3" xfId="35694" xr:uid="{48F7F213-05BF-4839-AD42-CCF89A10270E}"/>
    <cellStyle name="Normal 11 2 7 3 3 2 2 3" xfId="35695" xr:uid="{CACBCB39-5E05-4611-A6D6-185A9B2CE278}"/>
    <cellStyle name="Normal 11 2 7 3 3 2 2 3 2" xfId="35696" xr:uid="{2299CC09-535B-4931-BC2B-12A4A87F1E34}"/>
    <cellStyle name="Normal 11 2 7 3 3 2 2 4" xfId="35697" xr:uid="{060EA6E3-05CA-4F64-996A-913C6030E7E4}"/>
    <cellStyle name="Normal 11 2 7 3 3 2 3" xfId="35698" xr:uid="{9EC6D62F-8063-436B-82BD-A5F720B2F9E7}"/>
    <cellStyle name="Normal 11 2 7 3 3 2 3 2" xfId="35699" xr:uid="{4776189F-D5F5-4953-9785-0A865C4A4691}"/>
    <cellStyle name="Normal 11 2 7 3 3 2 3 2 2" xfId="35700" xr:uid="{FE84EAD1-5DFA-472D-B0E8-55ADFC90F211}"/>
    <cellStyle name="Normal 11 2 7 3 3 2 3 3" xfId="35701" xr:uid="{41CA21D1-63FF-4281-8D2C-8556478207C2}"/>
    <cellStyle name="Normal 11 2 7 3 3 2 4" xfId="35702" xr:uid="{160B1E2C-5946-44F1-A00D-177D6C762DEB}"/>
    <cellStyle name="Normal 11 2 7 3 3 2 4 2" xfId="35703" xr:uid="{56645DAC-00CA-4251-AAD2-ED859656B82B}"/>
    <cellStyle name="Normal 11 2 7 3 3 2 5" xfId="35704" xr:uid="{25323964-A78B-42EC-B112-DFF2F5AF520C}"/>
    <cellStyle name="Normal 11 2 7 3 3 3" xfId="35705" xr:uid="{42090927-4996-4A49-9EC0-317A29E62133}"/>
    <cellStyle name="Normal 11 2 7 3 3 3 2" xfId="35706" xr:uid="{ACC2BF4E-4D77-4871-9D17-81C145C2B7A7}"/>
    <cellStyle name="Normal 11 2 7 3 3 3 2 2" xfId="35707" xr:uid="{A856F35E-EB8F-4BAE-9000-573FB67E96C0}"/>
    <cellStyle name="Normal 11 2 7 3 3 3 2 2 2" xfId="35708" xr:uid="{71C8C414-F69C-4349-8224-A0149CC0FC7B}"/>
    <cellStyle name="Normal 11 2 7 3 3 3 2 3" xfId="35709" xr:uid="{9A5C6C4D-7707-4BBF-9A7E-4CC19A579E08}"/>
    <cellStyle name="Normal 11 2 7 3 3 3 3" xfId="35710" xr:uid="{9835B8DF-980C-49F7-8C19-8F9471712B73}"/>
    <cellStyle name="Normal 11 2 7 3 3 3 3 2" xfId="35711" xr:uid="{21CBAD28-A671-487C-A559-64E8C816A426}"/>
    <cellStyle name="Normal 11 2 7 3 3 3 4" xfId="35712" xr:uid="{6FA644F0-7411-4CE2-8CFC-1A24BA86FD5C}"/>
    <cellStyle name="Normal 11 2 7 3 3 4" xfId="35713" xr:uid="{523B791B-BE70-4D55-BB1E-F01366F2FF86}"/>
    <cellStyle name="Normal 11 2 7 3 3 4 2" xfId="35714" xr:uid="{B9776F97-67A8-4CCD-8C65-DA983019F53A}"/>
    <cellStyle name="Normal 11 2 7 3 3 4 2 2" xfId="35715" xr:uid="{63155543-59FF-4B5B-B89B-658BDB716B99}"/>
    <cellStyle name="Normal 11 2 7 3 3 4 3" xfId="35716" xr:uid="{D4006951-BCC4-4A0E-86CD-D985F8CB84AC}"/>
    <cellStyle name="Normal 11 2 7 3 3 5" xfId="35717" xr:uid="{3C788B47-33DF-4A57-97B2-E38CDA6A5F82}"/>
    <cellStyle name="Normal 11 2 7 3 3 5 2" xfId="35718" xr:uid="{7F1A8CD6-AB07-4F87-93C0-D3DB43FF1403}"/>
    <cellStyle name="Normal 11 2 7 3 3 6" xfId="35719" xr:uid="{6080AC90-D124-4AC5-8D16-E4CB5E8FF999}"/>
    <cellStyle name="Normal 11 2 7 3 4" xfId="35720" xr:uid="{B2EFABB9-24A2-4CDE-907C-36F1CE700E48}"/>
    <cellStyle name="Normal 11 2 7 3 4 2" xfId="35721" xr:uid="{F26E0378-5EC8-4647-8F0C-AFAE6446D393}"/>
    <cellStyle name="Normal 11 2 7 3 4 2 2" xfId="35722" xr:uid="{FE6C671F-B908-46D7-8D18-6F410861A161}"/>
    <cellStyle name="Normal 11 2 7 3 4 2 2 2" xfId="35723" xr:uid="{6805C926-B9CD-42F5-A04A-03C5AEC240B5}"/>
    <cellStyle name="Normal 11 2 7 3 4 2 2 2 2" xfId="35724" xr:uid="{DE6A4370-26CB-4CFC-8670-AB220CC48E5C}"/>
    <cellStyle name="Normal 11 2 7 3 4 2 2 3" xfId="35725" xr:uid="{34A55D74-F56E-498B-8063-04026EECF4F4}"/>
    <cellStyle name="Normal 11 2 7 3 4 2 3" xfId="35726" xr:uid="{CC33BE0D-C97A-4AAA-B931-B7FC67A91A7C}"/>
    <cellStyle name="Normal 11 2 7 3 4 2 3 2" xfId="35727" xr:uid="{81E007BF-7D44-4246-8933-4BCE639CFB9E}"/>
    <cellStyle name="Normal 11 2 7 3 4 2 4" xfId="35728" xr:uid="{4A855772-C901-4876-90BB-9D5E10B138C2}"/>
    <cellStyle name="Normal 11 2 7 3 4 3" xfId="35729" xr:uid="{B2CE6D26-E4AF-49CF-A56A-56E088FC9D29}"/>
    <cellStyle name="Normal 11 2 7 3 4 3 2" xfId="35730" xr:uid="{0B21EE6E-9B6B-4F9B-9AB5-58CC07799729}"/>
    <cellStyle name="Normal 11 2 7 3 4 3 2 2" xfId="35731" xr:uid="{532F951B-87BE-4B15-806D-ECFD7BA8B6BC}"/>
    <cellStyle name="Normal 11 2 7 3 4 3 3" xfId="35732" xr:uid="{95E05980-FEAC-452A-A578-A778108AAB1F}"/>
    <cellStyle name="Normal 11 2 7 3 4 4" xfId="35733" xr:uid="{BCD2F6CF-3263-4A25-9F28-BA0CE3171823}"/>
    <cellStyle name="Normal 11 2 7 3 4 4 2" xfId="35734" xr:uid="{C2FC617D-12E2-4E79-B7CF-E0D1C3E3788E}"/>
    <cellStyle name="Normal 11 2 7 3 4 5" xfId="35735" xr:uid="{00D74FEA-0F8F-44D8-8BF5-E5C9FF8D814E}"/>
    <cellStyle name="Normal 11 2 7 3 5" xfId="35736" xr:uid="{2E9DAE00-6F5C-41EF-BC0E-8C30451225E4}"/>
    <cellStyle name="Normal 11 2 7 3 5 2" xfId="35737" xr:uid="{5ABED5CA-DA6D-4DF2-9B56-1C11750BE686}"/>
    <cellStyle name="Normal 11 2 7 3 5 2 2" xfId="35738" xr:uid="{CF818CF9-5942-4D49-8135-9264D1D9D4E8}"/>
    <cellStyle name="Normal 11 2 7 3 5 2 2 2" xfId="35739" xr:uid="{4729A2D0-6068-47C3-A6A5-D78386872846}"/>
    <cellStyle name="Normal 11 2 7 3 5 2 3" xfId="35740" xr:uid="{2E30DE2B-C930-4165-9DC4-CAC4133D5DD8}"/>
    <cellStyle name="Normal 11 2 7 3 5 3" xfId="35741" xr:uid="{55A6CCDC-85F1-43B2-8FC3-50DB6BF3DB07}"/>
    <cellStyle name="Normal 11 2 7 3 5 3 2" xfId="35742" xr:uid="{6E1B3D8B-6432-43D3-AB84-B81E76442B11}"/>
    <cellStyle name="Normal 11 2 7 3 5 4" xfId="35743" xr:uid="{F3E693FC-B9E8-451D-BEE8-53CAC75D0FFC}"/>
    <cellStyle name="Normal 11 2 7 3 6" xfId="35744" xr:uid="{FB9E8BA3-DCE6-43B3-8CDC-BF015ECB7169}"/>
    <cellStyle name="Normal 11 2 7 3 6 2" xfId="35745" xr:uid="{68EE6D01-6679-4114-B3EB-A81AE15F5164}"/>
    <cellStyle name="Normal 11 2 7 3 6 2 2" xfId="35746" xr:uid="{59722862-FE63-4FA0-A2D5-14CB9FEB6FC1}"/>
    <cellStyle name="Normal 11 2 7 3 6 3" xfId="35747" xr:uid="{6EC99230-CD5B-4FF4-A5CB-6A1588EE6AD8}"/>
    <cellStyle name="Normal 11 2 7 3 7" xfId="35748" xr:uid="{2CDD43FD-13FF-4157-9AC3-53694CC9029D}"/>
    <cellStyle name="Normal 11 2 7 3 7 2" xfId="35749" xr:uid="{140DB638-9A66-46B4-9FD5-19C3020785DF}"/>
    <cellStyle name="Normal 11 2 7 3 8" xfId="35750" xr:uid="{C03B9FD0-7379-4832-84CC-117FB9689EBF}"/>
    <cellStyle name="Normal 11 2 7 3 9" xfId="35623" xr:uid="{0314FA54-2E34-4340-8039-E376CEC5DE1F}"/>
    <cellStyle name="Normal 11 2 7 4" xfId="35751" xr:uid="{161D39C1-64DB-4007-8345-E7F1E6469D50}"/>
    <cellStyle name="Normal 11 2 7 4 2" xfId="35752" xr:uid="{E8D29825-1867-4C13-ACBE-9ECE013C6085}"/>
    <cellStyle name="Normal 11 2 7 4 2 2" xfId="35753" xr:uid="{4EB2069C-1198-4A5A-9625-C1513EF5088B}"/>
    <cellStyle name="Normal 11 2 7 4 2 2 2" xfId="35754" xr:uid="{6DB98B42-31F6-45B3-80A1-07A4CBC25559}"/>
    <cellStyle name="Normal 11 2 7 4 2 2 2 2" xfId="35755" xr:uid="{2187B881-6C86-40AC-BAD4-47E6BAF782EB}"/>
    <cellStyle name="Normal 11 2 7 4 2 2 2 2 2" xfId="35756" xr:uid="{3A58103F-8387-4FFE-9934-57849758ADB7}"/>
    <cellStyle name="Normal 11 2 7 4 2 2 2 2 2 2" xfId="35757" xr:uid="{3B396818-BEB2-442F-A1BE-FA726D0ECBEE}"/>
    <cellStyle name="Normal 11 2 7 4 2 2 2 2 3" xfId="35758" xr:uid="{F3E44CD1-DCC7-41EC-A7CB-F00A1687BDE7}"/>
    <cellStyle name="Normal 11 2 7 4 2 2 2 3" xfId="35759" xr:uid="{2896A8D7-D5C8-4C2D-9946-06F532916572}"/>
    <cellStyle name="Normal 11 2 7 4 2 2 2 3 2" xfId="35760" xr:uid="{14CBE940-6098-4202-B7E6-E6E87E79B3BD}"/>
    <cellStyle name="Normal 11 2 7 4 2 2 2 4" xfId="35761" xr:uid="{6E0BA8F2-B218-46A9-96EC-FD69C25A778F}"/>
    <cellStyle name="Normal 11 2 7 4 2 2 3" xfId="35762" xr:uid="{754099CC-A5F6-4BF9-8E7D-052EFC0AE952}"/>
    <cellStyle name="Normal 11 2 7 4 2 2 3 2" xfId="35763" xr:uid="{06506DE5-37A9-408D-9F9B-6F0BC5A3167C}"/>
    <cellStyle name="Normal 11 2 7 4 2 2 3 2 2" xfId="35764" xr:uid="{67010B1A-97F9-4285-9FCD-9DD8A7EF2EB0}"/>
    <cellStyle name="Normal 11 2 7 4 2 2 3 3" xfId="35765" xr:uid="{CA5C3976-C839-486A-BB6D-567235C1B096}"/>
    <cellStyle name="Normal 11 2 7 4 2 2 4" xfId="35766" xr:uid="{C30474BE-55B1-4724-8593-3E65B085EE05}"/>
    <cellStyle name="Normal 11 2 7 4 2 2 4 2" xfId="35767" xr:uid="{0F1AB54A-A332-46A4-9D6C-D754ED6DDDCF}"/>
    <cellStyle name="Normal 11 2 7 4 2 2 5" xfId="35768" xr:uid="{44384941-231E-4715-9B60-12960445DD4A}"/>
    <cellStyle name="Normal 11 2 7 4 2 3" xfId="35769" xr:uid="{7365DBAF-69E5-4721-AF7A-70DBDC4B4269}"/>
    <cellStyle name="Normal 11 2 7 4 2 3 2" xfId="35770" xr:uid="{1ADEC577-970E-41BE-BF41-50DAFA1D369A}"/>
    <cellStyle name="Normal 11 2 7 4 2 3 2 2" xfId="35771" xr:uid="{A2F5699A-AB21-4D71-9F91-0514631D1362}"/>
    <cellStyle name="Normal 11 2 7 4 2 3 2 2 2" xfId="35772" xr:uid="{0250DE55-C1F3-46B0-BA2B-9EF6440ED69C}"/>
    <cellStyle name="Normal 11 2 7 4 2 3 2 3" xfId="35773" xr:uid="{33DE06B6-45B3-4265-8A73-56B3094675B2}"/>
    <cellStyle name="Normal 11 2 7 4 2 3 3" xfId="35774" xr:uid="{BCDA0331-FE9E-47FC-B2AD-73C4CA66563B}"/>
    <cellStyle name="Normal 11 2 7 4 2 3 3 2" xfId="35775" xr:uid="{FFBC7792-9B4A-4A4F-9138-E3A6E023ED49}"/>
    <cellStyle name="Normal 11 2 7 4 2 3 4" xfId="35776" xr:uid="{BFF25E6E-9E39-4FF5-BFB6-B161D62DB25F}"/>
    <cellStyle name="Normal 11 2 7 4 2 4" xfId="35777" xr:uid="{8432477C-D772-464A-9FFD-226B32E7FCC4}"/>
    <cellStyle name="Normal 11 2 7 4 2 4 2" xfId="35778" xr:uid="{465246DB-2446-4E06-A217-F7A0149A8B75}"/>
    <cellStyle name="Normal 11 2 7 4 2 4 2 2" xfId="35779" xr:uid="{60BC76C5-9078-4BF8-9B23-9B356686946B}"/>
    <cellStyle name="Normal 11 2 7 4 2 4 3" xfId="35780" xr:uid="{0E4F3C2C-9ACD-472E-95CD-5BF748908075}"/>
    <cellStyle name="Normal 11 2 7 4 2 5" xfId="35781" xr:uid="{B6555752-E12D-4615-98F5-1CB0E163E61B}"/>
    <cellStyle name="Normal 11 2 7 4 2 5 2" xfId="35782" xr:uid="{62E09B4E-639D-4E09-A28D-F166E4B6E3E7}"/>
    <cellStyle name="Normal 11 2 7 4 2 6" xfId="35783" xr:uid="{EE957A5F-E46D-4212-BAE3-27FCCEB8E3FF}"/>
    <cellStyle name="Normal 11 2 7 4 3" xfId="35784" xr:uid="{BA9C05D3-FAE2-4D11-8D55-9BF8A6A483C6}"/>
    <cellStyle name="Normal 11 2 7 4 3 2" xfId="35785" xr:uid="{E37A477F-AB3E-4E49-A9F2-57C3439379AF}"/>
    <cellStyle name="Normal 11 2 7 4 3 2 2" xfId="35786" xr:uid="{F862019B-4666-4C79-909D-B65202E106B1}"/>
    <cellStyle name="Normal 11 2 7 4 3 2 2 2" xfId="35787" xr:uid="{6FA047BC-0470-4FBA-9A25-2139049F2862}"/>
    <cellStyle name="Normal 11 2 7 4 3 2 2 2 2" xfId="35788" xr:uid="{0779F521-D3B4-4671-A4F4-67954562EBD7}"/>
    <cellStyle name="Normal 11 2 7 4 3 2 2 3" xfId="35789" xr:uid="{23FB7B00-4663-4D75-BF29-C0538955BAB6}"/>
    <cellStyle name="Normal 11 2 7 4 3 2 3" xfId="35790" xr:uid="{A7DE6174-3EDA-4413-98AC-BB4418FFA6DC}"/>
    <cellStyle name="Normal 11 2 7 4 3 2 3 2" xfId="35791" xr:uid="{5C3D3C44-CDF9-486D-ABDC-8083EE9D6EAF}"/>
    <cellStyle name="Normal 11 2 7 4 3 2 4" xfId="35792" xr:uid="{D9728AF8-054F-4F78-9A8F-67032A14A008}"/>
    <cellStyle name="Normal 11 2 7 4 3 3" xfId="35793" xr:uid="{1F301135-8045-4640-A496-21850B538DC7}"/>
    <cellStyle name="Normal 11 2 7 4 3 3 2" xfId="35794" xr:uid="{F5BC04A2-0123-4E8E-9F0E-296664DBAB56}"/>
    <cellStyle name="Normal 11 2 7 4 3 3 2 2" xfId="35795" xr:uid="{4FB6DF04-F588-4A22-8739-EF01E4CB03F5}"/>
    <cellStyle name="Normal 11 2 7 4 3 3 3" xfId="35796" xr:uid="{9B9F7D56-E0FC-4E52-B315-026BE65A87E1}"/>
    <cellStyle name="Normal 11 2 7 4 3 4" xfId="35797" xr:uid="{60790F7F-E9E0-4521-95B1-939488E2EE64}"/>
    <cellStyle name="Normal 11 2 7 4 3 4 2" xfId="35798" xr:uid="{909F70E6-4B6E-498A-9B2F-F70C4D98D7A4}"/>
    <cellStyle name="Normal 11 2 7 4 3 5" xfId="35799" xr:uid="{7B8FA263-ECBF-47A2-B50A-20BA083C6218}"/>
    <cellStyle name="Normal 11 2 7 4 4" xfId="35800" xr:uid="{CC3F416D-E21C-40B0-AA7F-955A8648B34C}"/>
    <cellStyle name="Normal 11 2 7 4 4 2" xfId="35801" xr:uid="{927C186F-98D2-47E7-948E-482606704D0B}"/>
    <cellStyle name="Normal 11 2 7 4 4 2 2" xfId="35802" xr:uid="{703BCD0C-1711-46F9-BED0-9502BEDB2052}"/>
    <cellStyle name="Normal 11 2 7 4 4 2 2 2" xfId="35803" xr:uid="{DA31E772-FF57-4801-9C4F-F3A7E62DB7D7}"/>
    <cellStyle name="Normal 11 2 7 4 4 2 3" xfId="35804" xr:uid="{64289CB2-4A81-408C-B888-305936CFFB8A}"/>
    <cellStyle name="Normal 11 2 7 4 4 3" xfId="35805" xr:uid="{8A8B9E05-B031-4750-8090-8566ED184F2F}"/>
    <cellStyle name="Normal 11 2 7 4 4 3 2" xfId="35806" xr:uid="{F568DE03-FE2F-4C23-9F36-9D33C1C83F2B}"/>
    <cellStyle name="Normal 11 2 7 4 4 4" xfId="35807" xr:uid="{831F4FD2-EA1C-43DD-A8D4-9354ACC41518}"/>
    <cellStyle name="Normal 11 2 7 4 5" xfId="35808" xr:uid="{DB522D23-3100-4C14-BB80-2459E29CCCA1}"/>
    <cellStyle name="Normal 11 2 7 4 5 2" xfId="35809" xr:uid="{7BD19B5F-0615-42B7-863C-B6CEB6ACE11E}"/>
    <cellStyle name="Normal 11 2 7 4 5 2 2" xfId="35810" xr:uid="{7C2D3C0C-8D09-4920-8E44-69D79ADF8EAA}"/>
    <cellStyle name="Normal 11 2 7 4 5 3" xfId="35811" xr:uid="{6A61B8F9-2951-462E-8941-17E25EDF7DA3}"/>
    <cellStyle name="Normal 11 2 7 4 6" xfId="35812" xr:uid="{5FEA45FC-02BC-4984-AA96-CBBE80E6795E}"/>
    <cellStyle name="Normal 11 2 7 4 6 2" xfId="35813" xr:uid="{3B5880E8-E0C9-4A83-A014-3E4AEE569580}"/>
    <cellStyle name="Normal 11 2 7 4 7" xfId="35814" xr:uid="{283F6E57-13B3-43DF-B9C7-441A1FE7C908}"/>
    <cellStyle name="Normal 11 2 7 5" xfId="35815" xr:uid="{B01690F8-F531-47EB-9516-8B45E309E989}"/>
    <cellStyle name="Normal 11 2 7 5 2" xfId="35816" xr:uid="{17FF96B7-8957-40C2-9EAF-9AB658151BC5}"/>
    <cellStyle name="Normal 11 2 7 5 2 2" xfId="35817" xr:uid="{16919607-C2A5-430B-A040-9080CECE89AA}"/>
    <cellStyle name="Normal 11 2 7 5 2 2 2" xfId="35818" xr:uid="{C02A10E2-BF2C-487E-AAD7-87ABE2B2DEF3}"/>
    <cellStyle name="Normal 11 2 7 5 2 2 2 2" xfId="35819" xr:uid="{1C97E4E5-B75D-43EE-9A91-238BAB335360}"/>
    <cellStyle name="Normal 11 2 7 5 2 2 2 2 2" xfId="35820" xr:uid="{A5D4A7FD-42F3-4D0E-90B6-45DE6F1FF42D}"/>
    <cellStyle name="Normal 11 2 7 5 2 2 2 3" xfId="35821" xr:uid="{0AA04ECB-83F8-4DE5-96C1-A39E257C8F36}"/>
    <cellStyle name="Normal 11 2 7 5 2 2 3" xfId="35822" xr:uid="{22125326-DC93-4ED1-B4D5-6F43C9C733E6}"/>
    <cellStyle name="Normal 11 2 7 5 2 2 3 2" xfId="35823" xr:uid="{4092FFDA-6AA3-4F29-A3F2-A514AEBE71A2}"/>
    <cellStyle name="Normal 11 2 7 5 2 2 4" xfId="35824" xr:uid="{39C6125D-9046-43F1-8927-F0CA248FD3E0}"/>
    <cellStyle name="Normal 11 2 7 5 2 3" xfId="35825" xr:uid="{002FB65F-A7C1-4540-A148-8C530603C9D2}"/>
    <cellStyle name="Normal 11 2 7 5 2 3 2" xfId="35826" xr:uid="{D25FB14D-41D1-4E06-BC96-06AF1A981A54}"/>
    <cellStyle name="Normal 11 2 7 5 2 3 2 2" xfId="35827" xr:uid="{0F75DE28-6376-40C3-889E-6B8EBAE70338}"/>
    <cellStyle name="Normal 11 2 7 5 2 3 3" xfId="35828" xr:uid="{93BE3073-CFBE-4425-86EE-77FC53291B48}"/>
    <cellStyle name="Normal 11 2 7 5 2 4" xfId="35829" xr:uid="{D6162065-5DC4-4396-B8D2-156D200DB9C5}"/>
    <cellStyle name="Normal 11 2 7 5 2 4 2" xfId="35830" xr:uid="{72E30A0D-A61F-4F92-841D-F06216141227}"/>
    <cellStyle name="Normal 11 2 7 5 2 5" xfId="35831" xr:uid="{85771A47-3CC8-43AF-A2F6-A7EDE6DA7485}"/>
    <cellStyle name="Normal 11 2 7 5 3" xfId="35832" xr:uid="{B3AAB225-00C2-4B8D-BB8F-CBE3DC44913F}"/>
    <cellStyle name="Normal 11 2 7 5 3 2" xfId="35833" xr:uid="{6DFF8740-B2AA-47A1-A501-294F22C84C06}"/>
    <cellStyle name="Normal 11 2 7 5 3 2 2" xfId="35834" xr:uid="{63AB168A-5A2B-4828-95F4-6F2AD6244BC2}"/>
    <cellStyle name="Normal 11 2 7 5 3 2 2 2" xfId="35835" xr:uid="{8A32BBDF-BCF2-4950-A694-12393DE3E6E5}"/>
    <cellStyle name="Normal 11 2 7 5 3 2 3" xfId="35836" xr:uid="{804B60FF-8C50-48FC-874C-E118E4425F30}"/>
    <cellStyle name="Normal 11 2 7 5 3 3" xfId="35837" xr:uid="{7DC67E15-EEFA-4B8E-9B6D-2C9A9EDD2B23}"/>
    <cellStyle name="Normal 11 2 7 5 3 3 2" xfId="35838" xr:uid="{8DF6DE23-8C44-42CB-8AC0-FE2896B00B4D}"/>
    <cellStyle name="Normal 11 2 7 5 3 4" xfId="35839" xr:uid="{D53DB107-B41C-41FA-A8ED-7C23B9EB6AA4}"/>
    <cellStyle name="Normal 11 2 7 5 4" xfId="35840" xr:uid="{E15917CB-619D-4114-B26B-AD3E409AC6FC}"/>
    <cellStyle name="Normal 11 2 7 5 4 2" xfId="35841" xr:uid="{112025CA-DB92-464A-8FC9-01FA829E4C40}"/>
    <cellStyle name="Normal 11 2 7 5 4 2 2" xfId="35842" xr:uid="{A41A2981-4BA5-4EEB-9034-B002205D2E00}"/>
    <cellStyle name="Normal 11 2 7 5 4 3" xfId="35843" xr:uid="{708B6F70-DA67-40A6-A215-53D3F41205FC}"/>
    <cellStyle name="Normal 11 2 7 5 5" xfId="35844" xr:uid="{8DEC60BC-D080-4B17-A0BA-E719D1251216}"/>
    <cellStyle name="Normal 11 2 7 5 5 2" xfId="35845" xr:uid="{919918CB-8420-418D-8002-5D0D02037288}"/>
    <cellStyle name="Normal 11 2 7 5 6" xfId="35846" xr:uid="{549781D3-5C79-4910-8363-9496026618FF}"/>
    <cellStyle name="Normal 11 2 7 6" xfId="35847" xr:uid="{D07ED647-3C1D-4932-BCA9-11571A759EC1}"/>
    <cellStyle name="Normal 11 2 7 6 2" xfId="35848" xr:uid="{A950C8CE-CFD9-4B68-8EBA-D33564F288A0}"/>
    <cellStyle name="Normal 11 2 7 6 2 2" xfId="35849" xr:uid="{15E64BCD-1619-4E1A-AD44-67078B8236D9}"/>
    <cellStyle name="Normal 11 2 7 6 2 2 2" xfId="35850" xr:uid="{F52B7866-2331-46E7-8308-A2501490403C}"/>
    <cellStyle name="Normal 11 2 7 6 2 2 2 2" xfId="35851" xr:uid="{3CBCF14E-1F9F-4241-B4C0-027F100DECD3}"/>
    <cellStyle name="Normal 11 2 7 6 2 2 3" xfId="35852" xr:uid="{3D8E4AB8-8CB5-4037-85D0-3656A76BEFAE}"/>
    <cellStyle name="Normal 11 2 7 6 2 3" xfId="35853" xr:uid="{C3C1E5C4-33A0-4DBB-933F-DD89992958DF}"/>
    <cellStyle name="Normal 11 2 7 6 2 3 2" xfId="35854" xr:uid="{4D73A437-6A7C-43D5-882B-A10ACAF6FEE6}"/>
    <cellStyle name="Normal 11 2 7 6 2 4" xfId="35855" xr:uid="{6D388DB6-12AF-4402-8B05-00678A7BE916}"/>
    <cellStyle name="Normal 11 2 7 6 3" xfId="35856" xr:uid="{FC0CCE9B-8F65-41FD-B330-DADCDC48F23A}"/>
    <cellStyle name="Normal 11 2 7 6 3 2" xfId="35857" xr:uid="{5098395F-4817-4D78-80AC-2E70D078F58A}"/>
    <cellStyle name="Normal 11 2 7 6 3 2 2" xfId="35858" xr:uid="{4A882E59-0915-4180-A98A-F169CD931D2C}"/>
    <cellStyle name="Normal 11 2 7 6 3 3" xfId="35859" xr:uid="{2978483C-3533-497C-A7F2-2BB3B6F38A84}"/>
    <cellStyle name="Normal 11 2 7 6 4" xfId="35860" xr:uid="{0115E874-6E38-4BBD-BB86-2C75313E8CFB}"/>
    <cellStyle name="Normal 11 2 7 6 4 2" xfId="35861" xr:uid="{0688C3FC-0698-4518-B29D-F71639236EF8}"/>
    <cellStyle name="Normal 11 2 7 6 5" xfId="35862" xr:uid="{962BB9F4-BED0-48ED-AF3C-879DD2AE276D}"/>
    <cellStyle name="Normal 11 2 7 7" xfId="35863" xr:uid="{40A72198-77AF-4DEA-89A9-5D1DE3771390}"/>
    <cellStyle name="Normal 11 2 7 7 2" xfId="35864" xr:uid="{AD96D664-92BE-4D2E-932B-EAF4A95FEE53}"/>
    <cellStyle name="Normal 11 2 7 7 2 2" xfId="35865" xr:uid="{95E4E6BD-F3B2-48E9-A959-85D1131EA71C}"/>
    <cellStyle name="Normal 11 2 7 7 2 2 2" xfId="35866" xr:uid="{EFC02335-3730-4FD8-8F97-03D738F94B2E}"/>
    <cellStyle name="Normal 11 2 7 7 2 3" xfId="35867" xr:uid="{B7587C26-82BA-4E47-8B83-AD007FE4B341}"/>
    <cellStyle name="Normal 11 2 7 7 3" xfId="35868" xr:uid="{440BA38D-92B6-4CD8-B8B3-E8A9B282AC71}"/>
    <cellStyle name="Normal 11 2 7 7 3 2" xfId="35869" xr:uid="{942694E3-F361-4662-9C09-1ABB7AE15289}"/>
    <cellStyle name="Normal 11 2 7 7 4" xfId="35870" xr:uid="{77EA0686-38E6-450B-AF72-9F2B0F312A59}"/>
    <cellStyle name="Normal 11 2 7 8" xfId="35871" xr:uid="{505C62CB-C920-449F-9690-C51A54B290AD}"/>
    <cellStyle name="Normal 11 2 7 8 2" xfId="35872" xr:uid="{88758492-1429-48C4-999D-519D4A72DC96}"/>
    <cellStyle name="Normal 11 2 7 8 2 2" xfId="35873" xr:uid="{CF517FC3-D38E-4754-9518-7515B141738B}"/>
    <cellStyle name="Normal 11 2 7 8 3" xfId="35874" xr:uid="{CF944B9C-AC88-4573-B4EA-3A8E61FB25F5}"/>
    <cellStyle name="Normal 11 2 7 9" xfId="35875" xr:uid="{1397E182-5BA1-4A72-AEC0-5692F7CCB63D}"/>
    <cellStyle name="Normal 11 2 7 9 2" xfId="35876" xr:uid="{82DFABCB-EC3C-46DC-82D7-4F820579EF4B}"/>
    <cellStyle name="Normal 11 2 8" xfId="268" xr:uid="{AFB10ED0-ACB3-4C74-A71A-C65C0B1C1F08}"/>
    <cellStyle name="Normal 11 2 8 10" xfId="35877" xr:uid="{344BAB54-7C50-4FC7-81C0-7F412C437C29}"/>
    <cellStyle name="Normal 11 2 8 11" xfId="590" xr:uid="{8F12AC2A-E6F2-4C18-A16B-A20A97EC93D5}"/>
    <cellStyle name="Normal 11 2 8 2" xfId="369" xr:uid="{30B8C7F3-C5F8-4139-8382-8C1BCE2DA718}"/>
    <cellStyle name="Normal 11 2 8 2 10" xfId="35878" xr:uid="{FCA8FDC8-3EC5-4DAF-8B22-B4B419F5651B}"/>
    <cellStyle name="Normal 11 2 8 2 2" xfId="35879" xr:uid="{87D66DD7-7D24-4389-A981-342F12118776}"/>
    <cellStyle name="Normal 11 2 8 2 2 2" xfId="35880" xr:uid="{72E965E7-0B7E-4D72-8C7A-F3AD36DA042C}"/>
    <cellStyle name="Normal 11 2 8 2 2 2 2" xfId="35881" xr:uid="{ED6184D1-EED2-4A3F-AA83-86E86BA71F42}"/>
    <cellStyle name="Normal 11 2 8 2 2 2 2 2" xfId="35882" xr:uid="{CEBF4E2F-E0FF-45B2-89B3-8EB3D151FB89}"/>
    <cellStyle name="Normal 11 2 8 2 2 2 2 2 2" xfId="35883" xr:uid="{E053000C-54F2-4D90-B6E6-B50A27118CB3}"/>
    <cellStyle name="Normal 11 2 8 2 2 2 2 2 2 2" xfId="35884" xr:uid="{F3C0FB7B-6E42-4256-8479-E916FD099238}"/>
    <cellStyle name="Normal 11 2 8 2 2 2 2 2 2 2 2" xfId="35885" xr:uid="{485AF4A1-3FCD-4549-88A6-E8DDCB225E40}"/>
    <cellStyle name="Normal 11 2 8 2 2 2 2 2 2 2 2 2" xfId="35886" xr:uid="{139A8FF9-50E5-47DC-9130-5DB2536FB144}"/>
    <cellStyle name="Normal 11 2 8 2 2 2 2 2 2 2 3" xfId="35887" xr:uid="{A61D8E33-03F2-4107-96A5-2461C0D2BD45}"/>
    <cellStyle name="Normal 11 2 8 2 2 2 2 2 2 3" xfId="35888" xr:uid="{1BF77F33-D121-4010-85F7-40743771880F}"/>
    <cellStyle name="Normal 11 2 8 2 2 2 2 2 2 3 2" xfId="35889" xr:uid="{3FEBA4ED-BC74-4948-8130-1E3AA53919CE}"/>
    <cellStyle name="Normal 11 2 8 2 2 2 2 2 2 4" xfId="35890" xr:uid="{4EAC1291-E835-48E9-9E0B-8434F9124CE1}"/>
    <cellStyle name="Normal 11 2 8 2 2 2 2 2 3" xfId="35891" xr:uid="{79F7D7E7-EC38-4F6E-9805-4CB38281D033}"/>
    <cellStyle name="Normal 11 2 8 2 2 2 2 2 3 2" xfId="35892" xr:uid="{D7A1FE75-80C9-4B69-80DC-1F3D88702745}"/>
    <cellStyle name="Normal 11 2 8 2 2 2 2 2 3 2 2" xfId="35893" xr:uid="{A0D3682D-805F-4C6C-AC26-F0EC2D67F178}"/>
    <cellStyle name="Normal 11 2 8 2 2 2 2 2 3 3" xfId="35894" xr:uid="{28B91650-996C-45CC-92DF-D15790BB72A1}"/>
    <cellStyle name="Normal 11 2 8 2 2 2 2 2 4" xfId="35895" xr:uid="{D6A0C4CA-14E7-4081-9551-8B9433335763}"/>
    <cellStyle name="Normal 11 2 8 2 2 2 2 2 4 2" xfId="35896" xr:uid="{2F663BDA-F1BD-436A-A892-D10EDE24B30F}"/>
    <cellStyle name="Normal 11 2 8 2 2 2 2 2 5" xfId="35897" xr:uid="{26A36C6C-7C1E-4B4B-8637-EA2434AD11BD}"/>
    <cellStyle name="Normal 11 2 8 2 2 2 2 3" xfId="35898" xr:uid="{7E9D8162-57F6-42AE-BC2F-4B984BBE5ABA}"/>
    <cellStyle name="Normal 11 2 8 2 2 2 2 3 2" xfId="35899" xr:uid="{4279B75D-5D08-475D-9506-00F9E32630B4}"/>
    <cellStyle name="Normal 11 2 8 2 2 2 2 3 2 2" xfId="35900" xr:uid="{392AE77B-1E37-4997-A118-CED1E4B24581}"/>
    <cellStyle name="Normal 11 2 8 2 2 2 2 3 2 2 2" xfId="35901" xr:uid="{7DB35B9A-7BDD-4D58-8DCB-E95D4D49F26D}"/>
    <cellStyle name="Normal 11 2 8 2 2 2 2 3 2 3" xfId="35902" xr:uid="{9E80673D-C553-4E46-A8DD-F9BB536B5FF7}"/>
    <cellStyle name="Normal 11 2 8 2 2 2 2 3 3" xfId="35903" xr:uid="{5E6B86ED-F0B0-475E-8967-5DB98F9CD489}"/>
    <cellStyle name="Normal 11 2 8 2 2 2 2 3 3 2" xfId="35904" xr:uid="{65342AE8-E720-4475-ADEA-BDF7413E1CDE}"/>
    <cellStyle name="Normal 11 2 8 2 2 2 2 3 4" xfId="35905" xr:uid="{AD046414-96BD-46A3-9DF7-D444690C5C65}"/>
    <cellStyle name="Normal 11 2 8 2 2 2 2 4" xfId="35906" xr:uid="{C05E4193-64EA-4141-973E-5DA7E7DDA490}"/>
    <cellStyle name="Normal 11 2 8 2 2 2 2 4 2" xfId="35907" xr:uid="{112BC1DD-488B-4C69-990C-F3B56816AA63}"/>
    <cellStyle name="Normal 11 2 8 2 2 2 2 4 2 2" xfId="35908" xr:uid="{F96E26A3-136F-47B9-BD4F-A8D787B7C3FD}"/>
    <cellStyle name="Normal 11 2 8 2 2 2 2 4 3" xfId="35909" xr:uid="{5BB5BB63-66EF-4EA1-91EB-9379C6BC0E44}"/>
    <cellStyle name="Normal 11 2 8 2 2 2 2 5" xfId="35910" xr:uid="{A549EF2F-E191-428E-BD37-80A3A3BE90EE}"/>
    <cellStyle name="Normal 11 2 8 2 2 2 2 5 2" xfId="35911" xr:uid="{881B107E-9B4E-4E63-B160-CEDEF5CE5A6E}"/>
    <cellStyle name="Normal 11 2 8 2 2 2 2 6" xfId="35912" xr:uid="{B2E988B9-8C6D-487C-BE6A-F9D3787E43A3}"/>
    <cellStyle name="Normal 11 2 8 2 2 2 3" xfId="35913" xr:uid="{1A3BF873-A4CB-4213-BC96-FA1713BCB3D6}"/>
    <cellStyle name="Normal 11 2 8 2 2 2 3 2" xfId="35914" xr:uid="{EF092CD0-844C-48BA-AC98-A3BE5BD9BCDE}"/>
    <cellStyle name="Normal 11 2 8 2 2 2 3 2 2" xfId="35915" xr:uid="{6DEA6E28-D367-4202-A53A-65B35FB4D88F}"/>
    <cellStyle name="Normal 11 2 8 2 2 2 3 2 2 2" xfId="35916" xr:uid="{F0FAE350-80FD-4B00-BA5B-D82DE6ADA8A8}"/>
    <cellStyle name="Normal 11 2 8 2 2 2 3 2 2 2 2" xfId="35917" xr:uid="{A1771CC4-9021-4259-9EDB-0E2331952945}"/>
    <cellStyle name="Normal 11 2 8 2 2 2 3 2 2 3" xfId="35918" xr:uid="{F6800E3A-8325-4271-8E2D-991BCA22C050}"/>
    <cellStyle name="Normal 11 2 8 2 2 2 3 2 3" xfId="35919" xr:uid="{B4F030CF-CD0C-4487-B445-104F547F8A77}"/>
    <cellStyle name="Normal 11 2 8 2 2 2 3 2 3 2" xfId="35920" xr:uid="{7C98B7E6-B950-493A-A43C-2C62CE467420}"/>
    <cellStyle name="Normal 11 2 8 2 2 2 3 2 4" xfId="35921" xr:uid="{22FC4B6A-7E00-459C-BAC4-F20A31362CDA}"/>
    <cellStyle name="Normal 11 2 8 2 2 2 3 3" xfId="35922" xr:uid="{D793541E-3C13-4DDB-91B7-F7C1B33B2493}"/>
    <cellStyle name="Normal 11 2 8 2 2 2 3 3 2" xfId="35923" xr:uid="{CBECFFAB-E5A9-40BA-885B-E6FF427967F9}"/>
    <cellStyle name="Normal 11 2 8 2 2 2 3 3 2 2" xfId="35924" xr:uid="{ECAB8CFE-DE68-4199-8EDF-454978D39B17}"/>
    <cellStyle name="Normal 11 2 8 2 2 2 3 3 3" xfId="35925" xr:uid="{BC7FE90D-BB23-4EFC-BCA5-BE87D2D58991}"/>
    <cellStyle name="Normal 11 2 8 2 2 2 3 4" xfId="35926" xr:uid="{68DADCEB-31E8-488E-9CDE-C28FC4641819}"/>
    <cellStyle name="Normal 11 2 8 2 2 2 3 4 2" xfId="35927" xr:uid="{1E67BCE3-BD0C-4F5F-9772-0736EDDB685A}"/>
    <cellStyle name="Normal 11 2 8 2 2 2 3 5" xfId="35928" xr:uid="{537DAFCF-928C-4388-9C6D-9E8C78478512}"/>
    <cellStyle name="Normal 11 2 8 2 2 2 4" xfId="35929" xr:uid="{1EBD9C1C-EAEB-4F68-A16A-5CD8F218900E}"/>
    <cellStyle name="Normal 11 2 8 2 2 2 4 2" xfId="35930" xr:uid="{6BE6E05C-7D52-4658-A4EB-704D3EF14878}"/>
    <cellStyle name="Normal 11 2 8 2 2 2 4 2 2" xfId="35931" xr:uid="{826B8060-49A3-43FE-A9B7-9C3FB257459F}"/>
    <cellStyle name="Normal 11 2 8 2 2 2 4 2 2 2" xfId="35932" xr:uid="{877624A0-3E21-437F-83EA-539A43DEC11C}"/>
    <cellStyle name="Normal 11 2 8 2 2 2 4 2 3" xfId="35933" xr:uid="{26F33730-DEA6-489A-AE75-C6EA82684C6A}"/>
    <cellStyle name="Normal 11 2 8 2 2 2 4 3" xfId="35934" xr:uid="{22CAF6DF-BCBD-48BD-9954-E1F83182B29A}"/>
    <cellStyle name="Normal 11 2 8 2 2 2 4 3 2" xfId="35935" xr:uid="{14C6DFF1-A295-4892-BF6B-D951A43BE072}"/>
    <cellStyle name="Normal 11 2 8 2 2 2 4 4" xfId="35936" xr:uid="{35A55969-1D4C-44CF-A353-3A4FC9987680}"/>
    <cellStyle name="Normal 11 2 8 2 2 2 5" xfId="35937" xr:uid="{827A49A0-7FC5-4157-8C7F-A6FCB6DA7DD9}"/>
    <cellStyle name="Normal 11 2 8 2 2 2 5 2" xfId="35938" xr:uid="{1A4CEB89-0986-4517-BC4C-321D611AC786}"/>
    <cellStyle name="Normal 11 2 8 2 2 2 5 2 2" xfId="35939" xr:uid="{BED0C2AB-D6BE-4F90-8D30-FFF5E666D627}"/>
    <cellStyle name="Normal 11 2 8 2 2 2 5 3" xfId="35940" xr:uid="{BA26645D-7CEA-45DE-B011-CD581F9B3B24}"/>
    <cellStyle name="Normal 11 2 8 2 2 2 6" xfId="35941" xr:uid="{A83FF1E9-5849-4366-8936-FB3DFA0465AB}"/>
    <cellStyle name="Normal 11 2 8 2 2 2 6 2" xfId="35942" xr:uid="{2B643868-ED7D-4A92-9D1D-9BE7D5EA4833}"/>
    <cellStyle name="Normal 11 2 8 2 2 2 7" xfId="35943" xr:uid="{FBADB9EF-8A75-42D5-8737-95FEEFE29E3E}"/>
    <cellStyle name="Normal 11 2 8 2 2 3" xfId="35944" xr:uid="{2C9DAFF7-456D-4C67-964A-CE4B717414E6}"/>
    <cellStyle name="Normal 11 2 8 2 2 3 2" xfId="35945" xr:uid="{2DD7A35E-D3A7-4C6E-B2E1-1A91C427BD54}"/>
    <cellStyle name="Normal 11 2 8 2 2 3 2 2" xfId="35946" xr:uid="{06A718D8-7111-434B-B12D-0E74DBE8082D}"/>
    <cellStyle name="Normal 11 2 8 2 2 3 2 2 2" xfId="35947" xr:uid="{F83B7A2E-36F1-4016-9FEF-9655F3A9D8E0}"/>
    <cellStyle name="Normal 11 2 8 2 2 3 2 2 2 2" xfId="35948" xr:uid="{C42190EA-5E2B-4799-BE18-883378FF170A}"/>
    <cellStyle name="Normal 11 2 8 2 2 3 2 2 2 2 2" xfId="35949" xr:uid="{BB2FC4EE-9965-47F2-B925-BDEDD8D5A87B}"/>
    <cellStyle name="Normal 11 2 8 2 2 3 2 2 2 3" xfId="35950" xr:uid="{D7EBCA05-A220-4DFF-B6B2-D529BA907490}"/>
    <cellStyle name="Normal 11 2 8 2 2 3 2 2 3" xfId="35951" xr:uid="{452D188E-4FD4-4226-81C1-D40BEC8F10BE}"/>
    <cellStyle name="Normal 11 2 8 2 2 3 2 2 3 2" xfId="35952" xr:uid="{685273F7-A06A-49E9-B068-493CEC0B1B52}"/>
    <cellStyle name="Normal 11 2 8 2 2 3 2 2 4" xfId="35953" xr:uid="{3AD69F17-1DE4-4B1A-9390-AF4B812AC667}"/>
    <cellStyle name="Normal 11 2 8 2 2 3 2 3" xfId="35954" xr:uid="{8D07D196-F473-44FD-8FF0-39C8BCE66FC8}"/>
    <cellStyle name="Normal 11 2 8 2 2 3 2 3 2" xfId="35955" xr:uid="{AB946CF9-EABB-4F80-AA36-3A17F59B4474}"/>
    <cellStyle name="Normal 11 2 8 2 2 3 2 3 2 2" xfId="35956" xr:uid="{08D76E21-A537-4C32-8792-5122386FAE15}"/>
    <cellStyle name="Normal 11 2 8 2 2 3 2 3 3" xfId="35957" xr:uid="{01CC5599-E941-4FDC-ADFF-EDD7DC4BE520}"/>
    <cellStyle name="Normal 11 2 8 2 2 3 2 4" xfId="35958" xr:uid="{79384044-49E9-4DFD-BD9A-013F07EC67F5}"/>
    <cellStyle name="Normal 11 2 8 2 2 3 2 4 2" xfId="35959" xr:uid="{CD32DE36-EAE4-4BED-A19A-71E45F950F5F}"/>
    <cellStyle name="Normal 11 2 8 2 2 3 2 5" xfId="35960" xr:uid="{E800346E-33F7-4B57-942A-69A001D5663D}"/>
    <cellStyle name="Normal 11 2 8 2 2 3 3" xfId="35961" xr:uid="{E5F411B5-B06F-44D6-BC17-80145463D184}"/>
    <cellStyle name="Normal 11 2 8 2 2 3 3 2" xfId="35962" xr:uid="{B9CD95FC-53A3-400D-942C-0B7610DC65D7}"/>
    <cellStyle name="Normal 11 2 8 2 2 3 3 2 2" xfId="35963" xr:uid="{AF7CE44C-39FA-4DA7-BA47-0D8DFD95DCB6}"/>
    <cellStyle name="Normal 11 2 8 2 2 3 3 2 2 2" xfId="35964" xr:uid="{41AE40FA-0D66-4D2A-A07E-2DEABAF556E1}"/>
    <cellStyle name="Normal 11 2 8 2 2 3 3 2 3" xfId="35965" xr:uid="{ECDA9072-2D53-43F1-A837-97BA4D789445}"/>
    <cellStyle name="Normal 11 2 8 2 2 3 3 3" xfId="35966" xr:uid="{B8E3ACA8-4D0C-4E7A-9B95-C2DB08F32FFE}"/>
    <cellStyle name="Normal 11 2 8 2 2 3 3 3 2" xfId="35967" xr:uid="{F94D61FA-ABD9-4A32-AE91-B9F4B6C0E28E}"/>
    <cellStyle name="Normal 11 2 8 2 2 3 3 4" xfId="35968" xr:uid="{61FD17D2-23C9-43E5-B4C1-683473291DA7}"/>
    <cellStyle name="Normal 11 2 8 2 2 3 4" xfId="35969" xr:uid="{B43B05EF-6248-4568-9FC8-35ED7A8F04E0}"/>
    <cellStyle name="Normal 11 2 8 2 2 3 4 2" xfId="35970" xr:uid="{6C8CA07F-3A51-426D-BD12-593F6530EC7F}"/>
    <cellStyle name="Normal 11 2 8 2 2 3 4 2 2" xfId="35971" xr:uid="{475C110E-FE25-431A-BDF7-24FF09A973C3}"/>
    <cellStyle name="Normal 11 2 8 2 2 3 4 3" xfId="35972" xr:uid="{527C8BD2-3CB5-4858-8EAA-D4CE30B5E4D8}"/>
    <cellStyle name="Normal 11 2 8 2 2 3 5" xfId="35973" xr:uid="{70DC9EA7-8109-4DB5-940B-3708564182A2}"/>
    <cellStyle name="Normal 11 2 8 2 2 3 5 2" xfId="35974" xr:uid="{BE969F78-ADD6-4066-90F9-65F03EBDDF42}"/>
    <cellStyle name="Normal 11 2 8 2 2 3 6" xfId="35975" xr:uid="{DFD2892C-4816-4C17-BAA9-88E2F3B7C3E7}"/>
    <cellStyle name="Normal 11 2 8 2 2 4" xfId="35976" xr:uid="{D9AC56DB-304B-4767-93F4-19E90D8E6738}"/>
    <cellStyle name="Normal 11 2 8 2 2 4 2" xfId="35977" xr:uid="{C77FA08F-0820-4CD2-8D90-BDC739B99DE0}"/>
    <cellStyle name="Normal 11 2 8 2 2 4 2 2" xfId="35978" xr:uid="{25F57664-9F87-4107-9B98-EE6763560B59}"/>
    <cellStyle name="Normal 11 2 8 2 2 4 2 2 2" xfId="35979" xr:uid="{DBFE780F-F45E-41A1-A866-1AA6CC8182DF}"/>
    <cellStyle name="Normal 11 2 8 2 2 4 2 2 2 2" xfId="35980" xr:uid="{C1DB29F3-F34F-4175-B4E4-2606B74C8FC1}"/>
    <cellStyle name="Normal 11 2 8 2 2 4 2 2 3" xfId="35981" xr:uid="{75FDCC19-11CE-4815-B0C7-95C267486C1E}"/>
    <cellStyle name="Normal 11 2 8 2 2 4 2 3" xfId="35982" xr:uid="{25F04960-CACB-4A72-A3B6-1F11A7FDA1B6}"/>
    <cellStyle name="Normal 11 2 8 2 2 4 2 3 2" xfId="35983" xr:uid="{18F98D12-6B91-49C0-88A8-FEDF7EA7830D}"/>
    <cellStyle name="Normal 11 2 8 2 2 4 2 4" xfId="35984" xr:uid="{F07EE05F-0025-46DC-A558-41D95C50C7ED}"/>
    <cellStyle name="Normal 11 2 8 2 2 4 3" xfId="35985" xr:uid="{3D5BBB32-314C-4853-91C7-C02A8E90A8CA}"/>
    <cellStyle name="Normal 11 2 8 2 2 4 3 2" xfId="35986" xr:uid="{0B4334A5-67D6-4B1A-BF6E-FA91552B8B6F}"/>
    <cellStyle name="Normal 11 2 8 2 2 4 3 2 2" xfId="35987" xr:uid="{969796A1-52A0-44EB-86A3-F592E3D8A3EA}"/>
    <cellStyle name="Normal 11 2 8 2 2 4 3 3" xfId="35988" xr:uid="{0AE971DB-66E4-4567-9D72-9B54B4800F34}"/>
    <cellStyle name="Normal 11 2 8 2 2 4 4" xfId="35989" xr:uid="{F9AC2015-919B-4ED9-896F-AFDF39F7D798}"/>
    <cellStyle name="Normal 11 2 8 2 2 4 4 2" xfId="35990" xr:uid="{CC8263CE-D5E1-44F5-BCBE-FBD683A7DAC3}"/>
    <cellStyle name="Normal 11 2 8 2 2 4 5" xfId="35991" xr:uid="{3D2B9C9E-1286-4FB2-AA14-E65EC75DE2AA}"/>
    <cellStyle name="Normal 11 2 8 2 2 5" xfId="35992" xr:uid="{946102E8-E4EB-4232-BD97-25240611329A}"/>
    <cellStyle name="Normal 11 2 8 2 2 5 2" xfId="35993" xr:uid="{B8B70080-D082-4942-B685-3A6F9D36C8C0}"/>
    <cellStyle name="Normal 11 2 8 2 2 5 2 2" xfId="35994" xr:uid="{711A452F-1D94-4B57-986F-3A13391BB114}"/>
    <cellStyle name="Normal 11 2 8 2 2 5 2 2 2" xfId="35995" xr:uid="{015665D0-1246-4092-9869-7F3E03F54C23}"/>
    <cellStyle name="Normal 11 2 8 2 2 5 2 3" xfId="35996" xr:uid="{E33BFB79-7083-4834-80A1-6613B1C611D9}"/>
    <cellStyle name="Normal 11 2 8 2 2 5 3" xfId="35997" xr:uid="{7EAA4AE4-05D8-46B6-91CE-F478F990589A}"/>
    <cellStyle name="Normal 11 2 8 2 2 5 3 2" xfId="35998" xr:uid="{037679AA-EADD-4916-9019-CBD9E112BB5C}"/>
    <cellStyle name="Normal 11 2 8 2 2 5 4" xfId="35999" xr:uid="{F499EC12-54E7-4510-8680-16D20D03C328}"/>
    <cellStyle name="Normal 11 2 8 2 2 6" xfId="36000" xr:uid="{0ABA4122-4532-482E-8472-999FE4BB01E2}"/>
    <cellStyle name="Normal 11 2 8 2 2 6 2" xfId="36001" xr:uid="{8443AE0B-BD15-4AB3-832C-3494A1BC7584}"/>
    <cellStyle name="Normal 11 2 8 2 2 6 2 2" xfId="36002" xr:uid="{F23C45E0-7D94-4763-9238-8A3F63968C0F}"/>
    <cellStyle name="Normal 11 2 8 2 2 6 3" xfId="36003" xr:uid="{78802663-0A73-4A6A-9227-F5223045FE63}"/>
    <cellStyle name="Normal 11 2 8 2 2 7" xfId="36004" xr:uid="{4B1209DD-1256-43F1-AF66-57A1F08779D9}"/>
    <cellStyle name="Normal 11 2 8 2 2 7 2" xfId="36005" xr:uid="{129CDFE8-DD5E-4786-974A-8A48E5FC2A62}"/>
    <cellStyle name="Normal 11 2 8 2 2 8" xfId="36006" xr:uid="{4765B2D7-B10B-4276-B266-00F8C9107F00}"/>
    <cellStyle name="Normal 11 2 8 2 3" xfId="36007" xr:uid="{639DD940-3BAC-47AF-AFE4-6216CF85969B}"/>
    <cellStyle name="Normal 11 2 8 2 3 2" xfId="36008" xr:uid="{A3D97E82-9818-4CF9-B40E-A9D992446BCF}"/>
    <cellStyle name="Normal 11 2 8 2 3 2 2" xfId="36009" xr:uid="{2ED92FEA-185D-4ACC-B37D-92CFC5F69D5D}"/>
    <cellStyle name="Normal 11 2 8 2 3 2 2 2" xfId="36010" xr:uid="{B573D4CF-0EC1-4FB9-A5B0-6C8F8E951FA3}"/>
    <cellStyle name="Normal 11 2 8 2 3 2 2 2 2" xfId="36011" xr:uid="{2F84E439-DDD8-4450-9971-52DB43118928}"/>
    <cellStyle name="Normal 11 2 8 2 3 2 2 2 2 2" xfId="36012" xr:uid="{1A6EB871-7040-466E-8B3A-220779729A6D}"/>
    <cellStyle name="Normal 11 2 8 2 3 2 2 2 2 2 2" xfId="36013" xr:uid="{D78589DC-3FE3-410F-AD81-E963D118D9F5}"/>
    <cellStyle name="Normal 11 2 8 2 3 2 2 2 2 3" xfId="36014" xr:uid="{F022DB9C-991F-4281-BA72-A66C681119B0}"/>
    <cellStyle name="Normal 11 2 8 2 3 2 2 2 3" xfId="36015" xr:uid="{C89201E4-51A7-4545-AEE5-9110CD0855FE}"/>
    <cellStyle name="Normal 11 2 8 2 3 2 2 2 3 2" xfId="36016" xr:uid="{65424693-AC04-436E-AA15-91818CF19460}"/>
    <cellStyle name="Normal 11 2 8 2 3 2 2 2 4" xfId="36017" xr:uid="{531F86D7-5219-4B72-B72E-9D5F19763CD6}"/>
    <cellStyle name="Normal 11 2 8 2 3 2 2 3" xfId="36018" xr:uid="{3DEF5989-F8CD-4BDF-B11A-B1BC3B0E5A3A}"/>
    <cellStyle name="Normal 11 2 8 2 3 2 2 3 2" xfId="36019" xr:uid="{374A76A8-88D1-4491-8FE5-BFECCA69076E}"/>
    <cellStyle name="Normal 11 2 8 2 3 2 2 3 2 2" xfId="36020" xr:uid="{374F6F18-2236-4630-84F8-8B1AE50B96EF}"/>
    <cellStyle name="Normal 11 2 8 2 3 2 2 3 3" xfId="36021" xr:uid="{70E4F9DC-E7DC-435E-B53D-FEE3321996D1}"/>
    <cellStyle name="Normal 11 2 8 2 3 2 2 4" xfId="36022" xr:uid="{0F2FC644-FA4E-4648-A731-068DB6FED4DA}"/>
    <cellStyle name="Normal 11 2 8 2 3 2 2 4 2" xfId="36023" xr:uid="{51E6EF44-464C-4F1C-BF46-C4BC73773C49}"/>
    <cellStyle name="Normal 11 2 8 2 3 2 2 5" xfId="36024" xr:uid="{EC70C2F6-8A6C-4C14-B81E-D8C5CF768366}"/>
    <cellStyle name="Normal 11 2 8 2 3 2 3" xfId="36025" xr:uid="{A49ED26D-F9F6-45C5-98F7-52B79C4240F4}"/>
    <cellStyle name="Normal 11 2 8 2 3 2 3 2" xfId="36026" xr:uid="{D870545B-ED0C-411F-A705-D63009ED1BD1}"/>
    <cellStyle name="Normal 11 2 8 2 3 2 3 2 2" xfId="36027" xr:uid="{846F4E2A-92E0-4748-999C-5EFC96C25294}"/>
    <cellStyle name="Normal 11 2 8 2 3 2 3 2 2 2" xfId="36028" xr:uid="{38B41767-386F-41E4-A9DF-7C4E418AF567}"/>
    <cellStyle name="Normal 11 2 8 2 3 2 3 2 3" xfId="36029" xr:uid="{FFEE5FC3-E3A3-4FD1-B18F-31D8F623815A}"/>
    <cellStyle name="Normal 11 2 8 2 3 2 3 3" xfId="36030" xr:uid="{2ABBF253-1AC7-48CE-AF56-41CFFA355458}"/>
    <cellStyle name="Normal 11 2 8 2 3 2 3 3 2" xfId="36031" xr:uid="{44313B44-93F6-4891-B907-932183EBA775}"/>
    <cellStyle name="Normal 11 2 8 2 3 2 3 4" xfId="36032" xr:uid="{331F79E3-5CF9-4308-BD6E-DF83D27CC84A}"/>
    <cellStyle name="Normal 11 2 8 2 3 2 4" xfId="36033" xr:uid="{D696EFB7-ECDE-4CFF-9ED4-276EBC1076D3}"/>
    <cellStyle name="Normal 11 2 8 2 3 2 4 2" xfId="36034" xr:uid="{18105A07-C28F-4F7E-9D22-02822C5002C2}"/>
    <cellStyle name="Normal 11 2 8 2 3 2 4 2 2" xfId="36035" xr:uid="{A1F196FA-45DB-4C46-B23A-54AA5EAEDE6F}"/>
    <cellStyle name="Normal 11 2 8 2 3 2 4 3" xfId="36036" xr:uid="{301615D6-6C00-45B9-A9AC-01C56EDB9693}"/>
    <cellStyle name="Normal 11 2 8 2 3 2 5" xfId="36037" xr:uid="{5DBE4639-96C5-4355-8ADD-C5F70912BB9F}"/>
    <cellStyle name="Normal 11 2 8 2 3 2 5 2" xfId="36038" xr:uid="{741962C3-FE07-4AC1-970E-4371F1AFC8B6}"/>
    <cellStyle name="Normal 11 2 8 2 3 2 6" xfId="36039" xr:uid="{762A775E-61B6-4DE9-BE18-DAA276ED8B39}"/>
    <cellStyle name="Normal 11 2 8 2 3 3" xfId="36040" xr:uid="{846F109F-CA9E-4558-8BE6-AC5DA3CBF61D}"/>
    <cellStyle name="Normal 11 2 8 2 3 3 2" xfId="36041" xr:uid="{5AC0A059-97DF-4B85-979A-31F8D16ECABE}"/>
    <cellStyle name="Normal 11 2 8 2 3 3 2 2" xfId="36042" xr:uid="{A8120F98-895E-452E-BE4C-9F92C6A8F34D}"/>
    <cellStyle name="Normal 11 2 8 2 3 3 2 2 2" xfId="36043" xr:uid="{E69D9202-511C-4FC3-A199-FFE5652C5DC8}"/>
    <cellStyle name="Normal 11 2 8 2 3 3 2 2 2 2" xfId="36044" xr:uid="{D397FD34-C368-4FBD-B635-3A7FF8F46090}"/>
    <cellStyle name="Normal 11 2 8 2 3 3 2 2 3" xfId="36045" xr:uid="{A0BD08BD-263F-4DB0-BBB3-52CB19768E80}"/>
    <cellStyle name="Normal 11 2 8 2 3 3 2 3" xfId="36046" xr:uid="{5FE1BFFB-A6D1-4D64-8281-2D6B1C41E673}"/>
    <cellStyle name="Normal 11 2 8 2 3 3 2 3 2" xfId="36047" xr:uid="{BF9EF302-C5F6-4B00-9AF3-02CA4264044D}"/>
    <cellStyle name="Normal 11 2 8 2 3 3 2 4" xfId="36048" xr:uid="{A23F71D5-A48B-4082-9E35-0A66A3090A73}"/>
    <cellStyle name="Normal 11 2 8 2 3 3 3" xfId="36049" xr:uid="{DE7ED9E2-3EE1-472C-8E8F-86E8BD289CD3}"/>
    <cellStyle name="Normal 11 2 8 2 3 3 3 2" xfId="36050" xr:uid="{64750248-BD00-4E09-A347-9B7B6A9BCE64}"/>
    <cellStyle name="Normal 11 2 8 2 3 3 3 2 2" xfId="36051" xr:uid="{F3F3417B-93D7-4D52-8217-556462D7D68D}"/>
    <cellStyle name="Normal 11 2 8 2 3 3 3 3" xfId="36052" xr:uid="{1CCA8AD3-A53D-44BB-B6C1-80ED71C6F216}"/>
    <cellStyle name="Normal 11 2 8 2 3 3 4" xfId="36053" xr:uid="{7A97FF08-AEED-41A6-82F2-7CD394B8CC1C}"/>
    <cellStyle name="Normal 11 2 8 2 3 3 4 2" xfId="36054" xr:uid="{69305393-2715-4C8D-B853-D3B06E984088}"/>
    <cellStyle name="Normal 11 2 8 2 3 3 5" xfId="36055" xr:uid="{159487D5-12D1-4289-AD91-94E1A3253ACA}"/>
    <cellStyle name="Normal 11 2 8 2 3 4" xfId="36056" xr:uid="{CD26D0E2-EBE6-4E7D-8191-1BF1D82661EE}"/>
    <cellStyle name="Normal 11 2 8 2 3 4 2" xfId="36057" xr:uid="{6B0E25EC-9546-4CF2-B76A-37BC41A4ACB0}"/>
    <cellStyle name="Normal 11 2 8 2 3 4 2 2" xfId="36058" xr:uid="{579B1C57-709C-42F2-88B4-ACAF07715525}"/>
    <cellStyle name="Normal 11 2 8 2 3 4 2 2 2" xfId="36059" xr:uid="{2852EBED-4CC5-44B7-98F2-86F46D258905}"/>
    <cellStyle name="Normal 11 2 8 2 3 4 2 3" xfId="36060" xr:uid="{B6C42179-00C6-4F49-AD03-287797C22DAA}"/>
    <cellStyle name="Normal 11 2 8 2 3 4 3" xfId="36061" xr:uid="{1649E522-2C79-442A-A14C-CC2B2F790874}"/>
    <cellStyle name="Normal 11 2 8 2 3 4 3 2" xfId="36062" xr:uid="{1E7B074E-2DB6-43FA-9A4F-989D9CD95865}"/>
    <cellStyle name="Normal 11 2 8 2 3 4 4" xfId="36063" xr:uid="{825D0898-80BE-43F8-8F4F-06853CCCDA35}"/>
    <cellStyle name="Normal 11 2 8 2 3 5" xfId="36064" xr:uid="{D71B7AA3-7445-40EE-AC20-02F1B89E9A5F}"/>
    <cellStyle name="Normal 11 2 8 2 3 5 2" xfId="36065" xr:uid="{16AA64C7-AC15-4D1E-B6A4-1782C8717A26}"/>
    <cellStyle name="Normal 11 2 8 2 3 5 2 2" xfId="36066" xr:uid="{0520E496-75CD-4C66-8E84-5864F4898778}"/>
    <cellStyle name="Normal 11 2 8 2 3 5 3" xfId="36067" xr:uid="{FC088F8A-92CB-4AEC-9993-1377926A39EB}"/>
    <cellStyle name="Normal 11 2 8 2 3 6" xfId="36068" xr:uid="{B0134A13-277D-401F-89BB-F651B19AEAA8}"/>
    <cellStyle name="Normal 11 2 8 2 3 6 2" xfId="36069" xr:uid="{63517B05-CE54-468E-8853-9AD1F7CF07D6}"/>
    <cellStyle name="Normal 11 2 8 2 3 7" xfId="36070" xr:uid="{69C97072-4C85-47F5-8C35-3B9F149B3D65}"/>
    <cellStyle name="Normal 11 2 8 2 4" xfId="36071" xr:uid="{7D8D9541-751A-438D-B16D-E79A527C657A}"/>
    <cellStyle name="Normal 11 2 8 2 4 2" xfId="36072" xr:uid="{19FE33A7-1A6E-44DE-AC24-C2E02ADD16B5}"/>
    <cellStyle name="Normal 11 2 8 2 4 2 2" xfId="36073" xr:uid="{916C43FE-5CC5-4549-85C4-92B2F150A5AB}"/>
    <cellStyle name="Normal 11 2 8 2 4 2 2 2" xfId="36074" xr:uid="{CE9E6053-DB8B-4CB4-82AF-418784135DCE}"/>
    <cellStyle name="Normal 11 2 8 2 4 2 2 2 2" xfId="36075" xr:uid="{6DBA7077-BFD1-4B27-9543-2A2D8F8438BE}"/>
    <cellStyle name="Normal 11 2 8 2 4 2 2 2 2 2" xfId="36076" xr:uid="{4D7CCA66-889B-4F2B-A805-61938386F244}"/>
    <cellStyle name="Normal 11 2 8 2 4 2 2 2 3" xfId="36077" xr:uid="{861C0FB1-058F-456F-A35E-F0EF91282A21}"/>
    <cellStyle name="Normal 11 2 8 2 4 2 2 3" xfId="36078" xr:uid="{50E82E3B-9A27-423A-BEC0-D1272E53FBF1}"/>
    <cellStyle name="Normal 11 2 8 2 4 2 2 3 2" xfId="36079" xr:uid="{B1489E59-46FD-4E6A-B045-6DE2ED2CF6AA}"/>
    <cellStyle name="Normal 11 2 8 2 4 2 2 4" xfId="36080" xr:uid="{D5BA8DD3-FF59-4E98-983F-72610F46575B}"/>
    <cellStyle name="Normal 11 2 8 2 4 2 3" xfId="36081" xr:uid="{12F40675-C560-46BA-A2BD-9BDA9487A2C7}"/>
    <cellStyle name="Normal 11 2 8 2 4 2 3 2" xfId="36082" xr:uid="{37C9F0A4-2AD8-42EA-ADE0-C8E577D69AAE}"/>
    <cellStyle name="Normal 11 2 8 2 4 2 3 2 2" xfId="36083" xr:uid="{17FAE2A9-3C2B-488E-9899-891B32EC3E64}"/>
    <cellStyle name="Normal 11 2 8 2 4 2 3 3" xfId="36084" xr:uid="{3A05F940-BF4B-4A0E-957F-A3CF3991FBEA}"/>
    <cellStyle name="Normal 11 2 8 2 4 2 4" xfId="36085" xr:uid="{270BDFFB-5235-4BAB-BD4F-E8364945A0D8}"/>
    <cellStyle name="Normal 11 2 8 2 4 2 4 2" xfId="36086" xr:uid="{2A70545D-3ED0-4A7F-8DB5-2376D92BA62E}"/>
    <cellStyle name="Normal 11 2 8 2 4 2 5" xfId="36087" xr:uid="{EC4DC45D-4512-4E25-B382-D0AA039D499C}"/>
    <cellStyle name="Normal 11 2 8 2 4 3" xfId="36088" xr:uid="{D9B066BC-0272-4255-A708-D2C3F815DB55}"/>
    <cellStyle name="Normal 11 2 8 2 4 3 2" xfId="36089" xr:uid="{7ACA60AD-3B3C-43D5-94EA-50D446050F6C}"/>
    <cellStyle name="Normal 11 2 8 2 4 3 2 2" xfId="36090" xr:uid="{C9772B69-98AE-435E-B24B-18DD6B7B2407}"/>
    <cellStyle name="Normal 11 2 8 2 4 3 2 2 2" xfId="36091" xr:uid="{38514D61-81C1-4C00-8754-CBB8EC75B1EB}"/>
    <cellStyle name="Normal 11 2 8 2 4 3 2 3" xfId="36092" xr:uid="{5EDA9B1D-2FD1-417A-8016-8C8569A0F1EE}"/>
    <cellStyle name="Normal 11 2 8 2 4 3 3" xfId="36093" xr:uid="{583C011A-FB05-4983-AB50-07978377A627}"/>
    <cellStyle name="Normal 11 2 8 2 4 3 3 2" xfId="36094" xr:uid="{1B352B15-F832-4329-8EFA-AA9E29F1A070}"/>
    <cellStyle name="Normal 11 2 8 2 4 3 4" xfId="36095" xr:uid="{F60710E2-150A-43EA-854B-AA5E0DCED03B}"/>
    <cellStyle name="Normal 11 2 8 2 4 4" xfId="36096" xr:uid="{3ABF7AB6-E8A0-4BB9-9535-1A63BE4A8E12}"/>
    <cellStyle name="Normal 11 2 8 2 4 4 2" xfId="36097" xr:uid="{19231A06-74CE-4D54-9479-A5494CFC09AE}"/>
    <cellStyle name="Normal 11 2 8 2 4 4 2 2" xfId="36098" xr:uid="{C8D77F7D-5977-47ED-9A94-AEB55A49CDA8}"/>
    <cellStyle name="Normal 11 2 8 2 4 4 3" xfId="36099" xr:uid="{116A4427-8B3F-41C1-B0E3-CCD97937E221}"/>
    <cellStyle name="Normal 11 2 8 2 4 5" xfId="36100" xr:uid="{A3A8CE9D-DE0C-4836-A690-3FC6DA829E7E}"/>
    <cellStyle name="Normal 11 2 8 2 4 5 2" xfId="36101" xr:uid="{AEC5B9D0-8695-4703-901A-342665A07B5A}"/>
    <cellStyle name="Normal 11 2 8 2 4 6" xfId="36102" xr:uid="{CC993C0E-D658-49AF-8ACF-2B40EF08B1AE}"/>
    <cellStyle name="Normal 11 2 8 2 5" xfId="36103" xr:uid="{175AC541-820A-4617-9A26-2EB7248B156E}"/>
    <cellStyle name="Normal 11 2 8 2 5 2" xfId="36104" xr:uid="{C9C23E45-76FE-4EA1-860F-9250195C4E7E}"/>
    <cellStyle name="Normal 11 2 8 2 5 2 2" xfId="36105" xr:uid="{01472C0D-0A8A-43C3-B41B-8B7414FA9B48}"/>
    <cellStyle name="Normal 11 2 8 2 5 2 2 2" xfId="36106" xr:uid="{403A21DB-D62E-4603-BB39-562E9066310E}"/>
    <cellStyle name="Normal 11 2 8 2 5 2 2 2 2" xfId="36107" xr:uid="{654A4681-7024-4458-836C-05C570D0CB9F}"/>
    <cellStyle name="Normal 11 2 8 2 5 2 2 3" xfId="36108" xr:uid="{BCE776B1-76AC-4F08-B019-D817BA312FAD}"/>
    <cellStyle name="Normal 11 2 8 2 5 2 3" xfId="36109" xr:uid="{0EC9ABE8-085F-40DD-84D4-FE36D477604C}"/>
    <cellStyle name="Normal 11 2 8 2 5 2 3 2" xfId="36110" xr:uid="{B7904909-4327-4730-99AA-B2EE68B2C4D1}"/>
    <cellStyle name="Normal 11 2 8 2 5 2 4" xfId="36111" xr:uid="{A77E8076-BF09-4774-BDB7-27EA25DB1236}"/>
    <cellStyle name="Normal 11 2 8 2 5 3" xfId="36112" xr:uid="{06CBB712-6F71-4AD8-AF40-59C75FDC33C7}"/>
    <cellStyle name="Normal 11 2 8 2 5 3 2" xfId="36113" xr:uid="{8D5F2EC9-88BF-4D70-8D68-DA8492D072DC}"/>
    <cellStyle name="Normal 11 2 8 2 5 3 2 2" xfId="36114" xr:uid="{300BD2D3-A7CF-4AE8-BB19-7F25B6E98884}"/>
    <cellStyle name="Normal 11 2 8 2 5 3 3" xfId="36115" xr:uid="{F0CA03FC-1009-40C9-9743-FF27C402C4EF}"/>
    <cellStyle name="Normal 11 2 8 2 5 4" xfId="36116" xr:uid="{E1F97B7F-A3DD-4DF7-9D0C-7D872C74E061}"/>
    <cellStyle name="Normal 11 2 8 2 5 4 2" xfId="36117" xr:uid="{74A11C46-3A55-4B8A-AD5D-287F9DDFC09A}"/>
    <cellStyle name="Normal 11 2 8 2 5 5" xfId="36118" xr:uid="{93479649-A038-424A-A85F-D4BB8895FB6C}"/>
    <cellStyle name="Normal 11 2 8 2 6" xfId="36119" xr:uid="{AF14D397-12A4-41BD-A5C4-3CB5F56C5207}"/>
    <cellStyle name="Normal 11 2 8 2 6 2" xfId="36120" xr:uid="{3409EEE5-4545-44D6-8D84-F4FF41685071}"/>
    <cellStyle name="Normal 11 2 8 2 6 2 2" xfId="36121" xr:uid="{B6A47AB2-687D-484A-AC81-B601FEA85ECA}"/>
    <cellStyle name="Normal 11 2 8 2 6 2 2 2" xfId="36122" xr:uid="{AD76AB8F-D6FA-4A3A-80C1-6802BC834163}"/>
    <cellStyle name="Normal 11 2 8 2 6 2 3" xfId="36123" xr:uid="{6D4EDC27-9B96-4DDC-B0E9-E4C6517E87B8}"/>
    <cellStyle name="Normal 11 2 8 2 6 3" xfId="36124" xr:uid="{CE4DCB57-0DD3-499B-9A4C-AC828631D2F9}"/>
    <cellStyle name="Normal 11 2 8 2 6 3 2" xfId="36125" xr:uid="{DC43FC50-B11D-4DFF-95F9-12181830AFA4}"/>
    <cellStyle name="Normal 11 2 8 2 6 4" xfId="36126" xr:uid="{0FB0271D-A00A-4661-B847-A195E3F32ECE}"/>
    <cellStyle name="Normal 11 2 8 2 7" xfId="36127" xr:uid="{BCAEFC0F-8EA3-4467-B1DE-61EB2AD90922}"/>
    <cellStyle name="Normal 11 2 8 2 7 2" xfId="36128" xr:uid="{ABE0F00D-E274-479C-80AE-7FF83F831AAE}"/>
    <cellStyle name="Normal 11 2 8 2 7 2 2" xfId="36129" xr:uid="{AA4425B5-DCE8-4E15-B1F0-886E02A1727A}"/>
    <cellStyle name="Normal 11 2 8 2 7 3" xfId="36130" xr:uid="{AC2C807C-1F1C-436F-953F-CD90EA338169}"/>
    <cellStyle name="Normal 11 2 8 2 8" xfId="36131" xr:uid="{0F1C4964-BEE1-4693-837E-1240276023A3}"/>
    <cellStyle name="Normal 11 2 8 2 8 2" xfId="36132" xr:uid="{5A6F6BD2-01E3-44B1-B71B-EA402FC66886}"/>
    <cellStyle name="Normal 11 2 8 2 9" xfId="36133" xr:uid="{FFA14AF8-7895-460A-BBE3-8F501508BE90}"/>
    <cellStyle name="Normal 11 2 8 3" xfId="503" xr:uid="{E6636580-C732-4981-8631-F06438828158}"/>
    <cellStyle name="Normal 11 2 8 3 2" xfId="36135" xr:uid="{C2349559-AD06-49CA-B7C7-1DC1F8443A9A}"/>
    <cellStyle name="Normal 11 2 8 3 2 2" xfId="36136" xr:uid="{D2895B4C-A721-4038-BAF2-C1B677BCDF57}"/>
    <cellStyle name="Normal 11 2 8 3 2 2 2" xfId="36137" xr:uid="{68124B8A-A687-438D-8EC4-BA1B350CAFD6}"/>
    <cellStyle name="Normal 11 2 8 3 2 2 2 2" xfId="36138" xr:uid="{656F2CEF-C142-404D-98CB-54224B2E72ED}"/>
    <cellStyle name="Normal 11 2 8 3 2 2 2 2 2" xfId="36139" xr:uid="{18F79987-3C18-4267-A94C-3BD66CB549E2}"/>
    <cellStyle name="Normal 11 2 8 3 2 2 2 2 2 2" xfId="36140" xr:uid="{9FB891D4-F3C3-471E-817A-46CFFCB0BA41}"/>
    <cellStyle name="Normal 11 2 8 3 2 2 2 2 2 2 2" xfId="36141" xr:uid="{B5313E9D-AAC3-4160-BA96-F057723AC2EA}"/>
    <cellStyle name="Normal 11 2 8 3 2 2 2 2 2 3" xfId="36142" xr:uid="{53437A7C-73EF-46A2-B8D4-054FE2EC1D63}"/>
    <cellStyle name="Normal 11 2 8 3 2 2 2 2 3" xfId="36143" xr:uid="{E238AF68-C646-48B8-9988-0B639E5CCCC4}"/>
    <cellStyle name="Normal 11 2 8 3 2 2 2 2 3 2" xfId="36144" xr:uid="{39312ED8-EC90-49E4-A66C-BDBDDF470804}"/>
    <cellStyle name="Normal 11 2 8 3 2 2 2 2 4" xfId="36145" xr:uid="{DBD9008C-3C85-4DD8-91FE-18E6BD885476}"/>
    <cellStyle name="Normal 11 2 8 3 2 2 2 3" xfId="36146" xr:uid="{9A39EFE2-BC5D-4748-A40D-73F7E6673D04}"/>
    <cellStyle name="Normal 11 2 8 3 2 2 2 3 2" xfId="36147" xr:uid="{DF607ED1-FEA2-44AC-BDEF-F00E24BECC3B}"/>
    <cellStyle name="Normal 11 2 8 3 2 2 2 3 2 2" xfId="36148" xr:uid="{FD7C387E-63C7-4EF7-B8A1-5BF69FD2C609}"/>
    <cellStyle name="Normal 11 2 8 3 2 2 2 3 3" xfId="36149" xr:uid="{D8B8ACEA-C90F-40AD-B267-15363AE53A87}"/>
    <cellStyle name="Normal 11 2 8 3 2 2 2 4" xfId="36150" xr:uid="{B9C39CAD-8739-442A-BBA8-51C9A2D778ED}"/>
    <cellStyle name="Normal 11 2 8 3 2 2 2 4 2" xfId="36151" xr:uid="{C1A422AA-0667-40BF-BEFF-D388C66FFD4B}"/>
    <cellStyle name="Normal 11 2 8 3 2 2 2 5" xfId="36152" xr:uid="{1D6ED52B-674E-49C7-B970-395062A738BD}"/>
    <cellStyle name="Normal 11 2 8 3 2 2 3" xfId="36153" xr:uid="{94A22EC2-D906-4AF2-9E45-31AEFCDDD260}"/>
    <cellStyle name="Normal 11 2 8 3 2 2 3 2" xfId="36154" xr:uid="{7F3D011D-D79D-4AC8-9917-4AB278A2EB1A}"/>
    <cellStyle name="Normal 11 2 8 3 2 2 3 2 2" xfId="36155" xr:uid="{95407CAC-EEE9-4640-BE74-C31139B47E38}"/>
    <cellStyle name="Normal 11 2 8 3 2 2 3 2 2 2" xfId="36156" xr:uid="{EB128193-5D52-4FD6-9F51-F1154DC9032F}"/>
    <cellStyle name="Normal 11 2 8 3 2 2 3 2 3" xfId="36157" xr:uid="{47084C4D-CBB1-471A-BA7B-776C98C49EB1}"/>
    <cellStyle name="Normal 11 2 8 3 2 2 3 3" xfId="36158" xr:uid="{0554471E-E8AA-4980-97D5-928EAF7460D9}"/>
    <cellStyle name="Normal 11 2 8 3 2 2 3 3 2" xfId="36159" xr:uid="{AF480297-CE47-420F-BDF3-0086BF875D29}"/>
    <cellStyle name="Normal 11 2 8 3 2 2 3 4" xfId="36160" xr:uid="{86935B34-4844-4E94-9D15-1F533BA583F1}"/>
    <cellStyle name="Normal 11 2 8 3 2 2 4" xfId="36161" xr:uid="{ADC865C7-076D-4ADD-B119-1E09A5F72E58}"/>
    <cellStyle name="Normal 11 2 8 3 2 2 4 2" xfId="36162" xr:uid="{6CE7BE04-2D74-4207-888C-0E6080268FFD}"/>
    <cellStyle name="Normal 11 2 8 3 2 2 4 2 2" xfId="36163" xr:uid="{B8BA7EBF-7B48-459E-A2FF-C4271F9C0061}"/>
    <cellStyle name="Normal 11 2 8 3 2 2 4 3" xfId="36164" xr:uid="{6213E47B-285F-45F2-9437-B71B249F71AB}"/>
    <cellStyle name="Normal 11 2 8 3 2 2 5" xfId="36165" xr:uid="{29444B83-56B0-40A1-93D8-4240BFB55AFE}"/>
    <cellStyle name="Normal 11 2 8 3 2 2 5 2" xfId="36166" xr:uid="{BFB61960-F210-42DF-849A-2B232398ED44}"/>
    <cellStyle name="Normal 11 2 8 3 2 2 6" xfId="36167" xr:uid="{3AE603E2-D117-48D7-A55D-1E94F4314434}"/>
    <cellStyle name="Normal 11 2 8 3 2 3" xfId="36168" xr:uid="{BE80C666-3F5C-4B8B-ABC2-8B5294EF8BC0}"/>
    <cellStyle name="Normal 11 2 8 3 2 3 2" xfId="36169" xr:uid="{FAA51874-3E2B-444C-AEA9-198D548F5705}"/>
    <cellStyle name="Normal 11 2 8 3 2 3 2 2" xfId="36170" xr:uid="{596B584A-1E97-4232-B489-6E2BD2467755}"/>
    <cellStyle name="Normal 11 2 8 3 2 3 2 2 2" xfId="36171" xr:uid="{8AE9E278-C6BC-4C8E-8AF8-B3E64D8FB602}"/>
    <cellStyle name="Normal 11 2 8 3 2 3 2 2 2 2" xfId="36172" xr:uid="{F68A6A1C-7EE1-49EC-8747-17AC2C10F288}"/>
    <cellStyle name="Normal 11 2 8 3 2 3 2 2 3" xfId="36173" xr:uid="{7DF3199D-B726-4B91-B576-A699BF20734D}"/>
    <cellStyle name="Normal 11 2 8 3 2 3 2 3" xfId="36174" xr:uid="{62C65D67-9CB4-45B5-BB72-21C60E7B1CCE}"/>
    <cellStyle name="Normal 11 2 8 3 2 3 2 3 2" xfId="36175" xr:uid="{1018B35F-C5C5-46F9-936D-75FE91ECB0F7}"/>
    <cellStyle name="Normal 11 2 8 3 2 3 2 4" xfId="36176" xr:uid="{AE956630-CC2E-4824-B7B5-F618322EED87}"/>
    <cellStyle name="Normal 11 2 8 3 2 3 3" xfId="36177" xr:uid="{2FC32759-EB67-48E8-AC2A-47A27686A5C9}"/>
    <cellStyle name="Normal 11 2 8 3 2 3 3 2" xfId="36178" xr:uid="{E68CFB3F-E7BF-4EBA-B299-188958ADB772}"/>
    <cellStyle name="Normal 11 2 8 3 2 3 3 2 2" xfId="36179" xr:uid="{FDB94617-7845-4052-B7DF-34458C993555}"/>
    <cellStyle name="Normal 11 2 8 3 2 3 3 3" xfId="36180" xr:uid="{0DDEE356-C1C4-4ADD-83AC-67D5EC74C58F}"/>
    <cellStyle name="Normal 11 2 8 3 2 3 4" xfId="36181" xr:uid="{25DFA0BD-7DA3-423B-A3A7-39C9E37FF07C}"/>
    <cellStyle name="Normal 11 2 8 3 2 3 4 2" xfId="36182" xr:uid="{F2673007-056E-4115-A547-147ADBDEAF50}"/>
    <cellStyle name="Normal 11 2 8 3 2 3 5" xfId="36183" xr:uid="{2D08CA0B-C90B-4758-A450-1C5FD97FEE21}"/>
    <cellStyle name="Normal 11 2 8 3 2 4" xfId="36184" xr:uid="{5D136E59-141F-48A0-A668-F340AFECA0AC}"/>
    <cellStyle name="Normal 11 2 8 3 2 4 2" xfId="36185" xr:uid="{A9A726B5-5552-4FA5-9261-6FC7F08155B2}"/>
    <cellStyle name="Normal 11 2 8 3 2 4 2 2" xfId="36186" xr:uid="{CE672168-4CE7-4099-942C-EBB7A43F43F5}"/>
    <cellStyle name="Normal 11 2 8 3 2 4 2 2 2" xfId="36187" xr:uid="{32516863-0349-4073-895B-B14C8CBB1959}"/>
    <cellStyle name="Normal 11 2 8 3 2 4 2 3" xfId="36188" xr:uid="{D6048F81-687C-4E14-A380-A84027959E6F}"/>
    <cellStyle name="Normal 11 2 8 3 2 4 3" xfId="36189" xr:uid="{F72B75A1-4775-46EF-AAB2-071776FB68BF}"/>
    <cellStyle name="Normal 11 2 8 3 2 4 3 2" xfId="36190" xr:uid="{F8EA4D2E-ECAA-421F-ACE0-F4F9134DB806}"/>
    <cellStyle name="Normal 11 2 8 3 2 4 4" xfId="36191" xr:uid="{B7913750-CF8C-4CCD-9E37-A1EDAEF97684}"/>
    <cellStyle name="Normal 11 2 8 3 2 5" xfId="36192" xr:uid="{6161333B-3AB9-457A-A278-E03649EE1996}"/>
    <cellStyle name="Normal 11 2 8 3 2 5 2" xfId="36193" xr:uid="{92DEB04A-96B2-45D3-90B1-448CFBDE5E1C}"/>
    <cellStyle name="Normal 11 2 8 3 2 5 2 2" xfId="36194" xr:uid="{469AA48B-C6C0-4183-8273-3A257FD6C143}"/>
    <cellStyle name="Normal 11 2 8 3 2 5 3" xfId="36195" xr:uid="{507AF169-A22D-4549-91F1-35F61A7F5C9C}"/>
    <cellStyle name="Normal 11 2 8 3 2 6" xfId="36196" xr:uid="{5DC69641-3DFC-4320-9BD5-EBD8226DF669}"/>
    <cellStyle name="Normal 11 2 8 3 2 6 2" xfId="36197" xr:uid="{6B28B1FA-A267-466C-AE47-B3B92FEB4AFE}"/>
    <cellStyle name="Normal 11 2 8 3 2 7" xfId="36198" xr:uid="{8BE0DAD9-0A9C-4C59-A5FD-09AFDD5AC1E1}"/>
    <cellStyle name="Normal 11 2 8 3 3" xfId="36199" xr:uid="{FF13085A-1749-414D-BAB4-6B1E8757ABC2}"/>
    <cellStyle name="Normal 11 2 8 3 3 2" xfId="36200" xr:uid="{E968F308-7675-462A-8FA2-7CEBFE9ABEA1}"/>
    <cellStyle name="Normal 11 2 8 3 3 2 2" xfId="36201" xr:uid="{59294549-61FA-4D76-B110-169441F10545}"/>
    <cellStyle name="Normal 11 2 8 3 3 2 2 2" xfId="36202" xr:uid="{9F131B75-1109-4573-89F2-E4BDE5C8C2EC}"/>
    <cellStyle name="Normal 11 2 8 3 3 2 2 2 2" xfId="36203" xr:uid="{FECC1676-B71F-41E1-BEF5-08152CBC98A8}"/>
    <cellStyle name="Normal 11 2 8 3 3 2 2 2 2 2" xfId="36204" xr:uid="{40B0DF8E-1941-45A4-AFBF-704AE2DB4302}"/>
    <cellStyle name="Normal 11 2 8 3 3 2 2 2 3" xfId="36205" xr:uid="{B3EFA829-E1CE-4328-8DB5-1901DBA52043}"/>
    <cellStyle name="Normal 11 2 8 3 3 2 2 3" xfId="36206" xr:uid="{3C71F430-8597-4ADC-85FC-EFFB2182CA0C}"/>
    <cellStyle name="Normal 11 2 8 3 3 2 2 3 2" xfId="36207" xr:uid="{6FE0364F-F36C-4ABB-A539-2A7DA37EB229}"/>
    <cellStyle name="Normal 11 2 8 3 3 2 2 4" xfId="36208" xr:uid="{F376FBF5-B3CF-49F2-8647-B0AF5DC4CCC5}"/>
    <cellStyle name="Normal 11 2 8 3 3 2 3" xfId="36209" xr:uid="{B0513CCC-829B-45C9-AF5E-3369292867A6}"/>
    <cellStyle name="Normal 11 2 8 3 3 2 3 2" xfId="36210" xr:uid="{3698EE81-FCC4-40C4-8E5B-5F33A37C0329}"/>
    <cellStyle name="Normal 11 2 8 3 3 2 3 2 2" xfId="36211" xr:uid="{2AE3785A-BB79-4558-A426-02C1E0F5A9B9}"/>
    <cellStyle name="Normal 11 2 8 3 3 2 3 3" xfId="36212" xr:uid="{C5D7030A-B278-4ED3-BB3C-091FC718FFCE}"/>
    <cellStyle name="Normal 11 2 8 3 3 2 4" xfId="36213" xr:uid="{0A63BC0A-A211-4526-B756-70BD5E1B5CB8}"/>
    <cellStyle name="Normal 11 2 8 3 3 2 4 2" xfId="36214" xr:uid="{8BB5C4BA-0FAC-4A01-8C21-A8CD4342E420}"/>
    <cellStyle name="Normal 11 2 8 3 3 2 5" xfId="36215" xr:uid="{78DA9953-60F2-44B6-840D-218C74CE4823}"/>
    <cellStyle name="Normal 11 2 8 3 3 3" xfId="36216" xr:uid="{E874535F-F7AC-458B-9352-CA9280FC6EC8}"/>
    <cellStyle name="Normal 11 2 8 3 3 3 2" xfId="36217" xr:uid="{54CC027F-7E7F-446C-B443-F97ECCC248BF}"/>
    <cellStyle name="Normal 11 2 8 3 3 3 2 2" xfId="36218" xr:uid="{8C2A290E-99CF-42ED-BADF-401B8DDEE202}"/>
    <cellStyle name="Normal 11 2 8 3 3 3 2 2 2" xfId="36219" xr:uid="{35AEAC7F-32C1-4D24-9CC1-07FE779D8CD2}"/>
    <cellStyle name="Normal 11 2 8 3 3 3 2 3" xfId="36220" xr:uid="{35081309-A86F-4452-A163-6182834B1979}"/>
    <cellStyle name="Normal 11 2 8 3 3 3 3" xfId="36221" xr:uid="{5F9993D3-E3B1-409C-A586-8E63D5DC9287}"/>
    <cellStyle name="Normal 11 2 8 3 3 3 3 2" xfId="36222" xr:uid="{D2610F0C-B075-4103-8E6E-40A27A91AA68}"/>
    <cellStyle name="Normal 11 2 8 3 3 3 4" xfId="36223" xr:uid="{33C63C39-514B-4E24-BE9D-AEE8839C2427}"/>
    <cellStyle name="Normal 11 2 8 3 3 4" xfId="36224" xr:uid="{BD804282-C1D9-4ED4-8CF1-EE64914A9DE9}"/>
    <cellStyle name="Normal 11 2 8 3 3 4 2" xfId="36225" xr:uid="{46446C07-7793-4F2D-8A88-76ACED24B474}"/>
    <cellStyle name="Normal 11 2 8 3 3 4 2 2" xfId="36226" xr:uid="{D8054DD0-BA47-427B-914F-72312CEA91A0}"/>
    <cellStyle name="Normal 11 2 8 3 3 4 3" xfId="36227" xr:uid="{FEE9EC71-0EAD-4C60-9E48-EDC7B72CA4AE}"/>
    <cellStyle name="Normal 11 2 8 3 3 5" xfId="36228" xr:uid="{0C938F4F-8590-40F9-8B9A-265B647D5D5A}"/>
    <cellStyle name="Normal 11 2 8 3 3 5 2" xfId="36229" xr:uid="{4A4BCD63-E229-486E-9CCD-FB5AB255B5BB}"/>
    <cellStyle name="Normal 11 2 8 3 3 6" xfId="36230" xr:uid="{E5DB3F0F-D503-4E3A-A5FB-29881D05BDCB}"/>
    <cellStyle name="Normal 11 2 8 3 4" xfId="36231" xr:uid="{8D6961D8-AC04-44EB-BD7D-B73DD9ADF655}"/>
    <cellStyle name="Normal 11 2 8 3 4 2" xfId="36232" xr:uid="{7E660CC0-1D6E-4315-8678-FC3C4AA1CD34}"/>
    <cellStyle name="Normal 11 2 8 3 4 2 2" xfId="36233" xr:uid="{F92EBFAB-0B87-47F0-92F4-734952D136C0}"/>
    <cellStyle name="Normal 11 2 8 3 4 2 2 2" xfId="36234" xr:uid="{9A8CCB95-1461-46B4-A546-E218F800F9A7}"/>
    <cellStyle name="Normal 11 2 8 3 4 2 2 2 2" xfId="36235" xr:uid="{03E4ADD7-A19F-4DAB-B445-0C463CEEBF50}"/>
    <cellStyle name="Normal 11 2 8 3 4 2 2 3" xfId="36236" xr:uid="{9282828E-DE99-4E1D-99C7-C6AE23EEAFC7}"/>
    <cellStyle name="Normal 11 2 8 3 4 2 3" xfId="36237" xr:uid="{C0C909CB-803F-46D5-845F-3A3F862EBF2C}"/>
    <cellStyle name="Normal 11 2 8 3 4 2 3 2" xfId="36238" xr:uid="{4852B8C4-8167-4DCA-ABBF-B7CD48A92909}"/>
    <cellStyle name="Normal 11 2 8 3 4 2 4" xfId="36239" xr:uid="{7DA70B69-25F3-45CE-B9D0-8E41F6C5C243}"/>
    <cellStyle name="Normal 11 2 8 3 4 3" xfId="36240" xr:uid="{7FCCCC5A-393A-4F08-910D-21D64BD959C0}"/>
    <cellStyle name="Normal 11 2 8 3 4 3 2" xfId="36241" xr:uid="{3B33D348-ACFA-4BF3-B1A9-8E721817AD52}"/>
    <cellStyle name="Normal 11 2 8 3 4 3 2 2" xfId="36242" xr:uid="{DD9A08A5-89AE-4463-9A56-CCAB9247794F}"/>
    <cellStyle name="Normal 11 2 8 3 4 3 3" xfId="36243" xr:uid="{3D48B4AD-8482-4AAC-92A8-3707EB974958}"/>
    <cellStyle name="Normal 11 2 8 3 4 4" xfId="36244" xr:uid="{43B8089A-D509-42F5-AB0D-7AC48EFD3B80}"/>
    <cellStyle name="Normal 11 2 8 3 4 4 2" xfId="36245" xr:uid="{36E14122-98E0-43A8-9384-B26B98172F0C}"/>
    <cellStyle name="Normal 11 2 8 3 4 5" xfId="36246" xr:uid="{EFAA69CF-1929-4729-A053-8F5BDEEB3484}"/>
    <cellStyle name="Normal 11 2 8 3 5" xfId="36247" xr:uid="{050750EF-CCF7-4A87-AF9D-0FD7167DCB60}"/>
    <cellStyle name="Normal 11 2 8 3 5 2" xfId="36248" xr:uid="{0056E60C-0ACC-4A0E-9DC5-5A81CBBB1C69}"/>
    <cellStyle name="Normal 11 2 8 3 5 2 2" xfId="36249" xr:uid="{55DF8AD2-6749-4510-A6BA-B0987674A898}"/>
    <cellStyle name="Normal 11 2 8 3 5 2 2 2" xfId="36250" xr:uid="{4695DE98-4CDD-4350-8293-990E5A80EF0D}"/>
    <cellStyle name="Normal 11 2 8 3 5 2 3" xfId="36251" xr:uid="{7AEF0073-5076-4533-9A91-735E6FD69963}"/>
    <cellStyle name="Normal 11 2 8 3 5 3" xfId="36252" xr:uid="{1D2A2B5B-0FCC-4CE8-9817-B99AF123BBE4}"/>
    <cellStyle name="Normal 11 2 8 3 5 3 2" xfId="36253" xr:uid="{04D609E1-1467-4E6E-9F48-D75FB8C0E946}"/>
    <cellStyle name="Normal 11 2 8 3 5 4" xfId="36254" xr:uid="{E7D1DAFA-1288-497F-A28E-5E0F30424F5E}"/>
    <cellStyle name="Normal 11 2 8 3 6" xfId="36255" xr:uid="{6BFF1CD6-4923-4E73-8788-9EE103B8ECB9}"/>
    <cellStyle name="Normal 11 2 8 3 6 2" xfId="36256" xr:uid="{BD683A62-0AA5-4D58-B322-FF5C02456CBC}"/>
    <cellStyle name="Normal 11 2 8 3 6 2 2" xfId="36257" xr:uid="{51473E44-A6B4-41CB-A7CE-591AB67003C0}"/>
    <cellStyle name="Normal 11 2 8 3 6 3" xfId="36258" xr:uid="{60495FBC-97AE-418C-9544-0A39B4262021}"/>
    <cellStyle name="Normal 11 2 8 3 7" xfId="36259" xr:uid="{A5BF0820-CE65-465C-BD77-5D1AA79E2DF1}"/>
    <cellStyle name="Normal 11 2 8 3 7 2" xfId="36260" xr:uid="{4E29F286-0E8D-4B30-8588-225DB0DFE6D6}"/>
    <cellStyle name="Normal 11 2 8 3 8" xfId="36261" xr:uid="{AA4780E5-CECC-43D6-BD25-877FECC1EBBE}"/>
    <cellStyle name="Normal 11 2 8 3 9" xfId="36134" xr:uid="{3676F092-80CC-4FD2-B0A2-FB2011D8D9DB}"/>
    <cellStyle name="Normal 11 2 8 4" xfId="36262" xr:uid="{1E4E3C8F-D946-4BC8-8D30-88515E5D3235}"/>
    <cellStyle name="Normal 11 2 8 4 2" xfId="36263" xr:uid="{5360E926-DF1F-48BE-9BC8-E30540BEEBB5}"/>
    <cellStyle name="Normal 11 2 8 4 2 2" xfId="36264" xr:uid="{3ACCEF58-4DFC-410D-A7D3-FA038581B490}"/>
    <cellStyle name="Normal 11 2 8 4 2 2 2" xfId="36265" xr:uid="{E6B61E6C-D83C-4AFB-8DC1-47331B58BE63}"/>
    <cellStyle name="Normal 11 2 8 4 2 2 2 2" xfId="36266" xr:uid="{80FF5AB1-B182-4ADD-B211-9CD7BA79F65D}"/>
    <cellStyle name="Normal 11 2 8 4 2 2 2 2 2" xfId="36267" xr:uid="{9BDC93F8-73E7-4753-9124-E77B1186A798}"/>
    <cellStyle name="Normal 11 2 8 4 2 2 2 2 2 2" xfId="36268" xr:uid="{D3A3EA89-0D20-4286-8F43-886870198E63}"/>
    <cellStyle name="Normal 11 2 8 4 2 2 2 2 3" xfId="36269" xr:uid="{CD49EDA1-2AC9-49CF-A70C-FF9A774A04A9}"/>
    <cellStyle name="Normal 11 2 8 4 2 2 2 3" xfId="36270" xr:uid="{E2B9C21E-4EDA-494F-BDAC-DB9DBC75625C}"/>
    <cellStyle name="Normal 11 2 8 4 2 2 2 3 2" xfId="36271" xr:uid="{D7CCB574-B480-4D23-8380-A9A2CCD2F4AE}"/>
    <cellStyle name="Normal 11 2 8 4 2 2 2 4" xfId="36272" xr:uid="{65734CE6-977B-4D03-ABB9-5894ECF65996}"/>
    <cellStyle name="Normal 11 2 8 4 2 2 3" xfId="36273" xr:uid="{4901CFAD-45CA-4AD0-A9A0-5C0C5D67BFF3}"/>
    <cellStyle name="Normal 11 2 8 4 2 2 3 2" xfId="36274" xr:uid="{022FE706-C15C-4C5B-ABD4-5673ED550DFF}"/>
    <cellStyle name="Normal 11 2 8 4 2 2 3 2 2" xfId="36275" xr:uid="{0CC080C0-5037-41DE-B26D-6252E57065A3}"/>
    <cellStyle name="Normal 11 2 8 4 2 2 3 3" xfId="36276" xr:uid="{CAACB6E8-7EA4-425F-AEFD-E4174BD017A2}"/>
    <cellStyle name="Normal 11 2 8 4 2 2 4" xfId="36277" xr:uid="{93FFCB3E-A3A7-4243-835A-A6A61976FB97}"/>
    <cellStyle name="Normal 11 2 8 4 2 2 4 2" xfId="36278" xr:uid="{395D9E01-8A9C-4DEC-BC44-4C0ABC61FD16}"/>
    <cellStyle name="Normal 11 2 8 4 2 2 5" xfId="36279" xr:uid="{27469984-4576-497F-B255-26B41F94F6CF}"/>
    <cellStyle name="Normal 11 2 8 4 2 3" xfId="36280" xr:uid="{61F07B22-9A6C-42A8-BE84-A90734940BA5}"/>
    <cellStyle name="Normal 11 2 8 4 2 3 2" xfId="36281" xr:uid="{A419D3F2-D72C-4029-AC6F-B5F93636ED39}"/>
    <cellStyle name="Normal 11 2 8 4 2 3 2 2" xfId="36282" xr:uid="{39609879-9623-4178-A972-A8DA6D28DDD0}"/>
    <cellStyle name="Normal 11 2 8 4 2 3 2 2 2" xfId="36283" xr:uid="{562C7FDE-D5AA-49A1-BF25-B7503A49A420}"/>
    <cellStyle name="Normal 11 2 8 4 2 3 2 3" xfId="36284" xr:uid="{462DC86A-211B-4E9F-BB49-79087EADA98B}"/>
    <cellStyle name="Normal 11 2 8 4 2 3 3" xfId="36285" xr:uid="{9115C8C0-2386-47FA-88BE-64F24006520A}"/>
    <cellStyle name="Normal 11 2 8 4 2 3 3 2" xfId="36286" xr:uid="{FC4E5AFE-0E23-453D-98EE-0D3FB9448560}"/>
    <cellStyle name="Normal 11 2 8 4 2 3 4" xfId="36287" xr:uid="{B71BB704-C20B-43DF-BEC0-F74FB06B83B8}"/>
    <cellStyle name="Normal 11 2 8 4 2 4" xfId="36288" xr:uid="{87C22981-98A1-4C96-AE8C-3DC316EAE9A2}"/>
    <cellStyle name="Normal 11 2 8 4 2 4 2" xfId="36289" xr:uid="{75BF7A3A-9C44-47B1-B358-490427DB089D}"/>
    <cellStyle name="Normal 11 2 8 4 2 4 2 2" xfId="36290" xr:uid="{6ED74001-F880-4FEB-A9F1-45B76D6D0DC2}"/>
    <cellStyle name="Normal 11 2 8 4 2 4 3" xfId="36291" xr:uid="{A116D41B-3368-4E56-B947-EE51D20BA9C1}"/>
    <cellStyle name="Normal 11 2 8 4 2 5" xfId="36292" xr:uid="{3D4C3752-AF03-454F-BF7D-865F875C337B}"/>
    <cellStyle name="Normal 11 2 8 4 2 5 2" xfId="36293" xr:uid="{6330B785-CF4C-4450-960A-1164FE5D6114}"/>
    <cellStyle name="Normal 11 2 8 4 2 6" xfId="36294" xr:uid="{0C291BE7-FB36-4414-BDED-8CF59BEF715D}"/>
    <cellStyle name="Normal 11 2 8 4 3" xfId="36295" xr:uid="{A6BC5D4E-8E21-449E-A0CC-DB64775A8CBE}"/>
    <cellStyle name="Normal 11 2 8 4 3 2" xfId="36296" xr:uid="{389A7D85-A842-4351-AEDC-AB0544E9E90A}"/>
    <cellStyle name="Normal 11 2 8 4 3 2 2" xfId="36297" xr:uid="{2385A4AB-2CF9-4189-8784-523B12E02CE1}"/>
    <cellStyle name="Normal 11 2 8 4 3 2 2 2" xfId="36298" xr:uid="{79633044-31B4-48D7-9E04-2E10C3750A53}"/>
    <cellStyle name="Normal 11 2 8 4 3 2 2 2 2" xfId="36299" xr:uid="{0A95913C-5D1B-4C0A-BF19-CD33BB3BC7C5}"/>
    <cellStyle name="Normal 11 2 8 4 3 2 2 3" xfId="36300" xr:uid="{0B4DA6D0-5032-4328-B3A7-FD0E5457F87A}"/>
    <cellStyle name="Normal 11 2 8 4 3 2 3" xfId="36301" xr:uid="{ECA8F1B5-DCF3-4209-B069-2A8E9D927D9B}"/>
    <cellStyle name="Normal 11 2 8 4 3 2 3 2" xfId="36302" xr:uid="{0CE7A7BD-B782-4F77-9AC4-6B3951F105B5}"/>
    <cellStyle name="Normal 11 2 8 4 3 2 4" xfId="36303" xr:uid="{41721231-8CE0-407C-9824-1D6381EF27EC}"/>
    <cellStyle name="Normal 11 2 8 4 3 3" xfId="36304" xr:uid="{CDA0794A-AA74-4E8F-868A-EA2E0BCA12C9}"/>
    <cellStyle name="Normal 11 2 8 4 3 3 2" xfId="36305" xr:uid="{21DE2FD3-4EFE-4DE4-BA4C-E0CFDDBF926A}"/>
    <cellStyle name="Normal 11 2 8 4 3 3 2 2" xfId="36306" xr:uid="{C17AADD8-9497-4A0A-8AFC-C71FABF22D02}"/>
    <cellStyle name="Normal 11 2 8 4 3 3 3" xfId="36307" xr:uid="{BEECE4E2-2176-4CA0-ABE2-D6DADDC62CB9}"/>
    <cellStyle name="Normal 11 2 8 4 3 4" xfId="36308" xr:uid="{E364EBF8-A276-4444-A0E5-0D0AE6E1F89F}"/>
    <cellStyle name="Normal 11 2 8 4 3 4 2" xfId="36309" xr:uid="{CF428A69-FF4C-48A3-89BF-2093FB42DCF6}"/>
    <cellStyle name="Normal 11 2 8 4 3 5" xfId="36310" xr:uid="{03D1C9A4-E062-496A-AF23-7FB563274FA3}"/>
    <cellStyle name="Normal 11 2 8 4 4" xfId="36311" xr:uid="{7CC31FF1-B3C3-4160-9377-34EB55B40050}"/>
    <cellStyle name="Normal 11 2 8 4 4 2" xfId="36312" xr:uid="{F980FD53-FBC8-450B-8FF2-F54CA8E099EF}"/>
    <cellStyle name="Normal 11 2 8 4 4 2 2" xfId="36313" xr:uid="{36CC172A-D1C9-4DA6-AE6C-4030F71E5072}"/>
    <cellStyle name="Normal 11 2 8 4 4 2 2 2" xfId="36314" xr:uid="{4D60BE7D-A22F-4D92-9AE3-2EA4579A36B8}"/>
    <cellStyle name="Normal 11 2 8 4 4 2 3" xfId="36315" xr:uid="{476447B6-8DA4-45B9-B4E9-724C17DDD5EC}"/>
    <cellStyle name="Normal 11 2 8 4 4 3" xfId="36316" xr:uid="{A26AB3A7-6A2A-4753-91CF-CC4C9C1BF773}"/>
    <cellStyle name="Normal 11 2 8 4 4 3 2" xfId="36317" xr:uid="{304B2A57-0B25-496D-8483-0813CE69FFB9}"/>
    <cellStyle name="Normal 11 2 8 4 4 4" xfId="36318" xr:uid="{9651CD15-BF8C-4722-9187-71422CB1627D}"/>
    <cellStyle name="Normal 11 2 8 4 5" xfId="36319" xr:uid="{19D32C95-2858-41D6-9163-67FD184A52A1}"/>
    <cellStyle name="Normal 11 2 8 4 5 2" xfId="36320" xr:uid="{BD3FFE04-B9A9-41BC-BCBF-9831A11048A1}"/>
    <cellStyle name="Normal 11 2 8 4 5 2 2" xfId="36321" xr:uid="{B146BAF2-F421-4223-8C2E-3C3514880239}"/>
    <cellStyle name="Normal 11 2 8 4 5 3" xfId="36322" xr:uid="{CBCB0F6F-E135-45D2-A76E-6158DC44EAC1}"/>
    <cellStyle name="Normal 11 2 8 4 6" xfId="36323" xr:uid="{5FBD4A74-FB71-4F6F-B8B4-91BC463C184D}"/>
    <cellStyle name="Normal 11 2 8 4 6 2" xfId="36324" xr:uid="{D55FAF58-D8F0-41BC-8DFD-4AD4B5A631A0}"/>
    <cellStyle name="Normal 11 2 8 4 7" xfId="36325" xr:uid="{327717FE-AEBA-45A2-B20F-95DF6ABBBABD}"/>
    <cellStyle name="Normal 11 2 8 5" xfId="36326" xr:uid="{D1853AD5-19A7-4B44-8185-98F0E0D11023}"/>
    <cellStyle name="Normal 11 2 8 5 2" xfId="36327" xr:uid="{D67E0964-B0AA-4FA8-86B5-00B66D305B74}"/>
    <cellStyle name="Normal 11 2 8 5 2 2" xfId="36328" xr:uid="{147027C2-284F-4D9E-AA24-74F5BBA0D395}"/>
    <cellStyle name="Normal 11 2 8 5 2 2 2" xfId="36329" xr:uid="{8AE186CA-E9B7-4264-83C0-60E12DFF746A}"/>
    <cellStyle name="Normal 11 2 8 5 2 2 2 2" xfId="36330" xr:uid="{C93264D9-8B34-4BC7-AF3E-5C54B7E501C9}"/>
    <cellStyle name="Normal 11 2 8 5 2 2 2 2 2" xfId="36331" xr:uid="{12632111-11CD-476A-8B13-31F92FB2D889}"/>
    <cellStyle name="Normal 11 2 8 5 2 2 2 3" xfId="36332" xr:uid="{795DA3B9-A76B-4D17-B363-0147612A122D}"/>
    <cellStyle name="Normal 11 2 8 5 2 2 3" xfId="36333" xr:uid="{76AB6350-4738-4AB1-9C4C-036B276CD707}"/>
    <cellStyle name="Normal 11 2 8 5 2 2 3 2" xfId="36334" xr:uid="{6AFE2FE6-7114-4775-8D74-AD78F21CEAD6}"/>
    <cellStyle name="Normal 11 2 8 5 2 2 4" xfId="36335" xr:uid="{AD895B79-D174-4B8E-BC95-C5DC726051F2}"/>
    <cellStyle name="Normal 11 2 8 5 2 3" xfId="36336" xr:uid="{33C0970E-2A2E-4431-A853-BC0849F7295F}"/>
    <cellStyle name="Normal 11 2 8 5 2 3 2" xfId="36337" xr:uid="{61D7C334-B6B1-4F11-8D92-F2CE2FCC6A0E}"/>
    <cellStyle name="Normal 11 2 8 5 2 3 2 2" xfId="36338" xr:uid="{96D349A9-7663-41D5-94BC-2952F64274CE}"/>
    <cellStyle name="Normal 11 2 8 5 2 3 3" xfId="36339" xr:uid="{8A5DC0F8-8D90-47AC-810F-3EAC02DED4EE}"/>
    <cellStyle name="Normal 11 2 8 5 2 4" xfId="36340" xr:uid="{D1B7322A-5D93-4F8E-B320-3E4E98C886CB}"/>
    <cellStyle name="Normal 11 2 8 5 2 4 2" xfId="36341" xr:uid="{B5C0CF2E-8CD4-4DDB-B9CE-FCCCB41390DA}"/>
    <cellStyle name="Normal 11 2 8 5 2 5" xfId="36342" xr:uid="{744A4465-9C02-498B-A2BF-1FF94598B25E}"/>
    <cellStyle name="Normal 11 2 8 5 3" xfId="36343" xr:uid="{AD3C8A9B-0992-4E05-89AD-B5D98EA7687B}"/>
    <cellStyle name="Normal 11 2 8 5 3 2" xfId="36344" xr:uid="{CC3C43B8-AE25-47D9-A84F-61633C13EBDC}"/>
    <cellStyle name="Normal 11 2 8 5 3 2 2" xfId="36345" xr:uid="{344D4882-71E6-48AB-9061-19E7E017BE43}"/>
    <cellStyle name="Normal 11 2 8 5 3 2 2 2" xfId="36346" xr:uid="{FA6E8BFE-C87B-45B9-9BA7-05CEB1BA1A5E}"/>
    <cellStyle name="Normal 11 2 8 5 3 2 3" xfId="36347" xr:uid="{C6242F37-4038-4EB1-A61F-DE255B26C05C}"/>
    <cellStyle name="Normal 11 2 8 5 3 3" xfId="36348" xr:uid="{1AA70EE0-55C4-423E-84DE-C55D48E01EC9}"/>
    <cellStyle name="Normal 11 2 8 5 3 3 2" xfId="36349" xr:uid="{6183EB14-BFA1-45A2-89BD-A492B78709C8}"/>
    <cellStyle name="Normal 11 2 8 5 3 4" xfId="36350" xr:uid="{26E00134-BB1A-4036-A427-7E6DD82AF849}"/>
    <cellStyle name="Normal 11 2 8 5 4" xfId="36351" xr:uid="{A01E9226-684A-4C20-B0CD-1AE13D4118F2}"/>
    <cellStyle name="Normal 11 2 8 5 4 2" xfId="36352" xr:uid="{CE95231D-40F6-46DD-ADB4-04F1DB221B9E}"/>
    <cellStyle name="Normal 11 2 8 5 4 2 2" xfId="36353" xr:uid="{6AA798E2-5769-421B-90DD-E192245A201F}"/>
    <cellStyle name="Normal 11 2 8 5 4 3" xfId="36354" xr:uid="{009EC192-3A75-4788-80FF-4B2A88F0A674}"/>
    <cellStyle name="Normal 11 2 8 5 5" xfId="36355" xr:uid="{ED24522D-2E14-4A6A-A53F-9855785434EE}"/>
    <cellStyle name="Normal 11 2 8 5 5 2" xfId="36356" xr:uid="{F4EE3414-B502-4B9D-A28C-078F7131E6A1}"/>
    <cellStyle name="Normal 11 2 8 5 6" xfId="36357" xr:uid="{9E696C44-2BB8-455E-9C6C-3A75B50BEBA0}"/>
    <cellStyle name="Normal 11 2 8 6" xfId="36358" xr:uid="{18DD0926-0AD0-4A43-B228-348E5129FCAD}"/>
    <cellStyle name="Normal 11 2 8 6 2" xfId="36359" xr:uid="{0468A7B9-B83D-4DAF-840F-B69C9D34B992}"/>
    <cellStyle name="Normal 11 2 8 6 2 2" xfId="36360" xr:uid="{C59FD965-19BE-41D3-B419-9B295F7E1209}"/>
    <cellStyle name="Normal 11 2 8 6 2 2 2" xfId="36361" xr:uid="{53176F4B-B894-489B-8970-099A69801272}"/>
    <cellStyle name="Normal 11 2 8 6 2 2 2 2" xfId="36362" xr:uid="{BBEBE4C9-DE39-4D6D-BD6D-DD4A1BF1ABE8}"/>
    <cellStyle name="Normal 11 2 8 6 2 2 3" xfId="36363" xr:uid="{F73FF65D-7948-464F-95CB-5915B9B4B2B8}"/>
    <cellStyle name="Normal 11 2 8 6 2 3" xfId="36364" xr:uid="{117D1DF6-AE15-486F-A9F8-6EAA1AB98810}"/>
    <cellStyle name="Normal 11 2 8 6 2 3 2" xfId="36365" xr:uid="{1B6EE99F-9196-41AF-BB8C-6BCC13CD7036}"/>
    <cellStyle name="Normal 11 2 8 6 2 4" xfId="36366" xr:uid="{4B21C1CD-EE05-4C8E-A2BC-07FB390744D1}"/>
    <cellStyle name="Normal 11 2 8 6 3" xfId="36367" xr:uid="{92FA5116-5D59-461D-A8C2-0450179A31C1}"/>
    <cellStyle name="Normal 11 2 8 6 3 2" xfId="36368" xr:uid="{BA7D9941-19FA-45DD-B3D4-F74263396DF0}"/>
    <cellStyle name="Normal 11 2 8 6 3 2 2" xfId="36369" xr:uid="{3DAB4789-B48C-470C-BAF7-64BE3688063C}"/>
    <cellStyle name="Normal 11 2 8 6 3 3" xfId="36370" xr:uid="{79828C8C-53E7-494E-AAFE-F2221F880845}"/>
    <cellStyle name="Normal 11 2 8 6 4" xfId="36371" xr:uid="{C410457D-3091-4B17-8283-26602EAC9A53}"/>
    <cellStyle name="Normal 11 2 8 6 4 2" xfId="36372" xr:uid="{4597AF68-0AF5-418E-90CE-A1C9A086DB99}"/>
    <cellStyle name="Normal 11 2 8 6 5" xfId="36373" xr:uid="{BB2FB83E-D574-46B9-9D2D-B78CA466202F}"/>
    <cellStyle name="Normal 11 2 8 7" xfId="36374" xr:uid="{75B16CAC-16C9-4EF6-A9C8-3247276D94E6}"/>
    <cellStyle name="Normal 11 2 8 7 2" xfId="36375" xr:uid="{D3C342A9-0D6D-4A99-96A5-5BEE52E380EF}"/>
    <cellStyle name="Normal 11 2 8 7 2 2" xfId="36376" xr:uid="{AD613CB1-A3DC-4048-B345-F7B3B64C6F6B}"/>
    <cellStyle name="Normal 11 2 8 7 2 2 2" xfId="36377" xr:uid="{3581870E-125D-4EC0-AE1B-3DF15020ECCC}"/>
    <cellStyle name="Normal 11 2 8 7 2 3" xfId="36378" xr:uid="{45A67782-C0E7-497E-8E55-1E8876F0EC2C}"/>
    <cellStyle name="Normal 11 2 8 7 3" xfId="36379" xr:uid="{90789CDA-7E8E-4A91-B050-910931D69B8B}"/>
    <cellStyle name="Normal 11 2 8 7 3 2" xfId="36380" xr:uid="{8290ACD7-33B2-4F5C-8C33-2C27CD4C01DB}"/>
    <cellStyle name="Normal 11 2 8 7 4" xfId="36381" xr:uid="{56ACC714-7013-45C5-A5C8-F3CB64D854C4}"/>
    <cellStyle name="Normal 11 2 8 8" xfId="36382" xr:uid="{DC599273-706D-4CE5-8B7F-3BE111F0BE35}"/>
    <cellStyle name="Normal 11 2 8 8 2" xfId="36383" xr:uid="{C655C3EE-47E7-4F4F-909E-57403A5A99D4}"/>
    <cellStyle name="Normal 11 2 8 8 2 2" xfId="36384" xr:uid="{95388A85-BCD8-48DD-AFAC-FDD592F148FA}"/>
    <cellStyle name="Normal 11 2 8 8 3" xfId="36385" xr:uid="{63302C73-021C-4152-9AC7-91BA100D2A16}"/>
    <cellStyle name="Normal 11 2 8 9" xfId="36386" xr:uid="{580BB187-C224-4EA2-BF22-FB9581803999}"/>
    <cellStyle name="Normal 11 2 8 9 2" xfId="36387" xr:uid="{24756FE1-1800-4757-95DF-F1592B929C14}"/>
    <cellStyle name="Normal 11 2 9" xfId="349" xr:uid="{815B4544-AAC6-4F99-B619-4D7AB5E0D77B}"/>
    <cellStyle name="Normal 11 2 9 10" xfId="36389" xr:uid="{F7BB0254-919E-4B5C-818F-A0488965BC28}"/>
    <cellStyle name="Normal 11 2 9 11" xfId="36388" xr:uid="{6C113C3B-8C0E-4032-9D2D-156FFF5BC8CA}"/>
    <cellStyle name="Normal 11 2 9 2" xfId="36390" xr:uid="{7C07BE41-E744-4B00-AB17-C514DC8C306A}"/>
    <cellStyle name="Normal 11 2 9 2 2" xfId="36391" xr:uid="{80CA2E91-65FA-453E-8BC1-E79A7DCE6A7C}"/>
    <cellStyle name="Normal 11 2 9 2 2 2" xfId="36392" xr:uid="{A6F76337-60E3-415A-B9B9-E50554D3BA69}"/>
    <cellStyle name="Normal 11 2 9 2 2 2 2" xfId="36393" xr:uid="{B90EFC48-F80A-40A2-9345-411778661074}"/>
    <cellStyle name="Normal 11 2 9 2 2 2 2 2" xfId="36394" xr:uid="{732F34CE-C37E-48E7-B2B8-D61463A61F7F}"/>
    <cellStyle name="Normal 11 2 9 2 2 2 2 2 2" xfId="36395" xr:uid="{9CBE6D3B-1A31-4E03-9476-EA95A6241E1E}"/>
    <cellStyle name="Normal 11 2 9 2 2 2 2 2 2 2" xfId="36396" xr:uid="{A81ACCEB-1A3F-4195-8B48-4896CE1E91E6}"/>
    <cellStyle name="Normal 11 2 9 2 2 2 2 2 2 2 2" xfId="36397" xr:uid="{92997B41-FF07-4C73-A42F-AB7146B67331}"/>
    <cellStyle name="Normal 11 2 9 2 2 2 2 2 2 2 2 2" xfId="36398" xr:uid="{4E27C9B2-70E5-431C-99BA-3D1C41979F6A}"/>
    <cellStyle name="Normal 11 2 9 2 2 2 2 2 2 2 3" xfId="36399" xr:uid="{6BB21A59-9FF7-447F-B226-E67CA2448EB1}"/>
    <cellStyle name="Normal 11 2 9 2 2 2 2 2 2 3" xfId="36400" xr:uid="{AA189C38-463C-4D27-B83F-DDCE399E7E29}"/>
    <cellStyle name="Normal 11 2 9 2 2 2 2 2 2 3 2" xfId="36401" xr:uid="{7C2C1CFC-9573-4A45-8F3E-44E6D2E6675E}"/>
    <cellStyle name="Normal 11 2 9 2 2 2 2 2 2 4" xfId="36402" xr:uid="{4FEF9FEC-E7A0-4F7A-9316-08F31387E912}"/>
    <cellStyle name="Normal 11 2 9 2 2 2 2 2 3" xfId="36403" xr:uid="{07A94FBF-6FE3-4D2E-B12D-12FF3C1888FD}"/>
    <cellStyle name="Normal 11 2 9 2 2 2 2 2 3 2" xfId="36404" xr:uid="{AD968A0D-5A60-4BF8-B4E7-F0E1113213D2}"/>
    <cellStyle name="Normal 11 2 9 2 2 2 2 2 3 2 2" xfId="36405" xr:uid="{879794E6-0C97-411A-8FCF-7FD2E65BFE8E}"/>
    <cellStyle name="Normal 11 2 9 2 2 2 2 2 3 3" xfId="36406" xr:uid="{83FB4FB1-8838-4896-B239-442D06199A1C}"/>
    <cellStyle name="Normal 11 2 9 2 2 2 2 2 4" xfId="36407" xr:uid="{EF473FDF-D7F2-4C03-A3A2-36D158A416D8}"/>
    <cellStyle name="Normal 11 2 9 2 2 2 2 2 4 2" xfId="36408" xr:uid="{81BA4A23-F7E1-42DE-B9DA-A6823F00DC27}"/>
    <cellStyle name="Normal 11 2 9 2 2 2 2 2 5" xfId="36409" xr:uid="{6439082E-F5CF-4A96-BD53-8F955BE7223F}"/>
    <cellStyle name="Normal 11 2 9 2 2 2 2 3" xfId="36410" xr:uid="{CDED809F-D2AF-4A6D-A5B8-E2D1E74ABE08}"/>
    <cellStyle name="Normal 11 2 9 2 2 2 2 3 2" xfId="36411" xr:uid="{80F8340A-9C54-4AE6-84EE-5C2CF4926828}"/>
    <cellStyle name="Normal 11 2 9 2 2 2 2 3 2 2" xfId="36412" xr:uid="{B00DC993-7692-4049-A20E-7170EAF188D8}"/>
    <cellStyle name="Normal 11 2 9 2 2 2 2 3 2 2 2" xfId="36413" xr:uid="{D286EC23-E928-4035-A586-F21F5B49906E}"/>
    <cellStyle name="Normal 11 2 9 2 2 2 2 3 2 3" xfId="36414" xr:uid="{ED54673B-6E46-4AC4-9A9F-0FC9DA2AFCA9}"/>
    <cellStyle name="Normal 11 2 9 2 2 2 2 3 3" xfId="36415" xr:uid="{C1897504-6865-411A-8EF4-FE0CEF4C842B}"/>
    <cellStyle name="Normal 11 2 9 2 2 2 2 3 3 2" xfId="36416" xr:uid="{303F2CE7-FB68-479E-A44F-3108B9187156}"/>
    <cellStyle name="Normal 11 2 9 2 2 2 2 3 4" xfId="36417" xr:uid="{198D44B2-C6CF-47A3-9754-946E25DD4ED0}"/>
    <cellStyle name="Normal 11 2 9 2 2 2 2 4" xfId="36418" xr:uid="{56F78A36-1ABD-44FD-B0B9-B9F170F60CD7}"/>
    <cellStyle name="Normal 11 2 9 2 2 2 2 4 2" xfId="36419" xr:uid="{3B7B096F-06D9-41B1-8B82-9C5CE7F63F84}"/>
    <cellStyle name="Normal 11 2 9 2 2 2 2 4 2 2" xfId="36420" xr:uid="{3801D475-8BBB-4C5A-B7FF-A803F032AEA1}"/>
    <cellStyle name="Normal 11 2 9 2 2 2 2 4 3" xfId="36421" xr:uid="{63EABC84-AACF-403E-AA7B-9DBCB5846538}"/>
    <cellStyle name="Normal 11 2 9 2 2 2 2 5" xfId="36422" xr:uid="{EF26D5CF-354E-463D-A9CA-821E60576D9E}"/>
    <cellStyle name="Normal 11 2 9 2 2 2 2 5 2" xfId="36423" xr:uid="{90E6F359-187A-4FAA-953F-FEA4016140BA}"/>
    <cellStyle name="Normal 11 2 9 2 2 2 2 6" xfId="36424" xr:uid="{170F3FFD-FEEA-427D-BC17-78A75D5DDB12}"/>
    <cellStyle name="Normal 11 2 9 2 2 2 3" xfId="36425" xr:uid="{1772ED8D-6FD3-4094-9490-B9196ED32AA4}"/>
    <cellStyle name="Normal 11 2 9 2 2 2 3 2" xfId="36426" xr:uid="{F1B482A1-8783-461D-8309-B3E56D41A292}"/>
    <cellStyle name="Normal 11 2 9 2 2 2 3 2 2" xfId="36427" xr:uid="{6DA0A003-DF2C-4DFA-9A2B-14AF41E346FE}"/>
    <cellStyle name="Normal 11 2 9 2 2 2 3 2 2 2" xfId="36428" xr:uid="{FEBC74C3-A2BA-4FB7-BC1C-1C2475C1DB5E}"/>
    <cellStyle name="Normal 11 2 9 2 2 2 3 2 2 2 2" xfId="36429" xr:uid="{362D40D1-B481-4DFD-A3BD-046F30DBE424}"/>
    <cellStyle name="Normal 11 2 9 2 2 2 3 2 2 3" xfId="36430" xr:uid="{F4A9FF33-A052-4FE5-AF64-BEA9530B36DB}"/>
    <cellStyle name="Normal 11 2 9 2 2 2 3 2 3" xfId="36431" xr:uid="{01A90231-429E-455F-9BC3-9DB6A44030CE}"/>
    <cellStyle name="Normal 11 2 9 2 2 2 3 2 3 2" xfId="36432" xr:uid="{370CB9C8-70F9-4B20-934C-E5E53776C5F6}"/>
    <cellStyle name="Normal 11 2 9 2 2 2 3 2 4" xfId="36433" xr:uid="{20FC0EAB-5656-4596-A50E-460F4FE333B3}"/>
    <cellStyle name="Normal 11 2 9 2 2 2 3 3" xfId="36434" xr:uid="{810C8B6A-E5FD-446F-A650-DFD1B07DAC24}"/>
    <cellStyle name="Normal 11 2 9 2 2 2 3 3 2" xfId="36435" xr:uid="{4AA77067-B8A2-467B-A7F0-639EB5AAA83C}"/>
    <cellStyle name="Normal 11 2 9 2 2 2 3 3 2 2" xfId="36436" xr:uid="{311E5C3D-E6CD-4CDD-87F3-595A5EA4F8A1}"/>
    <cellStyle name="Normal 11 2 9 2 2 2 3 3 3" xfId="36437" xr:uid="{EC97FCFC-C0CE-4643-9114-630898380AFB}"/>
    <cellStyle name="Normal 11 2 9 2 2 2 3 4" xfId="36438" xr:uid="{7C03C072-5A45-4CED-B3AB-B97DA4C1D646}"/>
    <cellStyle name="Normal 11 2 9 2 2 2 3 4 2" xfId="36439" xr:uid="{BAAD19C0-E9EE-41A8-A924-5B32DF2348FC}"/>
    <cellStyle name="Normal 11 2 9 2 2 2 3 5" xfId="36440" xr:uid="{5ED193C1-6A82-4CFD-842B-8B3077D97899}"/>
    <cellStyle name="Normal 11 2 9 2 2 2 4" xfId="36441" xr:uid="{241E5617-EA84-43D9-B316-511294284AE8}"/>
    <cellStyle name="Normal 11 2 9 2 2 2 4 2" xfId="36442" xr:uid="{F74504ED-EB6E-4570-94D5-9B2B6C8EFEF3}"/>
    <cellStyle name="Normal 11 2 9 2 2 2 4 2 2" xfId="36443" xr:uid="{38254E67-84CF-48D3-BD95-CE0AE35720B9}"/>
    <cellStyle name="Normal 11 2 9 2 2 2 4 2 2 2" xfId="36444" xr:uid="{ECEBFA41-5CEB-41CA-B761-294B33F398FE}"/>
    <cellStyle name="Normal 11 2 9 2 2 2 4 2 3" xfId="36445" xr:uid="{A1FF6DA1-F1C1-457E-95E8-5EF6D405CF85}"/>
    <cellStyle name="Normal 11 2 9 2 2 2 4 3" xfId="36446" xr:uid="{CB4F1400-BADD-47C7-98BC-734F553A706C}"/>
    <cellStyle name="Normal 11 2 9 2 2 2 4 3 2" xfId="36447" xr:uid="{3889A977-7E22-4591-A7D3-2074F1B6B099}"/>
    <cellStyle name="Normal 11 2 9 2 2 2 4 4" xfId="36448" xr:uid="{9EFEC01F-FD04-4BC4-AE02-33F88AF4FDB4}"/>
    <cellStyle name="Normal 11 2 9 2 2 2 5" xfId="36449" xr:uid="{2001FC99-2486-4FC4-ACE8-509C53593DFA}"/>
    <cellStyle name="Normal 11 2 9 2 2 2 5 2" xfId="36450" xr:uid="{D4957473-EA94-4558-99FD-CA996B1CF9F8}"/>
    <cellStyle name="Normal 11 2 9 2 2 2 5 2 2" xfId="36451" xr:uid="{53B45E29-231D-4F26-9A37-230135B71EA6}"/>
    <cellStyle name="Normal 11 2 9 2 2 2 5 3" xfId="36452" xr:uid="{690EBED6-E0B6-4782-B70C-4DEEBABFE482}"/>
    <cellStyle name="Normal 11 2 9 2 2 2 6" xfId="36453" xr:uid="{D51A70FD-80CC-492F-B774-DAC23C6AE38A}"/>
    <cellStyle name="Normal 11 2 9 2 2 2 6 2" xfId="36454" xr:uid="{ABC18B16-47A9-4E5B-A25F-E208D91BB054}"/>
    <cellStyle name="Normal 11 2 9 2 2 2 7" xfId="36455" xr:uid="{3B130394-284D-4820-BBE2-CA4EB76826A3}"/>
    <cellStyle name="Normal 11 2 9 2 2 3" xfId="36456" xr:uid="{FDE60FD1-C9F1-44F9-9A3F-63163631B440}"/>
    <cellStyle name="Normal 11 2 9 2 2 3 2" xfId="36457" xr:uid="{6958AECE-203E-4435-9D7F-B15F5A915869}"/>
    <cellStyle name="Normal 11 2 9 2 2 3 2 2" xfId="36458" xr:uid="{3F918DFA-1374-4C47-BB0C-660DED260632}"/>
    <cellStyle name="Normal 11 2 9 2 2 3 2 2 2" xfId="36459" xr:uid="{8C42CB84-67A9-4C38-B69C-B3ED9D981B13}"/>
    <cellStyle name="Normal 11 2 9 2 2 3 2 2 2 2" xfId="36460" xr:uid="{73AB8D7C-1C0F-4177-998A-3E33CB739617}"/>
    <cellStyle name="Normal 11 2 9 2 2 3 2 2 2 2 2" xfId="36461" xr:uid="{86770F26-CEE0-401E-98ED-7D534F1635A3}"/>
    <cellStyle name="Normal 11 2 9 2 2 3 2 2 2 3" xfId="36462" xr:uid="{D538ABE0-DC9A-4769-822F-9AF1F7A732F7}"/>
    <cellStyle name="Normal 11 2 9 2 2 3 2 2 3" xfId="36463" xr:uid="{3085175A-3250-4AE5-8248-F027BF061A65}"/>
    <cellStyle name="Normal 11 2 9 2 2 3 2 2 3 2" xfId="36464" xr:uid="{D5AF919D-57DA-40A4-845D-7FA208903F1E}"/>
    <cellStyle name="Normal 11 2 9 2 2 3 2 2 4" xfId="36465" xr:uid="{0CE8F7F0-6C32-4500-AEBE-CF1B287E0DF9}"/>
    <cellStyle name="Normal 11 2 9 2 2 3 2 3" xfId="36466" xr:uid="{44814785-C4BC-4E45-AA33-8205A6BFBE3F}"/>
    <cellStyle name="Normal 11 2 9 2 2 3 2 3 2" xfId="36467" xr:uid="{A3C085E5-D4F9-4A86-AD08-771BFB750D58}"/>
    <cellStyle name="Normal 11 2 9 2 2 3 2 3 2 2" xfId="36468" xr:uid="{E1633B09-2FA2-4E5E-BEC9-5975A22A88D8}"/>
    <cellStyle name="Normal 11 2 9 2 2 3 2 3 3" xfId="36469" xr:uid="{8F500079-6084-4481-89CC-5C16D15CA059}"/>
    <cellStyle name="Normal 11 2 9 2 2 3 2 4" xfId="36470" xr:uid="{7CFAABCE-BFFC-442B-9C40-F876D666D9C9}"/>
    <cellStyle name="Normal 11 2 9 2 2 3 2 4 2" xfId="36471" xr:uid="{C52A09C8-C20D-4918-8F08-2716E68F4CFF}"/>
    <cellStyle name="Normal 11 2 9 2 2 3 2 5" xfId="36472" xr:uid="{F9D8B171-D02B-4270-9489-099CC072C73A}"/>
    <cellStyle name="Normal 11 2 9 2 2 3 3" xfId="36473" xr:uid="{D68677AE-1536-4255-BA05-2F033620DDFC}"/>
    <cellStyle name="Normal 11 2 9 2 2 3 3 2" xfId="36474" xr:uid="{A5DF2F47-F371-461D-868C-A670BF80D884}"/>
    <cellStyle name="Normal 11 2 9 2 2 3 3 2 2" xfId="36475" xr:uid="{0FC2C7D1-4ABF-461A-8A51-E03F9E19A2AC}"/>
    <cellStyle name="Normal 11 2 9 2 2 3 3 2 2 2" xfId="36476" xr:uid="{D5DF54FC-CEEB-4CEB-8F9C-5CBD0727F552}"/>
    <cellStyle name="Normal 11 2 9 2 2 3 3 2 3" xfId="36477" xr:uid="{1F7BCD85-9C88-4844-92F4-D48562F42285}"/>
    <cellStyle name="Normal 11 2 9 2 2 3 3 3" xfId="36478" xr:uid="{EE0C371F-D523-4804-A34C-2BCF4E09BB9E}"/>
    <cellStyle name="Normal 11 2 9 2 2 3 3 3 2" xfId="36479" xr:uid="{09E7E820-B675-4B1F-A841-D63CF1836537}"/>
    <cellStyle name="Normal 11 2 9 2 2 3 3 4" xfId="36480" xr:uid="{F8940DF1-41AE-4C33-8A11-BF70E094877D}"/>
    <cellStyle name="Normal 11 2 9 2 2 3 4" xfId="36481" xr:uid="{8D3CC01B-6103-42A1-B665-4152342972E3}"/>
    <cellStyle name="Normal 11 2 9 2 2 3 4 2" xfId="36482" xr:uid="{D5C4D68B-EF09-4E2E-82B2-9D87F0BD54D5}"/>
    <cellStyle name="Normal 11 2 9 2 2 3 4 2 2" xfId="36483" xr:uid="{8250AFC0-B87F-4D22-A84B-080BA0BBA07C}"/>
    <cellStyle name="Normal 11 2 9 2 2 3 4 3" xfId="36484" xr:uid="{8AC8E97D-66B8-47AF-A543-36D28EFBD529}"/>
    <cellStyle name="Normal 11 2 9 2 2 3 5" xfId="36485" xr:uid="{8B1F8CBA-E526-4F8B-B6D2-C9068AABC83C}"/>
    <cellStyle name="Normal 11 2 9 2 2 3 5 2" xfId="36486" xr:uid="{93C1C085-24CB-4679-AFF0-7581834D8F66}"/>
    <cellStyle name="Normal 11 2 9 2 2 3 6" xfId="36487" xr:uid="{2C3C11D5-0128-4879-AFFC-16A573F77D2D}"/>
    <cellStyle name="Normal 11 2 9 2 2 4" xfId="36488" xr:uid="{748EC615-488B-4CC0-B0CC-974D753E2A39}"/>
    <cellStyle name="Normal 11 2 9 2 2 4 2" xfId="36489" xr:uid="{8DBA5D52-E813-4BBB-BCDB-5BEEA73F196F}"/>
    <cellStyle name="Normal 11 2 9 2 2 4 2 2" xfId="36490" xr:uid="{4E413F8E-22FF-4660-87C4-7ADC8D3BC2E9}"/>
    <cellStyle name="Normal 11 2 9 2 2 4 2 2 2" xfId="36491" xr:uid="{524AF3CB-9C14-474A-9CF2-A5846F08AA5F}"/>
    <cellStyle name="Normal 11 2 9 2 2 4 2 2 2 2" xfId="36492" xr:uid="{9798D60C-13B3-4EC1-988B-19A0DDC10A2A}"/>
    <cellStyle name="Normal 11 2 9 2 2 4 2 2 3" xfId="36493" xr:uid="{8E9E9CB0-F44D-4199-8768-573C85206C82}"/>
    <cellStyle name="Normal 11 2 9 2 2 4 2 3" xfId="36494" xr:uid="{B9A265E1-7FBA-4065-817A-ED6073A2F77F}"/>
    <cellStyle name="Normal 11 2 9 2 2 4 2 3 2" xfId="36495" xr:uid="{9811445E-DA3A-47AC-8AD2-32E72B543240}"/>
    <cellStyle name="Normal 11 2 9 2 2 4 2 4" xfId="36496" xr:uid="{005EDE0E-52D8-4053-9A95-14D9AC2381BB}"/>
    <cellStyle name="Normal 11 2 9 2 2 4 3" xfId="36497" xr:uid="{D3CD13FC-C908-425C-8AB1-35B6DE747BA9}"/>
    <cellStyle name="Normal 11 2 9 2 2 4 3 2" xfId="36498" xr:uid="{17BF3E26-E09B-4FDD-8D15-D0983A419EC5}"/>
    <cellStyle name="Normal 11 2 9 2 2 4 3 2 2" xfId="36499" xr:uid="{CE799FE2-718B-4B96-AB1A-C0A931B56D66}"/>
    <cellStyle name="Normal 11 2 9 2 2 4 3 3" xfId="36500" xr:uid="{CD95614B-5DDA-4351-BFAA-B11F02B9F49B}"/>
    <cellStyle name="Normal 11 2 9 2 2 4 4" xfId="36501" xr:uid="{1BC0299E-32AD-4AA5-9222-4DA6587B3DCD}"/>
    <cellStyle name="Normal 11 2 9 2 2 4 4 2" xfId="36502" xr:uid="{A94298F0-A628-42FC-A981-DE93621CF8CD}"/>
    <cellStyle name="Normal 11 2 9 2 2 4 5" xfId="36503" xr:uid="{037297BE-19E3-4BC4-ADA8-2C3804466180}"/>
    <cellStyle name="Normal 11 2 9 2 2 5" xfId="36504" xr:uid="{9CB603C3-895D-4CBE-BCF6-D26C282092EC}"/>
    <cellStyle name="Normal 11 2 9 2 2 5 2" xfId="36505" xr:uid="{F65A1913-6AD5-4ADA-BAE2-3D6A04AB76DD}"/>
    <cellStyle name="Normal 11 2 9 2 2 5 2 2" xfId="36506" xr:uid="{4ADCA1FB-A62D-40C9-9CC7-C841FA87B781}"/>
    <cellStyle name="Normal 11 2 9 2 2 5 2 2 2" xfId="36507" xr:uid="{5FB8D8FF-B2AD-4821-8C00-0877B786A2A7}"/>
    <cellStyle name="Normal 11 2 9 2 2 5 2 3" xfId="36508" xr:uid="{06195C98-CA63-4BF6-BE10-3D71D99C9741}"/>
    <cellStyle name="Normal 11 2 9 2 2 5 3" xfId="36509" xr:uid="{87A9B36D-8827-4872-B03A-5C765F178C26}"/>
    <cellStyle name="Normal 11 2 9 2 2 5 3 2" xfId="36510" xr:uid="{58222127-7711-42BF-A6FD-2BC7270AACE8}"/>
    <cellStyle name="Normal 11 2 9 2 2 5 4" xfId="36511" xr:uid="{FB1EB426-5B5E-4A39-AB5C-188742C195E8}"/>
    <cellStyle name="Normal 11 2 9 2 2 6" xfId="36512" xr:uid="{4577B3BF-4C5B-441D-8701-A92887876F17}"/>
    <cellStyle name="Normal 11 2 9 2 2 6 2" xfId="36513" xr:uid="{C3046334-A9B7-4095-90AA-17A7D54E71A1}"/>
    <cellStyle name="Normal 11 2 9 2 2 6 2 2" xfId="36514" xr:uid="{9388BB9F-9723-442A-B565-85AF0833616F}"/>
    <cellStyle name="Normal 11 2 9 2 2 6 3" xfId="36515" xr:uid="{A83FED7E-44AA-4450-947D-30CF4C0D92F3}"/>
    <cellStyle name="Normal 11 2 9 2 2 7" xfId="36516" xr:uid="{E2A7AAE3-B5E6-4C44-A92E-BF45AD9A04A8}"/>
    <cellStyle name="Normal 11 2 9 2 2 7 2" xfId="36517" xr:uid="{8181A249-F2F3-4509-9C33-AE0CBB085B63}"/>
    <cellStyle name="Normal 11 2 9 2 2 8" xfId="36518" xr:uid="{70A0A807-26BC-4DC0-A829-1704F0AA6EBD}"/>
    <cellStyle name="Normal 11 2 9 2 3" xfId="36519" xr:uid="{58EEA3D4-566B-4057-8278-D786DFAF77DF}"/>
    <cellStyle name="Normal 11 2 9 2 3 2" xfId="36520" xr:uid="{88BB6A3A-6B85-4EBD-86B8-69ECC86D9DFD}"/>
    <cellStyle name="Normal 11 2 9 2 3 2 2" xfId="36521" xr:uid="{5C464B5F-46F0-449D-B801-4D06C49715D1}"/>
    <cellStyle name="Normal 11 2 9 2 3 2 2 2" xfId="36522" xr:uid="{D01477AE-B45F-47BD-AD3F-B824CF7404B6}"/>
    <cellStyle name="Normal 11 2 9 2 3 2 2 2 2" xfId="36523" xr:uid="{93F65190-6788-40F7-8A92-894339007DFE}"/>
    <cellStyle name="Normal 11 2 9 2 3 2 2 2 2 2" xfId="36524" xr:uid="{1FDBE441-1833-4F22-B533-113CAC6A7A68}"/>
    <cellStyle name="Normal 11 2 9 2 3 2 2 2 2 2 2" xfId="36525" xr:uid="{3C6F8CDF-90BA-402F-9F9C-405497B28F38}"/>
    <cellStyle name="Normal 11 2 9 2 3 2 2 2 2 3" xfId="36526" xr:uid="{EBF6F1F6-A47D-46D8-87E0-E1C29066F288}"/>
    <cellStyle name="Normal 11 2 9 2 3 2 2 2 3" xfId="36527" xr:uid="{5FB1A8DF-5E19-4455-A2D4-0ECC92F672EE}"/>
    <cellStyle name="Normal 11 2 9 2 3 2 2 2 3 2" xfId="36528" xr:uid="{CF82EFC5-F549-43BB-A872-6C726CCC5339}"/>
    <cellStyle name="Normal 11 2 9 2 3 2 2 2 4" xfId="36529" xr:uid="{D94F6F3D-1464-41C8-A6C6-B8485DACD36C}"/>
    <cellStyle name="Normal 11 2 9 2 3 2 2 3" xfId="36530" xr:uid="{81187264-3021-4C72-A595-69180DF30959}"/>
    <cellStyle name="Normal 11 2 9 2 3 2 2 3 2" xfId="36531" xr:uid="{06DE6F45-98FE-4797-9C7C-DE93589E4007}"/>
    <cellStyle name="Normal 11 2 9 2 3 2 2 3 2 2" xfId="36532" xr:uid="{321F76D8-5959-44EF-A2C7-D11362F65FB4}"/>
    <cellStyle name="Normal 11 2 9 2 3 2 2 3 3" xfId="36533" xr:uid="{BC63B259-CE7C-4617-920F-2833B265AD1D}"/>
    <cellStyle name="Normal 11 2 9 2 3 2 2 4" xfId="36534" xr:uid="{F1BD2D9E-114E-4830-8256-2A666BE72ACF}"/>
    <cellStyle name="Normal 11 2 9 2 3 2 2 4 2" xfId="36535" xr:uid="{CE2D38A3-B000-42B2-B653-92FB700511B8}"/>
    <cellStyle name="Normal 11 2 9 2 3 2 2 5" xfId="36536" xr:uid="{D8E9FCAD-6B15-4330-B887-7562AD70E988}"/>
    <cellStyle name="Normal 11 2 9 2 3 2 3" xfId="36537" xr:uid="{3B57E513-8412-40D6-BBED-2FCCD835B526}"/>
    <cellStyle name="Normal 11 2 9 2 3 2 3 2" xfId="36538" xr:uid="{A750492F-568E-4A16-93C8-E36611BA1D80}"/>
    <cellStyle name="Normal 11 2 9 2 3 2 3 2 2" xfId="36539" xr:uid="{B79D7320-5F76-423E-B9FA-CA92E71A5F39}"/>
    <cellStyle name="Normal 11 2 9 2 3 2 3 2 2 2" xfId="36540" xr:uid="{EE6E3E86-DFF9-4B15-B722-9F7C6D7E42A3}"/>
    <cellStyle name="Normal 11 2 9 2 3 2 3 2 3" xfId="36541" xr:uid="{521C2509-029E-4B1A-8337-0FBEE1533A94}"/>
    <cellStyle name="Normal 11 2 9 2 3 2 3 3" xfId="36542" xr:uid="{CEA03B39-D17D-4749-93E4-615C1589DC2D}"/>
    <cellStyle name="Normal 11 2 9 2 3 2 3 3 2" xfId="36543" xr:uid="{B16CCF30-1F41-4643-B4F8-742C4A140087}"/>
    <cellStyle name="Normal 11 2 9 2 3 2 3 4" xfId="36544" xr:uid="{E16AF741-74DD-4F74-8671-9626BFD1E18B}"/>
    <cellStyle name="Normal 11 2 9 2 3 2 4" xfId="36545" xr:uid="{3F8D08D7-704D-4C86-A620-4BF9D2844BAC}"/>
    <cellStyle name="Normal 11 2 9 2 3 2 4 2" xfId="36546" xr:uid="{A0D52E99-A28C-4342-9254-D1A9347658E1}"/>
    <cellStyle name="Normal 11 2 9 2 3 2 4 2 2" xfId="36547" xr:uid="{FF1270BB-F26D-435F-A00C-D5538E2662B1}"/>
    <cellStyle name="Normal 11 2 9 2 3 2 4 3" xfId="36548" xr:uid="{03028221-550A-4946-9829-9684568E31DE}"/>
    <cellStyle name="Normal 11 2 9 2 3 2 5" xfId="36549" xr:uid="{9B5D46C8-A4CC-4094-84DA-6F4A927059FA}"/>
    <cellStyle name="Normal 11 2 9 2 3 2 5 2" xfId="36550" xr:uid="{B0F914A5-450E-403C-874F-2593FA6E2CB5}"/>
    <cellStyle name="Normal 11 2 9 2 3 2 6" xfId="36551" xr:uid="{A6773D3A-273A-41A9-863F-1E5E7EFF2624}"/>
    <cellStyle name="Normal 11 2 9 2 3 3" xfId="36552" xr:uid="{CE25AA23-F9EA-4B6A-8ED0-BA2F2CD1FB16}"/>
    <cellStyle name="Normal 11 2 9 2 3 3 2" xfId="36553" xr:uid="{93716750-9368-4FA6-81F7-850782EA8E9A}"/>
    <cellStyle name="Normal 11 2 9 2 3 3 2 2" xfId="36554" xr:uid="{BBEBD83B-9000-4029-8B8A-6B86F6C707A8}"/>
    <cellStyle name="Normal 11 2 9 2 3 3 2 2 2" xfId="36555" xr:uid="{CF1A9A8F-AAF3-4061-818D-14AF16A9C6F3}"/>
    <cellStyle name="Normal 11 2 9 2 3 3 2 2 2 2" xfId="36556" xr:uid="{13662716-DF42-4A3C-AFDB-D4FEC14F8FD3}"/>
    <cellStyle name="Normal 11 2 9 2 3 3 2 2 3" xfId="36557" xr:uid="{31416516-C811-4811-B4AB-7496F307B284}"/>
    <cellStyle name="Normal 11 2 9 2 3 3 2 3" xfId="36558" xr:uid="{748221BD-BB50-40BB-BCA7-412A26EEFB3D}"/>
    <cellStyle name="Normal 11 2 9 2 3 3 2 3 2" xfId="36559" xr:uid="{DD1DD623-B54D-4069-BECE-1B1275F6AC40}"/>
    <cellStyle name="Normal 11 2 9 2 3 3 2 4" xfId="36560" xr:uid="{240ECD16-4DB3-46D0-ADE2-68F6BA8CAA06}"/>
    <cellStyle name="Normal 11 2 9 2 3 3 3" xfId="36561" xr:uid="{17AA5586-9807-4E5F-B954-1032607770AA}"/>
    <cellStyle name="Normal 11 2 9 2 3 3 3 2" xfId="36562" xr:uid="{785170B7-9A65-4284-AB74-40E588ECA119}"/>
    <cellStyle name="Normal 11 2 9 2 3 3 3 2 2" xfId="36563" xr:uid="{07C4B97F-1281-491F-8243-B55EDF2AF963}"/>
    <cellStyle name="Normal 11 2 9 2 3 3 3 3" xfId="36564" xr:uid="{69FD9B5F-6F83-4288-A597-E973444253DA}"/>
    <cellStyle name="Normal 11 2 9 2 3 3 4" xfId="36565" xr:uid="{1C87C342-0751-4011-A303-DFD4EEFF7030}"/>
    <cellStyle name="Normal 11 2 9 2 3 3 4 2" xfId="36566" xr:uid="{B993C1CF-FD47-4D6A-A837-1DDAFA2018DF}"/>
    <cellStyle name="Normal 11 2 9 2 3 3 5" xfId="36567" xr:uid="{B65D3A2C-9434-4F5E-B879-711892482E83}"/>
    <cellStyle name="Normal 11 2 9 2 3 4" xfId="36568" xr:uid="{69ADBC83-DD9B-4E20-9B62-2528CD3F9F1E}"/>
    <cellStyle name="Normal 11 2 9 2 3 4 2" xfId="36569" xr:uid="{DA7F3C6F-98FE-4FC0-A1D7-94C684AC74C9}"/>
    <cellStyle name="Normal 11 2 9 2 3 4 2 2" xfId="36570" xr:uid="{802F12E8-2BD7-4876-8F76-D6220D54A6F8}"/>
    <cellStyle name="Normal 11 2 9 2 3 4 2 2 2" xfId="36571" xr:uid="{F18BA4BA-91D3-41B5-A0EE-2400AB04B7F7}"/>
    <cellStyle name="Normal 11 2 9 2 3 4 2 3" xfId="36572" xr:uid="{1E09CEA2-5612-48B3-B9E0-69731EFC0197}"/>
    <cellStyle name="Normal 11 2 9 2 3 4 3" xfId="36573" xr:uid="{D180CEB8-E1B8-40DF-ACE6-DAC53E5F0EF9}"/>
    <cellStyle name="Normal 11 2 9 2 3 4 3 2" xfId="36574" xr:uid="{C836770A-A6B3-4482-B803-8651F535EF54}"/>
    <cellStyle name="Normal 11 2 9 2 3 4 4" xfId="36575" xr:uid="{8891BD24-CAE4-4394-938F-8992D5563489}"/>
    <cellStyle name="Normal 11 2 9 2 3 5" xfId="36576" xr:uid="{2BE7A153-BE75-48FC-8E42-66F368484629}"/>
    <cellStyle name="Normal 11 2 9 2 3 5 2" xfId="36577" xr:uid="{8A5B38CE-967B-4984-A1CF-6FF25D2CF72E}"/>
    <cellStyle name="Normal 11 2 9 2 3 5 2 2" xfId="36578" xr:uid="{F28E2B3E-43BB-4FB5-BF4A-E22E3BD9E934}"/>
    <cellStyle name="Normal 11 2 9 2 3 5 3" xfId="36579" xr:uid="{FD2C84E9-69C0-439A-AEFB-907F7B33CDC2}"/>
    <cellStyle name="Normal 11 2 9 2 3 6" xfId="36580" xr:uid="{3FA63466-1A86-4CC4-AFE5-C875486886D2}"/>
    <cellStyle name="Normal 11 2 9 2 3 6 2" xfId="36581" xr:uid="{D82265EC-C4F6-4D65-AF73-C21AC7738363}"/>
    <cellStyle name="Normal 11 2 9 2 3 7" xfId="36582" xr:uid="{7ECFC1AB-8B43-4C4B-AACF-E3F2A6962B85}"/>
    <cellStyle name="Normal 11 2 9 2 4" xfId="36583" xr:uid="{46D34D69-2AEE-4A0E-A641-F44777D0F39A}"/>
    <cellStyle name="Normal 11 2 9 2 4 2" xfId="36584" xr:uid="{35CB7073-A86F-4FEE-BD5B-293AC353AABB}"/>
    <cellStyle name="Normal 11 2 9 2 4 2 2" xfId="36585" xr:uid="{CDDD8775-4F75-414C-BBEA-195165599008}"/>
    <cellStyle name="Normal 11 2 9 2 4 2 2 2" xfId="36586" xr:uid="{A864A25D-67E0-416A-BF19-E1C5F6DEE5AC}"/>
    <cellStyle name="Normal 11 2 9 2 4 2 2 2 2" xfId="36587" xr:uid="{95A8EA7A-20B2-44F2-9A9F-444043774127}"/>
    <cellStyle name="Normal 11 2 9 2 4 2 2 2 2 2" xfId="36588" xr:uid="{858E25FA-C081-43EB-B242-B201E8C276C3}"/>
    <cellStyle name="Normal 11 2 9 2 4 2 2 2 3" xfId="36589" xr:uid="{F246D802-3D9F-44CB-8D8B-420BA0E72EF3}"/>
    <cellStyle name="Normal 11 2 9 2 4 2 2 3" xfId="36590" xr:uid="{AE611984-1B6D-46D9-9AD0-507FC2DEF5BF}"/>
    <cellStyle name="Normal 11 2 9 2 4 2 2 3 2" xfId="36591" xr:uid="{EB4AAA5A-513A-42D9-A0C9-05865845209E}"/>
    <cellStyle name="Normal 11 2 9 2 4 2 2 4" xfId="36592" xr:uid="{9BF35D9F-7FDA-4F1A-B924-A7A4595CAF86}"/>
    <cellStyle name="Normal 11 2 9 2 4 2 3" xfId="36593" xr:uid="{E2F9D847-E915-4222-A945-651351BADFFE}"/>
    <cellStyle name="Normal 11 2 9 2 4 2 3 2" xfId="36594" xr:uid="{ED9154FA-748C-43DD-9D5F-7E796058D657}"/>
    <cellStyle name="Normal 11 2 9 2 4 2 3 2 2" xfId="36595" xr:uid="{017D822B-F600-4F15-9352-60B8508E15E2}"/>
    <cellStyle name="Normal 11 2 9 2 4 2 3 3" xfId="36596" xr:uid="{84304561-BE18-4CBC-95B8-828090DCBEB0}"/>
    <cellStyle name="Normal 11 2 9 2 4 2 4" xfId="36597" xr:uid="{749AF507-D66F-4F48-91C2-C2D1EFFD9AFC}"/>
    <cellStyle name="Normal 11 2 9 2 4 2 4 2" xfId="36598" xr:uid="{AFDA2DD1-F0F2-4C9C-80B7-EF9949E17162}"/>
    <cellStyle name="Normal 11 2 9 2 4 2 5" xfId="36599" xr:uid="{0FED0D28-4CF9-4BBA-9FB8-5C29B445BA6A}"/>
    <cellStyle name="Normal 11 2 9 2 4 3" xfId="36600" xr:uid="{C0F6C3FC-6041-42BB-B6A2-3F71CA44425D}"/>
    <cellStyle name="Normal 11 2 9 2 4 3 2" xfId="36601" xr:uid="{F04A8853-9B57-460E-BDD4-8C2061AA3D99}"/>
    <cellStyle name="Normal 11 2 9 2 4 3 2 2" xfId="36602" xr:uid="{1956C144-8164-4AEF-9C8A-5E19B1D831A9}"/>
    <cellStyle name="Normal 11 2 9 2 4 3 2 2 2" xfId="36603" xr:uid="{64EA2E1F-B167-434B-B941-2D444BDE7E84}"/>
    <cellStyle name="Normal 11 2 9 2 4 3 2 3" xfId="36604" xr:uid="{4FC300DD-5C1C-4D42-99E9-DB65F2B8336F}"/>
    <cellStyle name="Normal 11 2 9 2 4 3 3" xfId="36605" xr:uid="{E238660D-C61A-4FA1-9BB9-25DA67BA71B0}"/>
    <cellStyle name="Normal 11 2 9 2 4 3 3 2" xfId="36606" xr:uid="{1951D176-2393-4E00-9A17-DC0FFA39A2A1}"/>
    <cellStyle name="Normal 11 2 9 2 4 3 4" xfId="36607" xr:uid="{5EC1AAE1-5EC8-42B5-B10E-87D992462D8E}"/>
    <cellStyle name="Normal 11 2 9 2 4 4" xfId="36608" xr:uid="{2315C1A8-D651-4705-A1BA-6C9ED893EA80}"/>
    <cellStyle name="Normal 11 2 9 2 4 4 2" xfId="36609" xr:uid="{A8B1BC48-B268-4CE6-AAB8-BD52302F3D61}"/>
    <cellStyle name="Normal 11 2 9 2 4 4 2 2" xfId="36610" xr:uid="{80D70B91-1BBC-40E9-9F73-B8C59CA93658}"/>
    <cellStyle name="Normal 11 2 9 2 4 4 3" xfId="36611" xr:uid="{7B72B3C6-08E7-45AC-9429-0804228CFC70}"/>
    <cellStyle name="Normal 11 2 9 2 4 5" xfId="36612" xr:uid="{55986949-248F-4DF7-9899-8B02E9758609}"/>
    <cellStyle name="Normal 11 2 9 2 4 5 2" xfId="36613" xr:uid="{9F6B05CA-CC20-4AC7-AC91-6051D1EE8710}"/>
    <cellStyle name="Normal 11 2 9 2 4 6" xfId="36614" xr:uid="{9248A9DD-01B3-4343-AD0A-02F364765049}"/>
    <cellStyle name="Normal 11 2 9 2 5" xfId="36615" xr:uid="{C8892ED5-3841-4A90-ADBA-969AADE36A23}"/>
    <cellStyle name="Normal 11 2 9 2 5 2" xfId="36616" xr:uid="{1C062773-12CD-4E38-B808-B7450B51BFED}"/>
    <cellStyle name="Normal 11 2 9 2 5 2 2" xfId="36617" xr:uid="{91298006-D525-441F-9188-968F853054D6}"/>
    <cellStyle name="Normal 11 2 9 2 5 2 2 2" xfId="36618" xr:uid="{3FAF69E2-0A36-444D-AB60-0D6CFF0FAC93}"/>
    <cellStyle name="Normal 11 2 9 2 5 2 2 2 2" xfId="36619" xr:uid="{9BC1736B-5038-40A9-8E2E-D5F69E4774BD}"/>
    <cellStyle name="Normal 11 2 9 2 5 2 2 3" xfId="36620" xr:uid="{B5F15C83-67D4-4919-94CB-8BBCB567DE3A}"/>
    <cellStyle name="Normal 11 2 9 2 5 2 3" xfId="36621" xr:uid="{A2826708-B3B8-461A-9A12-FCEBFADCFABA}"/>
    <cellStyle name="Normal 11 2 9 2 5 2 3 2" xfId="36622" xr:uid="{679846F1-FA9B-48A9-991D-28C79E0ADE26}"/>
    <cellStyle name="Normal 11 2 9 2 5 2 4" xfId="36623" xr:uid="{7FB01AF9-E86E-479E-9955-3A6E82258B4B}"/>
    <cellStyle name="Normal 11 2 9 2 5 3" xfId="36624" xr:uid="{CBEDA2B4-D3E1-403B-94D2-FBA45441181C}"/>
    <cellStyle name="Normal 11 2 9 2 5 3 2" xfId="36625" xr:uid="{C2FC8FCA-64A2-468A-A0C3-C40EFD07492C}"/>
    <cellStyle name="Normal 11 2 9 2 5 3 2 2" xfId="36626" xr:uid="{E8AF2ED5-BCFF-4115-8615-FD95F36AAA68}"/>
    <cellStyle name="Normal 11 2 9 2 5 3 3" xfId="36627" xr:uid="{079E7E4F-7ED8-41FC-B6D2-9BE1B724E976}"/>
    <cellStyle name="Normal 11 2 9 2 5 4" xfId="36628" xr:uid="{3E8B8C0F-95BE-42B1-8AAD-1D18927622B8}"/>
    <cellStyle name="Normal 11 2 9 2 5 4 2" xfId="36629" xr:uid="{4C163AC7-69EF-485B-8E4F-77C6B6C74C57}"/>
    <cellStyle name="Normal 11 2 9 2 5 5" xfId="36630" xr:uid="{8A962589-9788-49EC-A925-D287E841F369}"/>
    <cellStyle name="Normal 11 2 9 2 6" xfId="36631" xr:uid="{FF0DBCC3-97BB-4825-8E39-F4F40070514C}"/>
    <cellStyle name="Normal 11 2 9 2 6 2" xfId="36632" xr:uid="{1A4324C1-36C8-409B-BDF7-AAC0BE77F915}"/>
    <cellStyle name="Normal 11 2 9 2 6 2 2" xfId="36633" xr:uid="{B0D8394F-1F4E-411A-BF8B-345979A2CD9F}"/>
    <cellStyle name="Normal 11 2 9 2 6 2 2 2" xfId="36634" xr:uid="{EB3137C3-A9F5-4C75-825F-B2BBB7F7DCA2}"/>
    <cellStyle name="Normal 11 2 9 2 6 2 3" xfId="36635" xr:uid="{03FADBF4-C757-46EF-A015-2FC7EA191481}"/>
    <cellStyle name="Normal 11 2 9 2 6 3" xfId="36636" xr:uid="{78574BC2-9047-4B56-8701-A2A7489A1150}"/>
    <cellStyle name="Normal 11 2 9 2 6 3 2" xfId="36637" xr:uid="{BE195EF5-327A-4DCF-B45B-C61FF2E7BA8F}"/>
    <cellStyle name="Normal 11 2 9 2 6 4" xfId="36638" xr:uid="{D6F7389F-D544-41EB-B370-9D90C31D8757}"/>
    <cellStyle name="Normal 11 2 9 2 7" xfId="36639" xr:uid="{A89204A5-96A5-4559-BEEA-237246A387FE}"/>
    <cellStyle name="Normal 11 2 9 2 7 2" xfId="36640" xr:uid="{A8A05287-5888-4BA5-B665-FC8CF47C3662}"/>
    <cellStyle name="Normal 11 2 9 2 7 2 2" xfId="36641" xr:uid="{0DEA5260-F39B-450E-8E8F-37B423E7E297}"/>
    <cellStyle name="Normal 11 2 9 2 7 3" xfId="36642" xr:uid="{9EB35625-9F42-42A3-B7FE-FCF204132D6C}"/>
    <cellStyle name="Normal 11 2 9 2 8" xfId="36643" xr:uid="{51E20032-149E-4581-ACDF-0985E9B74449}"/>
    <cellStyle name="Normal 11 2 9 2 8 2" xfId="36644" xr:uid="{67DE84FC-0F78-410F-86DA-E0F6AA138F15}"/>
    <cellStyle name="Normal 11 2 9 2 9" xfId="36645" xr:uid="{499A96A2-25A7-4A01-A2E6-88BF2D5BDD56}"/>
    <cellStyle name="Normal 11 2 9 3" xfId="36646" xr:uid="{90F2F439-E2D1-41C2-95BF-FF3577631304}"/>
    <cellStyle name="Normal 11 2 9 3 2" xfId="36647" xr:uid="{20C0C28D-304F-4FC0-B2B0-984FD8181C53}"/>
    <cellStyle name="Normal 11 2 9 3 2 2" xfId="36648" xr:uid="{5714F8FC-8191-49F1-87B0-3245BD504B6B}"/>
    <cellStyle name="Normal 11 2 9 3 2 2 2" xfId="36649" xr:uid="{AAF9C6A3-F3F1-46AF-B083-0C0C1A4AB8F3}"/>
    <cellStyle name="Normal 11 2 9 3 2 2 2 2" xfId="36650" xr:uid="{E9080741-A542-4E55-924C-78A512432C84}"/>
    <cellStyle name="Normal 11 2 9 3 2 2 2 2 2" xfId="36651" xr:uid="{8579A2A5-37C6-4C0A-A1C3-A0C747CB3527}"/>
    <cellStyle name="Normal 11 2 9 3 2 2 2 2 2 2" xfId="36652" xr:uid="{6AD928B9-574D-48C2-8358-F50CB2F1F671}"/>
    <cellStyle name="Normal 11 2 9 3 2 2 2 2 2 2 2" xfId="36653" xr:uid="{FCB307E3-5C0A-48C5-B259-A3CD796BB737}"/>
    <cellStyle name="Normal 11 2 9 3 2 2 2 2 2 3" xfId="36654" xr:uid="{89A85A8F-DDB3-4209-A623-0B1EB5D5D1C3}"/>
    <cellStyle name="Normal 11 2 9 3 2 2 2 2 3" xfId="36655" xr:uid="{33098CDD-BCFD-4824-9AD6-ACC606139A9B}"/>
    <cellStyle name="Normal 11 2 9 3 2 2 2 2 3 2" xfId="36656" xr:uid="{5D5D0657-B639-4532-B64A-E497621D531B}"/>
    <cellStyle name="Normal 11 2 9 3 2 2 2 2 4" xfId="36657" xr:uid="{A0D11EC2-6AF2-4718-8825-450D2BED399D}"/>
    <cellStyle name="Normal 11 2 9 3 2 2 2 3" xfId="36658" xr:uid="{FA07F5F5-9F3B-4E5C-883C-7B650A8A8382}"/>
    <cellStyle name="Normal 11 2 9 3 2 2 2 3 2" xfId="36659" xr:uid="{806B7CBF-E7B9-4A5F-BCFA-2BFB1B0A0F59}"/>
    <cellStyle name="Normal 11 2 9 3 2 2 2 3 2 2" xfId="36660" xr:uid="{43A9AE97-F5F6-4B06-9DE8-D47A1B1CF35B}"/>
    <cellStyle name="Normal 11 2 9 3 2 2 2 3 3" xfId="36661" xr:uid="{3F360661-D6E4-454F-9CC3-31E03AC39492}"/>
    <cellStyle name="Normal 11 2 9 3 2 2 2 4" xfId="36662" xr:uid="{A040B307-03E6-476E-8DE4-A5EE0B7B5EBF}"/>
    <cellStyle name="Normal 11 2 9 3 2 2 2 4 2" xfId="36663" xr:uid="{AE22A37B-98F9-47F8-85C8-4AB454BD920B}"/>
    <cellStyle name="Normal 11 2 9 3 2 2 2 5" xfId="36664" xr:uid="{52ACAFCB-3B20-4268-A741-C85C6F847057}"/>
    <cellStyle name="Normal 11 2 9 3 2 2 3" xfId="36665" xr:uid="{C414B39A-2093-4574-9982-22140C3E7880}"/>
    <cellStyle name="Normal 11 2 9 3 2 2 3 2" xfId="36666" xr:uid="{169055BB-0E33-487C-B498-E6ADAEF1A4D8}"/>
    <cellStyle name="Normal 11 2 9 3 2 2 3 2 2" xfId="36667" xr:uid="{D525B625-F626-4447-9F99-9F8DFF9467F5}"/>
    <cellStyle name="Normal 11 2 9 3 2 2 3 2 2 2" xfId="36668" xr:uid="{3AC2CF4A-9E79-4E37-861F-0775F6ED8201}"/>
    <cellStyle name="Normal 11 2 9 3 2 2 3 2 3" xfId="36669" xr:uid="{68C9A858-C076-455D-B3FB-24D26FA5BDD7}"/>
    <cellStyle name="Normal 11 2 9 3 2 2 3 3" xfId="36670" xr:uid="{B6C2F72A-A994-4965-AD65-47C13F0DCF67}"/>
    <cellStyle name="Normal 11 2 9 3 2 2 3 3 2" xfId="36671" xr:uid="{B29D8D9D-58B7-4FCF-BB1F-99A569F40322}"/>
    <cellStyle name="Normal 11 2 9 3 2 2 3 4" xfId="36672" xr:uid="{D8357B15-F0A7-400C-AFEF-63865E7C550B}"/>
    <cellStyle name="Normal 11 2 9 3 2 2 4" xfId="36673" xr:uid="{AC28CA61-E055-4283-98BE-E51544C61685}"/>
    <cellStyle name="Normal 11 2 9 3 2 2 4 2" xfId="36674" xr:uid="{2AD75D73-6341-4497-9BDE-14A102FEEB39}"/>
    <cellStyle name="Normal 11 2 9 3 2 2 4 2 2" xfId="36675" xr:uid="{D6E5235E-80F5-4219-8098-1419A7955BD8}"/>
    <cellStyle name="Normal 11 2 9 3 2 2 4 3" xfId="36676" xr:uid="{05DDA367-3F25-415D-9E5C-04CDD7B96BE8}"/>
    <cellStyle name="Normal 11 2 9 3 2 2 5" xfId="36677" xr:uid="{604A5BC9-EDD7-4B73-88C7-983FEDAFC4DD}"/>
    <cellStyle name="Normal 11 2 9 3 2 2 5 2" xfId="36678" xr:uid="{202F677C-B243-4E60-A56E-83369754927C}"/>
    <cellStyle name="Normal 11 2 9 3 2 2 6" xfId="36679" xr:uid="{B3DFBCC9-6E33-4C39-BB0D-53DD2D3384A2}"/>
    <cellStyle name="Normal 11 2 9 3 2 3" xfId="36680" xr:uid="{34DA990B-DCA0-4F7B-A14B-8636444C495F}"/>
    <cellStyle name="Normal 11 2 9 3 2 3 2" xfId="36681" xr:uid="{3B9E7DA9-18DD-42C7-A09C-4EA104D21BC4}"/>
    <cellStyle name="Normal 11 2 9 3 2 3 2 2" xfId="36682" xr:uid="{41CDACAC-3B62-4EA1-8242-4DB529B2561A}"/>
    <cellStyle name="Normal 11 2 9 3 2 3 2 2 2" xfId="36683" xr:uid="{3F1DEC78-B126-4B7C-A844-3D54BF6B2F27}"/>
    <cellStyle name="Normal 11 2 9 3 2 3 2 2 2 2" xfId="36684" xr:uid="{87B7DAA1-32C0-47C2-889B-687EBB16F240}"/>
    <cellStyle name="Normal 11 2 9 3 2 3 2 2 3" xfId="36685" xr:uid="{4AB54B21-8EC1-41BF-A878-7B01DC6D0683}"/>
    <cellStyle name="Normal 11 2 9 3 2 3 2 3" xfId="36686" xr:uid="{2C5A042A-6CA5-4552-AD6A-0E52CAF620DF}"/>
    <cellStyle name="Normal 11 2 9 3 2 3 2 3 2" xfId="36687" xr:uid="{0FD60DD2-7A15-4D3D-A717-5C153E24BAD7}"/>
    <cellStyle name="Normal 11 2 9 3 2 3 2 4" xfId="36688" xr:uid="{8991C7E1-457E-48F5-AE19-D8F89970070E}"/>
    <cellStyle name="Normal 11 2 9 3 2 3 3" xfId="36689" xr:uid="{3303F286-FFBE-4561-9D84-B48BE2A585E8}"/>
    <cellStyle name="Normal 11 2 9 3 2 3 3 2" xfId="36690" xr:uid="{8CC07F2D-74B4-4BA3-B3EA-F54CCFF0E22D}"/>
    <cellStyle name="Normal 11 2 9 3 2 3 3 2 2" xfId="36691" xr:uid="{C42FA103-406B-4B86-84F8-AC16718B0BF6}"/>
    <cellStyle name="Normal 11 2 9 3 2 3 3 3" xfId="36692" xr:uid="{414D5333-089A-4905-A808-7C783A81759B}"/>
    <cellStyle name="Normal 11 2 9 3 2 3 4" xfId="36693" xr:uid="{FA514F33-88AD-4460-9CD0-51EF1E2AD742}"/>
    <cellStyle name="Normal 11 2 9 3 2 3 4 2" xfId="36694" xr:uid="{3DB51059-B3C6-4716-8854-D3535928EE4F}"/>
    <cellStyle name="Normal 11 2 9 3 2 3 5" xfId="36695" xr:uid="{875D44B8-3A97-47A4-86C9-9D17B5360161}"/>
    <cellStyle name="Normal 11 2 9 3 2 4" xfId="36696" xr:uid="{7ED743A8-1C54-4BEC-A1D3-4D00916822D4}"/>
    <cellStyle name="Normal 11 2 9 3 2 4 2" xfId="36697" xr:uid="{1C3DEEA3-4603-4BD0-A809-019D7A0212E5}"/>
    <cellStyle name="Normal 11 2 9 3 2 4 2 2" xfId="36698" xr:uid="{0AF31DBF-F86C-4027-91B5-D5C50B0C893A}"/>
    <cellStyle name="Normal 11 2 9 3 2 4 2 2 2" xfId="36699" xr:uid="{15D8360A-2A2C-4147-847A-A32F6CF6DEF0}"/>
    <cellStyle name="Normal 11 2 9 3 2 4 2 3" xfId="36700" xr:uid="{577DB673-A1ED-4475-B0CC-B0850B479125}"/>
    <cellStyle name="Normal 11 2 9 3 2 4 3" xfId="36701" xr:uid="{306420A1-EFF5-4AA8-B79E-562FCDB06742}"/>
    <cellStyle name="Normal 11 2 9 3 2 4 3 2" xfId="36702" xr:uid="{C783C5DD-D79F-4BFE-926E-81ECB0568815}"/>
    <cellStyle name="Normal 11 2 9 3 2 4 4" xfId="36703" xr:uid="{5C8FCEDE-2C27-4F20-A651-D624196F6CC4}"/>
    <cellStyle name="Normal 11 2 9 3 2 5" xfId="36704" xr:uid="{4BB96C6D-5273-4DDF-8EEC-40AF06772F1C}"/>
    <cellStyle name="Normal 11 2 9 3 2 5 2" xfId="36705" xr:uid="{CF406C67-7627-42BC-8936-B25D3F237621}"/>
    <cellStyle name="Normal 11 2 9 3 2 5 2 2" xfId="36706" xr:uid="{1AB56311-0AE2-4282-8A67-2894AC5503CF}"/>
    <cellStyle name="Normal 11 2 9 3 2 5 3" xfId="36707" xr:uid="{AC8053FD-F917-4C75-AF28-3081E2907DD6}"/>
    <cellStyle name="Normal 11 2 9 3 2 6" xfId="36708" xr:uid="{02E31119-AB02-40F4-AB4F-998E7C027719}"/>
    <cellStyle name="Normal 11 2 9 3 2 6 2" xfId="36709" xr:uid="{5164F441-B1FA-40CD-BC96-9FDB295E4099}"/>
    <cellStyle name="Normal 11 2 9 3 2 7" xfId="36710" xr:uid="{E66BE4C4-4EE8-4372-8069-A03522BDCEC2}"/>
    <cellStyle name="Normal 11 2 9 3 3" xfId="36711" xr:uid="{ED93AB37-1965-45F3-B999-7610AF5B6B2B}"/>
    <cellStyle name="Normal 11 2 9 3 3 2" xfId="36712" xr:uid="{B730250C-90C2-4E8D-8F8D-390E3A4D089B}"/>
    <cellStyle name="Normal 11 2 9 3 3 2 2" xfId="36713" xr:uid="{6E170237-0BB7-460B-8E7B-8078F9A3D7E5}"/>
    <cellStyle name="Normal 11 2 9 3 3 2 2 2" xfId="36714" xr:uid="{4FC95651-2AFB-42E2-AE12-5C38C60D8162}"/>
    <cellStyle name="Normal 11 2 9 3 3 2 2 2 2" xfId="36715" xr:uid="{27D9C50B-25D3-426E-B405-41F66D970ECC}"/>
    <cellStyle name="Normal 11 2 9 3 3 2 2 2 2 2" xfId="36716" xr:uid="{57B09CD5-3016-431A-9324-DA6BE4168A33}"/>
    <cellStyle name="Normal 11 2 9 3 3 2 2 2 3" xfId="36717" xr:uid="{60C19140-F632-4E1C-8A9C-DFC919B1DAD2}"/>
    <cellStyle name="Normal 11 2 9 3 3 2 2 3" xfId="36718" xr:uid="{C891345D-BDDC-4E5A-9534-4ADDD47E4723}"/>
    <cellStyle name="Normal 11 2 9 3 3 2 2 3 2" xfId="36719" xr:uid="{FFC7B19F-B88D-40D8-93FB-88C97FFECA69}"/>
    <cellStyle name="Normal 11 2 9 3 3 2 2 4" xfId="36720" xr:uid="{B7C4196A-ED9D-46AC-A207-97B5A4B827EB}"/>
    <cellStyle name="Normal 11 2 9 3 3 2 3" xfId="36721" xr:uid="{23E95E5B-5F79-4230-BE46-D516039160DD}"/>
    <cellStyle name="Normal 11 2 9 3 3 2 3 2" xfId="36722" xr:uid="{A0FA2935-68E1-41A6-B8AC-277B24DF3D74}"/>
    <cellStyle name="Normal 11 2 9 3 3 2 3 2 2" xfId="36723" xr:uid="{7643401C-39EF-48C8-82A1-B144BABCB1A4}"/>
    <cellStyle name="Normal 11 2 9 3 3 2 3 3" xfId="36724" xr:uid="{1B15E283-C0FD-422A-B5D8-49DF84DB46EC}"/>
    <cellStyle name="Normal 11 2 9 3 3 2 4" xfId="36725" xr:uid="{641C9AED-F41D-4BC0-BCD8-A3E96B9E0D97}"/>
    <cellStyle name="Normal 11 2 9 3 3 2 4 2" xfId="36726" xr:uid="{A99093E5-D437-47A6-B415-10140AED4A99}"/>
    <cellStyle name="Normal 11 2 9 3 3 2 5" xfId="36727" xr:uid="{11DCB1F8-C606-4473-8904-112B7828E616}"/>
    <cellStyle name="Normal 11 2 9 3 3 3" xfId="36728" xr:uid="{25140262-B884-448B-A0C1-F6614BFCC4CF}"/>
    <cellStyle name="Normal 11 2 9 3 3 3 2" xfId="36729" xr:uid="{9D43A0F5-846B-4FA3-8B74-A61F9AB0A907}"/>
    <cellStyle name="Normal 11 2 9 3 3 3 2 2" xfId="36730" xr:uid="{87A64F1A-0CB6-4B37-A65E-ECE27D886850}"/>
    <cellStyle name="Normal 11 2 9 3 3 3 2 2 2" xfId="36731" xr:uid="{F3081E07-430A-4596-A242-20ED7E3DD161}"/>
    <cellStyle name="Normal 11 2 9 3 3 3 2 3" xfId="36732" xr:uid="{42EBD3F7-0111-494D-A65C-C3AB2BC4F703}"/>
    <cellStyle name="Normal 11 2 9 3 3 3 3" xfId="36733" xr:uid="{94EBC547-C098-4DF0-964B-A1873520EACD}"/>
    <cellStyle name="Normal 11 2 9 3 3 3 3 2" xfId="36734" xr:uid="{86B35CDA-1FBF-41F0-BCE9-B251615F418A}"/>
    <cellStyle name="Normal 11 2 9 3 3 3 4" xfId="36735" xr:uid="{3D9CB4B1-8ED1-4D34-B1F4-85832A23F00A}"/>
    <cellStyle name="Normal 11 2 9 3 3 4" xfId="36736" xr:uid="{BF70FA62-DCB9-4F8B-838C-0B3670AE83BF}"/>
    <cellStyle name="Normal 11 2 9 3 3 4 2" xfId="36737" xr:uid="{2CD7A9E0-35C6-41EB-B8BE-37584EA6364A}"/>
    <cellStyle name="Normal 11 2 9 3 3 4 2 2" xfId="36738" xr:uid="{C43B97F7-FEC6-47FA-A099-4D3B9EEDA751}"/>
    <cellStyle name="Normal 11 2 9 3 3 4 3" xfId="36739" xr:uid="{4FF10781-E2BC-4828-BD0D-291445596644}"/>
    <cellStyle name="Normal 11 2 9 3 3 5" xfId="36740" xr:uid="{43B087AA-EAE7-4FFC-9680-314D9968CE4D}"/>
    <cellStyle name="Normal 11 2 9 3 3 5 2" xfId="36741" xr:uid="{764F62E9-2B52-414D-A5D2-009A8B16BF52}"/>
    <cellStyle name="Normal 11 2 9 3 3 6" xfId="36742" xr:uid="{82E01C5D-15A6-449B-81C6-E8201671B2D6}"/>
    <cellStyle name="Normal 11 2 9 3 4" xfId="36743" xr:uid="{0A2F8C88-B79F-4D5E-94D8-E90444D43D6C}"/>
    <cellStyle name="Normal 11 2 9 3 4 2" xfId="36744" xr:uid="{B0A3C2D1-B416-4656-9D87-C5FA915D2910}"/>
    <cellStyle name="Normal 11 2 9 3 4 2 2" xfId="36745" xr:uid="{A4910465-52D6-407E-9058-A6FA0E6F8FC8}"/>
    <cellStyle name="Normal 11 2 9 3 4 2 2 2" xfId="36746" xr:uid="{7741C51B-A3A3-431F-8F66-F901C49CD34E}"/>
    <cellStyle name="Normal 11 2 9 3 4 2 2 2 2" xfId="36747" xr:uid="{BB2379A3-DD52-4FF6-A07C-9526DA74B835}"/>
    <cellStyle name="Normal 11 2 9 3 4 2 2 3" xfId="36748" xr:uid="{080D6202-9295-4727-8919-519DBBFC35A5}"/>
    <cellStyle name="Normal 11 2 9 3 4 2 3" xfId="36749" xr:uid="{55B11810-6257-4A44-AC1A-3C2AF26D7477}"/>
    <cellStyle name="Normal 11 2 9 3 4 2 3 2" xfId="36750" xr:uid="{E8773D59-2FA9-49DB-9EDB-2BAC940B7D8B}"/>
    <cellStyle name="Normal 11 2 9 3 4 2 4" xfId="36751" xr:uid="{301E4EF9-EC03-43BE-AFAD-D3102F95C6AB}"/>
    <cellStyle name="Normal 11 2 9 3 4 3" xfId="36752" xr:uid="{91901574-9BD4-40CC-9095-3B2CFB62F6EC}"/>
    <cellStyle name="Normal 11 2 9 3 4 3 2" xfId="36753" xr:uid="{DCCC2FC6-586E-4263-A153-7104571E491B}"/>
    <cellStyle name="Normal 11 2 9 3 4 3 2 2" xfId="36754" xr:uid="{B78205A3-B365-403F-BBD8-221D6E22E39D}"/>
    <cellStyle name="Normal 11 2 9 3 4 3 3" xfId="36755" xr:uid="{7D3FC7DC-A3CC-4107-B2AE-CDAE01A943D9}"/>
    <cellStyle name="Normal 11 2 9 3 4 4" xfId="36756" xr:uid="{328E89BC-DDDB-46CC-B696-FFA5D87A2AE0}"/>
    <cellStyle name="Normal 11 2 9 3 4 4 2" xfId="36757" xr:uid="{C5ED5CFD-368D-4929-907C-3BB392067863}"/>
    <cellStyle name="Normal 11 2 9 3 4 5" xfId="36758" xr:uid="{BD98E470-1DB5-4320-881E-E750AEEDF94A}"/>
    <cellStyle name="Normal 11 2 9 3 5" xfId="36759" xr:uid="{93F817D5-A2EA-4462-90B9-D7CEDA42B146}"/>
    <cellStyle name="Normal 11 2 9 3 5 2" xfId="36760" xr:uid="{8C5F0852-8402-4631-A343-A6D2FA94C01B}"/>
    <cellStyle name="Normal 11 2 9 3 5 2 2" xfId="36761" xr:uid="{45A82070-B788-491F-8EC3-036EA900A5DD}"/>
    <cellStyle name="Normal 11 2 9 3 5 2 2 2" xfId="36762" xr:uid="{89302626-7596-4055-9460-01A44765CD3F}"/>
    <cellStyle name="Normal 11 2 9 3 5 2 3" xfId="36763" xr:uid="{62D44832-454A-43FB-8C6B-12C3AB67EF2D}"/>
    <cellStyle name="Normal 11 2 9 3 5 3" xfId="36764" xr:uid="{07B622C8-C1BE-4D6C-99A6-CAAA6B5BBD10}"/>
    <cellStyle name="Normal 11 2 9 3 5 3 2" xfId="36765" xr:uid="{E147C3F0-2B6D-47D1-BB81-C8497D075BD5}"/>
    <cellStyle name="Normal 11 2 9 3 5 4" xfId="36766" xr:uid="{7D489D2A-24B8-4FE8-9EE3-8C6DB37E83DA}"/>
    <cellStyle name="Normal 11 2 9 3 6" xfId="36767" xr:uid="{3E3FA872-0240-4015-9F7A-EDE0231F04DA}"/>
    <cellStyle name="Normal 11 2 9 3 6 2" xfId="36768" xr:uid="{3CECB106-D360-4E79-BE7F-9A1D988ECED8}"/>
    <cellStyle name="Normal 11 2 9 3 6 2 2" xfId="36769" xr:uid="{32F2ACFE-54A5-4510-A2ED-FBA555FF710C}"/>
    <cellStyle name="Normal 11 2 9 3 6 3" xfId="36770" xr:uid="{93D7D69A-3A75-492E-8DCA-833989A31945}"/>
    <cellStyle name="Normal 11 2 9 3 7" xfId="36771" xr:uid="{3F079CBB-C501-48C7-99EC-D1000759F7A1}"/>
    <cellStyle name="Normal 11 2 9 3 7 2" xfId="36772" xr:uid="{96B25B56-18DB-4532-A649-D5FF55C60288}"/>
    <cellStyle name="Normal 11 2 9 3 8" xfId="36773" xr:uid="{6F76F1C8-3BE8-4D40-A505-94F409A4EAEC}"/>
    <cellStyle name="Normal 11 2 9 4" xfId="36774" xr:uid="{55573B62-6312-44F1-813D-33D3BE346209}"/>
    <cellStyle name="Normal 11 2 9 4 2" xfId="36775" xr:uid="{5CB93F8E-4B99-43CC-B204-81440B55612D}"/>
    <cellStyle name="Normal 11 2 9 4 2 2" xfId="36776" xr:uid="{1782FE24-4682-4C75-8731-CFF0C8CC763D}"/>
    <cellStyle name="Normal 11 2 9 4 2 2 2" xfId="36777" xr:uid="{9ED0127A-7C17-46C0-B1D2-9A4FF8EED4D2}"/>
    <cellStyle name="Normal 11 2 9 4 2 2 2 2" xfId="36778" xr:uid="{DE20EF6D-D707-4FD7-8564-A6B410B55A32}"/>
    <cellStyle name="Normal 11 2 9 4 2 2 2 2 2" xfId="36779" xr:uid="{95D530AA-FD35-46B2-9EEF-18F7BDA0F611}"/>
    <cellStyle name="Normal 11 2 9 4 2 2 2 2 2 2" xfId="36780" xr:uid="{F436AF26-8F58-4887-9653-935723A45F7F}"/>
    <cellStyle name="Normal 11 2 9 4 2 2 2 2 3" xfId="36781" xr:uid="{37AFE41B-C1B0-4762-A334-04A5D3E8E457}"/>
    <cellStyle name="Normal 11 2 9 4 2 2 2 3" xfId="36782" xr:uid="{F0421DCE-4732-4999-8680-81F3B05357F0}"/>
    <cellStyle name="Normal 11 2 9 4 2 2 2 3 2" xfId="36783" xr:uid="{B12F28C2-B9BF-4B50-8998-56A71F56E6C0}"/>
    <cellStyle name="Normal 11 2 9 4 2 2 2 4" xfId="36784" xr:uid="{F0551536-73DB-4F03-8857-1FF8F527F7A1}"/>
    <cellStyle name="Normal 11 2 9 4 2 2 3" xfId="36785" xr:uid="{793FB943-176D-4F1C-9E4C-34927A5FDBDF}"/>
    <cellStyle name="Normal 11 2 9 4 2 2 3 2" xfId="36786" xr:uid="{3B14673A-BD49-4E8B-A04D-BC300A99B4ED}"/>
    <cellStyle name="Normal 11 2 9 4 2 2 3 2 2" xfId="36787" xr:uid="{4A109ABC-1DCE-4351-BC0C-258D71BCD1C4}"/>
    <cellStyle name="Normal 11 2 9 4 2 2 3 3" xfId="36788" xr:uid="{754288A8-78BC-40EF-B0D8-C1D2474AF9D4}"/>
    <cellStyle name="Normal 11 2 9 4 2 2 4" xfId="36789" xr:uid="{C83CF570-4AAC-4650-83B1-E081A2702A4C}"/>
    <cellStyle name="Normal 11 2 9 4 2 2 4 2" xfId="36790" xr:uid="{0042CB48-5BC2-4A82-A7C5-D8B21A3378FD}"/>
    <cellStyle name="Normal 11 2 9 4 2 2 5" xfId="36791" xr:uid="{6F42AD79-96DF-4D4A-BA76-3D4B2AE82F54}"/>
    <cellStyle name="Normal 11 2 9 4 2 3" xfId="36792" xr:uid="{C190BDEE-3ED4-408C-92F6-710D66545DBF}"/>
    <cellStyle name="Normal 11 2 9 4 2 3 2" xfId="36793" xr:uid="{64273101-A369-42E9-AF9E-54430DEE10C3}"/>
    <cellStyle name="Normal 11 2 9 4 2 3 2 2" xfId="36794" xr:uid="{8AC62B1A-068E-4671-83B7-56EA51B2E365}"/>
    <cellStyle name="Normal 11 2 9 4 2 3 2 2 2" xfId="36795" xr:uid="{A0706FEF-EFAA-4B6E-A1B3-BD173FFE611E}"/>
    <cellStyle name="Normal 11 2 9 4 2 3 2 3" xfId="36796" xr:uid="{87A8D0B0-A4B6-4791-89AE-12B41D3F9194}"/>
    <cellStyle name="Normal 11 2 9 4 2 3 3" xfId="36797" xr:uid="{99D149F2-FE5E-4DBF-B2A0-192683FA5E48}"/>
    <cellStyle name="Normal 11 2 9 4 2 3 3 2" xfId="36798" xr:uid="{D9F5BA93-C6D5-413A-A851-4F317F0FD733}"/>
    <cellStyle name="Normal 11 2 9 4 2 3 4" xfId="36799" xr:uid="{84079C31-17D2-416C-9224-65B389B69015}"/>
    <cellStyle name="Normal 11 2 9 4 2 4" xfId="36800" xr:uid="{5B3AA785-BE95-47B9-AC9F-DB89FDAE1FA2}"/>
    <cellStyle name="Normal 11 2 9 4 2 4 2" xfId="36801" xr:uid="{5A8D8867-8A20-4C0A-9EE6-D6713FDCA35E}"/>
    <cellStyle name="Normal 11 2 9 4 2 4 2 2" xfId="36802" xr:uid="{151A04D7-3BE8-4A50-A947-E243C6001E32}"/>
    <cellStyle name="Normal 11 2 9 4 2 4 3" xfId="36803" xr:uid="{C8DEA15E-CB4D-48E7-B6D2-130ACD9A5C03}"/>
    <cellStyle name="Normal 11 2 9 4 2 5" xfId="36804" xr:uid="{E74BDB64-6F5F-4A8B-887E-2C6177410348}"/>
    <cellStyle name="Normal 11 2 9 4 2 5 2" xfId="36805" xr:uid="{3465CEE7-3ED2-49E2-8C9F-D6182AD1B20F}"/>
    <cellStyle name="Normal 11 2 9 4 2 6" xfId="36806" xr:uid="{AF95B8DE-5B31-4BFE-AFA7-05B6DAD7AE37}"/>
    <cellStyle name="Normal 11 2 9 4 3" xfId="36807" xr:uid="{9095E68E-3972-42BC-886D-E7A4914D207E}"/>
    <cellStyle name="Normal 11 2 9 4 3 2" xfId="36808" xr:uid="{51AC3BAF-6522-41A3-A910-0ED7F9341A06}"/>
    <cellStyle name="Normal 11 2 9 4 3 2 2" xfId="36809" xr:uid="{3AC345EE-2654-4B51-92A7-E0F66DF59C24}"/>
    <cellStyle name="Normal 11 2 9 4 3 2 2 2" xfId="36810" xr:uid="{40EB5A8C-8F6A-4A72-AE70-0903CC099FDD}"/>
    <cellStyle name="Normal 11 2 9 4 3 2 2 2 2" xfId="36811" xr:uid="{0AB286BE-736E-4694-A8A1-7A9C12CF30C1}"/>
    <cellStyle name="Normal 11 2 9 4 3 2 2 3" xfId="36812" xr:uid="{C7E8472F-14CA-4B13-BB7F-7296DFDF2DAA}"/>
    <cellStyle name="Normal 11 2 9 4 3 2 3" xfId="36813" xr:uid="{CE84CABB-6771-475C-8477-225232AFAF20}"/>
    <cellStyle name="Normal 11 2 9 4 3 2 3 2" xfId="36814" xr:uid="{CB04D3B6-1E34-4C5B-953E-337175F6EABC}"/>
    <cellStyle name="Normal 11 2 9 4 3 2 4" xfId="36815" xr:uid="{ECF0CB86-878E-4AD2-8B91-E07C786CD0FC}"/>
    <cellStyle name="Normal 11 2 9 4 3 3" xfId="36816" xr:uid="{B7027AC0-27E7-4794-BE3F-560A3CB75EC6}"/>
    <cellStyle name="Normal 11 2 9 4 3 3 2" xfId="36817" xr:uid="{07BAB7EC-FEBE-434A-A4AE-3B49246525C5}"/>
    <cellStyle name="Normal 11 2 9 4 3 3 2 2" xfId="36818" xr:uid="{FD6B31EB-1453-4EEF-8939-C806F1391048}"/>
    <cellStyle name="Normal 11 2 9 4 3 3 3" xfId="36819" xr:uid="{63A27943-D1E3-4657-9ED0-210F8EBE0883}"/>
    <cellStyle name="Normal 11 2 9 4 3 4" xfId="36820" xr:uid="{3223CCE4-624C-411D-B1BA-AC366A3221EC}"/>
    <cellStyle name="Normal 11 2 9 4 3 4 2" xfId="36821" xr:uid="{6769AF51-BEC7-48FA-B536-DDCE7BB726C9}"/>
    <cellStyle name="Normal 11 2 9 4 3 5" xfId="36822" xr:uid="{10DD30E1-77AE-4D39-AC38-29179D75CE6F}"/>
    <cellStyle name="Normal 11 2 9 4 4" xfId="36823" xr:uid="{004A3D09-0F74-4231-BC4B-7D5B30DCE0C6}"/>
    <cellStyle name="Normal 11 2 9 4 4 2" xfId="36824" xr:uid="{15842515-DEBC-4FC5-8493-97325CC25623}"/>
    <cellStyle name="Normal 11 2 9 4 4 2 2" xfId="36825" xr:uid="{02E3A08A-D415-4759-AB66-DA52F8B347EF}"/>
    <cellStyle name="Normal 11 2 9 4 4 2 2 2" xfId="36826" xr:uid="{527E9B15-EEC9-4DF3-B574-46C7251A466D}"/>
    <cellStyle name="Normal 11 2 9 4 4 2 3" xfId="36827" xr:uid="{D8465ADD-1A67-4E74-B55F-18F79961B507}"/>
    <cellStyle name="Normal 11 2 9 4 4 3" xfId="36828" xr:uid="{2FA29B2E-40FC-4435-8D67-8169A03D38BB}"/>
    <cellStyle name="Normal 11 2 9 4 4 3 2" xfId="36829" xr:uid="{BBD676A3-4D7A-43D5-AFBC-7D14CCE5B361}"/>
    <cellStyle name="Normal 11 2 9 4 4 4" xfId="36830" xr:uid="{5E96D476-7B85-4067-92AB-6FAD101A79D5}"/>
    <cellStyle name="Normal 11 2 9 4 5" xfId="36831" xr:uid="{4E929090-2ED5-442B-AD30-8B6CE0148295}"/>
    <cellStyle name="Normal 11 2 9 4 5 2" xfId="36832" xr:uid="{2787FF7B-CA98-4F0D-9BC5-05ADD0D70709}"/>
    <cellStyle name="Normal 11 2 9 4 5 2 2" xfId="36833" xr:uid="{83805053-6C33-4020-A5F8-27E3D6539A95}"/>
    <cellStyle name="Normal 11 2 9 4 5 3" xfId="36834" xr:uid="{1E20F5C4-7ED7-4C4B-948A-85BCE625DD9C}"/>
    <cellStyle name="Normal 11 2 9 4 6" xfId="36835" xr:uid="{392DA839-754B-4101-9BEA-CD6BF940A142}"/>
    <cellStyle name="Normal 11 2 9 4 6 2" xfId="36836" xr:uid="{E85BBAB1-BFF3-4BD8-990D-F3AB3BD6DFF7}"/>
    <cellStyle name="Normal 11 2 9 4 7" xfId="36837" xr:uid="{B78112ED-EE6C-49D1-AC7E-6F880803C15B}"/>
    <cellStyle name="Normal 11 2 9 5" xfId="36838" xr:uid="{86C7F5A4-FFDF-420C-96E1-E05D55C6BE49}"/>
    <cellStyle name="Normal 11 2 9 5 2" xfId="36839" xr:uid="{2B49879E-8CDF-4A8A-9832-DA8EE544639A}"/>
    <cellStyle name="Normal 11 2 9 5 2 2" xfId="36840" xr:uid="{B40E3E0E-AD8D-44AE-AA31-EAE20300E0D0}"/>
    <cellStyle name="Normal 11 2 9 5 2 2 2" xfId="36841" xr:uid="{B0504475-6A2F-40BF-BB8F-3B988A33A042}"/>
    <cellStyle name="Normal 11 2 9 5 2 2 2 2" xfId="36842" xr:uid="{9E54B8DF-849F-4854-8E11-200CDF15E88D}"/>
    <cellStyle name="Normal 11 2 9 5 2 2 2 2 2" xfId="36843" xr:uid="{C2C9F647-DB6F-4FB5-B483-501AF9A72CD0}"/>
    <cellStyle name="Normal 11 2 9 5 2 2 2 3" xfId="36844" xr:uid="{3186EF6D-1E38-4C4F-9203-778316874689}"/>
    <cellStyle name="Normal 11 2 9 5 2 2 3" xfId="36845" xr:uid="{86CA2BF0-FB54-45E9-8CAD-E3FF90BA62F9}"/>
    <cellStyle name="Normal 11 2 9 5 2 2 3 2" xfId="36846" xr:uid="{F68AD818-C503-47BD-AA0D-A94D1BC8A298}"/>
    <cellStyle name="Normal 11 2 9 5 2 2 4" xfId="36847" xr:uid="{219AA3A3-D2B9-4AD5-A9FD-4A48E19702E4}"/>
    <cellStyle name="Normal 11 2 9 5 2 3" xfId="36848" xr:uid="{9295C967-E1BB-4263-96CB-3F03C1BCEA1D}"/>
    <cellStyle name="Normal 11 2 9 5 2 3 2" xfId="36849" xr:uid="{0A7D3911-2D85-47E3-8318-6CFC66C5A424}"/>
    <cellStyle name="Normal 11 2 9 5 2 3 2 2" xfId="36850" xr:uid="{3A724857-4C63-4D40-BFDA-5256EF28A0E8}"/>
    <cellStyle name="Normal 11 2 9 5 2 3 3" xfId="36851" xr:uid="{975F4FC2-C123-440C-B816-4C45AD84D306}"/>
    <cellStyle name="Normal 11 2 9 5 2 4" xfId="36852" xr:uid="{38F90E1A-46A3-40A0-9DF8-BC284DFAD6E2}"/>
    <cellStyle name="Normal 11 2 9 5 2 4 2" xfId="36853" xr:uid="{D4106D55-B77B-4942-BE42-55CA483306AA}"/>
    <cellStyle name="Normal 11 2 9 5 2 5" xfId="36854" xr:uid="{DD16220D-F197-49D9-9251-2F39C2111DFC}"/>
    <cellStyle name="Normal 11 2 9 5 3" xfId="36855" xr:uid="{A7D5F9D6-97A7-4E5D-AD96-B7652B3DFC68}"/>
    <cellStyle name="Normal 11 2 9 5 3 2" xfId="36856" xr:uid="{2C22A741-587C-48B4-8CD4-98BC6CE7D540}"/>
    <cellStyle name="Normal 11 2 9 5 3 2 2" xfId="36857" xr:uid="{A8ECDE50-4628-4339-8635-4A7F4F0199C8}"/>
    <cellStyle name="Normal 11 2 9 5 3 2 2 2" xfId="36858" xr:uid="{360332A7-6230-483A-94F9-23F45B531EF5}"/>
    <cellStyle name="Normal 11 2 9 5 3 2 3" xfId="36859" xr:uid="{DDE39AEA-1A1E-4209-8884-91E7AFF8139C}"/>
    <cellStyle name="Normal 11 2 9 5 3 3" xfId="36860" xr:uid="{C48930B6-3082-4134-B132-28D7A57F2A82}"/>
    <cellStyle name="Normal 11 2 9 5 3 3 2" xfId="36861" xr:uid="{47E2AF36-9101-4085-8966-2B02E7C58E8A}"/>
    <cellStyle name="Normal 11 2 9 5 3 4" xfId="36862" xr:uid="{966F8795-FC64-45FD-80A6-8573B8956B49}"/>
    <cellStyle name="Normal 11 2 9 5 4" xfId="36863" xr:uid="{061950ED-F7A6-4144-8401-3B86887E0560}"/>
    <cellStyle name="Normal 11 2 9 5 4 2" xfId="36864" xr:uid="{3569958D-A61E-40DF-96ED-7C7A7F5CE7E2}"/>
    <cellStyle name="Normal 11 2 9 5 4 2 2" xfId="36865" xr:uid="{198DBE8E-1FB2-4354-9605-98C07840450E}"/>
    <cellStyle name="Normal 11 2 9 5 4 3" xfId="36866" xr:uid="{B7D2F6E9-89E5-4365-B147-7C6E6FCF8BF6}"/>
    <cellStyle name="Normal 11 2 9 5 5" xfId="36867" xr:uid="{4CCADDA8-DE7A-45B2-827E-9855EDF3FB28}"/>
    <cellStyle name="Normal 11 2 9 5 5 2" xfId="36868" xr:uid="{F50DDFBE-3246-4730-B8BA-00426229C7EC}"/>
    <cellStyle name="Normal 11 2 9 5 6" xfId="36869" xr:uid="{55883910-7F4E-442F-ABBC-102C1A63AF13}"/>
    <cellStyle name="Normal 11 2 9 6" xfId="36870" xr:uid="{D4F95EA3-394F-4BF3-93BA-6A7401135B13}"/>
    <cellStyle name="Normal 11 2 9 6 2" xfId="36871" xr:uid="{D16BC64A-C6BB-40E0-A236-E6141B2B2816}"/>
    <cellStyle name="Normal 11 2 9 6 2 2" xfId="36872" xr:uid="{68EB05C1-4DB5-47A6-A569-8DF8FB652C61}"/>
    <cellStyle name="Normal 11 2 9 6 2 2 2" xfId="36873" xr:uid="{F745BF5B-A8D4-410B-B50A-D17D3179445B}"/>
    <cellStyle name="Normal 11 2 9 6 2 2 2 2" xfId="36874" xr:uid="{38FAAE26-8691-4C8D-8637-3D703558FEA3}"/>
    <cellStyle name="Normal 11 2 9 6 2 2 3" xfId="36875" xr:uid="{23194EF1-A0CC-44AD-BF47-3E98E042F308}"/>
    <cellStyle name="Normal 11 2 9 6 2 3" xfId="36876" xr:uid="{0F5D2B81-ADE5-4D30-AB4E-EBF4495A7555}"/>
    <cellStyle name="Normal 11 2 9 6 2 3 2" xfId="36877" xr:uid="{0F8B77D9-A5F0-45D3-9D46-8CB22D6F3F93}"/>
    <cellStyle name="Normal 11 2 9 6 2 4" xfId="36878" xr:uid="{5E099A4E-F855-4A44-A486-DD9193AE1397}"/>
    <cellStyle name="Normal 11 2 9 6 3" xfId="36879" xr:uid="{893DA52A-EB04-4DF0-9FBE-620252E9E490}"/>
    <cellStyle name="Normal 11 2 9 6 3 2" xfId="36880" xr:uid="{2760558A-DDBC-45CE-9BF3-90C44D951A29}"/>
    <cellStyle name="Normal 11 2 9 6 3 2 2" xfId="36881" xr:uid="{6259F31A-7EE4-4075-890B-FC0187A1D315}"/>
    <cellStyle name="Normal 11 2 9 6 3 3" xfId="36882" xr:uid="{91C95698-4987-4141-9234-D16A077691B7}"/>
    <cellStyle name="Normal 11 2 9 6 4" xfId="36883" xr:uid="{5F4AF771-9E9E-460E-B4C5-CB17572A78E8}"/>
    <cellStyle name="Normal 11 2 9 6 4 2" xfId="36884" xr:uid="{1548BAC9-5E7A-4F6A-8BD1-333170F25A6C}"/>
    <cellStyle name="Normal 11 2 9 6 5" xfId="36885" xr:uid="{AB07DAF5-5828-49BA-BE1F-47B02522638A}"/>
    <cellStyle name="Normal 11 2 9 7" xfId="36886" xr:uid="{8605D6FE-F6A2-4ABC-B19B-85CCAF510C31}"/>
    <cellStyle name="Normal 11 2 9 7 2" xfId="36887" xr:uid="{83F7C251-04B1-4B9E-AD8F-AB7B2F9CF2BC}"/>
    <cellStyle name="Normal 11 2 9 7 2 2" xfId="36888" xr:uid="{476A0908-9849-40E5-8A77-02D3A7381D2E}"/>
    <cellStyle name="Normal 11 2 9 7 2 2 2" xfId="36889" xr:uid="{DA13D78F-18DB-4495-84C9-59995B54F5A6}"/>
    <cellStyle name="Normal 11 2 9 7 2 3" xfId="36890" xr:uid="{2D73BBD3-5395-4A6F-90D8-C3B8352034DA}"/>
    <cellStyle name="Normal 11 2 9 7 3" xfId="36891" xr:uid="{990AFE71-2214-480C-82FE-2A098DFE7BA2}"/>
    <cellStyle name="Normal 11 2 9 7 3 2" xfId="36892" xr:uid="{E1309C3D-E65D-4BA1-941D-698BA409897D}"/>
    <cellStyle name="Normal 11 2 9 7 4" xfId="36893" xr:uid="{EBA1D8F9-E666-4E6D-BF34-D0F78DDB71FB}"/>
    <cellStyle name="Normal 11 2 9 8" xfId="36894" xr:uid="{D66892F2-60B7-4D0B-AF28-457E211BA466}"/>
    <cellStyle name="Normal 11 2 9 8 2" xfId="36895" xr:uid="{909F7446-C648-494A-B673-CB307047C5EB}"/>
    <cellStyle name="Normal 11 2 9 8 2 2" xfId="36896" xr:uid="{BEA4EF52-C5DE-487C-AED9-3C4DD143DE17}"/>
    <cellStyle name="Normal 11 2 9 8 3" xfId="36897" xr:uid="{586F6DEB-7066-49A8-8294-FAF48079BC7E}"/>
    <cellStyle name="Normal 11 2 9 9" xfId="36898" xr:uid="{FC13371E-DB5D-498C-B238-38EB67C4B700}"/>
    <cellStyle name="Normal 11 2 9 9 2" xfId="36899" xr:uid="{943A59F0-1C12-42B5-85AA-BAA565754560}"/>
    <cellStyle name="Normal 11 3" xfId="67" xr:uid="{24CADAAC-6E36-49D5-BD10-5537DFF525D6}"/>
    <cellStyle name="Normal 11 3 10" xfId="436" xr:uid="{924388E3-F958-488D-AA2F-478CD6B66795}"/>
    <cellStyle name="Normal 11 3 10 2" xfId="36901" xr:uid="{3615E87D-7CEA-4C47-BB7F-4C78F2F1FE4F}"/>
    <cellStyle name="Normal 11 3 10 2 2" xfId="36902" xr:uid="{22D4F722-445F-427E-93BA-85E01EC063CE}"/>
    <cellStyle name="Normal 11 3 10 2 2 2" xfId="36903" xr:uid="{62882DE1-1FB5-4FE0-84DB-27B1446C77EC}"/>
    <cellStyle name="Normal 11 3 10 2 2 2 2" xfId="36904" xr:uid="{A880CBE7-D0D9-46BE-8213-E634EBFFBEC8}"/>
    <cellStyle name="Normal 11 3 10 2 2 2 2 2" xfId="36905" xr:uid="{92E60B23-9106-49FA-9806-C2ECA743CA7D}"/>
    <cellStyle name="Normal 11 3 10 2 2 2 2 2 2" xfId="36906" xr:uid="{04BADF5A-31D5-4D46-866A-977451740C01}"/>
    <cellStyle name="Normal 11 3 10 2 2 2 2 2 2 2" xfId="36907" xr:uid="{A264CA28-FA77-431C-BAB1-9B3E7A9F9131}"/>
    <cellStyle name="Normal 11 3 10 2 2 2 2 2 3" xfId="36908" xr:uid="{0F5D0376-216A-49B4-BECE-D52CC14A40BF}"/>
    <cellStyle name="Normal 11 3 10 2 2 2 2 3" xfId="36909" xr:uid="{4BF4A5FA-E0DD-46B9-9133-52C8C3783485}"/>
    <cellStyle name="Normal 11 3 10 2 2 2 2 3 2" xfId="36910" xr:uid="{6EBE83EC-2479-41A6-893A-DB50AB099CCF}"/>
    <cellStyle name="Normal 11 3 10 2 2 2 2 4" xfId="36911" xr:uid="{BEC35558-555F-4907-8192-AC7914A6C5D9}"/>
    <cellStyle name="Normal 11 3 10 2 2 2 3" xfId="36912" xr:uid="{CA2614C9-D4F0-4316-8FA6-A26C170F7146}"/>
    <cellStyle name="Normal 11 3 10 2 2 2 3 2" xfId="36913" xr:uid="{0C5C856F-9B0F-4662-B260-EF536440C846}"/>
    <cellStyle name="Normal 11 3 10 2 2 2 3 2 2" xfId="36914" xr:uid="{E36A129C-34E9-4C8D-BEF0-DEFD1BD54091}"/>
    <cellStyle name="Normal 11 3 10 2 2 2 3 3" xfId="36915" xr:uid="{B1ACBDA5-353D-4B0F-BFE0-5DAD845AC0EA}"/>
    <cellStyle name="Normal 11 3 10 2 2 2 4" xfId="36916" xr:uid="{787D7C0A-B9DA-49B8-8446-4DAE0F8EC51D}"/>
    <cellStyle name="Normal 11 3 10 2 2 2 4 2" xfId="36917" xr:uid="{B16EBF2B-DEB0-4BD0-B45B-97F3E161F402}"/>
    <cellStyle name="Normal 11 3 10 2 2 2 5" xfId="36918" xr:uid="{998AA477-C671-4609-A8EB-CB1F3BF5AF72}"/>
    <cellStyle name="Normal 11 3 10 2 2 3" xfId="36919" xr:uid="{1D39EED1-8508-4374-988F-F0C868F69D49}"/>
    <cellStyle name="Normal 11 3 10 2 2 3 2" xfId="36920" xr:uid="{1C70F9D5-551A-496A-A328-7A59491E00FB}"/>
    <cellStyle name="Normal 11 3 10 2 2 3 2 2" xfId="36921" xr:uid="{4DFEB96A-BD54-4247-A75D-B9FEE6B57DD2}"/>
    <cellStyle name="Normal 11 3 10 2 2 3 2 2 2" xfId="36922" xr:uid="{CEFF6F24-399E-4011-AB30-CCEB0099FA36}"/>
    <cellStyle name="Normal 11 3 10 2 2 3 2 3" xfId="36923" xr:uid="{1AAA9410-98A9-4517-A30B-2A7FF3211C9F}"/>
    <cellStyle name="Normal 11 3 10 2 2 3 3" xfId="36924" xr:uid="{1B2081C7-D73E-4C2F-A16C-23EC4BAA6206}"/>
    <cellStyle name="Normal 11 3 10 2 2 3 3 2" xfId="36925" xr:uid="{CEF4CB1A-1816-48DA-B9B6-67EC612A1055}"/>
    <cellStyle name="Normal 11 3 10 2 2 3 4" xfId="36926" xr:uid="{ACE67F44-6701-41C5-8522-4BA5C267E144}"/>
    <cellStyle name="Normal 11 3 10 2 2 4" xfId="36927" xr:uid="{F50AF80C-F6B8-402E-A070-B094C8A3A99D}"/>
    <cellStyle name="Normal 11 3 10 2 2 4 2" xfId="36928" xr:uid="{F1EED3A7-E19C-4551-90AF-9788B60FD03E}"/>
    <cellStyle name="Normal 11 3 10 2 2 4 2 2" xfId="36929" xr:uid="{8A4107CB-A607-4BC0-84BF-1C218F7B39F4}"/>
    <cellStyle name="Normal 11 3 10 2 2 4 3" xfId="36930" xr:uid="{01B15F6F-2883-4D77-89CF-794AF197CF3E}"/>
    <cellStyle name="Normal 11 3 10 2 2 5" xfId="36931" xr:uid="{6CE71A31-AD3D-4CC7-A373-972892B4FFEE}"/>
    <cellStyle name="Normal 11 3 10 2 2 5 2" xfId="36932" xr:uid="{E506A95C-2A0D-44D5-A00F-348489F8386A}"/>
    <cellStyle name="Normal 11 3 10 2 2 6" xfId="36933" xr:uid="{6A7CAE19-20F7-4F78-B277-FA47BACAF564}"/>
    <cellStyle name="Normal 11 3 10 2 3" xfId="36934" xr:uid="{E847B0B2-7286-4D65-8D8F-3255054980C0}"/>
    <cellStyle name="Normal 11 3 10 2 3 2" xfId="36935" xr:uid="{4DBEC07D-F8D9-4FF6-8112-B6AFE9DC357B}"/>
    <cellStyle name="Normal 11 3 10 2 3 2 2" xfId="36936" xr:uid="{ABDD1CD5-C74F-4614-94F2-EFDC64504C39}"/>
    <cellStyle name="Normal 11 3 10 2 3 2 2 2" xfId="36937" xr:uid="{7AB8D045-D2D8-4EC3-8509-16CC77393DAD}"/>
    <cellStyle name="Normal 11 3 10 2 3 2 2 2 2" xfId="36938" xr:uid="{7B350DD9-66D3-41FB-B6AE-17E6C1634609}"/>
    <cellStyle name="Normal 11 3 10 2 3 2 2 3" xfId="36939" xr:uid="{1C95337A-6480-41A6-B8F7-C71EE483208D}"/>
    <cellStyle name="Normal 11 3 10 2 3 2 3" xfId="36940" xr:uid="{2F0470CA-AEF6-4D53-AC66-8CBA6EAC98DE}"/>
    <cellStyle name="Normal 11 3 10 2 3 2 3 2" xfId="36941" xr:uid="{ADC18A9D-453A-4046-8F0D-AFE09042D4B9}"/>
    <cellStyle name="Normal 11 3 10 2 3 2 4" xfId="36942" xr:uid="{1FD807B6-898C-4C12-9A40-5D8C45C22431}"/>
    <cellStyle name="Normal 11 3 10 2 3 3" xfId="36943" xr:uid="{ED33DF5E-1FDD-418B-A9F9-998A013B79B3}"/>
    <cellStyle name="Normal 11 3 10 2 3 3 2" xfId="36944" xr:uid="{4B3384C8-6F62-480B-8785-AE219D9C8BE7}"/>
    <cellStyle name="Normal 11 3 10 2 3 3 2 2" xfId="36945" xr:uid="{3459762D-D6FE-425C-9478-5EA708AF55AA}"/>
    <cellStyle name="Normal 11 3 10 2 3 3 3" xfId="36946" xr:uid="{8A284407-4A47-4D8D-ABCA-B880DD48E410}"/>
    <cellStyle name="Normal 11 3 10 2 3 4" xfId="36947" xr:uid="{C7F0CB90-C434-4433-A4D1-37D68968A047}"/>
    <cellStyle name="Normal 11 3 10 2 3 4 2" xfId="36948" xr:uid="{2858E0C2-FB54-41C5-9B2B-4F8844E4F492}"/>
    <cellStyle name="Normal 11 3 10 2 3 5" xfId="36949" xr:uid="{016D8089-049D-4CFE-972C-A9F8CCA7995B}"/>
    <cellStyle name="Normal 11 3 10 2 4" xfId="36950" xr:uid="{2E426FCA-817B-4684-AFA1-AA8BEA211B98}"/>
    <cellStyle name="Normal 11 3 10 2 4 2" xfId="36951" xr:uid="{EACA4BE8-DEB0-4F6A-B1BE-6ACBD2B36C36}"/>
    <cellStyle name="Normal 11 3 10 2 4 2 2" xfId="36952" xr:uid="{61EDFCCA-ECA1-4612-BAC9-7A49E2242E51}"/>
    <cellStyle name="Normal 11 3 10 2 4 2 2 2" xfId="36953" xr:uid="{343DFAE4-A760-41ED-9FE6-A5DC5FF11559}"/>
    <cellStyle name="Normal 11 3 10 2 4 2 3" xfId="36954" xr:uid="{48109B0D-077D-4F9E-8868-DD3F460E4916}"/>
    <cellStyle name="Normal 11 3 10 2 4 3" xfId="36955" xr:uid="{8613922A-7B3D-435B-B308-63821CA7C12C}"/>
    <cellStyle name="Normal 11 3 10 2 4 3 2" xfId="36956" xr:uid="{5BFE029E-35E1-444B-A13D-AF11525EE6F0}"/>
    <cellStyle name="Normal 11 3 10 2 4 4" xfId="36957" xr:uid="{7C3F6A67-F1F1-4DAC-95E4-34CE504EC79F}"/>
    <cellStyle name="Normal 11 3 10 2 5" xfId="36958" xr:uid="{E677617E-CEBA-4115-AAEF-3A564DA60E72}"/>
    <cellStyle name="Normal 11 3 10 2 5 2" xfId="36959" xr:uid="{4D520F14-4E48-42A1-A00E-A94DD401D33E}"/>
    <cellStyle name="Normal 11 3 10 2 5 2 2" xfId="36960" xr:uid="{37D70E3F-F0F7-4B34-A0E3-532EB48B057C}"/>
    <cellStyle name="Normal 11 3 10 2 5 3" xfId="36961" xr:uid="{3813C645-1176-494A-824E-1F010D20AC81}"/>
    <cellStyle name="Normal 11 3 10 2 6" xfId="36962" xr:uid="{46F2D9E6-AF19-41CD-A364-5F27BEACEF57}"/>
    <cellStyle name="Normal 11 3 10 2 6 2" xfId="36963" xr:uid="{187A246C-159E-442D-BEE5-59ACE14AEF95}"/>
    <cellStyle name="Normal 11 3 10 2 7" xfId="36964" xr:uid="{623D1C29-CC8B-41B7-A8B2-8C5457529BD9}"/>
    <cellStyle name="Normal 11 3 10 3" xfId="36965" xr:uid="{E4E423A9-0A2E-4A24-906E-DB49F8708C43}"/>
    <cellStyle name="Normal 11 3 10 3 2" xfId="36966" xr:uid="{AEC9C3F0-53AB-462B-92EC-82AA4F60DAB7}"/>
    <cellStyle name="Normal 11 3 10 3 2 2" xfId="36967" xr:uid="{704E481A-43FD-4DF8-AE21-3E482118D470}"/>
    <cellStyle name="Normal 11 3 10 3 2 2 2" xfId="36968" xr:uid="{39DADD5A-81AD-41F2-8294-020F8F089022}"/>
    <cellStyle name="Normal 11 3 10 3 2 2 2 2" xfId="36969" xr:uid="{21F95103-4668-4BD1-9C86-9CCC27BFF41B}"/>
    <cellStyle name="Normal 11 3 10 3 2 2 2 2 2" xfId="36970" xr:uid="{0E3819C7-7126-4580-9388-E799607BC8DB}"/>
    <cellStyle name="Normal 11 3 10 3 2 2 2 3" xfId="36971" xr:uid="{1DAAA3B4-7E51-45F5-BA52-338DD597B98C}"/>
    <cellStyle name="Normal 11 3 10 3 2 2 3" xfId="36972" xr:uid="{EE7AA22B-70C0-472F-9215-FDD8EBF9DC5A}"/>
    <cellStyle name="Normal 11 3 10 3 2 2 3 2" xfId="36973" xr:uid="{65FD44BB-A118-4516-820E-9B2D96E86876}"/>
    <cellStyle name="Normal 11 3 10 3 2 2 4" xfId="36974" xr:uid="{E8AD42FD-2E73-4B1E-A898-D8234F6BF618}"/>
    <cellStyle name="Normal 11 3 10 3 2 3" xfId="36975" xr:uid="{E9A987C8-C8BF-48B4-8A90-EF645E826BEC}"/>
    <cellStyle name="Normal 11 3 10 3 2 3 2" xfId="36976" xr:uid="{026ED03B-0D4E-43EE-92E8-93DCBD608B70}"/>
    <cellStyle name="Normal 11 3 10 3 2 3 2 2" xfId="36977" xr:uid="{B3F8980E-2818-411B-BCB7-48CC9A76928D}"/>
    <cellStyle name="Normal 11 3 10 3 2 3 3" xfId="36978" xr:uid="{53178A9D-0829-4EBF-9D99-791B59F2E785}"/>
    <cellStyle name="Normal 11 3 10 3 2 4" xfId="36979" xr:uid="{7325591B-9F6E-42B3-8915-53D1185FA0EC}"/>
    <cellStyle name="Normal 11 3 10 3 2 4 2" xfId="36980" xr:uid="{206841AA-DCCA-44A2-8DBC-9D836122F73A}"/>
    <cellStyle name="Normal 11 3 10 3 2 5" xfId="36981" xr:uid="{BB722934-E59D-402F-A060-40A8A2576F33}"/>
    <cellStyle name="Normal 11 3 10 3 3" xfId="36982" xr:uid="{176F1CA5-CA36-407E-86E8-9EC122F31B82}"/>
    <cellStyle name="Normal 11 3 10 3 3 2" xfId="36983" xr:uid="{866D5E50-1F33-4E94-B607-463C49E5A6F5}"/>
    <cellStyle name="Normal 11 3 10 3 3 2 2" xfId="36984" xr:uid="{3BC87E48-FC5D-4767-B7A5-12696BECEC3C}"/>
    <cellStyle name="Normal 11 3 10 3 3 2 2 2" xfId="36985" xr:uid="{C06E1075-02BA-4ABA-A443-8974BE10372C}"/>
    <cellStyle name="Normal 11 3 10 3 3 2 3" xfId="36986" xr:uid="{E2BAFE04-E646-460E-B390-1ED8491ED352}"/>
    <cellStyle name="Normal 11 3 10 3 3 3" xfId="36987" xr:uid="{CAA7987F-7485-41B6-B7B5-F54E9DCC0F33}"/>
    <cellStyle name="Normal 11 3 10 3 3 3 2" xfId="36988" xr:uid="{C7CE19B4-CC37-4E00-BB41-14749F635CC2}"/>
    <cellStyle name="Normal 11 3 10 3 3 4" xfId="36989" xr:uid="{464B7885-E1E1-4BBA-9A22-9E2666FA0FC6}"/>
    <cellStyle name="Normal 11 3 10 3 4" xfId="36990" xr:uid="{782C23E2-6019-4DB7-9E7E-AA0B7336D218}"/>
    <cellStyle name="Normal 11 3 10 3 4 2" xfId="36991" xr:uid="{AE646DD6-FB7F-4F69-AAA8-AE0EA5307270}"/>
    <cellStyle name="Normal 11 3 10 3 4 2 2" xfId="36992" xr:uid="{D05E7B42-B227-4AEC-8D26-0DA82CD7D519}"/>
    <cellStyle name="Normal 11 3 10 3 4 3" xfId="36993" xr:uid="{7E09E655-D3A5-440B-A927-305B9EE8D564}"/>
    <cellStyle name="Normal 11 3 10 3 5" xfId="36994" xr:uid="{7D178D75-4794-40E3-9ABE-79BFB47FED6A}"/>
    <cellStyle name="Normal 11 3 10 3 5 2" xfId="36995" xr:uid="{C09B4858-417B-4E25-9F86-742188BB3DF2}"/>
    <cellStyle name="Normal 11 3 10 3 6" xfId="36996" xr:uid="{E8F99A03-3A75-405D-AA72-B881791576DC}"/>
    <cellStyle name="Normal 11 3 10 4" xfId="36997" xr:uid="{F50CF55F-6473-4F12-9BA1-AFF1E670A75A}"/>
    <cellStyle name="Normal 11 3 10 4 2" xfId="36998" xr:uid="{F879ABAB-5351-49AE-9FB3-2EAE894E86BD}"/>
    <cellStyle name="Normal 11 3 10 4 2 2" xfId="36999" xr:uid="{97B2B048-D1A8-4B9B-97A2-D79F2130C72B}"/>
    <cellStyle name="Normal 11 3 10 4 2 2 2" xfId="37000" xr:uid="{9E99F0BC-DD82-4C6D-960E-48D2DBC3E2EB}"/>
    <cellStyle name="Normal 11 3 10 4 2 2 2 2" xfId="37001" xr:uid="{1259D32E-881B-4524-B79D-F7C50A47FB72}"/>
    <cellStyle name="Normal 11 3 10 4 2 2 3" xfId="37002" xr:uid="{D86D4AE1-7F24-45CF-A12D-70B485BD1EAE}"/>
    <cellStyle name="Normal 11 3 10 4 2 3" xfId="37003" xr:uid="{F5E279E2-ACB6-419F-BAB4-53E3A7C0121F}"/>
    <cellStyle name="Normal 11 3 10 4 2 3 2" xfId="37004" xr:uid="{BC245110-F65B-4F68-B13B-8C7AC73134B1}"/>
    <cellStyle name="Normal 11 3 10 4 2 4" xfId="37005" xr:uid="{59F7E5B9-52D1-4077-A4D3-4C930BAA6480}"/>
    <cellStyle name="Normal 11 3 10 4 3" xfId="37006" xr:uid="{4A092EB5-2ACB-4A27-9856-6D6C22D3E079}"/>
    <cellStyle name="Normal 11 3 10 4 3 2" xfId="37007" xr:uid="{55FB9F57-C9A5-479E-A95E-AEDE83BF1D7F}"/>
    <cellStyle name="Normal 11 3 10 4 3 2 2" xfId="37008" xr:uid="{B47FC986-73AA-448D-9131-48B56731BBA9}"/>
    <cellStyle name="Normal 11 3 10 4 3 3" xfId="37009" xr:uid="{AF39418B-5498-4383-B6AE-6939C06D31FF}"/>
    <cellStyle name="Normal 11 3 10 4 4" xfId="37010" xr:uid="{A84AAFC0-DE9F-483C-8D31-5ED44EC2264F}"/>
    <cellStyle name="Normal 11 3 10 4 4 2" xfId="37011" xr:uid="{79E6CCA2-8371-4AEB-8F18-0D7346DBA437}"/>
    <cellStyle name="Normal 11 3 10 4 5" xfId="37012" xr:uid="{53C79485-A1A0-4EBF-BDA9-CB79EE5F852D}"/>
    <cellStyle name="Normal 11 3 10 5" xfId="37013" xr:uid="{7CE09CF7-34CD-40EC-88E8-B1ED7BC0DE07}"/>
    <cellStyle name="Normal 11 3 10 5 2" xfId="37014" xr:uid="{C60EB1BD-5D07-4593-9575-A0FD6C8C5F12}"/>
    <cellStyle name="Normal 11 3 10 5 2 2" xfId="37015" xr:uid="{73AE6478-FFA8-4568-A091-B806C11E5973}"/>
    <cellStyle name="Normal 11 3 10 5 2 2 2" xfId="37016" xr:uid="{9876F3DC-3C90-4F7F-BC40-74467786FCA4}"/>
    <cellStyle name="Normal 11 3 10 5 2 3" xfId="37017" xr:uid="{0DCE8C93-307B-471C-AE6C-5479AD947424}"/>
    <cellStyle name="Normal 11 3 10 5 3" xfId="37018" xr:uid="{66A733B8-5CCF-495A-9366-3860E5530850}"/>
    <cellStyle name="Normal 11 3 10 5 3 2" xfId="37019" xr:uid="{B687088F-6E0F-4287-B08C-3E03E2C95C92}"/>
    <cellStyle name="Normal 11 3 10 5 4" xfId="37020" xr:uid="{14BD1475-240F-46C6-819A-71050EE9B95C}"/>
    <cellStyle name="Normal 11 3 10 6" xfId="37021" xr:uid="{7D999446-30BA-4D5B-8094-93DFDAA6A699}"/>
    <cellStyle name="Normal 11 3 10 6 2" xfId="37022" xr:uid="{8B67C877-3CF3-4BB5-9C83-AF1613897D7E}"/>
    <cellStyle name="Normal 11 3 10 6 2 2" xfId="37023" xr:uid="{D90F076D-D4BF-4064-9E43-31F10C4E2C13}"/>
    <cellStyle name="Normal 11 3 10 6 3" xfId="37024" xr:uid="{16F17F59-0E40-47D0-AE15-96EF172BCCDD}"/>
    <cellStyle name="Normal 11 3 10 7" xfId="37025" xr:uid="{5FCF61E4-F911-4FC7-AE5A-3E5F4B0F3DF9}"/>
    <cellStyle name="Normal 11 3 10 7 2" xfId="37026" xr:uid="{2DF1571D-AA1A-4BD5-ADBC-B291B1536508}"/>
    <cellStyle name="Normal 11 3 10 8" xfId="37027" xr:uid="{6E692CFF-7188-4698-96C8-ED32AA1C22CE}"/>
    <cellStyle name="Normal 11 3 10 9" xfId="36900" xr:uid="{2904B485-F8B7-459C-9F33-D0B75CDEABBF}"/>
    <cellStyle name="Normal 11 3 11" xfId="37028" xr:uid="{2EEE021F-5178-4F92-86A4-C490008C1737}"/>
    <cellStyle name="Normal 11 3 11 2" xfId="37029" xr:uid="{4B262EDD-2EDE-474B-8588-D9571D046B5B}"/>
    <cellStyle name="Normal 11 3 11 2 2" xfId="37030" xr:uid="{BE909C66-ED91-4588-86AF-F5EA5BA6772F}"/>
    <cellStyle name="Normal 11 3 11 2 2 2" xfId="37031" xr:uid="{766D7EF4-3E57-4BFB-B0D5-018393B20EAB}"/>
    <cellStyle name="Normal 11 3 11 2 2 2 2" xfId="37032" xr:uid="{94C0BDDC-F5C2-4DE5-9D68-01A5F329B9A3}"/>
    <cellStyle name="Normal 11 3 11 2 2 2 2 2" xfId="37033" xr:uid="{8868AA74-E5BB-40F7-8A26-0F003802F00E}"/>
    <cellStyle name="Normal 11 3 11 2 2 2 2 2 2" xfId="37034" xr:uid="{F95EDB93-3B2E-40B8-9E1E-0F36D0018141}"/>
    <cellStyle name="Normal 11 3 11 2 2 2 2 3" xfId="37035" xr:uid="{4917B43F-E54A-4267-98BE-C8B9C59ABC46}"/>
    <cellStyle name="Normal 11 3 11 2 2 2 3" xfId="37036" xr:uid="{A7AE7A7D-B506-49AF-B5CB-6062881EB8C8}"/>
    <cellStyle name="Normal 11 3 11 2 2 2 3 2" xfId="37037" xr:uid="{48ED1056-D547-4C7D-84BB-1BDF5C15F7C7}"/>
    <cellStyle name="Normal 11 3 11 2 2 2 4" xfId="37038" xr:uid="{A7A8A0CE-2453-432A-A7D0-57B0A7276404}"/>
    <cellStyle name="Normal 11 3 11 2 2 3" xfId="37039" xr:uid="{1A2B3AFA-891B-4DD7-9FA1-86761E736CF4}"/>
    <cellStyle name="Normal 11 3 11 2 2 3 2" xfId="37040" xr:uid="{683A439E-0400-4F5C-B271-E008E4E354A4}"/>
    <cellStyle name="Normal 11 3 11 2 2 3 2 2" xfId="37041" xr:uid="{331ECE1C-0822-4CE2-BB64-C7178AD50C22}"/>
    <cellStyle name="Normal 11 3 11 2 2 3 3" xfId="37042" xr:uid="{462F260B-5CE8-4CE3-8C92-5576DBA4322C}"/>
    <cellStyle name="Normal 11 3 11 2 2 4" xfId="37043" xr:uid="{656C313C-30AB-4C48-B016-0D56B6EC10F5}"/>
    <cellStyle name="Normal 11 3 11 2 2 4 2" xfId="37044" xr:uid="{22C07E6C-2B45-4067-8963-DE131D4AE649}"/>
    <cellStyle name="Normal 11 3 11 2 2 5" xfId="37045" xr:uid="{62E62D2E-DFA6-4619-AA12-013A4829C634}"/>
    <cellStyle name="Normal 11 3 11 2 3" xfId="37046" xr:uid="{713ED863-FCCF-4053-A1B6-BB9EEA48D472}"/>
    <cellStyle name="Normal 11 3 11 2 3 2" xfId="37047" xr:uid="{8E9EB6DF-1350-48AE-9A76-DF656CFEA606}"/>
    <cellStyle name="Normal 11 3 11 2 3 2 2" xfId="37048" xr:uid="{8722FA29-3583-4685-AC74-8D02864A11B9}"/>
    <cellStyle name="Normal 11 3 11 2 3 2 2 2" xfId="37049" xr:uid="{75A29378-14D5-4673-ACCC-C42BE71A3507}"/>
    <cellStyle name="Normal 11 3 11 2 3 2 3" xfId="37050" xr:uid="{1C7583C0-22E7-4C41-AAAA-9469F8F8721F}"/>
    <cellStyle name="Normal 11 3 11 2 3 3" xfId="37051" xr:uid="{43A69CA0-7001-43AD-A3DD-02038AD8129C}"/>
    <cellStyle name="Normal 11 3 11 2 3 3 2" xfId="37052" xr:uid="{A602E50C-747C-4FFA-B1AF-970BCAD86D2F}"/>
    <cellStyle name="Normal 11 3 11 2 3 4" xfId="37053" xr:uid="{CB8AB038-8677-49A8-95A0-025BA6B0DB98}"/>
    <cellStyle name="Normal 11 3 11 2 4" xfId="37054" xr:uid="{9DE94716-8847-42A5-860F-0777D0DD1BC2}"/>
    <cellStyle name="Normal 11 3 11 2 4 2" xfId="37055" xr:uid="{28DEA253-0980-42EA-8120-A8F9B0B41D00}"/>
    <cellStyle name="Normal 11 3 11 2 4 2 2" xfId="37056" xr:uid="{813A7419-99BB-40C6-BF84-094986C8DEEB}"/>
    <cellStyle name="Normal 11 3 11 2 4 3" xfId="37057" xr:uid="{427C3C14-FF51-44B5-936F-FB4446FFD1E5}"/>
    <cellStyle name="Normal 11 3 11 2 5" xfId="37058" xr:uid="{F8A42996-5980-44D1-BB09-6FAC0F4A7129}"/>
    <cellStyle name="Normal 11 3 11 2 5 2" xfId="37059" xr:uid="{C25769AC-27AD-4D13-AD5F-D114F68A83A0}"/>
    <cellStyle name="Normal 11 3 11 2 6" xfId="37060" xr:uid="{ECF44884-D982-4F0E-BE43-2FCF37F8476A}"/>
    <cellStyle name="Normal 11 3 11 3" xfId="37061" xr:uid="{468325A9-9057-4814-AA94-C2CD8C614A7B}"/>
    <cellStyle name="Normal 11 3 11 3 2" xfId="37062" xr:uid="{1E158887-8B51-4AD9-85E9-F55146B02CB3}"/>
    <cellStyle name="Normal 11 3 11 3 2 2" xfId="37063" xr:uid="{7B9D3EBE-ADA5-4ACD-8F14-584C24D85E41}"/>
    <cellStyle name="Normal 11 3 11 3 2 2 2" xfId="37064" xr:uid="{47F8587C-3D50-4695-98BC-680DCA7B1F57}"/>
    <cellStyle name="Normal 11 3 11 3 2 2 2 2" xfId="37065" xr:uid="{6DDE0DE5-1618-48F2-8DC4-394F89A80FA5}"/>
    <cellStyle name="Normal 11 3 11 3 2 2 3" xfId="37066" xr:uid="{FDDE8AB1-224F-461D-AB4E-385DEFB3D0CF}"/>
    <cellStyle name="Normal 11 3 11 3 2 3" xfId="37067" xr:uid="{AC6A968D-95A5-426E-8270-C9336E3C0F7D}"/>
    <cellStyle name="Normal 11 3 11 3 2 3 2" xfId="37068" xr:uid="{9E859CD3-AC2E-416E-B68C-FDF0A675179F}"/>
    <cellStyle name="Normal 11 3 11 3 2 4" xfId="37069" xr:uid="{A9C9076C-8A11-4DFE-8573-0168D8D18C4C}"/>
    <cellStyle name="Normal 11 3 11 3 3" xfId="37070" xr:uid="{B138077C-FAF9-4075-94FB-E28177D8637D}"/>
    <cellStyle name="Normal 11 3 11 3 3 2" xfId="37071" xr:uid="{94F75BAA-ED26-4D58-9250-987278C7B540}"/>
    <cellStyle name="Normal 11 3 11 3 3 2 2" xfId="37072" xr:uid="{BB6126BC-189B-4D7A-934B-018DFC2817B9}"/>
    <cellStyle name="Normal 11 3 11 3 3 3" xfId="37073" xr:uid="{132D9741-8FA5-457E-88AD-23D0C1FEC9B1}"/>
    <cellStyle name="Normal 11 3 11 3 4" xfId="37074" xr:uid="{37284893-6A3C-4373-B114-6B843C69296E}"/>
    <cellStyle name="Normal 11 3 11 3 4 2" xfId="37075" xr:uid="{9BE9BDD1-204F-45B9-9EF4-491DA4251617}"/>
    <cellStyle name="Normal 11 3 11 3 5" xfId="37076" xr:uid="{3006CD8B-7044-409B-936E-5EB414542E28}"/>
    <cellStyle name="Normal 11 3 11 4" xfId="37077" xr:uid="{5C214A9D-AC73-4E76-B7FC-EA02E04BE301}"/>
    <cellStyle name="Normal 11 3 11 4 2" xfId="37078" xr:uid="{93E4938E-1ACE-419D-BC19-9EC83A36CF47}"/>
    <cellStyle name="Normal 11 3 11 4 2 2" xfId="37079" xr:uid="{23F67B7E-A5C4-458C-BCD2-B5FB558C4FFF}"/>
    <cellStyle name="Normal 11 3 11 4 2 2 2" xfId="37080" xr:uid="{FC1933C6-D7B7-408F-A9E5-71299EE994F4}"/>
    <cellStyle name="Normal 11 3 11 4 2 3" xfId="37081" xr:uid="{3A050CA2-B54B-4073-BA3B-0B13C190BBF0}"/>
    <cellStyle name="Normal 11 3 11 4 3" xfId="37082" xr:uid="{F17CE2D0-2A62-448C-99EF-37294E939056}"/>
    <cellStyle name="Normal 11 3 11 4 3 2" xfId="37083" xr:uid="{D07C797F-B1F5-4016-82D3-A9C2A928FD95}"/>
    <cellStyle name="Normal 11 3 11 4 4" xfId="37084" xr:uid="{B547E491-95A2-47A6-ABC0-70B72114580D}"/>
    <cellStyle name="Normal 11 3 11 5" xfId="37085" xr:uid="{F7998812-0D1E-46D7-A49C-982E1E49B6BA}"/>
    <cellStyle name="Normal 11 3 11 5 2" xfId="37086" xr:uid="{7A4672AA-F7E2-4047-9E82-55A688B67AC8}"/>
    <cellStyle name="Normal 11 3 11 5 2 2" xfId="37087" xr:uid="{4E0FC891-8ED7-44BF-9E7A-546E52F07858}"/>
    <cellStyle name="Normal 11 3 11 5 3" xfId="37088" xr:uid="{B8A50FA4-7CDA-4A55-A37E-561054F534B7}"/>
    <cellStyle name="Normal 11 3 11 6" xfId="37089" xr:uid="{695AC03F-F009-4D2D-8CA2-72EE89FF1973}"/>
    <cellStyle name="Normal 11 3 11 6 2" xfId="37090" xr:uid="{9D728C2C-0827-4004-9F59-A74231E3E0E0}"/>
    <cellStyle name="Normal 11 3 11 7" xfId="37091" xr:uid="{4A167C27-A851-47B3-86DC-E170CCDDFCFC}"/>
    <cellStyle name="Normal 11 3 12" xfId="37092" xr:uid="{2D218137-C9ED-4B14-86C5-19EAFEFC200B}"/>
    <cellStyle name="Normal 11 3 12 2" xfId="37093" xr:uid="{DADF4ADA-4B08-4392-B97E-88ED1E2702D2}"/>
    <cellStyle name="Normal 11 3 12 2 2" xfId="37094" xr:uid="{A28A72EB-EB78-4EB1-AB7E-7029D292CE8A}"/>
    <cellStyle name="Normal 11 3 12 2 2 2" xfId="37095" xr:uid="{84F4CC75-4C67-4DC4-82DF-E16475A2F4E0}"/>
    <cellStyle name="Normal 11 3 12 2 2 2 2" xfId="37096" xr:uid="{82674499-F647-4F5B-97C9-989E4E062662}"/>
    <cellStyle name="Normal 11 3 12 2 2 2 2 2" xfId="37097" xr:uid="{3B904C42-6CDE-48E3-A8BE-86D2AC16A6E7}"/>
    <cellStyle name="Normal 11 3 12 2 2 2 3" xfId="37098" xr:uid="{D1A88225-0C46-4571-AACC-C6F76776AD9E}"/>
    <cellStyle name="Normal 11 3 12 2 2 3" xfId="37099" xr:uid="{C1818A03-C631-49FA-B0DE-055E91779421}"/>
    <cellStyle name="Normal 11 3 12 2 2 3 2" xfId="37100" xr:uid="{24EB660D-F006-4547-BBE6-7EAB6AC6E451}"/>
    <cellStyle name="Normal 11 3 12 2 2 4" xfId="37101" xr:uid="{FC044C5D-092E-4454-A228-B4E88AE007B3}"/>
    <cellStyle name="Normal 11 3 12 2 3" xfId="37102" xr:uid="{68992E55-8078-4EEA-ABD8-9B99243D04FE}"/>
    <cellStyle name="Normal 11 3 12 2 3 2" xfId="37103" xr:uid="{A6A2CD1B-D03D-437B-916A-048781A23B43}"/>
    <cellStyle name="Normal 11 3 12 2 3 2 2" xfId="37104" xr:uid="{9950230F-402E-43A6-8314-422F832246D8}"/>
    <cellStyle name="Normal 11 3 12 2 3 3" xfId="37105" xr:uid="{62518CBC-28F3-4688-B239-0B015952D1C7}"/>
    <cellStyle name="Normal 11 3 12 2 4" xfId="37106" xr:uid="{3CEC1A92-9B4E-4BB2-B721-557C2B8453EA}"/>
    <cellStyle name="Normal 11 3 12 2 4 2" xfId="37107" xr:uid="{7B1F4204-DE70-4060-9D6A-A4B6E63E4486}"/>
    <cellStyle name="Normal 11 3 12 2 5" xfId="37108" xr:uid="{15102098-99FB-448B-B94B-DD82B69362EF}"/>
    <cellStyle name="Normal 11 3 12 3" xfId="37109" xr:uid="{CE15558A-805D-43D6-AD32-A1CC2DC60753}"/>
    <cellStyle name="Normal 11 3 12 3 2" xfId="37110" xr:uid="{818E3A6C-770F-4EB0-B512-09F539257D32}"/>
    <cellStyle name="Normal 11 3 12 3 2 2" xfId="37111" xr:uid="{A0F977DD-561C-4308-AD79-C0D5C00DB6A3}"/>
    <cellStyle name="Normal 11 3 12 3 2 2 2" xfId="37112" xr:uid="{23D642E8-1913-4D82-AC3F-5B53A8984FD8}"/>
    <cellStyle name="Normal 11 3 12 3 2 3" xfId="37113" xr:uid="{8187B9DE-FE53-4D00-9740-6FB1D0657A72}"/>
    <cellStyle name="Normal 11 3 12 3 3" xfId="37114" xr:uid="{01FC5C2B-9805-41C7-8992-0A4CFA8FF25B}"/>
    <cellStyle name="Normal 11 3 12 3 3 2" xfId="37115" xr:uid="{4A9C3AD2-AA57-48B7-811C-7746B03DCB2F}"/>
    <cellStyle name="Normal 11 3 12 3 4" xfId="37116" xr:uid="{A7FB296C-AA40-4745-AA1A-2EEE1B703562}"/>
    <cellStyle name="Normal 11 3 12 4" xfId="37117" xr:uid="{ED76B1CC-8B8D-4691-A776-94A9B7046D7E}"/>
    <cellStyle name="Normal 11 3 12 4 2" xfId="37118" xr:uid="{E245739D-E598-4BF2-9D94-7D927DD2DDD6}"/>
    <cellStyle name="Normal 11 3 12 4 2 2" xfId="37119" xr:uid="{C9A819E3-4BD6-4C1C-A240-6887795E8BBF}"/>
    <cellStyle name="Normal 11 3 12 4 3" xfId="37120" xr:uid="{0523E48B-816A-4D2B-A0BB-B3F1FCB00FCC}"/>
    <cellStyle name="Normal 11 3 12 5" xfId="37121" xr:uid="{3B4B1BA9-49A6-48DC-B21E-2A3C47E1599A}"/>
    <cellStyle name="Normal 11 3 12 5 2" xfId="37122" xr:uid="{4F7B5286-714A-4880-A7C5-5E6213D919C8}"/>
    <cellStyle name="Normal 11 3 12 6" xfId="37123" xr:uid="{5E28CB4F-37E5-443C-9358-5EB4F793A6A6}"/>
    <cellStyle name="Normal 11 3 13" xfId="37124" xr:uid="{B5241BCE-5BF8-4687-BAB0-8CDEE993A93C}"/>
    <cellStyle name="Normal 11 3 13 2" xfId="37125" xr:uid="{5BF5FC98-D78F-455B-B5F2-B7FE872A8A7B}"/>
    <cellStyle name="Normal 11 3 13 2 2" xfId="37126" xr:uid="{6CCEB645-CE2C-47D3-904D-395B2D871102}"/>
    <cellStyle name="Normal 11 3 13 2 2 2" xfId="37127" xr:uid="{4D7CF213-B6B9-4B73-B5E9-717C5819FDE3}"/>
    <cellStyle name="Normal 11 3 13 2 2 2 2" xfId="37128" xr:uid="{0AD0ADB7-3B29-4440-AE3E-E441A2A634FF}"/>
    <cellStyle name="Normal 11 3 13 2 2 3" xfId="37129" xr:uid="{BFEE0673-A7E0-42DE-BED9-4341AB2A26A8}"/>
    <cellStyle name="Normal 11 3 13 2 3" xfId="37130" xr:uid="{FA02ECA6-BE0D-481C-8BC5-C9BEFB424C53}"/>
    <cellStyle name="Normal 11 3 13 2 3 2" xfId="37131" xr:uid="{93775E39-D472-40E1-AE34-9BA179750003}"/>
    <cellStyle name="Normal 11 3 13 2 4" xfId="37132" xr:uid="{2D4A3829-B379-49D8-84F0-C228A7D8737A}"/>
    <cellStyle name="Normal 11 3 13 3" xfId="37133" xr:uid="{1A89F83C-AEC4-47DE-9867-75E6D5E95D14}"/>
    <cellStyle name="Normal 11 3 13 3 2" xfId="37134" xr:uid="{E99C1113-8BFE-447F-807D-635186061164}"/>
    <cellStyle name="Normal 11 3 13 3 2 2" xfId="37135" xr:uid="{F73BFD47-B0A7-4696-AC21-27FE9F62A095}"/>
    <cellStyle name="Normal 11 3 13 3 3" xfId="37136" xr:uid="{14050287-E4FB-419C-A362-60E4A4383051}"/>
    <cellStyle name="Normal 11 3 13 4" xfId="37137" xr:uid="{F9129A75-ED49-4BE8-BCDE-B34C91D89A88}"/>
    <cellStyle name="Normal 11 3 13 4 2" xfId="37138" xr:uid="{5AC9A65E-A8B0-4B9F-96A8-09386D90A674}"/>
    <cellStyle name="Normal 11 3 13 5" xfId="37139" xr:uid="{F3858ED9-14E7-42A5-98E9-B85EF2CB7116}"/>
    <cellStyle name="Normal 11 3 14" xfId="37140" xr:uid="{7A47BB24-E813-45C5-BB57-3BBA5A667BAD}"/>
    <cellStyle name="Normal 11 3 14 2" xfId="37141" xr:uid="{C66EF480-CFE1-41E4-95B4-EC3249BC34DD}"/>
    <cellStyle name="Normal 11 3 14 2 2" xfId="37142" xr:uid="{D6052A02-92B6-4B36-99C1-AD2CFCC0B9E8}"/>
    <cellStyle name="Normal 11 3 14 2 2 2" xfId="37143" xr:uid="{7A8C3758-8AB6-4FFD-933C-12BA2A5EF6B1}"/>
    <cellStyle name="Normal 11 3 14 2 3" xfId="37144" xr:uid="{20DD1C7C-9132-41DF-B744-BC1BD7C7E9E5}"/>
    <cellStyle name="Normal 11 3 14 3" xfId="37145" xr:uid="{08445AA1-393D-41E3-93B2-506D6AB059D1}"/>
    <cellStyle name="Normal 11 3 14 3 2" xfId="37146" xr:uid="{36A35855-AA83-40BD-B8D0-4A68BD2BBA01}"/>
    <cellStyle name="Normal 11 3 14 4" xfId="37147" xr:uid="{4E128DD0-746F-4FF7-81DF-02E99CBA3B38}"/>
    <cellStyle name="Normal 11 3 15" xfId="37148" xr:uid="{18920DCB-5508-4080-B65B-F1CB89FFF71D}"/>
    <cellStyle name="Normal 11 3 15 2" xfId="37149" xr:uid="{08D3FE90-45E3-4FB9-B0C5-4042729B913F}"/>
    <cellStyle name="Normal 11 3 15 2 2" xfId="37150" xr:uid="{CC0FA0F6-20D0-4884-94B4-0C5726BF073E}"/>
    <cellStyle name="Normal 11 3 15 3" xfId="37151" xr:uid="{8CA66053-8DFB-4319-937B-2439F6548212}"/>
    <cellStyle name="Normal 11 3 16" xfId="37152" xr:uid="{97E05EAE-590E-477A-BFEE-BF5616AE827F}"/>
    <cellStyle name="Normal 11 3 16 2" xfId="37153" xr:uid="{C8FC1EB9-8FA0-4F11-8617-576D35FDC9AF}"/>
    <cellStyle name="Normal 11 3 17" xfId="37154" xr:uid="{A2B227D2-3C41-4F32-9CDF-C94A1C814E46}"/>
    <cellStyle name="Normal 11 3 18" xfId="524" xr:uid="{0287BDA3-AA97-4D19-A929-94D96E9EDBC5}"/>
    <cellStyle name="Normal 11 3 19" xfId="54797" xr:uid="{0A532E8F-B0FE-456B-A682-01ED1316FBE4}"/>
    <cellStyle name="Normal 11 3 2" xfId="182" xr:uid="{33ADEA62-741B-490D-BAB7-8A43F8BBCD69}"/>
    <cellStyle name="Normal 11 3 2 10" xfId="37155" xr:uid="{21D897D7-4817-4633-A67F-98A9D34B0051}"/>
    <cellStyle name="Normal 11 3 2 10 2" xfId="37156" xr:uid="{98CBBB1D-0336-4ED7-89D1-896FD62B0047}"/>
    <cellStyle name="Normal 11 3 2 10 2 2" xfId="37157" xr:uid="{ED3F2323-5A2F-4B79-8D1C-73DF1F0C7F4D}"/>
    <cellStyle name="Normal 11 3 2 10 2 2 2" xfId="37158" xr:uid="{1D484263-584B-4CBA-94EB-1155BF1A37A6}"/>
    <cellStyle name="Normal 11 3 2 10 2 2 2 2" xfId="37159" xr:uid="{4AAF0BDE-AAAC-4398-83C6-C0F495D85190}"/>
    <cellStyle name="Normal 11 3 2 10 2 2 2 2 2" xfId="37160" xr:uid="{8BC53D63-45B2-4F00-9DD3-866DD5C47653}"/>
    <cellStyle name="Normal 11 3 2 10 2 2 2 3" xfId="37161" xr:uid="{4BD11F75-81B6-498A-B4CD-2BC75C91BA79}"/>
    <cellStyle name="Normal 11 3 2 10 2 2 3" xfId="37162" xr:uid="{0566D486-1DFA-464A-B6A5-A8EEACDBDA90}"/>
    <cellStyle name="Normal 11 3 2 10 2 2 3 2" xfId="37163" xr:uid="{8D94F176-C91B-429A-8370-D9A79B498E29}"/>
    <cellStyle name="Normal 11 3 2 10 2 2 4" xfId="37164" xr:uid="{3B433670-3E76-4A12-B943-E9764B5F9C56}"/>
    <cellStyle name="Normal 11 3 2 10 2 3" xfId="37165" xr:uid="{D871EDE5-9313-4BDE-ACE0-B3C8F88B2295}"/>
    <cellStyle name="Normal 11 3 2 10 2 3 2" xfId="37166" xr:uid="{04B31E74-7124-4168-81AF-2460D494FDAC}"/>
    <cellStyle name="Normal 11 3 2 10 2 3 2 2" xfId="37167" xr:uid="{CC4DDF0F-B8A6-4A89-88BA-A4B73AFCCDE6}"/>
    <cellStyle name="Normal 11 3 2 10 2 3 3" xfId="37168" xr:uid="{74F07F6C-CE10-44BF-97AF-42785B92C85E}"/>
    <cellStyle name="Normal 11 3 2 10 2 4" xfId="37169" xr:uid="{F6D3F439-A01A-4A5E-9E7A-66025A583E05}"/>
    <cellStyle name="Normal 11 3 2 10 2 4 2" xfId="37170" xr:uid="{6333DFA1-C4A1-43A2-981B-3D81AC836430}"/>
    <cellStyle name="Normal 11 3 2 10 2 5" xfId="37171" xr:uid="{1CCF093B-843F-4BC1-9ABD-A65CBC1ADAD8}"/>
    <cellStyle name="Normal 11 3 2 10 3" xfId="37172" xr:uid="{6B0B3BB8-C954-4002-9410-2E7551F7F3A1}"/>
    <cellStyle name="Normal 11 3 2 10 3 2" xfId="37173" xr:uid="{190178C2-D052-4CF1-ABDD-3705C44C413F}"/>
    <cellStyle name="Normal 11 3 2 10 3 2 2" xfId="37174" xr:uid="{5E33172E-6E5A-4437-9C9D-9437E5B2C405}"/>
    <cellStyle name="Normal 11 3 2 10 3 2 2 2" xfId="37175" xr:uid="{7BDFF85E-8E5E-4F6A-B53F-6576F362D4F2}"/>
    <cellStyle name="Normal 11 3 2 10 3 2 3" xfId="37176" xr:uid="{77107BCD-251A-4E94-A8B4-94CBBCD5C535}"/>
    <cellStyle name="Normal 11 3 2 10 3 3" xfId="37177" xr:uid="{BDDDA8A8-D51F-4934-A2EA-CE3EECD47292}"/>
    <cellStyle name="Normal 11 3 2 10 3 3 2" xfId="37178" xr:uid="{30372AAF-FE22-4E72-8044-C2B5CD6DE176}"/>
    <cellStyle name="Normal 11 3 2 10 3 4" xfId="37179" xr:uid="{F96E3493-4646-417C-9B8C-1F0885D17A07}"/>
    <cellStyle name="Normal 11 3 2 10 4" xfId="37180" xr:uid="{17B70904-624D-4095-A28C-53633B5E7150}"/>
    <cellStyle name="Normal 11 3 2 10 4 2" xfId="37181" xr:uid="{A5F2A017-2B2D-4EA4-899B-3A059316377A}"/>
    <cellStyle name="Normal 11 3 2 10 4 2 2" xfId="37182" xr:uid="{261B645C-4908-47E5-8704-CA9DD763800C}"/>
    <cellStyle name="Normal 11 3 2 10 4 3" xfId="37183" xr:uid="{479ABB8B-F083-43FE-9B76-8E35FD9D6057}"/>
    <cellStyle name="Normal 11 3 2 10 5" xfId="37184" xr:uid="{D607A295-EBD9-46FC-A6E6-C995EAD6FE2B}"/>
    <cellStyle name="Normal 11 3 2 10 5 2" xfId="37185" xr:uid="{52DB76CE-51BC-4B8A-8778-02F4B1C3A684}"/>
    <cellStyle name="Normal 11 3 2 10 6" xfId="37186" xr:uid="{9355F70B-89FA-406A-891E-E9AAB87A9AF0}"/>
    <cellStyle name="Normal 11 3 2 11" xfId="37187" xr:uid="{09CAC6CE-3195-4ECE-A4F2-36EE6B8237F9}"/>
    <cellStyle name="Normal 11 3 2 11 2" xfId="37188" xr:uid="{B1851086-A240-41D5-BCB3-71B46D6EE45F}"/>
    <cellStyle name="Normal 11 3 2 11 2 2" xfId="37189" xr:uid="{1B2CE571-E1CC-45B1-A5C3-33DF70C0F002}"/>
    <cellStyle name="Normal 11 3 2 11 2 2 2" xfId="37190" xr:uid="{16BFEEFB-61F3-4B9E-B192-5A80669B05A8}"/>
    <cellStyle name="Normal 11 3 2 11 2 2 2 2" xfId="37191" xr:uid="{03392A43-12CB-4476-BE1F-84E7415625E0}"/>
    <cellStyle name="Normal 11 3 2 11 2 2 3" xfId="37192" xr:uid="{F73EFD77-67F5-4477-819D-C59A0E6DB0F3}"/>
    <cellStyle name="Normal 11 3 2 11 2 3" xfId="37193" xr:uid="{07ED81AC-A653-4192-BA95-FDB43F9B3CE4}"/>
    <cellStyle name="Normal 11 3 2 11 2 3 2" xfId="37194" xr:uid="{6A54C9C4-6D69-45E0-80D1-E8CA96709A87}"/>
    <cellStyle name="Normal 11 3 2 11 2 4" xfId="37195" xr:uid="{98BBF74B-4DF0-4621-86BB-7398E9C7EE54}"/>
    <cellStyle name="Normal 11 3 2 11 3" xfId="37196" xr:uid="{56F052AA-426F-4E23-B23E-D2E095D456D5}"/>
    <cellStyle name="Normal 11 3 2 11 3 2" xfId="37197" xr:uid="{6CC3CA76-A4B0-4C78-A888-C9DF638A345F}"/>
    <cellStyle name="Normal 11 3 2 11 3 2 2" xfId="37198" xr:uid="{16F24311-7983-4D08-8336-7F073C5544ED}"/>
    <cellStyle name="Normal 11 3 2 11 3 3" xfId="37199" xr:uid="{255BFFF0-4DE6-4815-AABD-76793B1026BA}"/>
    <cellStyle name="Normal 11 3 2 11 4" xfId="37200" xr:uid="{CE3C6712-E3ED-4950-809C-FAC4FDA34F08}"/>
    <cellStyle name="Normal 11 3 2 11 4 2" xfId="37201" xr:uid="{8E7BFD44-CEAE-480B-98DD-BBDDC263EFF1}"/>
    <cellStyle name="Normal 11 3 2 11 5" xfId="37202" xr:uid="{E7FA0958-B27C-48B7-87D0-67C252BD8668}"/>
    <cellStyle name="Normal 11 3 2 12" xfId="37203" xr:uid="{7AF303E2-04A6-4B57-BF69-7D035784ED2A}"/>
    <cellStyle name="Normal 11 3 2 12 2" xfId="37204" xr:uid="{CAE4ABDD-A43D-4D23-983D-31DA90361C12}"/>
    <cellStyle name="Normal 11 3 2 12 2 2" xfId="37205" xr:uid="{D55FF726-FD6C-4D93-83EF-55820F21B130}"/>
    <cellStyle name="Normal 11 3 2 12 2 2 2" xfId="37206" xr:uid="{35072053-F6A1-4997-B721-E86E3EDD76C5}"/>
    <cellStyle name="Normal 11 3 2 12 2 3" xfId="37207" xr:uid="{57A359BC-510B-410D-8474-B80626A9DF2F}"/>
    <cellStyle name="Normal 11 3 2 12 3" xfId="37208" xr:uid="{6E5D3630-F376-4D46-8072-CB754D7FAF38}"/>
    <cellStyle name="Normal 11 3 2 12 3 2" xfId="37209" xr:uid="{284D0E50-5BDD-43DA-AA12-743C662A7A09}"/>
    <cellStyle name="Normal 11 3 2 12 4" xfId="37210" xr:uid="{CBFC8033-E2A5-4F72-ABF4-030157FC7CDA}"/>
    <cellStyle name="Normal 11 3 2 13" xfId="37211" xr:uid="{29DF4014-BEFE-4CBC-8168-9B661EA91050}"/>
    <cellStyle name="Normal 11 3 2 13 2" xfId="37212" xr:uid="{EF001B6B-2716-4381-B552-9099389C1D11}"/>
    <cellStyle name="Normal 11 3 2 13 2 2" xfId="37213" xr:uid="{40114BF2-6A7B-46B8-BE6D-84697E5E9A4E}"/>
    <cellStyle name="Normal 11 3 2 13 3" xfId="37214" xr:uid="{F7703000-0810-4645-A7EA-A07F76211428}"/>
    <cellStyle name="Normal 11 3 2 14" xfId="37215" xr:uid="{2B925554-9385-439C-846E-37B1560CA64B}"/>
    <cellStyle name="Normal 11 3 2 14 2" xfId="37216" xr:uid="{A9A0B9B8-C137-4F6F-AD39-34CF28640E7C}"/>
    <cellStyle name="Normal 11 3 2 15" xfId="37217" xr:uid="{FE288FAD-82ED-4D9F-A596-187A57512C94}"/>
    <cellStyle name="Normal 11 3 2 16" xfId="532" xr:uid="{D4B0E225-03C0-420E-AD0A-A33398E9A9D6}"/>
    <cellStyle name="Normal 11 3 2 17" xfId="54815" xr:uid="{A60C6327-0537-4D80-AF6C-C9E068D41CE6}"/>
    <cellStyle name="Normal 11 3 2 2" xfId="217" xr:uid="{35CE08EE-659D-493E-952C-9445F6433E44}"/>
    <cellStyle name="Normal 11 3 2 2 10" xfId="37218" xr:uid="{858C376F-228B-4321-A8CF-08BA357E932D}"/>
    <cellStyle name="Normal 11 3 2 2 10 2" xfId="37219" xr:uid="{9B82310C-0BB1-44B4-94DD-0B5E06FB992B}"/>
    <cellStyle name="Normal 11 3 2 2 10 2 2" xfId="37220" xr:uid="{BFC6114A-6974-4565-90A0-821DD096B185}"/>
    <cellStyle name="Normal 11 3 2 2 10 2 2 2" xfId="37221" xr:uid="{BFB02AA5-EBFA-4F4D-B3F9-921E723AB15D}"/>
    <cellStyle name="Normal 11 3 2 2 10 2 2 2 2" xfId="37222" xr:uid="{D7126631-FF03-4B3C-827C-5353C32762F1}"/>
    <cellStyle name="Normal 11 3 2 2 10 2 2 3" xfId="37223" xr:uid="{15EF5F94-50BB-4FE7-9D5C-C8E6CDDE5820}"/>
    <cellStyle name="Normal 11 3 2 2 10 2 3" xfId="37224" xr:uid="{DC11755D-1367-4B77-B359-30C50C11BC42}"/>
    <cellStyle name="Normal 11 3 2 2 10 2 3 2" xfId="37225" xr:uid="{B95B82B6-41D1-4EEA-904E-F9B48DAFD939}"/>
    <cellStyle name="Normal 11 3 2 2 10 2 4" xfId="37226" xr:uid="{FD71EE24-2563-4811-98D8-85D85C8DBC18}"/>
    <cellStyle name="Normal 11 3 2 2 10 3" xfId="37227" xr:uid="{72CE5CA5-D5C2-4ADB-8488-9C945286223B}"/>
    <cellStyle name="Normal 11 3 2 2 10 3 2" xfId="37228" xr:uid="{6FBC4E7E-E5AD-49FD-9105-18799EE31981}"/>
    <cellStyle name="Normal 11 3 2 2 10 3 2 2" xfId="37229" xr:uid="{D989B3E7-07CC-4589-9CEF-7BC8855CAA76}"/>
    <cellStyle name="Normal 11 3 2 2 10 3 3" xfId="37230" xr:uid="{B9154AC6-2D70-431E-B341-15AF888694CE}"/>
    <cellStyle name="Normal 11 3 2 2 10 4" xfId="37231" xr:uid="{C15FCCA1-6C57-45F6-AAE9-6AA085BA7807}"/>
    <cellStyle name="Normal 11 3 2 2 10 4 2" xfId="37232" xr:uid="{6C79192E-C076-444C-8BAC-D9574EE88862}"/>
    <cellStyle name="Normal 11 3 2 2 10 5" xfId="37233" xr:uid="{D6FC8380-5188-447E-A610-B4475CB70A03}"/>
    <cellStyle name="Normal 11 3 2 2 11" xfId="37234" xr:uid="{A1D6D949-562A-408B-86FA-03BE1EF5A895}"/>
    <cellStyle name="Normal 11 3 2 2 11 2" xfId="37235" xr:uid="{33F0072A-8F46-4D2F-84D4-5FD94C2F2C74}"/>
    <cellStyle name="Normal 11 3 2 2 11 2 2" xfId="37236" xr:uid="{FD27D7A3-6679-4CE4-8D64-18545B4E4594}"/>
    <cellStyle name="Normal 11 3 2 2 11 2 2 2" xfId="37237" xr:uid="{A8AC62B2-AE0D-42A9-8C2C-9F9C2050E1DE}"/>
    <cellStyle name="Normal 11 3 2 2 11 2 3" xfId="37238" xr:uid="{E3B6FF79-2B43-4FBC-B931-F452C3E2F0CB}"/>
    <cellStyle name="Normal 11 3 2 2 11 3" xfId="37239" xr:uid="{5D1016AB-71E1-4E4C-A2DC-097C58AF5B4E}"/>
    <cellStyle name="Normal 11 3 2 2 11 3 2" xfId="37240" xr:uid="{BC919128-D38D-463B-8577-5CC5AD6D43AA}"/>
    <cellStyle name="Normal 11 3 2 2 11 4" xfId="37241" xr:uid="{1677E98F-0FF2-40E1-80C9-5EE7C4BA0980}"/>
    <cellStyle name="Normal 11 3 2 2 12" xfId="37242" xr:uid="{3C117B83-769E-4321-9FCB-49D506E36E02}"/>
    <cellStyle name="Normal 11 3 2 2 12 2" xfId="37243" xr:uid="{062D35FB-BCBC-41F1-925E-B82DA50EFAF2}"/>
    <cellStyle name="Normal 11 3 2 2 12 2 2" xfId="37244" xr:uid="{DB844669-ABDE-46A4-A6B2-9E1F9BE42471}"/>
    <cellStyle name="Normal 11 3 2 2 12 3" xfId="37245" xr:uid="{8EAA6B1A-B54F-45CB-87EC-E96ED0A55AE1}"/>
    <cellStyle name="Normal 11 3 2 2 13" xfId="37246" xr:uid="{641D5ED1-C6BD-43DB-B94A-4B718EF0411B}"/>
    <cellStyle name="Normal 11 3 2 2 13 2" xfId="37247" xr:uid="{21C8F701-0517-404E-8F62-2C7FC479AC05}"/>
    <cellStyle name="Normal 11 3 2 2 14" xfId="37248" xr:uid="{30E25FE6-21AA-4D07-9203-A79AB0835D6A}"/>
    <cellStyle name="Normal 11 3 2 2 15" xfId="540" xr:uid="{797290A1-F4F9-4F08-AA75-12086333F917}"/>
    <cellStyle name="Normal 11 3 2 2 2" xfId="233" xr:uid="{60B9C548-33F8-4DDA-9893-21ABD98A2044}"/>
    <cellStyle name="Normal 11 3 2 2 2 10" xfId="37249" xr:uid="{69DEA45B-FD69-4898-B6BE-6C58EC0C6CDD}"/>
    <cellStyle name="Normal 11 3 2 2 2 11" xfId="591" xr:uid="{DC51F87C-97A5-4E25-A0A1-232036362EE7}"/>
    <cellStyle name="Normal 11 3 2 2 2 2" xfId="373" xr:uid="{E0A0D279-ED08-4E10-BB29-EB7FAACAC646}"/>
    <cellStyle name="Normal 11 3 2 2 2 2 10" xfId="37250" xr:uid="{4E09EB94-B80C-400B-8465-6808E994A60F}"/>
    <cellStyle name="Normal 11 3 2 2 2 2 2" xfId="37251" xr:uid="{E88E3C5D-899F-4C4E-99A0-211C35F3EBAB}"/>
    <cellStyle name="Normal 11 3 2 2 2 2 2 2" xfId="37252" xr:uid="{9409B1AD-D385-4C3B-A5A7-560B5AFB1A84}"/>
    <cellStyle name="Normal 11 3 2 2 2 2 2 2 2" xfId="37253" xr:uid="{D6FC43B7-2B43-4632-B05D-FBA9720AF492}"/>
    <cellStyle name="Normal 11 3 2 2 2 2 2 2 2 2" xfId="37254" xr:uid="{874C526D-472F-4C6E-A8F4-C5E236F27B6A}"/>
    <cellStyle name="Normal 11 3 2 2 2 2 2 2 2 2 2" xfId="37255" xr:uid="{620D88E6-5A31-491F-9866-856C9E34E416}"/>
    <cellStyle name="Normal 11 3 2 2 2 2 2 2 2 2 2 2" xfId="37256" xr:uid="{A3916CDD-ED4F-4ECE-A373-28C66160824E}"/>
    <cellStyle name="Normal 11 3 2 2 2 2 2 2 2 2 2 2 2" xfId="37257" xr:uid="{312369B0-EB4A-47D3-B517-B86CB8EFE326}"/>
    <cellStyle name="Normal 11 3 2 2 2 2 2 2 2 2 2 2 2 2" xfId="37258" xr:uid="{58CB8BD8-A6FA-48A3-BF83-C4C8F193B520}"/>
    <cellStyle name="Normal 11 3 2 2 2 2 2 2 2 2 2 2 3" xfId="37259" xr:uid="{182AA529-9D56-41BE-B045-61EC64B7687F}"/>
    <cellStyle name="Normal 11 3 2 2 2 2 2 2 2 2 2 3" xfId="37260" xr:uid="{5D7C12B0-CDE0-4F4D-B460-D993EFFA826F}"/>
    <cellStyle name="Normal 11 3 2 2 2 2 2 2 2 2 2 3 2" xfId="37261" xr:uid="{E1729D0B-6EA2-4FA3-B762-9E1BC8EBCDBC}"/>
    <cellStyle name="Normal 11 3 2 2 2 2 2 2 2 2 2 4" xfId="37262" xr:uid="{AB27518D-B9AA-47CA-98EE-097D1C22E46A}"/>
    <cellStyle name="Normal 11 3 2 2 2 2 2 2 2 2 3" xfId="37263" xr:uid="{F2B75754-FF4F-4D52-B655-E8ED5AB3D12A}"/>
    <cellStyle name="Normal 11 3 2 2 2 2 2 2 2 2 3 2" xfId="37264" xr:uid="{60AEC602-EBF5-4D90-B15A-F9C02C9174B7}"/>
    <cellStyle name="Normal 11 3 2 2 2 2 2 2 2 2 3 2 2" xfId="37265" xr:uid="{AEE5712B-52F8-49AB-BF77-C0449E4E83AC}"/>
    <cellStyle name="Normal 11 3 2 2 2 2 2 2 2 2 3 3" xfId="37266" xr:uid="{8355EC17-98E5-4E7C-ADA7-D30487F26C05}"/>
    <cellStyle name="Normal 11 3 2 2 2 2 2 2 2 2 4" xfId="37267" xr:uid="{9B968578-F259-4726-A780-04C7B4934FC7}"/>
    <cellStyle name="Normal 11 3 2 2 2 2 2 2 2 2 4 2" xfId="37268" xr:uid="{E461E433-4408-404B-ACD9-2D65C55F208F}"/>
    <cellStyle name="Normal 11 3 2 2 2 2 2 2 2 2 5" xfId="37269" xr:uid="{D3B5006A-819C-47E7-8C25-66FA4B439122}"/>
    <cellStyle name="Normal 11 3 2 2 2 2 2 2 2 3" xfId="37270" xr:uid="{89C14113-4780-4573-BDC6-96280C22CD52}"/>
    <cellStyle name="Normal 11 3 2 2 2 2 2 2 2 3 2" xfId="37271" xr:uid="{96122FFC-CBEF-44D3-960D-388667176793}"/>
    <cellStyle name="Normal 11 3 2 2 2 2 2 2 2 3 2 2" xfId="37272" xr:uid="{C801F4E9-4248-4ED9-A078-E6694EC05291}"/>
    <cellStyle name="Normal 11 3 2 2 2 2 2 2 2 3 2 2 2" xfId="37273" xr:uid="{41C16892-84D7-4AB3-BC81-6BFFA037ECB0}"/>
    <cellStyle name="Normal 11 3 2 2 2 2 2 2 2 3 2 3" xfId="37274" xr:uid="{D2757A5D-B062-4862-9542-BF1B35D27BDE}"/>
    <cellStyle name="Normal 11 3 2 2 2 2 2 2 2 3 3" xfId="37275" xr:uid="{1BF5860F-1854-43D7-A60F-70A47F401DE6}"/>
    <cellStyle name="Normal 11 3 2 2 2 2 2 2 2 3 3 2" xfId="37276" xr:uid="{21FF7CBB-096D-44D2-B443-03DAFFCA15F6}"/>
    <cellStyle name="Normal 11 3 2 2 2 2 2 2 2 3 4" xfId="37277" xr:uid="{BF9309E6-C9DD-42A8-A3E1-FD0BA13BF32A}"/>
    <cellStyle name="Normal 11 3 2 2 2 2 2 2 2 4" xfId="37278" xr:uid="{BCB6AD44-6574-4A4E-BED2-0A3E547F3643}"/>
    <cellStyle name="Normal 11 3 2 2 2 2 2 2 2 4 2" xfId="37279" xr:uid="{CF2115DE-27D9-41FF-92B0-24487636502B}"/>
    <cellStyle name="Normal 11 3 2 2 2 2 2 2 2 4 2 2" xfId="37280" xr:uid="{3E131FB0-8954-4C88-8C74-26AC576BF286}"/>
    <cellStyle name="Normal 11 3 2 2 2 2 2 2 2 4 3" xfId="37281" xr:uid="{2622EC07-6784-48D2-B640-04B59DE3B1BF}"/>
    <cellStyle name="Normal 11 3 2 2 2 2 2 2 2 5" xfId="37282" xr:uid="{AB328A35-7586-49FD-80AC-1BB5C6B10577}"/>
    <cellStyle name="Normal 11 3 2 2 2 2 2 2 2 5 2" xfId="37283" xr:uid="{6012DC2B-E9D9-421A-BCD8-FE41C35E6411}"/>
    <cellStyle name="Normal 11 3 2 2 2 2 2 2 2 6" xfId="37284" xr:uid="{2B4046EA-7D75-492A-A2F5-06728ADE151B}"/>
    <cellStyle name="Normal 11 3 2 2 2 2 2 2 3" xfId="37285" xr:uid="{809A9703-62E5-4AE1-A55F-06B12BB825DC}"/>
    <cellStyle name="Normal 11 3 2 2 2 2 2 2 3 2" xfId="37286" xr:uid="{FAEFBD47-3169-48CE-8D41-4A093E9E3D33}"/>
    <cellStyle name="Normal 11 3 2 2 2 2 2 2 3 2 2" xfId="37287" xr:uid="{FC733C9B-03A2-4FF3-B804-ABDE40B8A55F}"/>
    <cellStyle name="Normal 11 3 2 2 2 2 2 2 3 2 2 2" xfId="37288" xr:uid="{BB765F88-7B46-4641-A3FF-39B4ABF740BC}"/>
    <cellStyle name="Normal 11 3 2 2 2 2 2 2 3 2 2 2 2" xfId="37289" xr:uid="{370A6618-6F37-4948-990E-2049CBF8B4BB}"/>
    <cellStyle name="Normal 11 3 2 2 2 2 2 2 3 2 2 3" xfId="37290" xr:uid="{B837C748-F2FD-4BB9-A28A-CCEE843E7FB9}"/>
    <cellStyle name="Normal 11 3 2 2 2 2 2 2 3 2 3" xfId="37291" xr:uid="{792DBDE5-E850-4BD6-8906-CE81226A09F2}"/>
    <cellStyle name="Normal 11 3 2 2 2 2 2 2 3 2 3 2" xfId="37292" xr:uid="{3B1817A0-348C-4180-950D-E57107202676}"/>
    <cellStyle name="Normal 11 3 2 2 2 2 2 2 3 2 4" xfId="37293" xr:uid="{27AFFF06-A95A-41E3-9C14-7F8C9652A3DF}"/>
    <cellStyle name="Normal 11 3 2 2 2 2 2 2 3 3" xfId="37294" xr:uid="{7D8DEA89-C36A-4EFC-82F7-7D9E18027A7C}"/>
    <cellStyle name="Normal 11 3 2 2 2 2 2 2 3 3 2" xfId="37295" xr:uid="{4EEF64F1-8083-4BD6-BDE7-826DA5CC8FE5}"/>
    <cellStyle name="Normal 11 3 2 2 2 2 2 2 3 3 2 2" xfId="37296" xr:uid="{D9CAE345-CB08-447F-8A45-1922311C5495}"/>
    <cellStyle name="Normal 11 3 2 2 2 2 2 2 3 3 3" xfId="37297" xr:uid="{BBEC930B-7FA6-4C26-9E11-34B9198848B1}"/>
    <cellStyle name="Normal 11 3 2 2 2 2 2 2 3 4" xfId="37298" xr:uid="{FA6D1508-0A53-4C41-B8C4-A1A3197407DB}"/>
    <cellStyle name="Normal 11 3 2 2 2 2 2 2 3 4 2" xfId="37299" xr:uid="{6A504128-A135-4B9B-9FCF-C1F6DC2D1CDE}"/>
    <cellStyle name="Normal 11 3 2 2 2 2 2 2 3 5" xfId="37300" xr:uid="{38882614-496E-41C6-AA35-752A4BC6A412}"/>
    <cellStyle name="Normal 11 3 2 2 2 2 2 2 4" xfId="37301" xr:uid="{5A58E5C3-5880-4F95-9BD7-5839B50BF5AF}"/>
    <cellStyle name="Normal 11 3 2 2 2 2 2 2 4 2" xfId="37302" xr:uid="{3915D11F-4FBD-42BB-93AB-2A24B36F5071}"/>
    <cellStyle name="Normal 11 3 2 2 2 2 2 2 4 2 2" xfId="37303" xr:uid="{D3CCF16D-7EE0-4486-BFC4-FAA07BA5E4F2}"/>
    <cellStyle name="Normal 11 3 2 2 2 2 2 2 4 2 2 2" xfId="37304" xr:uid="{2871EB97-6FE4-4254-AEA4-9FFAA853FBBF}"/>
    <cellStyle name="Normal 11 3 2 2 2 2 2 2 4 2 3" xfId="37305" xr:uid="{5FF09691-F09B-4A69-A212-B3A190866C5F}"/>
    <cellStyle name="Normal 11 3 2 2 2 2 2 2 4 3" xfId="37306" xr:uid="{3965C56A-1508-4C7F-9D31-92AE96EE42F6}"/>
    <cellStyle name="Normal 11 3 2 2 2 2 2 2 4 3 2" xfId="37307" xr:uid="{CA1BB621-E729-494F-814A-5F924D37C66D}"/>
    <cellStyle name="Normal 11 3 2 2 2 2 2 2 4 4" xfId="37308" xr:uid="{EDD86216-78A4-4057-807E-AF88207179CD}"/>
    <cellStyle name="Normal 11 3 2 2 2 2 2 2 5" xfId="37309" xr:uid="{CD305F0C-4243-4DC8-8C64-7E64ADC3D812}"/>
    <cellStyle name="Normal 11 3 2 2 2 2 2 2 5 2" xfId="37310" xr:uid="{7FEB58AF-6649-425E-8CFA-E7D9FDCB715B}"/>
    <cellStyle name="Normal 11 3 2 2 2 2 2 2 5 2 2" xfId="37311" xr:uid="{220967F1-7785-4E71-BD0B-6C54327DC321}"/>
    <cellStyle name="Normal 11 3 2 2 2 2 2 2 5 3" xfId="37312" xr:uid="{42046195-3939-47CE-AA14-013B3DEA27CA}"/>
    <cellStyle name="Normal 11 3 2 2 2 2 2 2 6" xfId="37313" xr:uid="{F426DD0D-0A9D-489B-A3BE-A9CD9131A6AB}"/>
    <cellStyle name="Normal 11 3 2 2 2 2 2 2 6 2" xfId="37314" xr:uid="{0B9D60DF-FD58-43AE-BAA5-7918E8043ED4}"/>
    <cellStyle name="Normal 11 3 2 2 2 2 2 2 7" xfId="37315" xr:uid="{0877591A-0174-4E77-8F86-1F11D92EFD6A}"/>
    <cellStyle name="Normal 11 3 2 2 2 2 2 3" xfId="37316" xr:uid="{DAC355F4-20D9-4C7D-8DCF-3B981D1DB98B}"/>
    <cellStyle name="Normal 11 3 2 2 2 2 2 3 2" xfId="37317" xr:uid="{FA2A2BAB-BD3B-4149-AEE8-70F9E7E73610}"/>
    <cellStyle name="Normal 11 3 2 2 2 2 2 3 2 2" xfId="37318" xr:uid="{EC76C814-3D58-426E-8C0F-9D75DE4F272D}"/>
    <cellStyle name="Normal 11 3 2 2 2 2 2 3 2 2 2" xfId="37319" xr:uid="{3AE46828-70CE-45CF-8AE8-900E5AE2274A}"/>
    <cellStyle name="Normal 11 3 2 2 2 2 2 3 2 2 2 2" xfId="37320" xr:uid="{B5F0CA3E-2CE3-48B4-A81B-E7DEDCE829F9}"/>
    <cellStyle name="Normal 11 3 2 2 2 2 2 3 2 2 2 2 2" xfId="37321" xr:uid="{937E0A6A-4627-46BF-9E90-D5E68D146742}"/>
    <cellStyle name="Normal 11 3 2 2 2 2 2 3 2 2 2 3" xfId="37322" xr:uid="{3C7BFF3A-0FB1-4F01-9CB3-77F561034AF9}"/>
    <cellStyle name="Normal 11 3 2 2 2 2 2 3 2 2 3" xfId="37323" xr:uid="{A045168C-6D1B-4FAD-B00B-616C5695EAF4}"/>
    <cellStyle name="Normal 11 3 2 2 2 2 2 3 2 2 3 2" xfId="37324" xr:uid="{71E21C19-F4CD-4B2D-8ED5-45542594FA93}"/>
    <cellStyle name="Normal 11 3 2 2 2 2 2 3 2 2 4" xfId="37325" xr:uid="{74477157-2D8B-4DEA-A6E0-022D1907BAFA}"/>
    <cellStyle name="Normal 11 3 2 2 2 2 2 3 2 3" xfId="37326" xr:uid="{7EFDB2BB-F7B5-4921-8175-1C933AED9792}"/>
    <cellStyle name="Normal 11 3 2 2 2 2 2 3 2 3 2" xfId="37327" xr:uid="{1EB1D24C-594F-4023-BD97-E5CA339B70AB}"/>
    <cellStyle name="Normal 11 3 2 2 2 2 2 3 2 3 2 2" xfId="37328" xr:uid="{6F34DA07-F73F-4111-B366-A22B40AEBB7E}"/>
    <cellStyle name="Normal 11 3 2 2 2 2 2 3 2 3 3" xfId="37329" xr:uid="{A74EF906-CBA4-4B9D-B43A-A4A6C6021512}"/>
    <cellStyle name="Normal 11 3 2 2 2 2 2 3 2 4" xfId="37330" xr:uid="{7062AEAB-F635-4157-ABEB-7407C74FF763}"/>
    <cellStyle name="Normal 11 3 2 2 2 2 2 3 2 4 2" xfId="37331" xr:uid="{2F65B334-AF4C-409E-B3E5-477F34A7A30D}"/>
    <cellStyle name="Normal 11 3 2 2 2 2 2 3 2 5" xfId="37332" xr:uid="{025FEF06-3954-4942-B7BA-389B565617A4}"/>
    <cellStyle name="Normal 11 3 2 2 2 2 2 3 3" xfId="37333" xr:uid="{2419CCAE-F89C-4D19-AA46-E4AB774C9B4E}"/>
    <cellStyle name="Normal 11 3 2 2 2 2 2 3 3 2" xfId="37334" xr:uid="{EB5DFC3B-B72A-4E31-B968-3C45043B47A1}"/>
    <cellStyle name="Normal 11 3 2 2 2 2 2 3 3 2 2" xfId="37335" xr:uid="{E73138BA-D09C-43C6-BEBC-62BA17A22B0D}"/>
    <cellStyle name="Normal 11 3 2 2 2 2 2 3 3 2 2 2" xfId="37336" xr:uid="{190773A4-4F78-46A1-8D78-B71BDEEDE62A}"/>
    <cellStyle name="Normal 11 3 2 2 2 2 2 3 3 2 3" xfId="37337" xr:uid="{FC9583E5-684B-41F5-A336-5759E93C0DD5}"/>
    <cellStyle name="Normal 11 3 2 2 2 2 2 3 3 3" xfId="37338" xr:uid="{402DDB71-A1D5-4D4F-9120-3CF8FFBAF1EA}"/>
    <cellStyle name="Normal 11 3 2 2 2 2 2 3 3 3 2" xfId="37339" xr:uid="{E20B28A2-53E8-47C7-8C5C-9356ADC3D2CE}"/>
    <cellStyle name="Normal 11 3 2 2 2 2 2 3 3 4" xfId="37340" xr:uid="{E12CC3C2-EA5B-464D-B2A7-A836B5FA5F7F}"/>
    <cellStyle name="Normal 11 3 2 2 2 2 2 3 4" xfId="37341" xr:uid="{FECCE78F-C815-4FC1-BAD2-B42C4E7750B7}"/>
    <cellStyle name="Normal 11 3 2 2 2 2 2 3 4 2" xfId="37342" xr:uid="{2A9E7B64-48B7-43A6-A3CA-32D5B631C4DA}"/>
    <cellStyle name="Normal 11 3 2 2 2 2 2 3 4 2 2" xfId="37343" xr:uid="{8B6BAFC4-5C21-4AFF-BBEC-B63130E6C78C}"/>
    <cellStyle name="Normal 11 3 2 2 2 2 2 3 4 3" xfId="37344" xr:uid="{DC7040B7-AB83-4A67-A5B8-9CB11410766D}"/>
    <cellStyle name="Normal 11 3 2 2 2 2 2 3 5" xfId="37345" xr:uid="{9AEF22B7-CD81-43DA-B383-E01AD10B732F}"/>
    <cellStyle name="Normal 11 3 2 2 2 2 2 3 5 2" xfId="37346" xr:uid="{7866AA5C-DE7D-457C-8AF6-68C2C2923A2E}"/>
    <cellStyle name="Normal 11 3 2 2 2 2 2 3 6" xfId="37347" xr:uid="{211018AD-26C3-4770-BCF9-1B798E226C36}"/>
    <cellStyle name="Normal 11 3 2 2 2 2 2 4" xfId="37348" xr:uid="{4343B550-2F5B-4302-9639-472824B9B56F}"/>
    <cellStyle name="Normal 11 3 2 2 2 2 2 4 2" xfId="37349" xr:uid="{4C0D208F-F3B2-4378-BB59-2BC37F9F658C}"/>
    <cellStyle name="Normal 11 3 2 2 2 2 2 4 2 2" xfId="37350" xr:uid="{1C844E85-FC1A-4E3D-A23F-37EEEA6797D1}"/>
    <cellStyle name="Normal 11 3 2 2 2 2 2 4 2 2 2" xfId="37351" xr:uid="{934DB26A-0D91-43E3-AC31-E655406D2D7F}"/>
    <cellStyle name="Normal 11 3 2 2 2 2 2 4 2 2 2 2" xfId="37352" xr:uid="{FCAB6F58-80B3-4FA8-8BE8-8483E5597772}"/>
    <cellStyle name="Normal 11 3 2 2 2 2 2 4 2 2 3" xfId="37353" xr:uid="{32EA4F9D-3DB6-4A6C-8445-52C64FCFCA32}"/>
    <cellStyle name="Normal 11 3 2 2 2 2 2 4 2 3" xfId="37354" xr:uid="{6566AC03-3F10-4649-A0A7-AEFCA14E5DC5}"/>
    <cellStyle name="Normal 11 3 2 2 2 2 2 4 2 3 2" xfId="37355" xr:uid="{DFB97E39-DEE8-4D2F-AA24-4EED2C1D21CE}"/>
    <cellStyle name="Normal 11 3 2 2 2 2 2 4 2 4" xfId="37356" xr:uid="{E0C4B52A-B2E7-4B54-9AFF-4A8677CD0D68}"/>
    <cellStyle name="Normal 11 3 2 2 2 2 2 4 3" xfId="37357" xr:uid="{96AAB7E6-1781-46AA-A904-8835D2151AB1}"/>
    <cellStyle name="Normal 11 3 2 2 2 2 2 4 3 2" xfId="37358" xr:uid="{CFF4BD29-FF0B-447D-A5C6-3A14A90F0896}"/>
    <cellStyle name="Normal 11 3 2 2 2 2 2 4 3 2 2" xfId="37359" xr:uid="{5AD65CDE-EE9E-4B91-B5EE-3597BB7F08C9}"/>
    <cellStyle name="Normal 11 3 2 2 2 2 2 4 3 3" xfId="37360" xr:uid="{EEFD0FD5-9F5E-4F11-A36F-DC5BB0C99227}"/>
    <cellStyle name="Normal 11 3 2 2 2 2 2 4 4" xfId="37361" xr:uid="{B4857B9A-2687-4983-AA00-CAB8B94FD2C1}"/>
    <cellStyle name="Normal 11 3 2 2 2 2 2 4 4 2" xfId="37362" xr:uid="{EC2012DC-9714-4DA7-BCA6-A714C7D4C719}"/>
    <cellStyle name="Normal 11 3 2 2 2 2 2 4 5" xfId="37363" xr:uid="{3D003382-E320-40DD-AF18-8C00E6BAF950}"/>
    <cellStyle name="Normal 11 3 2 2 2 2 2 5" xfId="37364" xr:uid="{1519F689-FC42-4F56-8227-EC7CCE5A7B15}"/>
    <cellStyle name="Normal 11 3 2 2 2 2 2 5 2" xfId="37365" xr:uid="{C5F588D3-3336-4125-B755-8F019B9B8D46}"/>
    <cellStyle name="Normal 11 3 2 2 2 2 2 5 2 2" xfId="37366" xr:uid="{5B9976B2-1A84-49C8-8C9A-39188F4FC699}"/>
    <cellStyle name="Normal 11 3 2 2 2 2 2 5 2 2 2" xfId="37367" xr:uid="{3105E9FE-2485-4C32-BB37-E3A69AD2322E}"/>
    <cellStyle name="Normal 11 3 2 2 2 2 2 5 2 3" xfId="37368" xr:uid="{074876F9-5C5A-4B16-A62D-F263B9E3158A}"/>
    <cellStyle name="Normal 11 3 2 2 2 2 2 5 3" xfId="37369" xr:uid="{4D03DE54-8912-43C4-9A1C-CCF4003EE48E}"/>
    <cellStyle name="Normal 11 3 2 2 2 2 2 5 3 2" xfId="37370" xr:uid="{3756434A-4086-400C-B374-57D6CB33DEC5}"/>
    <cellStyle name="Normal 11 3 2 2 2 2 2 5 4" xfId="37371" xr:uid="{0E6C283D-51D2-4FB1-B088-8FA2D533ECD6}"/>
    <cellStyle name="Normal 11 3 2 2 2 2 2 6" xfId="37372" xr:uid="{3B931BE8-A24E-45EB-AA39-D3E5CF194859}"/>
    <cellStyle name="Normal 11 3 2 2 2 2 2 6 2" xfId="37373" xr:uid="{2E06F712-6B4E-4476-B466-9315024C4D5F}"/>
    <cellStyle name="Normal 11 3 2 2 2 2 2 6 2 2" xfId="37374" xr:uid="{5A0D6E02-9E45-40FE-9D5F-3A6BCBDEBF69}"/>
    <cellStyle name="Normal 11 3 2 2 2 2 2 6 3" xfId="37375" xr:uid="{7A5F4333-AD42-48CF-A1DF-10E96960446A}"/>
    <cellStyle name="Normal 11 3 2 2 2 2 2 7" xfId="37376" xr:uid="{B242D22F-2388-47FF-8AC2-E156940C730F}"/>
    <cellStyle name="Normal 11 3 2 2 2 2 2 7 2" xfId="37377" xr:uid="{03339589-3724-49A2-934A-E6EA6B8B9F43}"/>
    <cellStyle name="Normal 11 3 2 2 2 2 2 8" xfId="37378" xr:uid="{565843D7-B4CD-4655-A8FD-B043DF9BF0F7}"/>
    <cellStyle name="Normal 11 3 2 2 2 2 3" xfId="37379" xr:uid="{5462C100-69DA-45B1-8056-ACCB268353A0}"/>
    <cellStyle name="Normal 11 3 2 2 2 2 3 2" xfId="37380" xr:uid="{430D8766-1274-40EF-82BA-485FE2E89A43}"/>
    <cellStyle name="Normal 11 3 2 2 2 2 3 2 2" xfId="37381" xr:uid="{B7A7888A-E6EB-443B-9E1B-1873DC8D23DC}"/>
    <cellStyle name="Normal 11 3 2 2 2 2 3 2 2 2" xfId="37382" xr:uid="{EE94AF7E-300D-4E97-8622-2183F4C6E718}"/>
    <cellStyle name="Normal 11 3 2 2 2 2 3 2 2 2 2" xfId="37383" xr:uid="{A8A14143-FA7A-475A-B0F4-F7E1F0DDEE54}"/>
    <cellStyle name="Normal 11 3 2 2 2 2 3 2 2 2 2 2" xfId="37384" xr:uid="{58D48726-EB37-4DAC-9081-F81D683F9FBD}"/>
    <cellStyle name="Normal 11 3 2 2 2 2 3 2 2 2 2 2 2" xfId="37385" xr:uid="{1E76C757-7778-4F43-9CEB-C489E34749C2}"/>
    <cellStyle name="Normal 11 3 2 2 2 2 3 2 2 2 2 3" xfId="37386" xr:uid="{A3855852-6791-4822-B934-6EA82BDCC0F5}"/>
    <cellStyle name="Normal 11 3 2 2 2 2 3 2 2 2 3" xfId="37387" xr:uid="{2429F8D6-637D-4EA2-A6C2-AD51037E9B8C}"/>
    <cellStyle name="Normal 11 3 2 2 2 2 3 2 2 2 3 2" xfId="37388" xr:uid="{9AB74338-360B-4E0E-930E-1F090FA56922}"/>
    <cellStyle name="Normal 11 3 2 2 2 2 3 2 2 2 4" xfId="37389" xr:uid="{5E7227C0-24F8-4EF8-ABAE-C9E967673F76}"/>
    <cellStyle name="Normal 11 3 2 2 2 2 3 2 2 3" xfId="37390" xr:uid="{A86EFCBF-0F14-416C-908F-1460609B53F5}"/>
    <cellStyle name="Normal 11 3 2 2 2 2 3 2 2 3 2" xfId="37391" xr:uid="{670CAB90-9159-4969-A270-766BB8B6C534}"/>
    <cellStyle name="Normal 11 3 2 2 2 2 3 2 2 3 2 2" xfId="37392" xr:uid="{43D7FE02-D42F-4096-9DFA-B5EB79C21F99}"/>
    <cellStyle name="Normal 11 3 2 2 2 2 3 2 2 3 3" xfId="37393" xr:uid="{AD08F655-890F-4521-8E23-4EBF11A7662A}"/>
    <cellStyle name="Normal 11 3 2 2 2 2 3 2 2 4" xfId="37394" xr:uid="{37C5108C-1989-410B-A692-F492FC8C7FF4}"/>
    <cellStyle name="Normal 11 3 2 2 2 2 3 2 2 4 2" xfId="37395" xr:uid="{DBBEBB21-2687-44BD-A3C5-6C70AA61E347}"/>
    <cellStyle name="Normal 11 3 2 2 2 2 3 2 2 5" xfId="37396" xr:uid="{748FD308-4FD0-42E3-9447-B3D5B07898B9}"/>
    <cellStyle name="Normal 11 3 2 2 2 2 3 2 3" xfId="37397" xr:uid="{DD259758-F80A-4439-9ED5-4CF72090F739}"/>
    <cellStyle name="Normal 11 3 2 2 2 2 3 2 3 2" xfId="37398" xr:uid="{93EF9783-2A0F-46CA-9B91-5DEB0515388F}"/>
    <cellStyle name="Normal 11 3 2 2 2 2 3 2 3 2 2" xfId="37399" xr:uid="{6BCF27B0-E674-4340-977F-53CC1A6BFA6F}"/>
    <cellStyle name="Normal 11 3 2 2 2 2 3 2 3 2 2 2" xfId="37400" xr:uid="{AE3FEDCF-C9C0-4A96-A4DC-DF49B138FB21}"/>
    <cellStyle name="Normal 11 3 2 2 2 2 3 2 3 2 3" xfId="37401" xr:uid="{9D90D698-C947-4AE5-A71A-D810ED0B742E}"/>
    <cellStyle name="Normal 11 3 2 2 2 2 3 2 3 3" xfId="37402" xr:uid="{48F0EE95-0AFE-448F-873E-AD36CDFDF290}"/>
    <cellStyle name="Normal 11 3 2 2 2 2 3 2 3 3 2" xfId="37403" xr:uid="{48EC0851-FDF3-47F8-AE00-7FE60B9203A7}"/>
    <cellStyle name="Normal 11 3 2 2 2 2 3 2 3 4" xfId="37404" xr:uid="{810D7B6C-20BC-4573-84B4-53F2DBF450F9}"/>
    <cellStyle name="Normal 11 3 2 2 2 2 3 2 4" xfId="37405" xr:uid="{59A5468D-60D6-4E2E-8EDE-0770CAB12028}"/>
    <cellStyle name="Normal 11 3 2 2 2 2 3 2 4 2" xfId="37406" xr:uid="{899FBF16-169B-4FF1-847A-86DD8B52D305}"/>
    <cellStyle name="Normal 11 3 2 2 2 2 3 2 4 2 2" xfId="37407" xr:uid="{004A68DE-FA14-466B-9FF9-0EA447B40461}"/>
    <cellStyle name="Normal 11 3 2 2 2 2 3 2 4 3" xfId="37408" xr:uid="{44FFA783-621A-42A8-BBA5-10CEEC2154BA}"/>
    <cellStyle name="Normal 11 3 2 2 2 2 3 2 5" xfId="37409" xr:uid="{6DBEB04A-1FEC-42EB-8639-E2939A24F045}"/>
    <cellStyle name="Normal 11 3 2 2 2 2 3 2 5 2" xfId="37410" xr:uid="{F25633FF-6559-4E42-9B23-DB498BE3C4BB}"/>
    <cellStyle name="Normal 11 3 2 2 2 2 3 2 6" xfId="37411" xr:uid="{75226970-0D8B-4C7F-898F-574F3E79C15E}"/>
    <cellStyle name="Normal 11 3 2 2 2 2 3 3" xfId="37412" xr:uid="{DC25C7B2-3041-4504-B45C-62684E723D3B}"/>
    <cellStyle name="Normal 11 3 2 2 2 2 3 3 2" xfId="37413" xr:uid="{6A065F13-CA03-4341-86D8-826CBB589048}"/>
    <cellStyle name="Normal 11 3 2 2 2 2 3 3 2 2" xfId="37414" xr:uid="{291C43C0-5C2A-4E87-B6F8-89714010EB19}"/>
    <cellStyle name="Normal 11 3 2 2 2 2 3 3 2 2 2" xfId="37415" xr:uid="{5EB9F9EF-6D00-4D5F-A05E-71A6E8667D46}"/>
    <cellStyle name="Normal 11 3 2 2 2 2 3 3 2 2 2 2" xfId="37416" xr:uid="{0B3B9BF6-C3FE-4580-866B-D75A9F9F36A2}"/>
    <cellStyle name="Normal 11 3 2 2 2 2 3 3 2 2 3" xfId="37417" xr:uid="{F8A573AE-22F8-4D7D-B636-F7A1E7CF4733}"/>
    <cellStyle name="Normal 11 3 2 2 2 2 3 3 2 3" xfId="37418" xr:uid="{C74FD305-44FB-45CF-9E31-88C9F1709288}"/>
    <cellStyle name="Normal 11 3 2 2 2 2 3 3 2 3 2" xfId="37419" xr:uid="{EA163C62-FCE1-4ED6-86F1-EC8D5A46DFDA}"/>
    <cellStyle name="Normal 11 3 2 2 2 2 3 3 2 4" xfId="37420" xr:uid="{1FE9B5E7-731B-4530-9310-905E9ED15237}"/>
    <cellStyle name="Normal 11 3 2 2 2 2 3 3 3" xfId="37421" xr:uid="{58664173-20E4-497D-B7A0-50F29D4A745B}"/>
    <cellStyle name="Normal 11 3 2 2 2 2 3 3 3 2" xfId="37422" xr:uid="{64A4E745-9B3E-4CB8-89AB-028621E7F835}"/>
    <cellStyle name="Normal 11 3 2 2 2 2 3 3 3 2 2" xfId="37423" xr:uid="{AFDD06DE-30CC-4F77-B47A-D15B2D453405}"/>
    <cellStyle name="Normal 11 3 2 2 2 2 3 3 3 3" xfId="37424" xr:uid="{35E62A80-43D2-440E-BA5C-54E1AE7A8714}"/>
    <cellStyle name="Normal 11 3 2 2 2 2 3 3 4" xfId="37425" xr:uid="{9895486F-45F4-46F7-9DAC-E49757777CD4}"/>
    <cellStyle name="Normal 11 3 2 2 2 2 3 3 4 2" xfId="37426" xr:uid="{B6E9A4FC-1C26-4DF8-AF26-4662B9D52D0B}"/>
    <cellStyle name="Normal 11 3 2 2 2 2 3 3 5" xfId="37427" xr:uid="{51012501-7BDD-4503-BFB0-4B6289AEFD23}"/>
    <cellStyle name="Normal 11 3 2 2 2 2 3 4" xfId="37428" xr:uid="{8B265F7B-6A71-472A-B09C-999AE932F5CB}"/>
    <cellStyle name="Normal 11 3 2 2 2 2 3 4 2" xfId="37429" xr:uid="{B01CF0E1-8F79-48CC-877F-40AE34D1469B}"/>
    <cellStyle name="Normal 11 3 2 2 2 2 3 4 2 2" xfId="37430" xr:uid="{A506EA6E-3A62-461D-B9EB-D5009638368B}"/>
    <cellStyle name="Normal 11 3 2 2 2 2 3 4 2 2 2" xfId="37431" xr:uid="{56C7C5F2-7CB6-4BBD-AB67-B156C587BAFA}"/>
    <cellStyle name="Normal 11 3 2 2 2 2 3 4 2 3" xfId="37432" xr:uid="{79FEAFE8-7D48-4311-8B87-0D3E157D3E1B}"/>
    <cellStyle name="Normal 11 3 2 2 2 2 3 4 3" xfId="37433" xr:uid="{0CA80E4E-263E-40C1-B67C-3CECBC6EE9A1}"/>
    <cellStyle name="Normal 11 3 2 2 2 2 3 4 3 2" xfId="37434" xr:uid="{99363E31-603E-4175-BDBB-C72B5F0CACEE}"/>
    <cellStyle name="Normal 11 3 2 2 2 2 3 4 4" xfId="37435" xr:uid="{71CF4580-05BA-4EE5-8029-AC92313545CA}"/>
    <cellStyle name="Normal 11 3 2 2 2 2 3 5" xfId="37436" xr:uid="{6EF505BC-E447-4892-B9D7-FD35853C1967}"/>
    <cellStyle name="Normal 11 3 2 2 2 2 3 5 2" xfId="37437" xr:uid="{7E21DC53-69F7-45B6-9F94-A8DE12575295}"/>
    <cellStyle name="Normal 11 3 2 2 2 2 3 5 2 2" xfId="37438" xr:uid="{0453226B-73E5-44B4-A64E-97F3CFDEB007}"/>
    <cellStyle name="Normal 11 3 2 2 2 2 3 5 3" xfId="37439" xr:uid="{8EF467F2-33CE-4B8D-9982-4568C3620C1A}"/>
    <cellStyle name="Normal 11 3 2 2 2 2 3 6" xfId="37440" xr:uid="{5C01FB9A-6D87-4F68-9024-C13798684BA6}"/>
    <cellStyle name="Normal 11 3 2 2 2 2 3 6 2" xfId="37441" xr:uid="{85908DC1-C2A5-439B-ADF3-8050F28CAE65}"/>
    <cellStyle name="Normal 11 3 2 2 2 2 3 7" xfId="37442" xr:uid="{C25FE411-2581-4815-A3AE-66029FB6F0A2}"/>
    <cellStyle name="Normal 11 3 2 2 2 2 4" xfId="37443" xr:uid="{D409E155-FE12-4E66-9D3E-EB2FDE0ABE1B}"/>
    <cellStyle name="Normal 11 3 2 2 2 2 4 2" xfId="37444" xr:uid="{AD467F33-1C6E-4456-B1EC-8F3AABFA6FD4}"/>
    <cellStyle name="Normal 11 3 2 2 2 2 4 2 2" xfId="37445" xr:uid="{75697075-938D-4EA9-AAB4-7D2BBEE30FFE}"/>
    <cellStyle name="Normal 11 3 2 2 2 2 4 2 2 2" xfId="37446" xr:uid="{6D56B783-9435-475A-BF51-4FDEB16F08B6}"/>
    <cellStyle name="Normal 11 3 2 2 2 2 4 2 2 2 2" xfId="37447" xr:uid="{DDB32A23-2D0D-469C-AB83-4EC9CBAA299C}"/>
    <cellStyle name="Normal 11 3 2 2 2 2 4 2 2 2 2 2" xfId="37448" xr:uid="{26FD39B2-774F-4D38-BDCC-DB69DC41034D}"/>
    <cellStyle name="Normal 11 3 2 2 2 2 4 2 2 2 3" xfId="37449" xr:uid="{8B24778C-19F4-4798-A636-A0ABAF8D64C1}"/>
    <cellStyle name="Normal 11 3 2 2 2 2 4 2 2 3" xfId="37450" xr:uid="{37B8FB2E-0EA3-45B5-BBC5-7C8438EA1736}"/>
    <cellStyle name="Normal 11 3 2 2 2 2 4 2 2 3 2" xfId="37451" xr:uid="{538D5DDF-660F-4ED4-BB9B-A00074746537}"/>
    <cellStyle name="Normal 11 3 2 2 2 2 4 2 2 4" xfId="37452" xr:uid="{44407611-BCE2-470F-AC68-EA9655D12B0A}"/>
    <cellStyle name="Normal 11 3 2 2 2 2 4 2 3" xfId="37453" xr:uid="{05527D08-27E1-48F0-A397-568D8F90EC7A}"/>
    <cellStyle name="Normal 11 3 2 2 2 2 4 2 3 2" xfId="37454" xr:uid="{E7CD3701-1869-4C27-A250-865D9B074858}"/>
    <cellStyle name="Normal 11 3 2 2 2 2 4 2 3 2 2" xfId="37455" xr:uid="{C7FEFAC9-DC01-4500-902C-40303E03B7C3}"/>
    <cellStyle name="Normal 11 3 2 2 2 2 4 2 3 3" xfId="37456" xr:uid="{8C203DAD-8FCB-4138-B56D-1382D32F3B20}"/>
    <cellStyle name="Normal 11 3 2 2 2 2 4 2 4" xfId="37457" xr:uid="{CE728F2A-86D9-4F42-A4FF-21B9CE92823E}"/>
    <cellStyle name="Normal 11 3 2 2 2 2 4 2 4 2" xfId="37458" xr:uid="{E947A044-589B-4A31-B734-29BC444FE774}"/>
    <cellStyle name="Normal 11 3 2 2 2 2 4 2 5" xfId="37459" xr:uid="{54D1B88C-C481-4C0B-B8CE-CF1EE37CA6DC}"/>
    <cellStyle name="Normal 11 3 2 2 2 2 4 3" xfId="37460" xr:uid="{260625A3-905A-4AFC-ABAE-C93CB5EF3D77}"/>
    <cellStyle name="Normal 11 3 2 2 2 2 4 3 2" xfId="37461" xr:uid="{358F6439-C6C4-4A18-86C8-38F4E2910082}"/>
    <cellStyle name="Normal 11 3 2 2 2 2 4 3 2 2" xfId="37462" xr:uid="{5821AABD-BD00-48ED-83A7-A0AE6278C100}"/>
    <cellStyle name="Normal 11 3 2 2 2 2 4 3 2 2 2" xfId="37463" xr:uid="{F2704FEC-1243-4002-B4CD-F4C647F100D8}"/>
    <cellStyle name="Normal 11 3 2 2 2 2 4 3 2 3" xfId="37464" xr:uid="{6ED62BBC-3FAD-4833-B9AF-09CB5490BF7D}"/>
    <cellStyle name="Normal 11 3 2 2 2 2 4 3 3" xfId="37465" xr:uid="{4C73ABD9-B788-40BD-ADD8-28D0829D6B87}"/>
    <cellStyle name="Normal 11 3 2 2 2 2 4 3 3 2" xfId="37466" xr:uid="{B44E0B0E-AFFB-4655-BBD6-A9D25DAEA42B}"/>
    <cellStyle name="Normal 11 3 2 2 2 2 4 3 4" xfId="37467" xr:uid="{2EE41F94-29AD-4086-BF9F-6146333B4340}"/>
    <cellStyle name="Normal 11 3 2 2 2 2 4 4" xfId="37468" xr:uid="{2690F91F-CD72-441C-AED0-9F25657CBCBC}"/>
    <cellStyle name="Normal 11 3 2 2 2 2 4 4 2" xfId="37469" xr:uid="{3BFC69D7-1957-4D02-B7D5-EBB67AF2C8C5}"/>
    <cellStyle name="Normal 11 3 2 2 2 2 4 4 2 2" xfId="37470" xr:uid="{D66C550E-F63E-457E-A47F-834990BEDFA4}"/>
    <cellStyle name="Normal 11 3 2 2 2 2 4 4 3" xfId="37471" xr:uid="{FA52F437-EF9E-4C8A-8674-9E4CFBA6E732}"/>
    <cellStyle name="Normal 11 3 2 2 2 2 4 5" xfId="37472" xr:uid="{C0A52C2C-DC0A-44DF-9BE6-CE7490D808CB}"/>
    <cellStyle name="Normal 11 3 2 2 2 2 4 5 2" xfId="37473" xr:uid="{90C41128-0832-4157-A180-7BC6CDF84CBA}"/>
    <cellStyle name="Normal 11 3 2 2 2 2 4 6" xfId="37474" xr:uid="{C962C576-E2CA-4687-AE54-8DA2747B2B3C}"/>
    <cellStyle name="Normal 11 3 2 2 2 2 5" xfId="37475" xr:uid="{18D26EC4-A080-43CB-9A7E-ECB0843D83C1}"/>
    <cellStyle name="Normal 11 3 2 2 2 2 5 2" xfId="37476" xr:uid="{548846A8-7312-4F20-B5EB-5EBAF39A9BE1}"/>
    <cellStyle name="Normal 11 3 2 2 2 2 5 2 2" xfId="37477" xr:uid="{594682B4-A633-479B-A79F-118C633F0533}"/>
    <cellStyle name="Normal 11 3 2 2 2 2 5 2 2 2" xfId="37478" xr:uid="{0962C0D4-8CD0-4B5D-A506-99F029AC0D0D}"/>
    <cellStyle name="Normal 11 3 2 2 2 2 5 2 2 2 2" xfId="37479" xr:uid="{E29E2555-F457-4138-A6C7-6905D2599107}"/>
    <cellStyle name="Normal 11 3 2 2 2 2 5 2 2 3" xfId="37480" xr:uid="{BE7695A2-18D4-4DE6-9ECC-6A5D4A216580}"/>
    <cellStyle name="Normal 11 3 2 2 2 2 5 2 3" xfId="37481" xr:uid="{699EEF01-6CEB-4E37-8C4C-4E64DB109E31}"/>
    <cellStyle name="Normal 11 3 2 2 2 2 5 2 3 2" xfId="37482" xr:uid="{E2A048C8-6549-4E89-BEEC-C174806C31B0}"/>
    <cellStyle name="Normal 11 3 2 2 2 2 5 2 4" xfId="37483" xr:uid="{9A689403-058F-4A54-A2D0-79E8B1DE2199}"/>
    <cellStyle name="Normal 11 3 2 2 2 2 5 3" xfId="37484" xr:uid="{41C4EF05-87FC-4467-8796-DF590F81A70D}"/>
    <cellStyle name="Normal 11 3 2 2 2 2 5 3 2" xfId="37485" xr:uid="{6E09474B-B8D8-4C3E-A223-CC59F48721DC}"/>
    <cellStyle name="Normal 11 3 2 2 2 2 5 3 2 2" xfId="37486" xr:uid="{F91F3A6C-1256-4152-B998-F5C6134700B4}"/>
    <cellStyle name="Normal 11 3 2 2 2 2 5 3 3" xfId="37487" xr:uid="{88F19B2C-E14F-4C76-98A7-A8E332AB02A2}"/>
    <cellStyle name="Normal 11 3 2 2 2 2 5 4" xfId="37488" xr:uid="{C9FBBA17-A18F-4ABD-AF8F-022A2CD5C2A9}"/>
    <cellStyle name="Normal 11 3 2 2 2 2 5 4 2" xfId="37489" xr:uid="{FDF0352D-01A1-4E9E-B102-482FA3A1520C}"/>
    <cellStyle name="Normal 11 3 2 2 2 2 5 5" xfId="37490" xr:uid="{9F8527E9-4073-4BA8-B8BB-96B0C62C96C0}"/>
    <cellStyle name="Normal 11 3 2 2 2 2 6" xfId="37491" xr:uid="{11862209-CAE9-4D03-A829-EB64D274CC44}"/>
    <cellStyle name="Normal 11 3 2 2 2 2 6 2" xfId="37492" xr:uid="{76A6B828-D0CC-4379-AB5B-C743F8C25476}"/>
    <cellStyle name="Normal 11 3 2 2 2 2 6 2 2" xfId="37493" xr:uid="{B3CC1488-3E80-4F93-95AD-A195DF39734E}"/>
    <cellStyle name="Normal 11 3 2 2 2 2 6 2 2 2" xfId="37494" xr:uid="{8910A9D6-541E-4A8E-9D86-48E6B11713F3}"/>
    <cellStyle name="Normal 11 3 2 2 2 2 6 2 3" xfId="37495" xr:uid="{6C4AB549-51C4-45D6-ADC1-8BF710375F67}"/>
    <cellStyle name="Normal 11 3 2 2 2 2 6 3" xfId="37496" xr:uid="{6FC3CFCE-E1BC-4FEA-B10D-8CAB400F36E7}"/>
    <cellStyle name="Normal 11 3 2 2 2 2 6 3 2" xfId="37497" xr:uid="{D052D097-69CB-4ECA-8797-795CF45FE33D}"/>
    <cellStyle name="Normal 11 3 2 2 2 2 6 4" xfId="37498" xr:uid="{F46E7D58-A2C0-41CC-8F83-984D772B6756}"/>
    <cellStyle name="Normal 11 3 2 2 2 2 7" xfId="37499" xr:uid="{CDECF19F-DE36-4188-AFDF-5D872D2B42AB}"/>
    <cellStyle name="Normal 11 3 2 2 2 2 7 2" xfId="37500" xr:uid="{9162984A-2D69-40B4-94D7-9EB25C5765BC}"/>
    <cellStyle name="Normal 11 3 2 2 2 2 7 2 2" xfId="37501" xr:uid="{77AC6F3C-54C2-48D1-B8DD-B561D2D46281}"/>
    <cellStyle name="Normal 11 3 2 2 2 2 7 3" xfId="37502" xr:uid="{CB65279C-F5A9-4FA9-B09F-0C1A17331AE1}"/>
    <cellStyle name="Normal 11 3 2 2 2 2 8" xfId="37503" xr:uid="{B8CC2055-702C-4255-890F-D6756588F47D}"/>
    <cellStyle name="Normal 11 3 2 2 2 2 8 2" xfId="37504" xr:uid="{673A0550-C31E-4D90-BA10-59677BF39902}"/>
    <cellStyle name="Normal 11 3 2 2 2 2 9" xfId="37505" xr:uid="{6F9BAC68-C8E3-4924-8540-AD20AAC5A62A}"/>
    <cellStyle name="Normal 11 3 2 2 2 3" xfId="468" xr:uid="{BA49EBF4-321E-4FF5-8826-0A1480FD2CF9}"/>
    <cellStyle name="Normal 11 3 2 2 2 3 2" xfId="37507" xr:uid="{E9807209-20B2-4D73-ACDC-25406EBE6926}"/>
    <cellStyle name="Normal 11 3 2 2 2 3 2 2" xfId="37508" xr:uid="{8CB9BB5E-F28E-47D4-8DE1-A8FFD8213941}"/>
    <cellStyle name="Normal 11 3 2 2 2 3 2 2 2" xfId="37509" xr:uid="{A78EF208-B24C-44DB-8D2D-87176AA024D6}"/>
    <cellStyle name="Normal 11 3 2 2 2 3 2 2 2 2" xfId="37510" xr:uid="{6964C620-E398-48F5-A466-DCC7C70460AA}"/>
    <cellStyle name="Normal 11 3 2 2 2 3 2 2 2 2 2" xfId="37511" xr:uid="{47D45C09-D58C-44C6-8DAE-3598ECF1F40C}"/>
    <cellStyle name="Normal 11 3 2 2 2 3 2 2 2 2 2 2" xfId="37512" xr:uid="{84D8C4F9-7B2A-4187-A2ED-D61E61860AC4}"/>
    <cellStyle name="Normal 11 3 2 2 2 3 2 2 2 2 2 2 2" xfId="37513" xr:uid="{597461B1-FCFB-4604-A3A2-3E4D53F5B520}"/>
    <cellStyle name="Normal 11 3 2 2 2 3 2 2 2 2 2 3" xfId="37514" xr:uid="{E2DB0B47-F614-4596-BCF0-A590756F90E3}"/>
    <cellStyle name="Normal 11 3 2 2 2 3 2 2 2 2 3" xfId="37515" xr:uid="{9AFCA9DC-2066-42C0-89E3-694345DB5078}"/>
    <cellStyle name="Normal 11 3 2 2 2 3 2 2 2 2 3 2" xfId="37516" xr:uid="{91B64BBB-A754-4280-8760-40DE7686AF95}"/>
    <cellStyle name="Normal 11 3 2 2 2 3 2 2 2 2 4" xfId="37517" xr:uid="{2F817FE9-73A9-4340-BE19-622873DC7119}"/>
    <cellStyle name="Normal 11 3 2 2 2 3 2 2 2 3" xfId="37518" xr:uid="{7055C674-41C7-47D2-88A7-8A9D77025799}"/>
    <cellStyle name="Normal 11 3 2 2 2 3 2 2 2 3 2" xfId="37519" xr:uid="{D31423AA-1160-40B1-80BD-3BB2A92BD1B9}"/>
    <cellStyle name="Normal 11 3 2 2 2 3 2 2 2 3 2 2" xfId="37520" xr:uid="{6DC6A3F0-815E-4278-8CD2-845E999169F0}"/>
    <cellStyle name="Normal 11 3 2 2 2 3 2 2 2 3 3" xfId="37521" xr:uid="{6F997310-399E-432A-BA7E-045B13DE85C8}"/>
    <cellStyle name="Normal 11 3 2 2 2 3 2 2 2 4" xfId="37522" xr:uid="{6EA49174-58F3-44F7-8F71-14A8FA03F2B2}"/>
    <cellStyle name="Normal 11 3 2 2 2 3 2 2 2 4 2" xfId="37523" xr:uid="{D83AB01B-C9F7-4A52-8347-668D0BA8709C}"/>
    <cellStyle name="Normal 11 3 2 2 2 3 2 2 2 5" xfId="37524" xr:uid="{1FA80C81-005F-428A-8C81-87E3DBFB25DF}"/>
    <cellStyle name="Normal 11 3 2 2 2 3 2 2 3" xfId="37525" xr:uid="{F3D28230-9C4E-4830-BB7C-C26EF7C1C4F4}"/>
    <cellStyle name="Normal 11 3 2 2 2 3 2 2 3 2" xfId="37526" xr:uid="{93D857EF-AADF-4C91-AEC7-2E0FC54AC02F}"/>
    <cellStyle name="Normal 11 3 2 2 2 3 2 2 3 2 2" xfId="37527" xr:uid="{4A14BF17-4CF7-4699-835A-F2C9C8682088}"/>
    <cellStyle name="Normal 11 3 2 2 2 3 2 2 3 2 2 2" xfId="37528" xr:uid="{5263F744-211E-4012-82F9-811848BDF201}"/>
    <cellStyle name="Normal 11 3 2 2 2 3 2 2 3 2 3" xfId="37529" xr:uid="{32064F53-ACE3-48BA-8E9A-2004FCB4A14D}"/>
    <cellStyle name="Normal 11 3 2 2 2 3 2 2 3 3" xfId="37530" xr:uid="{A2F91717-7917-42B4-83EC-1E9569703057}"/>
    <cellStyle name="Normal 11 3 2 2 2 3 2 2 3 3 2" xfId="37531" xr:uid="{0928776A-9F2B-4329-B956-3B74570D0241}"/>
    <cellStyle name="Normal 11 3 2 2 2 3 2 2 3 4" xfId="37532" xr:uid="{D47C471A-3125-43F6-A29D-AA2D1EA5EEDD}"/>
    <cellStyle name="Normal 11 3 2 2 2 3 2 2 4" xfId="37533" xr:uid="{63516969-F155-470B-B66A-44F2FC1344E5}"/>
    <cellStyle name="Normal 11 3 2 2 2 3 2 2 4 2" xfId="37534" xr:uid="{E3A908B3-F7C1-4DD1-B1A6-455ED57BCA02}"/>
    <cellStyle name="Normal 11 3 2 2 2 3 2 2 4 2 2" xfId="37535" xr:uid="{3514C493-1B56-42C2-A40A-0FD61E51357A}"/>
    <cellStyle name="Normal 11 3 2 2 2 3 2 2 4 3" xfId="37536" xr:uid="{5587C12F-BEC8-4476-A02D-9E019634DED3}"/>
    <cellStyle name="Normal 11 3 2 2 2 3 2 2 5" xfId="37537" xr:uid="{741FE91A-A01F-4E10-88D7-46E21DBB5C14}"/>
    <cellStyle name="Normal 11 3 2 2 2 3 2 2 5 2" xfId="37538" xr:uid="{E95065AD-CE16-48D2-AE4B-C3118D8C0D16}"/>
    <cellStyle name="Normal 11 3 2 2 2 3 2 2 6" xfId="37539" xr:uid="{13BA5E30-B874-4F13-A368-42DE305CF964}"/>
    <cellStyle name="Normal 11 3 2 2 2 3 2 3" xfId="37540" xr:uid="{A9955321-3334-480E-8128-1BD9B87D33C1}"/>
    <cellStyle name="Normal 11 3 2 2 2 3 2 3 2" xfId="37541" xr:uid="{15BB92A9-B827-48CD-8ABC-9A686B78CFBD}"/>
    <cellStyle name="Normal 11 3 2 2 2 3 2 3 2 2" xfId="37542" xr:uid="{26FD48B5-0E7E-43FC-9004-29501B167D16}"/>
    <cellStyle name="Normal 11 3 2 2 2 3 2 3 2 2 2" xfId="37543" xr:uid="{303600B1-52E1-4207-8B22-7F55992DD958}"/>
    <cellStyle name="Normal 11 3 2 2 2 3 2 3 2 2 2 2" xfId="37544" xr:uid="{954F75A8-1E25-4792-9C0F-F3CC6AEA5498}"/>
    <cellStyle name="Normal 11 3 2 2 2 3 2 3 2 2 3" xfId="37545" xr:uid="{7A6ED140-64DD-4FCE-9930-94328F8B88ED}"/>
    <cellStyle name="Normal 11 3 2 2 2 3 2 3 2 3" xfId="37546" xr:uid="{EE1F17EF-239D-4DE9-98B2-B841BAACCE48}"/>
    <cellStyle name="Normal 11 3 2 2 2 3 2 3 2 3 2" xfId="37547" xr:uid="{0F16E5DD-DF3F-4837-AE7A-2B5E940D5973}"/>
    <cellStyle name="Normal 11 3 2 2 2 3 2 3 2 4" xfId="37548" xr:uid="{A5055657-9C98-4BBA-8973-D20EAC633608}"/>
    <cellStyle name="Normal 11 3 2 2 2 3 2 3 3" xfId="37549" xr:uid="{E9AD7C1A-B4F5-4D39-9D7D-680BA2BA9A03}"/>
    <cellStyle name="Normal 11 3 2 2 2 3 2 3 3 2" xfId="37550" xr:uid="{C640A046-93F8-4E79-8C05-32B73BD47AEA}"/>
    <cellStyle name="Normal 11 3 2 2 2 3 2 3 3 2 2" xfId="37551" xr:uid="{303B2BA1-7C74-44B2-AFDB-FC5780BF2B83}"/>
    <cellStyle name="Normal 11 3 2 2 2 3 2 3 3 3" xfId="37552" xr:uid="{E2F23CB0-B854-41C5-B6B2-18E967D02F4E}"/>
    <cellStyle name="Normal 11 3 2 2 2 3 2 3 4" xfId="37553" xr:uid="{5414BB82-DF16-4653-9563-9EDE2DA118D0}"/>
    <cellStyle name="Normal 11 3 2 2 2 3 2 3 4 2" xfId="37554" xr:uid="{5ABC72A3-609B-42F8-8B5D-721778493C5A}"/>
    <cellStyle name="Normal 11 3 2 2 2 3 2 3 5" xfId="37555" xr:uid="{4F0F1027-5391-4B66-8A32-C3861CAF9A1A}"/>
    <cellStyle name="Normal 11 3 2 2 2 3 2 4" xfId="37556" xr:uid="{63FC29FE-6C2B-4B4B-8E68-9310BEBF4360}"/>
    <cellStyle name="Normal 11 3 2 2 2 3 2 4 2" xfId="37557" xr:uid="{740927C1-16AA-4EDB-B452-D4BBFCB25E0F}"/>
    <cellStyle name="Normal 11 3 2 2 2 3 2 4 2 2" xfId="37558" xr:uid="{79B9EEE3-7853-4B77-9538-2373C4398ECD}"/>
    <cellStyle name="Normal 11 3 2 2 2 3 2 4 2 2 2" xfId="37559" xr:uid="{FD8559E8-EB8D-4D2A-A5F5-D6F11160FB6B}"/>
    <cellStyle name="Normal 11 3 2 2 2 3 2 4 2 3" xfId="37560" xr:uid="{DC4A7F1F-1D84-484B-9404-46C44E7EB0D8}"/>
    <cellStyle name="Normal 11 3 2 2 2 3 2 4 3" xfId="37561" xr:uid="{608DB698-7538-487A-8FF8-A23C19DE9BAF}"/>
    <cellStyle name="Normal 11 3 2 2 2 3 2 4 3 2" xfId="37562" xr:uid="{FEC2FF02-D8A7-4710-9F02-444AF545A933}"/>
    <cellStyle name="Normal 11 3 2 2 2 3 2 4 4" xfId="37563" xr:uid="{CF2D659F-99F0-4A13-B925-CEC223E2538A}"/>
    <cellStyle name="Normal 11 3 2 2 2 3 2 5" xfId="37564" xr:uid="{9712357A-C094-4CA8-9C68-A3AC2A5A249C}"/>
    <cellStyle name="Normal 11 3 2 2 2 3 2 5 2" xfId="37565" xr:uid="{C3DDDCD8-8427-4A48-843E-DB1E53B2E9C1}"/>
    <cellStyle name="Normal 11 3 2 2 2 3 2 5 2 2" xfId="37566" xr:uid="{87B5D0ED-959B-43FA-BD9D-D09F319718D3}"/>
    <cellStyle name="Normal 11 3 2 2 2 3 2 5 3" xfId="37567" xr:uid="{B38B8179-76FB-4363-A060-A372D822048B}"/>
    <cellStyle name="Normal 11 3 2 2 2 3 2 6" xfId="37568" xr:uid="{869128B0-0943-4FD9-A4BD-90CADDA198E8}"/>
    <cellStyle name="Normal 11 3 2 2 2 3 2 6 2" xfId="37569" xr:uid="{2C62B3BC-28AA-473B-9060-8292296BD6E2}"/>
    <cellStyle name="Normal 11 3 2 2 2 3 2 7" xfId="37570" xr:uid="{7835D633-E2D4-42A0-8A31-9CB904403076}"/>
    <cellStyle name="Normal 11 3 2 2 2 3 3" xfId="37571" xr:uid="{44FC1507-3830-4D5E-BEFE-8C66F2F8E646}"/>
    <cellStyle name="Normal 11 3 2 2 2 3 3 2" xfId="37572" xr:uid="{C5C65D31-B995-4600-8696-2A29E6E048D1}"/>
    <cellStyle name="Normal 11 3 2 2 2 3 3 2 2" xfId="37573" xr:uid="{60F7F533-5D06-4EF8-8D61-739436ACBBBF}"/>
    <cellStyle name="Normal 11 3 2 2 2 3 3 2 2 2" xfId="37574" xr:uid="{4EB6D0B8-426E-4247-A226-59237C15C0E4}"/>
    <cellStyle name="Normal 11 3 2 2 2 3 3 2 2 2 2" xfId="37575" xr:uid="{7C2E4554-9AA0-452D-B37B-2F54E1034950}"/>
    <cellStyle name="Normal 11 3 2 2 2 3 3 2 2 2 2 2" xfId="37576" xr:uid="{851C5BC0-5819-4CDF-B96F-E3FFD9C96AA1}"/>
    <cellStyle name="Normal 11 3 2 2 2 3 3 2 2 2 3" xfId="37577" xr:uid="{B0A3E3F0-291B-4A9B-A20E-B45812987C33}"/>
    <cellStyle name="Normal 11 3 2 2 2 3 3 2 2 3" xfId="37578" xr:uid="{18FBC921-4F98-426F-88FA-F8C97F82EFF1}"/>
    <cellStyle name="Normal 11 3 2 2 2 3 3 2 2 3 2" xfId="37579" xr:uid="{FB9F47D8-5418-4F04-A673-B0F35E0340FF}"/>
    <cellStyle name="Normal 11 3 2 2 2 3 3 2 2 4" xfId="37580" xr:uid="{D0DC8920-5F94-4123-93C4-C0E105D94163}"/>
    <cellStyle name="Normal 11 3 2 2 2 3 3 2 3" xfId="37581" xr:uid="{7D23B3D6-4519-40E7-AB26-040D2543FF54}"/>
    <cellStyle name="Normal 11 3 2 2 2 3 3 2 3 2" xfId="37582" xr:uid="{BE1A2650-08FE-482A-9CDA-CC05214A560F}"/>
    <cellStyle name="Normal 11 3 2 2 2 3 3 2 3 2 2" xfId="37583" xr:uid="{E0358119-5527-4BDD-B992-9CE176BC0A21}"/>
    <cellStyle name="Normal 11 3 2 2 2 3 3 2 3 3" xfId="37584" xr:uid="{32DED46A-2329-4662-AA5D-AEDA3C4F7785}"/>
    <cellStyle name="Normal 11 3 2 2 2 3 3 2 4" xfId="37585" xr:uid="{D66C4EE8-7A18-4292-B709-8FEEBBDB45CA}"/>
    <cellStyle name="Normal 11 3 2 2 2 3 3 2 4 2" xfId="37586" xr:uid="{5930BD6A-FDD6-4A20-8AAE-F28446D5BC8D}"/>
    <cellStyle name="Normal 11 3 2 2 2 3 3 2 5" xfId="37587" xr:uid="{47D7A61D-1735-49AE-BC8B-B223DE960D73}"/>
    <cellStyle name="Normal 11 3 2 2 2 3 3 3" xfId="37588" xr:uid="{3C47FB0C-D10C-4CB4-8EE3-94C33B155509}"/>
    <cellStyle name="Normal 11 3 2 2 2 3 3 3 2" xfId="37589" xr:uid="{EDD000C0-4CD4-48A2-B50F-B7D22634989D}"/>
    <cellStyle name="Normal 11 3 2 2 2 3 3 3 2 2" xfId="37590" xr:uid="{B2BF8B2E-364F-42A3-9BDD-E85777B76B45}"/>
    <cellStyle name="Normal 11 3 2 2 2 3 3 3 2 2 2" xfId="37591" xr:uid="{0D7ECD59-65A3-4F44-A88E-8246BBF71163}"/>
    <cellStyle name="Normal 11 3 2 2 2 3 3 3 2 3" xfId="37592" xr:uid="{4924B79C-2B94-421F-8A1E-A0BCD2D601B5}"/>
    <cellStyle name="Normal 11 3 2 2 2 3 3 3 3" xfId="37593" xr:uid="{B97601C5-DB16-44FD-8067-8BCD530B5CB1}"/>
    <cellStyle name="Normal 11 3 2 2 2 3 3 3 3 2" xfId="37594" xr:uid="{1B5C6EDE-31D8-4C2F-A411-ABBA001854AF}"/>
    <cellStyle name="Normal 11 3 2 2 2 3 3 3 4" xfId="37595" xr:uid="{AA202A8B-B360-493E-9AAD-6A27A269C6C0}"/>
    <cellStyle name="Normal 11 3 2 2 2 3 3 4" xfId="37596" xr:uid="{9180E172-27FF-4CFD-8E9B-A3BCE2B5B6D8}"/>
    <cellStyle name="Normal 11 3 2 2 2 3 3 4 2" xfId="37597" xr:uid="{A4232145-F1EC-4092-8A34-BD5FB9771FD3}"/>
    <cellStyle name="Normal 11 3 2 2 2 3 3 4 2 2" xfId="37598" xr:uid="{6DE45C1F-D7A3-4398-B570-E0A00F895522}"/>
    <cellStyle name="Normal 11 3 2 2 2 3 3 4 3" xfId="37599" xr:uid="{37C75F39-A406-40D9-9C00-0F1460DE17FD}"/>
    <cellStyle name="Normal 11 3 2 2 2 3 3 5" xfId="37600" xr:uid="{9361E614-1F95-4EEE-A10C-1D64B6B9B40F}"/>
    <cellStyle name="Normal 11 3 2 2 2 3 3 5 2" xfId="37601" xr:uid="{58D592D7-B9BB-4C14-993D-498F03056A2F}"/>
    <cellStyle name="Normal 11 3 2 2 2 3 3 6" xfId="37602" xr:uid="{3803B781-8450-4A49-A8BE-C261B3191ECC}"/>
    <cellStyle name="Normal 11 3 2 2 2 3 4" xfId="37603" xr:uid="{922847A4-50A5-4A1E-820B-F5929BFADB69}"/>
    <cellStyle name="Normal 11 3 2 2 2 3 4 2" xfId="37604" xr:uid="{BC82CC3C-F567-4CD1-86CC-D540AD2E7930}"/>
    <cellStyle name="Normal 11 3 2 2 2 3 4 2 2" xfId="37605" xr:uid="{0E51D73B-D97A-45B6-8633-65E57E3602A6}"/>
    <cellStyle name="Normal 11 3 2 2 2 3 4 2 2 2" xfId="37606" xr:uid="{AC62A804-1860-46CF-A99A-14D416862C8B}"/>
    <cellStyle name="Normal 11 3 2 2 2 3 4 2 2 2 2" xfId="37607" xr:uid="{0368A109-C4F1-43A7-824B-7ED623C1A7D9}"/>
    <cellStyle name="Normal 11 3 2 2 2 3 4 2 2 3" xfId="37608" xr:uid="{7DC2F750-1B52-4F63-9056-71BECFD2FFA1}"/>
    <cellStyle name="Normal 11 3 2 2 2 3 4 2 3" xfId="37609" xr:uid="{67DCD5D1-4047-4833-91E7-E9BB9FE241BD}"/>
    <cellStyle name="Normal 11 3 2 2 2 3 4 2 3 2" xfId="37610" xr:uid="{788C48C9-C36E-46B1-87DA-98C81AD64C9E}"/>
    <cellStyle name="Normal 11 3 2 2 2 3 4 2 4" xfId="37611" xr:uid="{E544D868-4F27-4352-BF82-7D9AD5EE0F1D}"/>
    <cellStyle name="Normal 11 3 2 2 2 3 4 3" xfId="37612" xr:uid="{78C8C5CC-B509-4522-A74D-823F9F01E019}"/>
    <cellStyle name="Normal 11 3 2 2 2 3 4 3 2" xfId="37613" xr:uid="{DABDE6FD-A80E-49DC-AF7F-4B394AC0DB36}"/>
    <cellStyle name="Normal 11 3 2 2 2 3 4 3 2 2" xfId="37614" xr:uid="{371C2FC9-873D-45F7-99B7-FD1A05F3CDA5}"/>
    <cellStyle name="Normal 11 3 2 2 2 3 4 3 3" xfId="37615" xr:uid="{40968F8B-3FE5-4F17-9017-3B6637269BDE}"/>
    <cellStyle name="Normal 11 3 2 2 2 3 4 4" xfId="37616" xr:uid="{05E0A309-74EF-4D88-8430-D6C1999423DF}"/>
    <cellStyle name="Normal 11 3 2 2 2 3 4 4 2" xfId="37617" xr:uid="{8129DC3F-2423-4105-AF1F-33423C991971}"/>
    <cellStyle name="Normal 11 3 2 2 2 3 4 5" xfId="37618" xr:uid="{0793F0D9-1334-4E29-9E40-5F37C3968F98}"/>
    <cellStyle name="Normal 11 3 2 2 2 3 5" xfId="37619" xr:uid="{B77E3D5C-9132-45A8-9905-A57EE37570EA}"/>
    <cellStyle name="Normal 11 3 2 2 2 3 5 2" xfId="37620" xr:uid="{E37E3DD3-73B2-457D-86A0-13A262DABF80}"/>
    <cellStyle name="Normal 11 3 2 2 2 3 5 2 2" xfId="37621" xr:uid="{ABDE2C44-13EA-4575-850C-52DDF3F03EDC}"/>
    <cellStyle name="Normal 11 3 2 2 2 3 5 2 2 2" xfId="37622" xr:uid="{E3042C60-8513-4883-AFF1-BA2EE86056E6}"/>
    <cellStyle name="Normal 11 3 2 2 2 3 5 2 3" xfId="37623" xr:uid="{D42CD5EC-C167-4B79-8B81-BDC6A8497948}"/>
    <cellStyle name="Normal 11 3 2 2 2 3 5 3" xfId="37624" xr:uid="{8B3DDDCE-C1CA-4F87-8527-3924956438D6}"/>
    <cellStyle name="Normal 11 3 2 2 2 3 5 3 2" xfId="37625" xr:uid="{B5696A02-9594-4E38-84DA-8B64D001286C}"/>
    <cellStyle name="Normal 11 3 2 2 2 3 5 4" xfId="37626" xr:uid="{65D37C92-D98A-40EE-AAF6-7F2128FEE0AC}"/>
    <cellStyle name="Normal 11 3 2 2 2 3 6" xfId="37627" xr:uid="{E8C064D5-3BAB-475D-995B-26E0FC624CE6}"/>
    <cellStyle name="Normal 11 3 2 2 2 3 6 2" xfId="37628" xr:uid="{7AB6015D-6CC4-49AA-87BA-00DFB3CE94F1}"/>
    <cellStyle name="Normal 11 3 2 2 2 3 6 2 2" xfId="37629" xr:uid="{45EB8FD5-AF6F-44BC-BC3B-13640D9779F9}"/>
    <cellStyle name="Normal 11 3 2 2 2 3 6 3" xfId="37630" xr:uid="{E39A262D-51A2-417D-AA3E-93A866EEB5C2}"/>
    <cellStyle name="Normal 11 3 2 2 2 3 7" xfId="37631" xr:uid="{34AB12EB-3034-4644-A40D-DDA605A21CCA}"/>
    <cellStyle name="Normal 11 3 2 2 2 3 7 2" xfId="37632" xr:uid="{61C6460E-2D07-4F4B-BD39-761BABC07F1B}"/>
    <cellStyle name="Normal 11 3 2 2 2 3 8" xfId="37633" xr:uid="{F7DFA4AF-1EB0-4469-8A63-25EF3920DB9C}"/>
    <cellStyle name="Normal 11 3 2 2 2 3 9" xfId="37506" xr:uid="{11C3C180-CEAA-4A7D-815C-338C8E9D4AC2}"/>
    <cellStyle name="Normal 11 3 2 2 2 4" xfId="37634" xr:uid="{2B71AF95-BA01-4D03-9664-8FF508731973}"/>
    <cellStyle name="Normal 11 3 2 2 2 4 2" xfId="37635" xr:uid="{6F98BC31-AE83-4761-A8B8-970E5BCDA8E3}"/>
    <cellStyle name="Normal 11 3 2 2 2 4 2 2" xfId="37636" xr:uid="{4A2A9496-96C0-47E1-A068-88A1AED77745}"/>
    <cellStyle name="Normal 11 3 2 2 2 4 2 2 2" xfId="37637" xr:uid="{AC0D9238-3494-4D3C-B939-67F242719FA7}"/>
    <cellStyle name="Normal 11 3 2 2 2 4 2 2 2 2" xfId="37638" xr:uid="{CEB4C55A-0445-41E9-A88C-FDBE6FE4EB0A}"/>
    <cellStyle name="Normal 11 3 2 2 2 4 2 2 2 2 2" xfId="37639" xr:uid="{D9F3C297-5253-4F7C-AE48-9BFFDC85904F}"/>
    <cellStyle name="Normal 11 3 2 2 2 4 2 2 2 2 2 2" xfId="37640" xr:uid="{08140B53-3187-401E-955C-8D0217BA0462}"/>
    <cellStyle name="Normal 11 3 2 2 2 4 2 2 2 2 3" xfId="37641" xr:uid="{78E42CEB-FB4C-4A83-9435-71DDD5DB37C8}"/>
    <cellStyle name="Normal 11 3 2 2 2 4 2 2 2 3" xfId="37642" xr:uid="{74C7A46A-2ADD-4443-807B-CB7AE942B2D7}"/>
    <cellStyle name="Normal 11 3 2 2 2 4 2 2 2 3 2" xfId="37643" xr:uid="{567650E7-6061-4219-AD03-BF49344F7A36}"/>
    <cellStyle name="Normal 11 3 2 2 2 4 2 2 2 4" xfId="37644" xr:uid="{5370E432-387B-4C23-BAEB-BF07D7A4B6D5}"/>
    <cellStyle name="Normal 11 3 2 2 2 4 2 2 3" xfId="37645" xr:uid="{1FA3F40B-EAAD-4021-9CB4-D37C76638EF0}"/>
    <cellStyle name="Normal 11 3 2 2 2 4 2 2 3 2" xfId="37646" xr:uid="{03ECF142-F755-4639-BCA4-CCB4B0875EFC}"/>
    <cellStyle name="Normal 11 3 2 2 2 4 2 2 3 2 2" xfId="37647" xr:uid="{37C2D72C-7FE3-4E54-9AF0-B67CBB36186B}"/>
    <cellStyle name="Normal 11 3 2 2 2 4 2 2 3 3" xfId="37648" xr:uid="{81373054-2559-4AE6-9834-E5FC8232ADFE}"/>
    <cellStyle name="Normal 11 3 2 2 2 4 2 2 4" xfId="37649" xr:uid="{3537F32A-F42A-43E3-975A-DB559F2B826E}"/>
    <cellStyle name="Normal 11 3 2 2 2 4 2 2 4 2" xfId="37650" xr:uid="{135D7385-5545-49D8-9C00-52B56DFE47E3}"/>
    <cellStyle name="Normal 11 3 2 2 2 4 2 2 5" xfId="37651" xr:uid="{58E31673-129C-497C-B34D-1E1E632A4C0B}"/>
    <cellStyle name="Normal 11 3 2 2 2 4 2 3" xfId="37652" xr:uid="{4438D5EC-EA06-41F9-B2E5-52C6FAF07446}"/>
    <cellStyle name="Normal 11 3 2 2 2 4 2 3 2" xfId="37653" xr:uid="{46B7A344-AE8E-4A3F-B7CE-4979F57F3633}"/>
    <cellStyle name="Normal 11 3 2 2 2 4 2 3 2 2" xfId="37654" xr:uid="{9F6E2C6C-C794-438A-B04A-CDD66E1ABC02}"/>
    <cellStyle name="Normal 11 3 2 2 2 4 2 3 2 2 2" xfId="37655" xr:uid="{C950D9FB-1A15-4E56-8089-D7488B8EE533}"/>
    <cellStyle name="Normal 11 3 2 2 2 4 2 3 2 3" xfId="37656" xr:uid="{88EE6993-394C-4FFD-8161-E99B4B644B62}"/>
    <cellStyle name="Normal 11 3 2 2 2 4 2 3 3" xfId="37657" xr:uid="{33855C13-386B-4FDE-8036-EEDFA5CFEFC7}"/>
    <cellStyle name="Normal 11 3 2 2 2 4 2 3 3 2" xfId="37658" xr:uid="{3B1A2427-A8C2-4605-8C09-77009C4C39AC}"/>
    <cellStyle name="Normal 11 3 2 2 2 4 2 3 4" xfId="37659" xr:uid="{EF950374-1EC6-4E2B-A7DB-26A93E945741}"/>
    <cellStyle name="Normal 11 3 2 2 2 4 2 4" xfId="37660" xr:uid="{1717991B-FB57-4721-9920-D61797F6A778}"/>
    <cellStyle name="Normal 11 3 2 2 2 4 2 4 2" xfId="37661" xr:uid="{5DA2FF0E-784D-49AB-8A11-F4FAB4A1A448}"/>
    <cellStyle name="Normal 11 3 2 2 2 4 2 4 2 2" xfId="37662" xr:uid="{707779D9-1686-4075-A208-2069A1505FB1}"/>
    <cellStyle name="Normal 11 3 2 2 2 4 2 4 3" xfId="37663" xr:uid="{64E4BD07-39C6-43EC-96E5-2EB5C881B719}"/>
    <cellStyle name="Normal 11 3 2 2 2 4 2 5" xfId="37664" xr:uid="{BB15D922-6C80-469F-BDCF-06202BB78CB9}"/>
    <cellStyle name="Normal 11 3 2 2 2 4 2 5 2" xfId="37665" xr:uid="{87A3A3AF-C15A-40AC-BF6D-761DD995ACBE}"/>
    <cellStyle name="Normal 11 3 2 2 2 4 2 6" xfId="37666" xr:uid="{FC6E091E-5554-47FF-BD4A-2EE77CEE8F1D}"/>
    <cellStyle name="Normal 11 3 2 2 2 4 3" xfId="37667" xr:uid="{6F5E5C97-32BC-4F59-B4E3-5D8A2031999C}"/>
    <cellStyle name="Normal 11 3 2 2 2 4 3 2" xfId="37668" xr:uid="{D9D27426-F79C-44A9-93A8-9CCB5EC85319}"/>
    <cellStyle name="Normal 11 3 2 2 2 4 3 2 2" xfId="37669" xr:uid="{7A576461-B25F-41F6-943E-30B4BC02B7D9}"/>
    <cellStyle name="Normal 11 3 2 2 2 4 3 2 2 2" xfId="37670" xr:uid="{21CD325A-F662-4CE3-A82E-0FA46F57E522}"/>
    <cellStyle name="Normal 11 3 2 2 2 4 3 2 2 2 2" xfId="37671" xr:uid="{FF094B15-35AE-41DF-AA80-5E2A5012C5DB}"/>
    <cellStyle name="Normal 11 3 2 2 2 4 3 2 2 3" xfId="37672" xr:uid="{8DE90963-6714-4729-BF22-57AEBECDEDF2}"/>
    <cellStyle name="Normal 11 3 2 2 2 4 3 2 3" xfId="37673" xr:uid="{FE247D25-3C53-4413-A5F3-FD67170427EC}"/>
    <cellStyle name="Normal 11 3 2 2 2 4 3 2 3 2" xfId="37674" xr:uid="{FC084414-7F31-47CB-9871-D5BC62F8EA2F}"/>
    <cellStyle name="Normal 11 3 2 2 2 4 3 2 4" xfId="37675" xr:uid="{06BA21F0-B385-4F12-ABF9-E73251A0DCEB}"/>
    <cellStyle name="Normal 11 3 2 2 2 4 3 3" xfId="37676" xr:uid="{D86CC815-3018-4C11-84EE-F6C9A9BBCE0D}"/>
    <cellStyle name="Normal 11 3 2 2 2 4 3 3 2" xfId="37677" xr:uid="{0F9FB360-DA99-4FA2-9869-E496E2F64165}"/>
    <cellStyle name="Normal 11 3 2 2 2 4 3 3 2 2" xfId="37678" xr:uid="{92FB3C87-7F00-4592-AAA2-3727C8CD2B58}"/>
    <cellStyle name="Normal 11 3 2 2 2 4 3 3 3" xfId="37679" xr:uid="{08A15506-CBD7-499D-95C8-BE1B85402D60}"/>
    <cellStyle name="Normal 11 3 2 2 2 4 3 4" xfId="37680" xr:uid="{851D8D14-F119-4324-8F19-FDEDD0B654F2}"/>
    <cellStyle name="Normal 11 3 2 2 2 4 3 4 2" xfId="37681" xr:uid="{904FA49D-70A2-4F0F-BC50-7DF57C67885F}"/>
    <cellStyle name="Normal 11 3 2 2 2 4 3 5" xfId="37682" xr:uid="{8B9450E0-A8F1-4CA2-83E6-D9D88DEC4FFE}"/>
    <cellStyle name="Normal 11 3 2 2 2 4 4" xfId="37683" xr:uid="{27561E65-FD8B-42EF-8AF6-770961B5DBDF}"/>
    <cellStyle name="Normal 11 3 2 2 2 4 4 2" xfId="37684" xr:uid="{29CCC7F9-02AA-4F09-8E9D-A612D7D9FCB2}"/>
    <cellStyle name="Normal 11 3 2 2 2 4 4 2 2" xfId="37685" xr:uid="{6BACA775-DDC4-45B0-B2BF-63D404E94714}"/>
    <cellStyle name="Normal 11 3 2 2 2 4 4 2 2 2" xfId="37686" xr:uid="{6EE02B2C-4169-4823-983B-A5A26185AEFE}"/>
    <cellStyle name="Normal 11 3 2 2 2 4 4 2 3" xfId="37687" xr:uid="{CFE7512E-77F1-464C-A432-27355E5E9B49}"/>
    <cellStyle name="Normal 11 3 2 2 2 4 4 3" xfId="37688" xr:uid="{9D8E144B-A121-4673-86F5-34282BC60FF9}"/>
    <cellStyle name="Normal 11 3 2 2 2 4 4 3 2" xfId="37689" xr:uid="{36738780-E1B9-46F0-9C9E-BD582753A200}"/>
    <cellStyle name="Normal 11 3 2 2 2 4 4 4" xfId="37690" xr:uid="{964CEDF9-85EE-4325-B4BA-A16627636513}"/>
    <cellStyle name="Normal 11 3 2 2 2 4 5" xfId="37691" xr:uid="{1C78C634-5B49-4CE3-8E70-C19D5460EC25}"/>
    <cellStyle name="Normal 11 3 2 2 2 4 5 2" xfId="37692" xr:uid="{6DAE11BD-73D0-4468-9D9B-5225866F481E}"/>
    <cellStyle name="Normal 11 3 2 2 2 4 5 2 2" xfId="37693" xr:uid="{96891841-8543-4080-BDDC-F17A03672630}"/>
    <cellStyle name="Normal 11 3 2 2 2 4 5 3" xfId="37694" xr:uid="{928E3F0A-BF30-47BF-9E28-A7B8372EA83F}"/>
    <cellStyle name="Normal 11 3 2 2 2 4 6" xfId="37695" xr:uid="{7E854528-A7B0-4C36-8700-734E2C7B662C}"/>
    <cellStyle name="Normal 11 3 2 2 2 4 6 2" xfId="37696" xr:uid="{49A20029-B893-48D4-8907-19CE3130E43E}"/>
    <cellStyle name="Normal 11 3 2 2 2 4 7" xfId="37697" xr:uid="{16C4FA44-8B82-4A67-8F58-F700815A86CB}"/>
    <cellStyle name="Normal 11 3 2 2 2 5" xfId="37698" xr:uid="{56BAEACB-D26E-4986-912E-B9A8EFEFEF8C}"/>
    <cellStyle name="Normal 11 3 2 2 2 5 2" xfId="37699" xr:uid="{F1875527-7854-4F6C-8FA9-38B68C5ED833}"/>
    <cellStyle name="Normal 11 3 2 2 2 5 2 2" xfId="37700" xr:uid="{116DA5F2-2D56-4E40-A789-D3E8D9F4A41A}"/>
    <cellStyle name="Normal 11 3 2 2 2 5 2 2 2" xfId="37701" xr:uid="{75FAAE20-64EE-4D06-98F0-CE7ACD3FD3F2}"/>
    <cellStyle name="Normal 11 3 2 2 2 5 2 2 2 2" xfId="37702" xr:uid="{81F82B08-7410-4403-AD7F-5D33EE7C04EA}"/>
    <cellStyle name="Normal 11 3 2 2 2 5 2 2 2 2 2" xfId="37703" xr:uid="{44F6C3F2-CD6E-49BC-A501-B1BA45D28D7F}"/>
    <cellStyle name="Normal 11 3 2 2 2 5 2 2 2 3" xfId="37704" xr:uid="{2232B060-41C0-48DB-AC75-7C81E8D60280}"/>
    <cellStyle name="Normal 11 3 2 2 2 5 2 2 3" xfId="37705" xr:uid="{BDFD7561-FED5-42DC-B79D-BF804550481E}"/>
    <cellStyle name="Normal 11 3 2 2 2 5 2 2 3 2" xfId="37706" xr:uid="{CD811685-3852-41F0-9015-9BD74F6B65F8}"/>
    <cellStyle name="Normal 11 3 2 2 2 5 2 2 4" xfId="37707" xr:uid="{0908EC02-511C-4C8F-99E5-EAF5ED545D40}"/>
    <cellStyle name="Normal 11 3 2 2 2 5 2 3" xfId="37708" xr:uid="{7B44C62A-0CB9-4DF4-AD64-1BD9B10E9504}"/>
    <cellStyle name="Normal 11 3 2 2 2 5 2 3 2" xfId="37709" xr:uid="{B3E23EE5-584F-4360-8864-48715648312D}"/>
    <cellStyle name="Normal 11 3 2 2 2 5 2 3 2 2" xfId="37710" xr:uid="{E6545D6F-D93B-4548-BE00-56E5F40D205B}"/>
    <cellStyle name="Normal 11 3 2 2 2 5 2 3 3" xfId="37711" xr:uid="{0995B074-9E47-4F64-864D-DAF02EC590CC}"/>
    <cellStyle name="Normal 11 3 2 2 2 5 2 4" xfId="37712" xr:uid="{6F6FFEB1-81B3-4752-9E47-B29D123FEBC6}"/>
    <cellStyle name="Normal 11 3 2 2 2 5 2 4 2" xfId="37713" xr:uid="{4B4CD4B4-A0AA-41EA-A7CA-28807207D974}"/>
    <cellStyle name="Normal 11 3 2 2 2 5 2 5" xfId="37714" xr:uid="{522A7599-CC26-4D99-992F-9B95A98A5EF9}"/>
    <cellStyle name="Normal 11 3 2 2 2 5 3" xfId="37715" xr:uid="{F55AC639-C6F9-4334-B1C0-F492CB30FFE1}"/>
    <cellStyle name="Normal 11 3 2 2 2 5 3 2" xfId="37716" xr:uid="{BE73FDCC-76F2-4513-B424-9C0170A923F3}"/>
    <cellStyle name="Normal 11 3 2 2 2 5 3 2 2" xfId="37717" xr:uid="{CF5E9478-7F63-40AB-80D8-A483D6271975}"/>
    <cellStyle name="Normal 11 3 2 2 2 5 3 2 2 2" xfId="37718" xr:uid="{49BD4BE7-0DE3-40AE-A7A9-3EB229391E22}"/>
    <cellStyle name="Normal 11 3 2 2 2 5 3 2 3" xfId="37719" xr:uid="{223D7B52-9B87-492B-A2A0-4F9E8F2FA4C8}"/>
    <cellStyle name="Normal 11 3 2 2 2 5 3 3" xfId="37720" xr:uid="{76562DD8-D4BD-4EEA-8E1F-323775568A16}"/>
    <cellStyle name="Normal 11 3 2 2 2 5 3 3 2" xfId="37721" xr:uid="{A6995711-4ADB-4E3C-85B4-E0ED16253772}"/>
    <cellStyle name="Normal 11 3 2 2 2 5 3 4" xfId="37722" xr:uid="{944E6F57-387D-4CAF-B799-75A2C97818EA}"/>
    <cellStyle name="Normal 11 3 2 2 2 5 4" xfId="37723" xr:uid="{BD6AEA1C-D2D4-474B-B4C4-148134314FEF}"/>
    <cellStyle name="Normal 11 3 2 2 2 5 4 2" xfId="37724" xr:uid="{563E3103-19DC-40B3-B137-930CBCE9D51E}"/>
    <cellStyle name="Normal 11 3 2 2 2 5 4 2 2" xfId="37725" xr:uid="{D59F6FE5-FE81-4D78-B460-074163695EF0}"/>
    <cellStyle name="Normal 11 3 2 2 2 5 4 3" xfId="37726" xr:uid="{993B4C92-69E9-416D-BDAF-7376099DE235}"/>
    <cellStyle name="Normal 11 3 2 2 2 5 5" xfId="37727" xr:uid="{6E6DC5F6-76BB-4654-88F5-045946F0E2E0}"/>
    <cellStyle name="Normal 11 3 2 2 2 5 5 2" xfId="37728" xr:uid="{CE5BB141-52AB-49CE-90D8-F5C6E10D72C7}"/>
    <cellStyle name="Normal 11 3 2 2 2 5 6" xfId="37729" xr:uid="{BDE35CCD-7029-4D77-A3B2-5624EF37A79C}"/>
    <cellStyle name="Normal 11 3 2 2 2 6" xfId="37730" xr:uid="{E8AE0D7A-F79E-4491-9707-DBCE90876CBB}"/>
    <cellStyle name="Normal 11 3 2 2 2 6 2" xfId="37731" xr:uid="{6B59292A-FA06-4E9A-8C54-5C4F0C177F17}"/>
    <cellStyle name="Normal 11 3 2 2 2 6 2 2" xfId="37732" xr:uid="{0FD221AF-6C6A-4A5C-B4BE-C5AA4EEFFD5E}"/>
    <cellStyle name="Normal 11 3 2 2 2 6 2 2 2" xfId="37733" xr:uid="{514C6DFA-1E40-46AC-BA23-091E54B7474D}"/>
    <cellStyle name="Normal 11 3 2 2 2 6 2 2 2 2" xfId="37734" xr:uid="{6151CB36-36DE-4576-AAE7-E9DAB47FFC51}"/>
    <cellStyle name="Normal 11 3 2 2 2 6 2 2 3" xfId="37735" xr:uid="{3DD504D6-04F7-4BA8-9907-DCA240E3346E}"/>
    <cellStyle name="Normal 11 3 2 2 2 6 2 3" xfId="37736" xr:uid="{2FE12776-BA03-4E3A-A4D3-2627282A385F}"/>
    <cellStyle name="Normal 11 3 2 2 2 6 2 3 2" xfId="37737" xr:uid="{0FA6E4A5-2AF4-427B-AE27-ECCE0DA539C7}"/>
    <cellStyle name="Normal 11 3 2 2 2 6 2 4" xfId="37738" xr:uid="{45797A6D-EBD3-4C00-97D9-3DB2993018CA}"/>
    <cellStyle name="Normal 11 3 2 2 2 6 3" xfId="37739" xr:uid="{75338EBB-E208-485B-BACD-3FA64BAEF73F}"/>
    <cellStyle name="Normal 11 3 2 2 2 6 3 2" xfId="37740" xr:uid="{B3BEE6B5-235B-403C-A9AD-C843AED95820}"/>
    <cellStyle name="Normal 11 3 2 2 2 6 3 2 2" xfId="37741" xr:uid="{007D696D-3258-4FE9-94E4-67208CB6147C}"/>
    <cellStyle name="Normal 11 3 2 2 2 6 3 3" xfId="37742" xr:uid="{CF623A4F-B4F7-40D7-97B2-F3CB9269238B}"/>
    <cellStyle name="Normal 11 3 2 2 2 6 4" xfId="37743" xr:uid="{A6679E24-0492-47B9-A0DF-ED41AD43CC03}"/>
    <cellStyle name="Normal 11 3 2 2 2 6 4 2" xfId="37744" xr:uid="{A5E13D7B-598E-46F7-AD14-4B8FA7A9E4A3}"/>
    <cellStyle name="Normal 11 3 2 2 2 6 5" xfId="37745" xr:uid="{66053650-68BE-4513-8D76-7564D6558A82}"/>
    <cellStyle name="Normal 11 3 2 2 2 7" xfId="37746" xr:uid="{D436784A-F68C-4D31-8334-CBEEE2FC3C21}"/>
    <cellStyle name="Normal 11 3 2 2 2 7 2" xfId="37747" xr:uid="{880BD064-D612-4C21-9324-777F00A420EC}"/>
    <cellStyle name="Normal 11 3 2 2 2 7 2 2" xfId="37748" xr:uid="{B2DC228C-8637-42D8-8E90-BDEB42C43D23}"/>
    <cellStyle name="Normal 11 3 2 2 2 7 2 2 2" xfId="37749" xr:uid="{D0C792BA-63DE-43A9-8049-F2CDC8319302}"/>
    <cellStyle name="Normal 11 3 2 2 2 7 2 3" xfId="37750" xr:uid="{6065F42D-CB8E-4799-A762-626FEEA6B1EE}"/>
    <cellStyle name="Normal 11 3 2 2 2 7 3" xfId="37751" xr:uid="{03D343B7-BA37-4542-A8FF-33A01192415F}"/>
    <cellStyle name="Normal 11 3 2 2 2 7 3 2" xfId="37752" xr:uid="{A1758E30-A5B0-4C2D-8E94-0D2642048C6E}"/>
    <cellStyle name="Normal 11 3 2 2 2 7 4" xfId="37753" xr:uid="{A4DA7BE8-8947-4C89-97BD-2D2EA379FB49}"/>
    <cellStyle name="Normal 11 3 2 2 2 8" xfId="37754" xr:uid="{3F254D8B-64FD-4536-BC3C-6AD040FDB840}"/>
    <cellStyle name="Normal 11 3 2 2 2 8 2" xfId="37755" xr:uid="{39640145-0085-4C83-981C-2A641C748542}"/>
    <cellStyle name="Normal 11 3 2 2 2 8 2 2" xfId="37756" xr:uid="{78A84FD9-B8A7-4464-A220-C5CF787B9B8A}"/>
    <cellStyle name="Normal 11 3 2 2 2 8 3" xfId="37757" xr:uid="{32D7F556-BF62-401A-8908-04EF3BC548AF}"/>
    <cellStyle name="Normal 11 3 2 2 2 9" xfId="37758" xr:uid="{8D059A9E-DCB4-446D-A17A-B7083F6825A2}"/>
    <cellStyle name="Normal 11 3 2 2 2 9 2" xfId="37759" xr:uid="{4FA5B2C5-F9BF-4FFD-8C54-2853ED18E179}"/>
    <cellStyle name="Normal 11 3 2 2 3" xfId="249" xr:uid="{16B2A1B5-689F-484A-BCD1-91C0D1D179DF}"/>
    <cellStyle name="Normal 11 3 2 2 3 10" xfId="37760" xr:uid="{8F684BD0-5C12-4F81-88DA-0F76FCC91C95}"/>
    <cellStyle name="Normal 11 3 2 2 3 11" xfId="592" xr:uid="{771F513D-E0F1-4B07-91B3-BB1D86655BF5}"/>
    <cellStyle name="Normal 11 3 2 2 3 2" xfId="374" xr:uid="{34AC6926-1C2C-420E-B22E-3897CCCE4D6B}"/>
    <cellStyle name="Normal 11 3 2 2 3 2 10" xfId="37761" xr:uid="{FA849BEC-2876-4211-91D3-258CE6601833}"/>
    <cellStyle name="Normal 11 3 2 2 3 2 2" xfId="37762" xr:uid="{CFB7030A-FEAF-46F3-90EE-F5F43E578976}"/>
    <cellStyle name="Normal 11 3 2 2 3 2 2 2" xfId="37763" xr:uid="{2DEAA964-4016-4DA1-B594-241BBAE0BBCA}"/>
    <cellStyle name="Normal 11 3 2 2 3 2 2 2 2" xfId="37764" xr:uid="{79EDCB9B-063E-42CD-9D17-A7B874D8D9DD}"/>
    <cellStyle name="Normal 11 3 2 2 3 2 2 2 2 2" xfId="37765" xr:uid="{8E54F9A0-02F7-427E-9AFD-969665BF619A}"/>
    <cellStyle name="Normal 11 3 2 2 3 2 2 2 2 2 2" xfId="37766" xr:uid="{427F21B4-3859-40A4-91E2-ACB9CF1C3B67}"/>
    <cellStyle name="Normal 11 3 2 2 3 2 2 2 2 2 2 2" xfId="37767" xr:uid="{3AC7198C-42B7-4241-BDF6-7435249657DE}"/>
    <cellStyle name="Normal 11 3 2 2 3 2 2 2 2 2 2 2 2" xfId="37768" xr:uid="{83E0DE9A-AB6E-4022-BC63-AE31337EC8E9}"/>
    <cellStyle name="Normal 11 3 2 2 3 2 2 2 2 2 2 2 2 2" xfId="37769" xr:uid="{1F10A20B-43A7-4B82-A542-86E2F478159B}"/>
    <cellStyle name="Normal 11 3 2 2 3 2 2 2 2 2 2 2 3" xfId="37770" xr:uid="{4D4A504A-5AAF-4146-9001-CC9FC10E4A75}"/>
    <cellStyle name="Normal 11 3 2 2 3 2 2 2 2 2 2 3" xfId="37771" xr:uid="{1BCBF2B5-F89B-4499-98A2-6C53DA22F4E4}"/>
    <cellStyle name="Normal 11 3 2 2 3 2 2 2 2 2 2 3 2" xfId="37772" xr:uid="{6305A751-19D8-4536-99D0-2AF5F2E560D0}"/>
    <cellStyle name="Normal 11 3 2 2 3 2 2 2 2 2 2 4" xfId="37773" xr:uid="{B34BE51E-97A4-4C4B-B365-287D911471B4}"/>
    <cellStyle name="Normal 11 3 2 2 3 2 2 2 2 2 3" xfId="37774" xr:uid="{8684AEC4-8C15-495D-98BB-C09FC9BEBB8B}"/>
    <cellStyle name="Normal 11 3 2 2 3 2 2 2 2 2 3 2" xfId="37775" xr:uid="{769B8D0C-2FBB-4A7E-B9F0-E36C1F847E25}"/>
    <cellStyle name="Normal 11 3 2 2 3 2 2 2 2 2 3 2 2" xfId="37776" xr:uid="{39C43669-2EA0-4CCA-8E86-7A658A9D60F7}"/>
    <cellStyle name="Normal 11 3 2 2 3 2 2 2 2 2 3 3" xfId="37777" xr:uid="{01B24F28-6615-4590-901A-DC77F6D3D4FB}"/>
    <cellStyle name="Normal 11 3 2 2 3 2 2 2 2 2 4" xfId="37778" xr:uid="{2B0F1F9D-EE46-47E9-9463-680092183A92}"/>
    <cellStyle name="Normal 11 3 2 2 3 2 2 2 2 2 4 2" xfId="37779" xr:uid="{AD721667-D58B-4739-84EA-654F6771742C}"/>
    <cellStyle name="Normal 11 3 2 2 3 2 2 2 2 2 5" xfId="37780" xr:uid="{71BE1A8C-4906-4B42-A07C-0F800EC6E7C0}"/>
    <cellStyle name="Normal 11 3 2 2 3 2 2 2 2 3" xfId="37781" xr:uid="{3BCE5EC5-D0A2-4812-B70E-1247C833AD2E}"/>
    <cellStyle name="Normal 11 3 2 2 3 2 2 2 2 3 2" xfId="37782" xr:uid="{4819AC14-1748-49AC-A4A5-5D6AE6B10571}"/>
    <cellStyle name="Normal 11 3 2 2 3 2 2 2 2 3 2 2" xfId="37783" xr:uid="{64CE019D-C42D-416F-B807-8226BFE251A2}"/>
    <cellStyle name="Normal 11 3 2 2 3 2 2 2 2 3 2 2 2" xfId="37784" xr:uid="{E93065B2-7F6F-47B7-9CFF-38750D142FD9}"/>
    <cellStyle name="Normal 11 3 2 2 3 2 2 2 2 3 2 3" xfId="37785" xr:uid="{07B11ACB-9558-43CF-A57B-D69CAD565555}"/>
    <cellStyle name="Normal 11 3 2 2 3 2 2 2 2 3 3" xfId="37786" xr:uid="{C799BF4B-6856-46D5-B93F-DB2C4B0BA185}"/>
    <cellStyle name="Normal 11 3 2 2 3 2 2 2 2 3 3 2" xfId="37787" xr:uid="{4E49A6DF-C795-4898-B033-1B20E2B1AAC6}"/>
    <cellStyle name="Normal 11 3 2 2 3 2 2 2 2 3 4" xfId="37788" xr:uid="{A88CA2CE-8B43-4224-81D7-320876A6BAA8}"/>
    <cellStyle name="Normal 11 3 2 2 3 2 2 2 2 4" xfId="37789" xr:uid="{F52AFECB-0420-4AF0-B61C-690BD7981F20}"/>
    <cellStyle name="Normal 11 3 2 2 3 2 2 2 2 4 2" xfId="37790" xr:uid="{FCB5A72E-D811-4DFC-A10A-BA7FB00628AA}"/>
    <cellStyle name="Normal 11 3 2 2 3 2 2 2 2 4 2 2" xfId="37791" xr:uid="{7AAA7C41-276C-46A3-BB58-B26BF0BD409D}"/>
    <cellStyle name="Normal 11 3 2 2 3 2 2 2 2 4 3" xfId="37792" xr:uid="{E2FE9B5A-DE1B-4A24-B491-F5A1ACF42C29}"/>
    <cellStyle name="Normal 11 3 2 2 3 2 2 2 2 5" xfId="37793" xr:uid="{A32E626F-2FE2-4920-BF96-AFACDF9FA5C5}"/>
    <cellStyle name="Normal 11 3 2 2 3 2 2 2 2 5 2" xfId="37794" xr:uid="{689D0577-F13E-4B76-820E-845C0D115FED}"/>
    <cellStyle name="Normal 11 3 2 2 3 2 2 2 2 6" xfId="37795" xr:uid="{19646CA3-89AD-4DE5-B20D-45F292DCE481}"/>
    <cellStyle name="Normal 11 3 2 2 3 2 2 2 3" xfId="37796" xr:uid="{8EDF5122-1F26-4358-86C5-A2F1C71FFB65}"/>
    <cellStyle name="Normal 11 3 2 2 3 2 2 2 3 2" xfId="37797" xr:uid="{73DF02D6-E9D0-4176-A7A6-5684D28D0182}"/>
    <cellStyle name="Normal 11 3 2 2 3 2 2 2 3 2 2" xfId="37798" xr:uid="{4AD33C84-B7D7-49ED-A22D-1B120ED5F673}"/>
    <cellStyle name="Normal 11 3 2 2 3 2 2 2 3 2 2 2" xfId="37799" xr:uid="{76A6C17F-12C2-4AE7-B5C2-9F7B8096AE38}"/>
    <cellStyle name="Normal 11 3 2 2 3 2 2 2 3 2 2 2 2" xfId="37800" xr:uid="{267FB540-B242-4EBE-8721-E2A38FFE677A}"/>
    <cellStyle name="Normal 11 3 2 2 3 2 2 2 3 2 2 3" xfId="37801" xr:uid="{5B7CCFA1-BE0D-4200-BD9E-9A378EA06BD4}"/>
    <cellStyle name="Normal 11 3 2 2 3 2 2 2 3 2 3" xfId="37802" xr:uid="{408FA160-DECD-4F89-8C78-A42E44430C60}"/>
    <cellStyle name="Normal 11 3 2 2 3 2 2 2 3 2 3 2" xfId="37803" xr:uid="{4B94AFF0-6D1A-494C-BE54-FFC39CF74A08}"/>
    <cellStyle name="Normal 11 3 2 2 3 2 2 2 3 2 4" xfId="37804" xr:uid="{EE857638-C6BA-4A8C-94FA-4904E8549F05}"/>
    <cellStyle name="Normal 11 3 2 2 3 2 2 2 3 3" xfId="37805" xr:uid="{3B514890-5E8F-46C6-9B8E-72DA47B9A291}"/>
    <cellStyle name="Normal 11 3 2 2 3 2 2 2 3 3 2" xfId="37806" xr:uid="{F104D945-45E9-4CAB-87A8-22D69928F31D}"/>
    <cellStyle name="Normal 11 3 2 2 3 2 2 2 3 3 2 2" xfId="37807" xr:uid="{402F7580-6338-4C3F-B0B9-FD9E49EB910D}"/>
    <cellStyle name="Normal 11 3 2 2 3 2 2 2 3 3 3" xfId="37808" xr:uid="{D5F04D27-BF62-4C7D-BD98-DDEFF1E4E1C5}"/>
    <cellStyle name="Normal 11 3 2 2 3 2 2 2 3 4" xfId="37809" xr:uid="{551B8B53-C0A9-435B-B6AD-CA1E0B6FAB28}"/>
    <cellStyle name="Normal 11 3 2 2 3 2 2 2 3 4 2" xfId="37810" xr:uid="{2F385C70-2B6A-472A-9B65-B222A04FCD2D}"/>
    <cellStyle name="Normal 11 3 2 2 3 2 2 2 3 5" xfId="37811" xr:uid="{98FD5109-8AB2-476A-A214-C48B8A2E8716}"/>
    <cellStyle name="Normal 11 3 2 2 3 2 2 2 4" xfId="37812" xr:uid="{81F81607-9327-4541-B900-F3ABFA90F57A}"/>
    <cellStyle name="Normal 11 3 2 2 3 2 2 2 4 2" xfId="37813" xr:uid="{42C5D6F2-A2B4-4EA4-82B4-51BE1AF00389}"/>
    <cellStyle name="Normal 11 3 2 2 3 2 2 2 4 2 2" xfId="37814" xr:uid="{10CE153D-CC1C-4AF8-B0BD-42A14997BF1D}"/>
    <cellStyle name="Normal 11 3 2 2 3 2 2 2 4 2 2 2" xfId="37815" xr:uid="{DD92CD4C-9C24-41FB-9112-4918E8355C8E}"/>
    <cellStyle name="Normal 11 3 2 2 3 2 2 2 4 2 3" xfId="37816" xr:uid="{7F8F1CA9-B250-454E-BCD0-2609B245B4A3}"/>
    <cellStyle name="Normal 11 3 2 2 3 2 2 2 4 3" xfId="37817" xr:uid="{B6C62E07-D425-4BBE-94AC-1EAE446002C2}"/>
    <cellStyle name="Normal 11 3 2 2 3 2 2 2 4 3 2" xfId="37818" xr:uid="{7C4CB199-91D7-43A7-AFA9-3723C0CE90E5}"/>
    <cellStyle name="Normal 11 3 2 2 3 2 2 2 4 4" xfId="37819" xr:uid="{1AE7176F-40BE-4601-9B8E-502DA22C74AC}"/>
    <cellStyle name="Normal 11 3 2 2 3 2 2 2 5" xfId="37820" xr:uid="{0A3BF021-3FD5-436F-BE97-BCAEDAEC00BE}"/>
    <cellStyle name="Normal 11 3 2 2 3 2 2 2 5 2" xfId="37821" xr:uid="{D2EC2A16-1EB7-46B3-ACB0-0347C8F18481}"/>
    <cellStyle name="Normal 11 3 2 2 3 2 2 2 5 2 2" xfId="37822" xr:uid="{83E0F25F-BE70-4EB4-8AA0-ABE7BD6C9680}"/>
    <cellStyle name="Normal 11 3 2 2 3 2 2 2 5 3" xfId="37823" xr:uid="{C385612B-3B5A-4603-A142-E5821A88A696}"/>
    <cellStyle name="Normal 11 3 2 2 3 2 2 2 6" xfId="37824" xr:uid="{7A4FF117-6DE8-424E-BD60-0255F74D5721}"/>
    <cellStyle name="Normal 11 3 2 2 3 2 2 2 6 2" xfId="37825" xr:uid="{CDE64288-23A4-4DDB-AF94-018292310FE3}"/>
    <cellStyle name="Normal 11 3 2 2 3 2 2 2 7" xfId="37826" xr:uid="{034F256F-7FB5-4BCB-B87E-8D7699B39246}"/>
    <cellStyle name="Normal 11 3 2 2 3 2 2 3" xfId="37827" xr:uid="{324A37CC-7253-4C37-B269-9B5F6D06376E}"/>
    <cellStyle name="Normal 11 3 2 2 3 2 2 3 2" xfId="37828" xr:uid="{136A9AD0-843E-4BE7-A01F-F3C945F26197}"/>
    <cellStyle name="Normal 11 3 2 2 3 2 2 3 2 2" xfId="37829" xr:uid="{3BBE9523-8F68-46A9-974F-79293F092C80}"/>
    <cellStyle name="Normal 11 3 2 2 3 2 2 3 2 2 2" xfId="37830" xr:uid="{8140A011-7500-4EE5-A098-56B6832DFB83}"/>
    <cellStyle name="Normal 11 3 2 2 3 2 2 3 2 2 2 2" xfId="37831" xr:uid="{37F1D579-F18D-4DD0-9762-1906CB13A555}"/>
    <cellStyle name="Normal 11 3 2 2 3 2 2 3 2 2 2 2 2" xfId="37832" xr:uid="{54B14273-5E98-4092-BD12-2B68D6D92142}"/>
    <cellStyle name="Normal 11 3 2 2 3 2 2 3 2 2 2 3" xfId="37833" xr:uid="{C231EE20-874D-4C58-AD7D-E2CB7F973020}"/>
    <cellStyle name="Normal 11 3 2 2 3 2 2 3 2 2 3" xfId="37834" xr:uid="{C928D320-3A32-4D42-8191-2E19A75B5D8A}"/>
    <cellStyle name="Normal 11 3 2 2 3 2 2 3 2 2 3 2" xfId="37835" xr:uid="{ECE807D5-CAF1-4D2B-839D-0D94EEFEDBD4}"/>
    <cellStyle name="Normal 11 3 2 2 3 2 2 3 2 2 4" xfId="37836" xr:uid="{AD32D168-5CD1-4760-8626-60B6FF86F6CC}"/>
    <cellStyle name="Normal 11 3 2 2 3 2 2 3 2 3" xfId="37837" xr:uid="{E446A2F6-9E7C-4098-81EF-646CEA392C3D}"/>
    <cellStyle name="Normal 11 3 2 2 3 2 2 3 2 3 2" xfId="37838" xr:uid="{731CAD3C-8B65-490F-A2CF-AA5FC5018780}"/>
    <cellStyle name="Normal 11 3 2 2 3 2 2 3 2 3 2 2" xfId="37839" xr:uid="{B679ADE1-9FE7-4A10-8C06-5A21BC609E4D}"/>
    <cellStyle name="Normal 11 3 2 2 3 2 2 3 2 3 3" xfId="37840" xr:uid="{7364DD81-0B28-4A61-ACB7-D3D74F056E2E}"/>
    <cellStyle name="Normal 11 3 2 2 3 2 2 3 2 4" xfId="37841" xr:uid="{D82E1314-C0EC-4946-AE24-DC21240CAB3A}"/>
    <cellStyle name="Normal 11 3 2 2 3 2 2 3 2 4 2" xfId="37842" xr:uid="{3EF1029E-C1AF-46A0-B5E1-BA208E5304B5}"/>
    <cellStyle name="Normal 11 3 2 2 3 2 2 3 2 5" xfId="37843" xr:uid="{990340C9-DB5C-44C8-B989-D9E658CFDD41}"/>
    <cellStyle name="Normal 11 3 2 2 3 2 2 3 3" xfId="37844" xr:uid="{13D2E41A-C0FA-4938-B251-84FADFE3C78F}"/>
    <cellStyle name="Normal 11 3 2 2 3 2 2 3 3 2" xfId="37845" xr:uid="{9E3F1D2B-5197-4935-B0AF-0AFD5111B034}"/>
    <cellStyle name="Normal 11 3 2 2 3 2 2 3 3 2 2" xfId="37846" xr:uid="{2FB84D8B-61B9-4CCD-821A-5A6CFCEBDD7C}"/>
    <cellStyle name="Normal 11 3 2 2 3 2 2 3 3 2 2 2" xfId="37847" xr:uid="{76E04E48-A8BD-4A64-84FF-316CACC90045}"/>
    <cellStyle name="Normal 11 3 2 2 3 2 2 3 3 2 3" xfId="37848" xr:uid="{7B9E8E93-E560-4A70-9547-36F6896D8571}"/>
    <cellStyle name="Normal 11 3 2 2 3 2 2 3 3 3" xfId="37849" xr:uid="{FB8CE183-B454-4728-9D5C-190ED8A2A3EF}"/>
    <cellStyle name="Normal 11 3 2 2 3 2 2 3 3 3 2" xfId="37850" xr:uid="{EC7BF36A-ED7E-4D0F-92B2-14F294AF1F5F}"/>
    <cellStyle name="Normal 11 3 2 2 3 2 2 3 3 4" xfId="37851" xr:uid="{D803BEFA-DA43-4456-A618-C96033670259}"/>
    <cellStyle name="Normal 11 3 2 2 3 2 2 3 4" xfId="37852" xr:uid="{554C82BF-7C93-497A-9DD7-2678D9819FD1}"/>
    <cellStyle name="Normal 11 3 2 2 3 2 2 3 4 2" xfId="37853" xr:uid="{C9BD8DBF-051D-40C0-AD98-B1D676177B85}"/>
    <cellStyle name="Normal 11 3 2 2 3 2 2 3 4 2 2" xfId="37854" xr:uid="{6B293B11-776D-4D8B-87FC-D2526DEE694A}"/>
    <cellStyle name="Normal 11 3 2 2 3 2 2 3 4 3" xfId="37855" xr:uid="{3EFC7575-18B8-4944-8CDD-9B9F65A9F7F9}"/>
    <cellStyle name="Normal 11 3 2 2 3 2 2 3 5" xfId="37856" xr:uid="{32EC7118-3949-4D5F-B505-53633D2ED40C}"/>
    <cellStyle name="Normal 11 3 2 2 3 2 2 3 5 2" xfId="37857" xr:uid="{AB674172-F57E-4F77-802A-D8E97E4B4DAE}"/>
    <cellStyle name="Normal 11 3 2 2 3 2 2 3 6" xfId="37858" xr:uid="{E961C011-DBBB-4E45-8982-F8C3C7CA3F84}"/>
    <cellStyle name="Normal 11 3 2 2 3 2 2 4" xfId="37859" xr:uid="{9D8654AB-8798-401E-B3C4-6603B59F5E35}"/>
    <cellStyle name="Normal 11 3 2 2 3 2 2 4 2" xfId="37860" xr:uid="{08AC0839-E421-4119-83F4-BBB65E1947BF}"/>
    <cellStyle name="Normal 11 3 2 2 3 2 2 4 2 2" xfId="37861" xr:uid="{958C3D27-A092-410B-B778-A19D3CC2C172}"/>
    <cellStyle name="Normal 11 3 2 2 3 2 2 4 2 2 2" xfId="37862" xr:uid="{B0019D9C-EE01-46AB-9289-9587382FF602}"/>
    <cellStyle name="Normal 11 3 2 2 3 2 2 4 2 2 2 2" xfId="37863" xr:uid="{AB381E97-0DE8-4B54-B6F8-FE64D5344A91}"/>
    <cellStyle name="Normal 11 3 2 2 3 2 2 4 2 2 3" xfId="37864" xr:uid="{4B7EFEFE-3566-405E-A979-61A2FCBDDA74}"/>
    <cellStyle name="Normal 11 3 2 2 3 2 2 4 2 3" xfId="37865" xr:uid="{4A42E928-8EAC-40DE-B76D-ED058471A38E}"/>
    <cellStyle name="Normal 11 3 2 2 3 2 2 4 2 3 2" xfId="37866" xr:uid="{44FD9DD9-212D-44CF-8202-F1CA2E173255}"/>
    <cellStyle name="Normal 11 3 2 2 3 2 2 4 2 4" xfId="37867" xr:uid="{253BA1B2-596F-4F6A-9B0A-0429C4039BC6}"/>
    <cellStyle name="Normal 11 3 2 2 3 2 2 4 3" xfId="37868" xr:uid="{C9795FB6-5A7A-4C79-9AB4-43E607F0506C}"/>
    <cellStyle name="Normal 11 3 2 2 3 2 2 4 3 2" xfId="37869" xr:uid="{25438E24-D640-453C-80BB-E3FE68050211}"/>
    <cellStyle name="Normal 11 3 2 2 3 2 2 4 3 2 2" xfId="37870" xr:uid="{81E86EDC-50C3-4E07-9C1A-2F3A000134C9}"/>
    <cellStyle name="Normal 11 3 2 2 3 2 2 4 3 3" xfId="37871" xr:uid="{DDF051CD-B028-451B-B073-5BFAE8E175F3}"/>
    <cellStyle name="Normal 11 3 2 2 3 2 2 4 4" xfId="37872" xr:uid="{952F8540-5D25-4667-A9FA-2078B37DAB4A}"/>
    <cellStyle name="Normal 11 3 2 2 3 2 2 4 4 2" xfId="37873" xr:uid="{B9F155AC-F354-4D51-B509-0AC26EFB769B}"/>
    <cellStyle name="Normal 11 3 2 2 3 2 2 4 5" xfId="37874" xr:uid="{04506B99-D34C-45DC-B9B1-6CE2CF270119}"/>
    <cellStyle name="Normal 11 3 2 2 3 2 2 5" xfId="37875" xr:uid="{97F6AE8F-9CA2-444C-A6C8-DA4D5F4D5DEF}"/>
    <cellStyle name="Normal 11 3 2 2 3 2 2 5 2" xfId="37876" xr:uid="{4903EDF5-3324-433E-A719-EC65B1277B6B}"/>
    <cellStyle name="Normal 11 3 2 2 3 2 2 5 2 2" xfId="37877" xr:uid="{66672BA2-AE4A-4CFC-BE71-7E0FE5A5EE17}"/>
    <cellStyle name="Normal 11 3 2 2 3 2 2 5 2 2 2" xfId="37878" xr:uid="{D5D7F048-D26F-4634-AA6E-0EDE23368D28}"/>
    <cellStyle name="Normal 11 3 2 2 3 2 2 5 2 3" xfId="37879" xr:uid="{ECAB65A3-2D68-437F-AEE2-5833C68397B0}"/>
    <cellStyle name="Normal 11 3 2 2 3 2 2 5 3" xfId="37880" xr:uid="{314C1D34-EA93-4A40-94D4-68299BDE2D67}"/>
    <cellStyle name="Normal 11 3 2 2 3 2 2 5 3 2" xfId="37881" xr:uid="{E5CE7800-B4D5-4263-B714-F6717D7B915A}"/>
    <cellStyle name="Normal 11 3 2 2 3 2 2 5 4" xfId="37882" xr:uid="{CAE35E80-F851-4932-8AE7-E1B9B2EB3489}"/>
    <cellStyle name="Normal 11 3 2 2 3 2 2 6" xfId="37883" xr:uid="{8DFFF1F5-9511-4F7D-BBFB-424DE81D188D}"/>
    <cellStyle name="Normal 11 3 2 2 3 2 2 6 2" xfId="37884" xr:uid="{2D4D3820-2BCC-4658-A317-22AD0A9AC34B}"/>
    <cellStyle name="Normal 11 3 2 2 3 2 2 6 2 2" xfId="37885" xr:uid="{445AA058-891B-430A-80B5-7D3845AD30C9}"/>
    <cellStyle name="Normal 11 3 2 2 3 2 2 6 3" xfId="37886" xr:uid="{C9BD4676-E510-4C06-A4CF-7629141D1B23}"/>
    <cellStyle name="Normal 11 3 2 2 3 2 2 7" xfId="37887" xr:uid="{8448ABBB-699C-49DB-894C-175C5D89C7F4}"/>
    <cellStyle name="Normal 11 3 2 2 3 2 2 7 2" xfId="37888" xr:uid="{B91CB54C-E7C8-4B15-9D13-73B354473E71}"/>
    <cellStyle name="Normal 11 3 2 2 3 2 2 8" xfId="37889" xr:uid="{B024126A-A4EA-4D03-A306-97487A530FDA}"/>
    <cellStyle name="Normal 11 3 2 2 3 2 3" xfId="37890" xr:uid="{D96FBC31-7622-464A-817D-4BC2ED054EBA}"/>
    <cellStyle name="Normal 11 3 2 2 3 2 3 2" xfId="37891" xr:uid="{EDB7DF9D-3BB6-4942-A000-A3FE4BE2E9AC}"/>
    <cellStyle name="Normal 11 3 2 2 3 2 3 2 2" xfId="37892" xr:uid="{9EA37F53-4815-4551-B791-AA0877C11EDF}"/>
    <cellStyle name="Normal 11 3 2 2 3 2 3 2 2 2" xfId="37893" xr:uid="{35FC82E1-8F0E-44DE-82E4-3A027AEC3C66}"/>
    <cellStyle name="Normal 11 3 2 2 3 2 3 2 2 2 2" xfId="37894" xr:uid="{E690410F-CA4A-48BA-8A07-CCE51DA5CBBA}"/>
    <cellStyle name="Normal 11 3 2 2 3 2 3 2 2 2 2 2" xfId="37895" xr:uid="{E7F0119C-F25A-4A2E-BC10-6DD328504B45}"/>
    <cellStyle name="Normal 11 3 2 2 3 2 3 2 2 2 2 2 2" xfId="37896" xr:uid="{3777385B-D339-4312-B73D-4231E2C58142}"/>
    <cellStyle name="Normal 11 3 2 2 3 2 3 2 2 2 2 3" xfId="37897" xr:uid="{340831A6-ABC1-4658-9585-90BA0017A1DD}"/>
    <cellStyle name="Normal 11 3 2 2 3 2 3 2 2 2 3" xfId="37898" xr:uid="{9932F027-3CEA-4AF9-A94E-2F5E7B31B108}"/>
    <cellStyle name="Normal 11 3 2 2 3 2 3 2 2 2 3 2" xfId="37899" xr:uid="{760BC09D-55D0-4FE3-9F66-31EE229A95A7}"/>
    <cellStyle name="Normal 11 3 2 2 3 2 3 2 2 2 4" xfId="37900" xr:uid="{21184238-B8DC-4398-BD73-493E4A87A58F}"/>
    <cellStyle name="Normal 11 3 2 2 3 2 3 2 2 3" xfId="37901" xr:uid="{9C834D57-D06C-4DBE-A83B-3BEC72701EDE}"/>
    <cellStyle name="Normal 11 3 2 2 3 2 3 2 2 3 2" xfId="37902" xr:uid="{FAEE5696-0C99-4C4A-B074-A12BBB2C9E6A}"/>
    <cellStyle name="Normal 11 3 2 2 3 2 3 2 2 3 2 2" xfId="37903" xr:uid="{64D87D3C-5604-4BEC-82A6-260F78CB8C6B}"/>
    <cellStyle name="Normal 11 3 2 2 3 2 3 2 2 3 3" xfId="37904" xr:uid="{204A47BC-6FC5-44D7-A5AD-49985E109441}"/>
    <cellStyle name="Normal 11 3 2 2 3 2 3 2 2 4" xfId="37905" xr:uid="{B14A3751-234B-47FC-AC1D-E05CE5BB402C}"/>
    <cellStyle name="Normal 11 3 2 2 3 2 3 2 2 4 2" xfId="37906" xr:uid="{17D07D53-7495-48AE-AA77-23F2F757AC11}"/>
    <cellStyle name="Normal 11 3 2 2 3 2 3 2 2 5" xfId="37907" xr:uid="{0BA8CE00-41C8-4ABA-A616-D3FF90C1A186}"/>
    <cellStyle name="Normal 11 3 2 2 3 2 3 2 3" xfId="37908" xr:uid="{D76520B0-87EF-4C7F-ABE5-4AA48C9E6727}"/>
    <cellStyle name="Normal 11 3 2 2 3 2 3 2 3 2" xfId="37909" xr:uid="{4FC94BF6-6E93-4409-965D-2F435C506576}"/>
    <cellStyle name="Normal 11 3 2 2 3 2 3 2 3 2 2" xfId="37910" xr:uid="{ED97A7C4-6717-4840-A957-D083E56AD5DF}"/>
    <cellStyle name="Normal 11 3 2 2 3 2 3 2 3 2 2 2" xfId="37911" xr:uid="{F4A784D8-A388-4BC3-9C06-DAEC96BD0C54}"/>
    <cellStyle name="Normal 11 3 2 2 3 2 3 2 3 2 3" xfId="37912" xr:uid="{D717AA8C-A6BF-4DCE-AB2E-F85006EC43CA}"/>
    <cellStyle name="Normal 11 3 2 2 3 2 3 2 3 3" xfId="37913" xr:uid="{94AA1FA5-2CC0-4A14-B416-F286AB949389}"/>
    <cellStyle name="Normal 11 3 2 2 3 2 3 2 3 3 2" xfId="37914" xr:uid="{574E2F82-591A-456C-BA29-943D3CFDB4FE}"/>
    <cellStyle name="Normal 11 3 2 2 3 2 3 2 3 4" xfId="37915" xr:uid="{A872107B-9E88-4D65-B73E-0E20C553F578}"/>
    <cellStyle name="Normal 11 3 2 2 3 2 3 2 4" xfId="37916" xr:uid="{34E7D2E2-AAB4-4D55-9EC4-F54D2BD5E744}"/>
    <cellStyle name="Normal 11 3 2 2 3 2 3 2 4 2" xfId="37917" xr:uid="{7FBB92DB-1994-4108-AEC6-34EADAEB6680}"/>
    <cellStyle name="Normal 11 3 2 2 3 2 3 2 4 2 2" xfId="37918" xr:uid="{1E1D7C30-6C06-4D61-9DDE-19BD310B54C0}"/>
    <cellStyle name="Normal 11 3 2 2 3 2 3 2 4 3" xfId="37919" xr:uid="{AF27C783-7E4D-4297-B2E5-68531E3E7CB6}"/>
    <cellStyle name="Normal 11 3 2 2 3 2 3 2 5" xfId="37920" xr:uid="{490E023C-B912-42BE-A030-C2FC3D392E49}"/>
    <cellStyle name="Normal 11 3 2 2 3 2 3 2 5 2" xfId="37921" xr:uid="{79408AE9-5B4E-4F42-A8C2-A765FC7A7512}"/>
    <cellStyle name="Normal 11 3 2 2 3 2 3 2 6" xfId="37922" xr:uid="{298BE8CD-280D-46B8-B451-E9ECAFCC49AC}"/>
    <cellStyle name="Normal 11 3 2 2 3 2 3 3" xfId="37923" xr:uid="{4B9AD14E-BBCF-4216-8A29-22445BB9E51B}"/>
    <cellStyle name="Normal 11 3 2 2 3 2 3 3 2" xfId="37924" xr:uid="{C706F54F-F486-4A78-B03B-BE81E321B0EE}"/>
    <cellStyle name="Normal 11 3 2 2 3 2 3 3 2 2" xfId="37925" xr:uid="{FC7BBBE5-27E9-49F5-BD7B-406AD7868E40}"/>
    <cellStyle name="Normal 11 3 2 2 3 2 3 3 2 2 2" xfId="37926" xr:uid="{DD6BA355-A963-486F-9B78-17CF81695AE6}"/>
    <cellStyle name="Normal 11 3 2 2 3 2 3 3 2 2 2 2" xfId="37927" xr:uid="{A0DBC787-DFEA-4E76-8025-254EA6C3AD68}"/>
    <cellStyle name="Normal 11 3 2 2 3 2 3 3 2 2 3" xfId="37928" xr:uid="{FEE38431-6EB0-43A8-B9E9-2309AFBF6F80}"/>
    <cellStyle name="Normal 11 3 2 2 3 2 3 3 2 3" xfId="37929" xr:uid="{0CEB4629-F2BD-4905-B51C-9A87F0641794}"/>
    <cellStyle name="Normal 11 3 2 2 3 2 3 3 2 3 2" xfId="37930" xr:uid="{3836760E-1068-4351-A01F-3EBA7C568EF4}"/>
    <cellStyle name="Normal 11 3 2 2 3 2 3 3 2 4" xfId="37931" xr:uid="{4B1464B2-C528-4C14-947D-756A7430EB4F}"/>
    <cellStyle name="Normal 11 3 2 2 3 2 3 3 3" xfId="37932" xr:uid="{16D96F6A-D41C-42CF-A955-1E744B1DAF1E}"/>
    <cellStyle name="Normal 11 3 2 2 3 2 3 3 3 2" xfId="37933" xr:uid="{C1784B12-8646-4870-86A7-AE27232F0D15}"/>
    <cellStyle name="Normal 11 3 2 2 3 2 3 3 3 2 2" xfId="37934" xr:uid="{8EC1BEAF-11C9-4785-8093-4DC20D27998D}"/>
    <cellStyle name="Normal 11 3 2 2 3 2 3 3 3 3" xfId="37935" xr:uid="{37C1F7C4-F6C9-4664-BBCA-C21DFA43F43D}"/>
    <cellStyle name="Normal 11 3 2 2 3 2 3 3 4" xfId="37936" xr:uid="{71DCE326-1866-457A-92BE-CFD0FFBE9601}"/>
    <cellStyle name="Normal 11 3 2 2 3 2 3 3 4 2" xfId="37937" xr:uid="{1595CC57-2673-46B5-93D7-6338045C2113}"/>
    <cellStyle name="Normal 11 3 2 2 3 2 3 3 5" xfId="37938" xr:uid="{A74DC54B-C421-4B95-A1E2-635AACA2719C}"/>
    <cellStyle name="Normal 11 3 2 2 3 2 3 4" xfId="37939" xr:uid="{056495EE-D582-4BD6-9A80-10AF491B84F5}"/>
    <cellStyle name="Normal 11 3 2 2 3 2 3 4 2" xfId="37940" xr:uid="{17D5049C-779A-4D19-94D5-654C1D145E94}"/>
    <cellStyle name="Normal 11 3 2 2 3 2 3 4 2 2" xfId="37941" xr:uid="{EC32220F-1528-4D63-9506-2683AE354490}"/>
    <cellStyle name="Normal 11 3 2 2 3 2 3 4 2 2 2" xfId="37942" xr:uid="{5FD73CB8-5E47-4AF1-91F6-BE88D161A431}"/>
    <cellStyle name="Normal 11 3 2 2 3 2 3 4 2 3" xfId="37943" xr:uid="{62B236D0-8F1C-4261-9F42-65F5E27B31BB}"/>
    <cellStyle name="Normal 11 3 2 2 3 2 3 4 3" xfId="37944" xr:uid="{85ACB15B-AD6E-4AF1-B374-E2C271759E23}"/>
    <cellStyle name="Normal 11 3 2 2 3 2 3 4 3 2" xfId="37945" xr:uid="{ECCED08D-957E-44B9-800D-EF3ECC7445E9}"/>
    <cellStyle name="Normal 11 3 2 2 3 2 3 4 4" xfId="37946" xr:uid="{B491D9D2-9973-4534-A016-B4E629E6B514}"/>
    <cellStyle name="Normal 11 3 2 2 3 2 3 5" xfId="37947" xr:uid="{DF80535D-2333-4A4A-8D1F-6BE32B6D2B64}"/>
    <cellStyle name="Normal 11 3 2 2 3 2 3 5 2" xfId="37948" xr:uid="{DC87B5B3-57A0-466C-AB78-864345E93752}"/>
    <cellStyle name="Normal 11 3 2 2 3 2 3 5 2 2" xfId="37949" xr:uid="{4AFBA82F-4CC1-43CB-AC9F-DB53354704CA}"/>
    <cellStyle name="Normal 11 3 2 2 3 2 3 5 3" xfId="37950" xr:uid="{5825F630-AD5B-4B4E-B3E8-E38E947330AB}"/>
    <cellStyle name="Normal 11 3 2 2 3 2 3 6" xfId="37951" xr:uid="{4AE13C39-5D4F-4919-A4A7-195388BD1684}"/>
    <cellStyle name="Normal 11 3 2 2 3 2 3 6 2" xfId="37952" xr:uid="{4B50E5FA-FDDE-4161-92D1-A4B4E2EFC537}"/>
    <cellStyle name="Normal 11 3 2 2 3 2 3 7" xfId="37953" xr:uid="{CFD3909F-A8F9-45C4-AFE6-C5DB2EF05BBB}"/>
    <cellStyle name="Normal 11 3 2 2 3 2 4" xfId="37954" xr:uid="{EBE4E74B-308A-41D7-9257-B640BA3B8F5E}"/>
    <cellStyle name="Normal 11 3 2 2 3 2 4 2" xfId="37955" xr:uid="{3B7EBA70-A169-4B5C-AB20-8F42B27C70AD}"/>
    <cellStyle name="Normal 11 3 2 2 3 2 4 2 2" xfId="37956" xr:uid="{585B3560-2DD1-4564-81E2-77FE3BF7BC58}"/>
    <cellStyle name="Normal 11 3 2 2 3 2 4 2 2 2" xfId="37957" xr:uid="{3945E929-60C3-44DA-8F61-17B1EE03E1F7}"/>
    <cellStyle name="Normal 11 3 2 2 3 2 4 2 2 2 2" xfId="37958" xr:uid="{AC0A5319-1A61-4CA9-8FE9-F062C6ECE3C0}"/>
    <cellStyle name="Normal 11 3 2 2 3 2 4 2 2 2 2 2" xfId="37959" xr:uid="{0BCBF82C-46F8-4AA6-86D1-ECA7176A5E15}"/>
    <cellStyle name="Normal 11 3 2 2 3 2 4 2 2 2 3" xfId="37960" xr:uid="{23EC101C-8DDC-4872-B66E-0489F8ECBB9C}"/>
    <cellStyle name="Normal 11 3 2 2 3 2 4 2 2 3" xfId="37961" xr:uid="{064FF5AF-0721-43BB-8EE0-3579604B61F7}"/>
    <cellStyle name="Normal 11 3 2 2 3 2 4 2 2 3 2" xfId="37962" xr:uid="{0E73229F-F57C-4926-B023-25E91906FE1C}"/>
    <cellStyle name="Normal 11 3 2 2 3 2 4 2 2 4" xfId="37963" xr:uid="{5201B6AB-4B8C-4AC8-8767-F0190B39E0B7}"/>
    <cellStyle name="Normal 11 3 2 2 3 2 4 2 3" xfId="37964" xr:uid="{0B546D9C-3E12-4D22-A7A7-CC4A4AE12A97}"/>
    <cellStyle name="Normal 11 3 2 2 3 2 4 2 3 2" xfId="37965" xr:uid="{0AB05728-79FE-4FB1-BE07-65C6D696AFE9}"/>
    <cellStyle name="Normal 11 3 2 2 3 2 4 2 3 2 2" xfId="37966" xr:uid="{D0204DE6-787C-4E45-BB06-E36658C9DAE7}"/>
    <cellStyle name="Normal 11 3 2 2 3 2 4 2 3 3" xfId="37967" xr:uid="{80C055B0-3547-439A-9545-6B4E7E41C5C1}"/>
    <cellStyle name="Normal 11 3 2 2 3 2 4 2 4" xfId="37968" xr:uid="{9CC76122-96C2-459A-A2B5-A960D887B3DF}"/>
    <cellStyle name="Normal 11 3 2 2 3 2 4 2 4 2" xfId="37969" xr:uid="{8CD0020B-FD89-4255-AB93-C5E36C467F93}"/>
    <cellStyle name="Normal 11 3 2 2 3 2 4 2 5" xfId="37970" xr:uid="{0FDAD505-44A2-46C9-9FFA-2EA676E205F0}"/>
    <cellStyle name="Normal 11 3 2 2 3 2 4 3" xfId="37971" xr:uid="{9A777293-FE12-4637-B4A3-865F8FC79CB5}"/>
    <cellStyle name="Normal 11 3 2 2 3 2 4 3 2" xfId="37972" xr:uid="{72B6F748-53D5-4624-B754-18407766C835}"/>
    <cellStyle name="Normal 11 3 2 2 3 2 4 3 2 2" xfId="37973" xr:uid="{76AB1C8A-65F1-4AD1-B8D6-2EB07C7D0D52}"/>
    <cellStyle name="Normal 11 3 2 2 3 2 4 3 2 2 2" xfId="37974" xr:uid="{BC466192-DBDF-4FE2-8C30-4AE68D6EDE05}"/>
    <cellStyle name="Normal 11 3 2 2 3 2 4 3 2 3" xfId="37975" xr:uid="{2AED80CD-C03F-4142-8147-6FDE0B323AC3}"/>
    <cellStyle name="Normal 11 3 2 2 3 2 4 3 3" xfId="37976" xr:uid="{25608DDD-43B8-406D-B76C-62D4D6137C17}"/>
    <cellStyle name="Normal 11 3 2 2 3 2 4 3 3 2" xfId="37977" xr:uid="{49456527-5FA5-4FD7-827C-B0713E6F5E04}"/>
    <cellStyle name="Normal 11 3 2 2 3 2 4 3 4" xfId="37978" xr:uid="{F3DA8E96-2936-43D2-A1ED-F8A691B22660}"/>
    <cellStyle name="Normal 11 3 2 2 3 2 4 4" xfId="37979" xr:uid="{6239507E-650C-4E0F-A41E-DDD8098A3E24}"/>
    <cellStyle name="Normal 11 3 2 2 3 2 4 4 2" xfId="37980" xr:uid="{585DE482-B548-4D9E-B1E3-B35577847715}"/>
    <cellStyle name="Normal 11 3 2 2 3 2 4 4 2 2" xfId="37981" xr:uid="{B3C8D690-F1FB-4978-9392-CA6DA32E0ADC}"/>
    <cellStyle name="Normal 11 3 2 2 3 2 4 4 3" xfId="37982" xr:uid="{32B58D61-8A78-4E39-9112-991A2E6E2AB0}"/>
    <cellStyle name="Normal 11 3 2 2 3 2 4 5" xfId="37983" xr:uid="{8037E5DA-97A6-4794-AE0B-2063862FE8ED}"/>
    <cellStyle name="Normal 11 3 2 2 3 2 4 5 2" xfId="37984" xr:uid="{EB9400AE-D197-4BE0-BBA4-C5C2A04D4698}"/>
    <cellStyle name="Normal 11 3 2 2 3 2 4 6" xfId="37985" xr:uid="{9B439989-C152-4F83-95A4-E4B92297314D}"/>
    <cellStyle name="Normal 11 3 2 2 3 2 5" xfId="37986" xr:uid="{C0A1113B-65C0-40E7-B607-ED909B3FEF8C}"/>
    <cellStyle name="Normal 11 3 2 2 3 2 5 2" xfId="37987" xr:uid="{FAB3D8BD-E2FC-429E-8ED3-E540024F6A22}"/>
    <cellStyle name="Normal 11 3 2 2 3 2 5 2 2" xfId="37988" xr:uid="{B60522B3-48C3-4493-BCDC-23CEFBBFF921}"/>
    <cellStyle name="Normal 11 3 2 2 3 2 5 2 2 2" xfId="37989" xr:uid="{F2C93B78-F095-45A1-8ED4-01FE5A075279}"/>
    <cellStyle name="Normal 11 3 2 2 3 2 5 2 2 2 2" xfId="37990" xr:uid="{BB1084B9-CB18-4A17-93E4-E1BF31AEAB7D}"/>
    <cellStyle name="Normal 11 3 2 2 3 2 5 2 2 3" xfId="37991" xr:uid="{07266E9F-8DBE-44D2-8E74-6C3C83A2AD1E}"/>
    <cellStyle name="Normal 11 3 2 2 3 2 5 2 3" xfId="37992" xr:uid="{F3016F63-280D-44F3-9615-4C6D52F77C29}"/>
    <cellStyle name="Normal 11 3 2 2 3 2 5 2 3 2" xfId="37993" xr:uid="{AAA4F771-27BE-4942-9186-0CA7B3F16835}"/>
    <cellStyle name="Normal 11 3 2 2 3 2 5 2 4" xfId="37994" xr:uid="{EBDC3970-ECB3-4917-B518-24C0D1D33E7C}"/>
    <cellStyle name="Normal 11 3 2 2 3 2 5 3" xfId="37995" xr:uid="{A65E1347-1F4A-4347-960F-4FCFCCB16305}"/>
    <cellStyle name="Normal 11 3 2 2 3 2 5 3 2" xfId="37996" xr:uid="{8E3107AE-A687-48C1-AB02-F735DB18DE05}"/>
    <cellStyle name="Normal 11 3 2 2 3 2 5 3 2 2" xfId="37997" xr:uid="{9399E36A-2956-41B0-A6A7-7459F1C3EF5C}"/>
    <cellStyle name="Normal 11 3 2 2 3 2 5 3 3" xfId="37998" xr:uid="{56EEE972-E11E-43BB-94EF-3BC51F7DB099}"/>
    <cellStyle name="Normal 11 3 2 2 3 2 5 4" xfId="37999" xr:uid="{938A469A-0BC1-4EDE-B0B9-8E44B584A6E7}"/>
    <cellStyle name="Normal 11 3 2 2 3 2 5 4 2" xfId="38000" xr:uid="{3D613CF9-B5BD-4658-A866-1B47A68B6481}"/>
    <cellStyle name="Normal 11 3 2 2 3 2 5 5" xfId="38001" xr:uid="{D5A1DA74-14AB-458D-A30E-9C02DC097FD3}"/>
    <cellStyle name="Normal 11 3 2 2 3 2 6" xfId="38002" xr:uid="{CC5537FB-15F9-4CB0-8A31-D68C4CF1EC61}"/>
    <cellStyle name="Normal 11 3 2 2 3 2 6 2" xfId="38003" xr:uid="{30777250-5C60-4EB7-8575-1B6D1AFF7E52}"/>
    <cellStyle name="Normal 11 3 2 2 3 2 6 2 2" xfId="38004" xr:uid="{1EC0615E-A2EF-47A2-B26B-89A7CDE2D5E6}"/>
    <cellStyle name="Normal 11 3 2 2 3 2 6 2 2 2" xfId="38005" xr:uid="{90B45571-F38F-441A-88DD-147A030346B1}"/>
    <cellStyle name="Normal 11 3 2 2 3 2 6 2 3" xfId="38006" xr:uid="{771B4489-96B3-4531-819A-17CD8BFEED90}"/>
    <cellStyle name="Normal 11 3 2 2 3 2 6 3" xfId="38007" xr:uid="{FF27F548-CA6A-460A-8246-4182E8795EF4}"/>
    <cellStyle name="Normal 11 3 2 2 3 2 6 3 2" xfId="38008" xr:uid="{834565E2-1429-4BEB-AE67-1D792F683A10}"/>
    <cellStyle name="Normal 11 3 2 2 3 2 6 4" xfId="38009" xr:uid="{A8436AEA-84FF-4D9C-9206-1B7F28365FBA}"/>
    <cellStyle name="Normal 11 3 2 2 3 2 7" xfId="38010" xr:uid="{AD25868E-A2E8-4009-ABD8-AFCBA16B4E33}"/>
    <cellStyle name="Normal 11 3 2 2 3 2 7 2" xfId="38011" xr:uid="{17AFB80C-0D10-4ED2-B502-B14778974A53}"/>
    <cellStyle name="Normal 11 3 2 2 3 2 7 2 2" xfId="38012" xr:uid="{C3F74143-8452-4A69-80D7-B17BBAEAF34F}"/>
    <cellStyle name="Normal 11 3 2 2 3 2 7 3" xfId="38013" xr:uid="{0605930C-F497-4573-AB2B-4656F416696B}"/>
    <cellStyle name="Normal 11 3 2 2 3 2 8" xfId="38014" xr:uid="{F2E71F59-36B7-43C0-9E48-DF0D7F096E0B}"/>
    <cellStyle name="Normal 11 3 2 2 3 2 8 2" xfId="38015" xr:uid="{F10A665A-10AA-44C6-99A5-CEA226D1AFDE}"/>
    <cellStyle name="Normal 11 3 2 2 3 2 9" xfId="38016" xr:uid="{D2AE7362-A5C0-4C13-9780-2E547339D943}"/>
    <cellStyle name="Normal 11 3 2 2 3 3" xfId="484" xr:uid="{1D5FD682-2468-4D4F-98A9-6BD94F4A973F}"/>
    <cellStyle name="Normal 11 3 2 2 3 3 2" xfId="38018" xr:uid="{BBA5B8E5-E787-4CD7-8726-C747FB06E88F}"/>
    <cellStyle name="Normal 11 3 2 2 3 3 2 2" xfId="38019" xr:uid="{1538F69B-1404-4E14-AE33-30CB2DEA7A55}"/>
    <cellStyle name="Normal 11 3 2 2 3 3 2 2 2" xfId="38020" xr:uid="{EE024E6A-70CD-4552-B5A7-31C247643EDE}"/>
    <cellStyle name="Normal 11 3 2 2 3 3 2 2 2 2" xfId="38021" xr:uid="{52319C45-672F-4DF5-91D7-8CA12B67B357}"/>
    <cellStyle name="Normal 11 3 2 2 3 3 2 2 2 2 2" xfId="38022" xr:uid="{9D2EE9DD-2FA2-40B8-ABBE-6E3F02EE4005}"/>
    <cellStyle name="Normal 11 3 2 2 3 3 2 2 2 2 2 2" xfId="38023" xr:uid="{E6454293-1CD4-4936-8AF2-84BDA87FAE80}"/>
    <cellStyle name="Normal 11 3 2 2 3 3 2 2 2 2 2 2 2" xfId="38024" xr:uid="{3E062E3E-1A32-4B18-8FB1-AE7CBA6E4476}"/>
    <cellStyle name="Normal 11 3 2 2 3 3 2 2 2 2 2 3" xfId="38025" xr:uid="{861B2769-6506-4261-984A-704F5BAE75DC}"/>
    <cellStyle name="Normal 11 3 2 2 3 3 2 2 2 2 3" xfId="38026" xr:uid="{C9FF3F9A-D4F1-4CCB-9AE9-B2FF5C6FD9F9}"/>
    <cellStyle name="Normal 11 3 2 2 3 3 2 2 2 2 3 2" xfId="38027" xr:uid="{498DA171-60B5-4D65-8A78-BF5BBD65CA20}"/>
    <cellStyle name="Normal 11 3 2 2 3 3 2 2 2 2 4" xfId="38028" xr:uid="{FFFEA217-CC07-483F-8F15-8E95DB724EE0}"/>
    <cellStyle name="Normal 11 3 2 2 3 3 2 2 2 3" xfId="38029" xr:uid="{104BD510-D34E-4428-87A1-AC8310ABEAC2}"/>
    <cellStyle name="Normal 11 3 2 2 3 3 2 2 2 3 2" xfId="38030" xr:uid="{A2EE90B8-740D-477B-B598-3C647CEFAA2A}"/>
    <cellStyle name="Normal 11 3 2 2 3 3 2 2 2 3 2 2" xfId="38031" xr:uid="{4BFC3D43-F791-4652-B018-EDC2F06967ED}"/>
    <cellStyle name="Normal 11 3 2 2 3 3 2 2 2 3 3" xfId="38032" xr:uid="{ABA8C77F-657A-47A2-A6DC-2D7B83299F4F}"/>
    <cellStyle name="Normal 11 3 2 2 3 3 2 2 2 4" xfId="38033" xr:uid="{C8E8D1FC-81C6-48C6-AA24-4C02951996C3}"/>
    <cellStyle name="Normal 11 3 2 2 3 3 2 2 2 4 2" xfId="38034" xr:uid="{B9ED53DA-F5E3-433D-8BC0-6B3977FA47FD}"/>
    <cellStyle name="Normal 11 3 2 2 3 3 2 2 2 5" xfId="38035" xr:uid="{E4BE770C-2C66-4D04-89C9-BFFBA770FAA3}"/>
    <cellStyle name="Normal 11 3 2 2 3 3 2 2 3" xfId="38036" xr:uid="{D3C0F405-83BD-4319-9DD5-7073A73EB5CD}"/>
    <cellStyle name="Normal 11 3 2 2 3 3 2 2 3 2" xfId="38037" xr:uid="{62EC59B0-2CFD-48F0-B7D9-AC6B9705234C}"/>
    <cellStyle name="Normal 11 3 2 2 3 3 2 2 3 2 2" xfId="38038" xr:uid="{2944535D-C747-4787-8EB9-1877EBE687A9}"/>
    <cellStyle name="Normal 11 3 2 2 3 3 2 2 3 2 2 2" xfId="38039" xr:uid="{C69BADD6-60CD-4B31-82DD-849B8595A72F}"/>
    <cellStyle name="Normal 11 3 2 2 3 3 2 2 3 2 3" xfId="38040" xr:uid="{6C4554F1-23BF-4037-BD7B-FE829CF12621}"/>
    <cellStyle name="Normal 11 3 2 2 3 3 2 2 3 3" xfId="38041" xr:uid="{1AED7922-2435-4FA7-B301-BE11B523496C}"/>
    <cellStyle name="Normal 11 3 2 2 3 3 2 2 3 3 2" xfId="38042" xr:uid="{694FE886-CD5E-4B2D-9C1D-60B77949193D}"/>
    <cellStyle name="Normal 11 3 2 2 3 3 2 2 3 4" xfId="38043" xr:uid="{0EE38A11-5E9C-4802-B6F0-201902E1AB74}"/>
    <cellStyle name="Normal 11 3 2 2 3 3 2 2 4" xfId="38044" xr:uid="{A723B9E4-277B-4BC1-8163-C35C3E9DA766}"/>
    <cellStyle name="Normal 11 3 2 2 3 3 2 2 4 2" xfId="38045" xr:uid="{D5B5477E-063F-4315-9869-2235A780CF04}"/>
    <cellStyle name="Normal 11 3 2 2 3 3 2 2 4 2 2" xfId="38046" xr:uid="{34957768-3096-4CF9-8C4A-C1E9DF341ED3}"/>
    <cellStyle name="Normal 11 3 2 2 3 3 2 2 4 3" xfId="38047" xr:uid="{2D29C520-9D0F-4D6E-9FB0-703F841BA11F}"/>
    <cellStyle name="Normal 11 3 2 2 3 3 2 2 5" xfId="38048" xr:uid="{C311222E-E99C-4F59-B852-C56F746878EF}"/>
    <cellStyle name="Normal 11 3 2 2 3 3 2 2 5 2" xfId="38049" xr:uid="{BCDE2D9B-97A0-4204-9199-D6EC7892BAAD}"/>
    <cellStyle name="Normal 11 3 2 2 3 3 2 2 6" xfId="38050" xr:uid="{37F7F79B-34EF-4B67-856F-04965594B5FE}"/>
    <cellStyle name="Normal 11 3 2 2 3 3 2 3" xfId="38051" xr:uid="{2D5651B6-597E-451C-BC44-C8A42C7C32C5}"/>
    <cellStyle name="Normal 11 3 2 2 3 3 2 3 2" xfId="38052" xr:uid="{BAC6FF60-7504-4B11-95C6-B598CA4A08DE}"/>
    <cellStyle name="Normal 11 3 2 2 3 3 2 3 2 2" xfId="38053" xr:uid="{9132F043-7034-4F09-8C7F-390C0C8EAC37}"/>
    <cellStyle name="Normal 11 3 2 2 3 3 2 3 2 2 2" xfId="38054" xr:uid="{0A1C841D-4268-417F-B3C8-E6E1DEE29FCA}"/>
    <cellStyle name="Normal 11 3 2 2 3 3 2 3 2 2 2 2" xfId="38055" xr:uid="{DCFC217A-A95C-4098-A32C-4EE873B504EB}"/>
    <cellStyle name="Normal 11 3 2 2 3 3 2 3 2 2 3" xfId="38056" xr:uid="{013299E7-4958-4ABF-AF6A-E9F9EDA04F11}"/>
    <cellStyle name="Normal 11 3 2 2 3 3 2 3 2 3" xfId="38057" xr:uid="{7A425606-B9F6-49B1-839E-8CAF50643CC4}"/>
    <cellStyle name="Normal 11 3 2 2 3 3 2 3 2 3 2" xfId="38058" xr:uid="{F063B4AB-0861-459E-8436-625BB6507CEE}"/>
    <cellStyle name="Normal 11 3 2 2 3 3 2 3 2 4" xfId="38059" xr:uid="{F74C9F19-F0BF-4474-A89B-04A17791F50D}"/>
    <cellStyle name="Normal 11 3 2 2 3 3 2 3 3" xfId="38060" xr:uid="{354FA827-C5FC-49E6-9B52-BC0B67F75D30}"/>
    <cellStyle name="Normal 11 3 2 2 3 3 2 3 3 2" xfId="38061" xr:uid="{35F1DDDB-D4EF-48C8-9689-B5A0BDC95606}"/>
    <cellStyle name="Normal 11 3 2 2 3 3 2 3 3 2 2" xfId="38062" xr:uid="{2BBFF7E2-1B0A-4E6E-B9E5-198615E692C4}"/>
    <cellStyle name="Normal 11 3 2 2 3 3 2 3 3 3" xfId="38063" xr:uid="{89A23724-6956-43BB-B30F-69BE7C8732CC}"/>
    <cellStyle name="Normal 11 3 2 2 3 3 2 3 4" xfId="38064" xr:uid="{A1B80D5E-2B70-4609-81C1-E9E8452A50AD}"/>
    <cellStyle name="Normal 11 3 2 2 3 3 2 3 4 2" xfId="38065" xr:uid="{B0C3F904-B25A-4E43-A997-0A5CC90A5BC5}"/>
    <cellStyle name="Normal 11 3 2 2 3 3 2 3 5" xfId="38066" xr:uid="{FE18F0CE-2815-4EAC-B326-961763999267}"/>
    <cellStyle name="Normal 11 3 2 2 3 3 2 4" xfId="38067" xr:uid="{5D4C8248-9B7F-4278-8B4D-1AC49C0079D4}"/>
    <cellStyle name="Normal 11 3 2 2 3 3 2 4 2" xfId="38068" xr:uid="{65AB5003-0A7A-438F-8E69-F576200047D0}"/>
    <cellStyle name="Normal 11 3 2 2 3 3 2 4 2 2" xfId="38069" xr:uid="{4164DF03-6289-4A4E-9FA9-A24C480A2421}"/>
    <cellStyle name="Normal 11 3 2 2 3 3 2 4 2 2 2" xfId="38070" xr:uid="{E5A08822-AF3D-4651-A116-93898A860974}"/>
    <cellStyle name="Normal 11 3 2 2 3 3 2 4 2 3" xfId="38071" xr:uid="{A9B3B815-9355-4FD3-A809-C6E9D5B60C60}"/>
    <cellStyle name="Normal 11 3 2 2 3 3 2 4 3" xfId="38072" xr:uid="{D983E9BF-F65C-42DC-AEDC-ECE35BA9475E}"/>
    <cellStyle name="Normal 11 3 2 2 3 3 2 4 3 2" xfId="38073" xr:uid="{6C4B6973-1E98-4196-A423-B7082F01729C}"/>
    <cellStyle name="Normal 11 3 2 2 3 3 2 4 4" xfId="38074" xr:uid="{A6AC6C21-9EA0-4B90-AF2D-817115BDC7CC}"/>
    <cellStyle name="Normal 11 3 2 2 3 3 2 5" xfId="38075" xr:uid="{7F6374FB-8FC9-4940-9E1D-F7B05B13A55B}"/>
    <cellStyle name="Normal 11 3 2 2 3 3 2 5 2" xfId="38076" xr:uid="{7EC928D1-4D82-4AEE-B0ED-0A436474D57A}"/>
    <cellStyle name="Normal 11 3 2 2 3 3 2 5 2 2" xfId="38077" xr:uid="{E5816389-9761-44B0-9AA4-28F661DF0015}"/>
    <cellStyle name="Normal 11 3 2 2 3 3 2 5 3" xfId="38078" xr:uid="{D108798F-5C7C-40A4-BC5F-A0B762552EB4}"/>
    <cellStyle name="Normal 11 3 2 2 3 3 2 6" xfId="38079" xr:uid="{0AD9FDF4-CBCE-4531-9834-8BA25F5591DB}"/>
    <cellStyle name="Normal 11 3 2 2 3 3 2 6 2" xfId="38080" xr:uid="{89C6E950-749B-4744-A6C7-A56324DD410D}"/>
    <cellStyle name="Normal 11 3 2 2 3 3 2 7" xfId="38081" xr:uid="{DE375708-4BDF-492F-A239-308B33DAC684}"/>
    <cellStyle name="Normal 11 3 2 2 3 3 3" xfId="38082" xr:uid="{3C496238-5013-4D78-AA27-3050E24C3DD9}"/>
    <cellStyle name="Normal 11 3 2 2 3 3 3 2" xfId="38083" xr:uid="{104E91AA-DCCC-4FA2-8A3C-2C2024953BDF}"/>
    <cellStyle name="Normal 11 3 2 2 3 3 3 2 2" xfId="38084" xr:uid="{AFC9AC65-B828-4B9E-A648-98A40B32E6AC}"/>
    <cellStyle name="Normal 11 3 2 2 3 3 3 2 2 2" xfId="38085" xr:uid="{D51E1706-83CA-4307-864E-D1AAAFD8255E}"/>
    <cellStyle name="Normal 11 3 2 2 3 3 3 2 2 2 2" xfId="38086" xr:uid="{77F718FF-9232-424A-ABA1-43920B42BCFD}"/>
    <cellStyle name="Normal 11 3 2 2 3 3 3 2 2 2 2 2" xfId="38087" xr:uid="{FE76D01E-AB3B-44AF-8B16-F819C4C28E0F}"/>
    <cellStyle name="Normal 11 3 2 2 3 3 3 2 2 2 3" xfId="38088" xr:uid="{71F125AA-CE93-47C2-AD9F-C3E2FECEBE5D}"/>
    <cellStyle name="Normal 11 3 2 2 3 3 3 2 2 3" xfId="38089" xr:uid="{6A2456B7-A01E-4973-8555-1D2CF48AEEBC}"/>
    <cellStyle name="Normal 11 3 2 2 3 3 3 2 2 3 2" xfId="38090" xr:uid="{14E0794E-103C-449D-81A8-73A43028ECC7}"/>
    <cellStyle name="Normal 11 3 2 2 3 3 3 2 2 4" xfId="38091" xr:uid="{9056800E-A45E-42FD-85DC-D37A29F5C628}"/>
    <cellStyle name="Normal 11 3 2 2 3 3 3 2 3" xfId="38092" xr:uid="{7C3A93E6-834E-49DF-86E4-B8426EAF6760}"/>
    <cellStyle name="Normal 11 3 2 2 3 3 3 2 3 2" xfId="38093" xr:uid="{9197852C-1516-4C26-A0F6-B88596AABDAE}"/>
    <cellStyle name="Normal 11 3 2 2 3 3 3 2 3 2 2" xfId="38094" xr:uid="{A92A82A9-82B0-4650-AAF9-D14E4235431A}"/>
    <cellStyle name="Normal 11 3 2 2 3 3 3 2 3 3" xfId="38095" xr:uid="{C347D662-BFCE-428B-B2B2-1C5FAF10D1DE}"/>
    <cellStyle name="Normal 11 3 2 2 3 3 3 2 4" xfId="38096" xr:uid="{DB286D74-92B3-4AD0-8CEB-EC9779713960}"/>
    <cellStyle name="Normal 11 3 2 2 3 3 3 2 4 2" xfId="38097" xr:uid="{3B6EB162-1A9C-4AFA-82B9-1A0AEFA2A87A}"/>
    <cellStyle name="Normal 11 3 2 2 3 3 3 2 5" xfId="38098" xr:uid="{7884CB1F-DA67-41A9-AC51-A61C6A8E2929}"/>
    <cellStyle name="Normal 11 3 2 2 3 3 3 3" xfId="38099" xr:uid="{F5A6FF95-4428-47C7-BD2D-AAB90E40298C}"/>
    <cellStyle name="Normal 11 3 2 2 3 3 3 3 2" xfId="38100" xr:uid="{9715438D-2D9A-487F-8194-C4B9BC77AEC4}"/>
    <cellStyle name="Normal 11 3 2 2 3 3 3 3 2 2" xfId="38101" xr:uid="{3AD8FB81-B9F2-49B5-94DE-5A65ACB25C88}"/>
    <cellStyle name="Normal 11 3 2 2 3 3 3 3 2 2 2" xfId="38102" xr:uid="{234AB5D8-056A-461A-BCDA-C21C1586CAA9}"/>
    <cellStyle name="Normal 11 3 2 2 3 3 3 3 2 3" xfId="38103" xr:uid="{001F33DC-5D46-4C0B-9DA1-3DF57A879966}"/>
    <cellStyle name="Normal 11 3 2 2 3 3 3 3 3" xfId="38104" xr:uid="{DEEEDF36-7373-4186-BB90-6E24FFDBFDEA}"/>
    <cellStyle name="Normal 11 3 2 2 3 3 3 3 3 2" xfId="38105" xr:uid="{B3C3B785-7848-4B78-AF6C-779902BC79DA}"/>
    <cellStyle name="Normal 11 3 2 2 3 3 3 3 4" xfId="38106" xr:uid="{676195A4-1C3A-4BF3-B87B-9FA708E6F15C}"/>
    <cellStyle name="Normal 11 3 2 2 3 3 3 4" xfId="38107" xr:uid="{8DF397D9-CF31-4B40-9EB8-D2CBE0251443}"/>
    <cellStyle name="Normal 11 3 2 2 3 3 3 4 2" xfId="38108" xr:uid="{F587E553-EF65-445A-95D8-A23C46B3C96D}"/>
    <cellStyle name="Normal 11 3 2 2 3 3 3 4 2 2" xfId="38109" xr:uid="{30601B63-F511-4DCC-8AFA-ED0A1024BE7C}"/>
    <cellStyle name="Normal 11 3 2 2 3 3 3 4 3" xfId="38110" xr:uid="{D3FA85C7-0C66-43C8-B201-72E05E5FCD60}"/>
    <cellStyle name="Normal 11 3 2 2 3 3 3 5" xfId="38111" xr:uid="{3A54E945-7912-4AE5-9D2A-B7367CB6D787}"/>
    <cellStyle name="Normal 11 3 2 2 3 3 3 5 2" xfId="38112" xr:uid="{192A9515-0D83-4AFC-AB03-EBA4391534C2}"/>
    <cellStyle name="Normal 11 3 2 2 3 3 3 6" xfId="38113" xr:uid="{769D25C8-FA54-4306-B990-6D5C91686CB7}"/>
    <cellStyle name="Normal 11 3 2 2 3 3 4" xfId="38114" xr:uid="{9ABC88DE-C334-4B6D-A924-A9CE21161D4F}"/>
    <cellStyle name="Normal 11 3 2 2 3 3 4 2" xfId="38115" xr:uid="{F641BF57-8868-4900-B22C-5B4CFAD649F8}"/>
    <cellStyle name="Normal 11 3 2 2 3 3 4 2 2" xfId="38116" xr:uid="{F6E3B57C-B083-4971-B544-19C2191F4821}"/>
    <cellStyle name="Normal 11 3 2 2 3 3 4 2 2 2" xfId="38117" xr:uid="{0EBF5018-3A10-4AEE-B825-EED0E9D97F04}"/>
    <cellStyle name="Normal 11 3 2 2 3 3 4 2 2 2 2" xfId="38118" xr:uid="{8B53EA7C-7CE5-44A0-8D6A-C6101F0D6788}"/>
    <cellStyle name="Normal 11 3 2 2 3 3 4 2 2 3" xfId="38119" xr:uid="{4E3A47DE-4B28-422B-B204-1D6B0854D683}"/>
    <cellStyle name="Normal 11 3 2 2 3 3 4 2 3" xfId="38120" xr:uid="{6624E7B6-198A-4323-9175-9A7372CD6539}"/>
    <cellStyle name="Normal 11 3 2 2 3 3 4 2 3 2" xfId="38121" xr:uid="{FC858B09-5B7F-4449-9537-989104C54505}"/>
    <cellStyle name="Normal 11 3 2 2 3 3 4 2 4" xfId="38122" xr:uid="{223E8491-83C1-4226-8B4C-049ED03C0F40}"/>
    <cellStyle name="Normal 11 3 2 2 3 3 4 3" xfId="38123" xr:uid="{C9B9F6AC-6CE8-445F-BB92-390C2FAC0005}"/>
    <cellStyle name="Normal 11 3 2 2 3 3 4 3 2" xfId="38124" xr:uid="{7BE288D6-1B91-41CA-A2DD-42BCCCDB3A29}"/>
    <cellStyle name="Normal 11 3 2 2 3 3 4 3 2 2" xfId="38125" xr:uid="{001A2DB5-01DA-498E-81D7-D26C37FCD6EC}"/>
    <cellStyle name="Normal 11 3 2 2 3 3 4 3 3" xfId="38126" xr:uid="{C167D250-5187-4FBA-BD9F-06DA13B82685}"/>
    <cellStyle name="Normal 11 3 2 2 3 3 4 4" xfId="38127" xr:uid="{194E11C2-06B8-4244-AD33-E5218C8A6D2E}"/>
    <cellStyle name="Normal 11 3 2 2 3 3 4 4 2" xfId="38128" xr:uid="{448C353C-331E-4020-8E9C-8A3F7749E0DF}"/>
    <cellStyle name="Normal 11 3 2 2 3 3 4 5" xfId="38129" xr:uid="{71BFF8DB-7C7D-4A92-BC59-648ABD403405}"/>
    <cellStyle name="Normal 11 3 2 2 3 3 5" xfId="38130" xr:uid="{EF60EC95-1EDA-4EBF-80AB-2E8B27790390}"/>
    <cellStyle name="Normal 11 3 2 2 3 3 5 2" xfId="38131" xr:uid="{CC8F6F69-5555-4082-B353-1C79DD2A0402}"/>
    <cellStyle name="Normal 11 3 2 2 3 3 5 2 2" xfId="38132" xr:uid="{3BFE98CA-4F69-4B27-B119-B5ECFF95E4E0}"/>
    <cellStyle name="Normal 11 3 2 2 3 3 5 2 2 2" xfId="38133" xr:uid="{663CFFF6-7A75-420F-B3BE-5A581D89943E}"/>
    <cellStyle name="Normal 11 3 2 2 3 3 5 2 3" xfId="38134" xr:uid="{3460C367-BCBE-4AC1-A56D-3AD22ABF89E3}"/>
    <cellStyle name="Normal 11 3 2 2 3 3 5 3" xfId="38135" xr:uid="{4D1A92D7-A34E-4264-9315-8BA0AF08D009}"/>
    <cellStyle name="Normal 11 3 2 2 3 3 5 3 2" xfId="38136" xr:uid="{1D87B17B-200B-4C5C-BA07-BCDF35A0B0A7}"/>
    <cellStyle name="Normal 11 3 2 2 3 3 5 4" xfId="38137" xr:uid="{2F0F8459-90A1-466C-B93D-591EE1021D8F}"/>
    <cellStyle name="Normal 11 3 2 2 3 3 6" xfId="38138" xr:uid="{68856B4C-B199-4709-82CC-E0D1C5FE4D1E}"/>
    <cellStyle name="Normal 11 3 2 2 3 3 6 2" xfId="38139" xr:uid="{212FF401-1AA6-47CA-8E2E-1CA550D395F1}"/>
    <cellStyle name="Normal 11 3 2 2 3 3 6 2 2" xfId="38140" xr:uid="{85114C0D-64EB-4EAF-B846-A26A0C12B336}"/>
    <cellStyle name="Normal 11 3 2 2 3 3 6 3" xfId="38141" xr:uid="{047EAA08-D4A2-4F3D-96AD-6E0A75045407}"/>
    <cellStyle name="Normal 11 3 2 2 3 3 7" xfId="38142" xr:uid="{953012B3-AFB7-416C-BD9B-31FCA54D3E13}"/>
    <cellStyle name="Normal 11 3 2 2 3 3 7 2" xfId="38143" xr:uid="{FD085618-526E-4FFF-98E7-43F098C722F7}"/>
    <cellStyle name="Normal 11 3 2 2 3 3 8" xfId="38144" xr:uid="{6C582A5C-29DD-4126-91A8-073EBDD0ACB3}"/>
    <cellStyle name="Normal 11 3 2 2 3 3 9" xfId="38017" xr:uid="{5CE0C475-E46C-4102-B33E-7BDC6BA0E3B2}"/>
    <cellStyle name="Normal 11 3 2 2 3 4" xfId="38145" xr:uid="{B3FA6684-80CF-4422-85EB-3413FBA9C180}"/>
    <cellStyle name="Normal 11 3 2 2 3 4 2" xfId="38146" xr:uid="{25BC148D-D761-4697-BF76-2DB865CA8592}"/>
    <cellStyle name="Normal 11 3 2 2 3 4 2 2" xfId="38147" xr:uid="{3EB229EA-B687-4A40-A051-A38A8C133E17}"/>
    <cellStyle name="Normal 11 3 2 2 3 4 2 2 2" xfId="38148" xr:uid="{03B41DAB-D405-4322-A980-8280CF5A1FA2}"/>
    <cellStyle name="Normal 11 3 2 2 3 4 2 2 2 2" xfId="38149" xr:uid="{1201C1DC-B740-4EBB-982A-7FADE69EBB0A}"/>
    <cellStyle name="Normal 11 3 2 2 3 4 2 2 2 2 2" xfId="38150" xr:uid="{0FC1B759-E602-43C7-8986-4FC2970ED094}"/>
    <cellStyle name="Normal 11 3 2 2 3 4 2 2 2 2 2 2" xfId="38151" xr:uid="{2F8CFEAB-30DB-4DA4-A4FE-B642A8F655AC}"/>
    <cellStyle name="Normal 11 3 2 2 3 4 2 2 2 2 3" xfId="38152" xr:uid="{5C623FF3-5D72-451D-A4AC-9A6D6DECEDCC}"/>
    <cellStyle name="Normal 11 3 2 2 3 4 2 2 2 3" xfId="38153" xr:uid="{A271CF1F-DDA1-471B-B1C2-CF8BB3E23D77}"/>
    <cellStyle name="Normal 11 3 2 2 3 4 2 2 2 3 2" xfId="38154" xr:uid="{2D61F5EB-5BA7-4C84-AD75-C062E123F7E5}"/>
    <cellStyle name="Normal 11 3 2 2 3 4 2 2 2 4" xfId="38155" xr:uid="{096771B6-C4EE-4422-A14B-A8302E18AEBD}"/>
    <cellStyle name="Normal 11 3 2 2 3 4 2 2 3" xfId="38156" xr:uid="{2FB17229-4E31-42CA-A9D7-1E0A7A4356F0}"/>
    <cellStyle name="Normal 11 3 2 2 3 4 2 2 3 2" xfId="38157" xr:uid="{DBACB5E8-BDCF-47AD-8C24-7448026C083F}"/>
    <cellStyle name="Normal 11 3 2 2 3 4 2 2 3 2 2" xfId="38158" xr:uid="{9B8FBCA5-3432-4459-B82C-AF7A70534318}"/>
    <cellStyle name="Normal 11 3 2 2 3 4 2 2 3 3" xfId="38159" xr:uid="{894F7FAD-51A1-4DE1-A35A-49BF23FD23A1}"/>
    <cellStyle name="Normal 11 3 2 2 3 4 2 2 4" xfId="38160" xr:uid="{208EB527-EC2E-4A07-A339-04DBF68DF73B}"/>
    <cellStyle name="Normal 11 3 2 2 3 4 2 2 4 2" xfId="38161" xr:uid="{683D0AFA-8A9E-4ABC-B718-777290847EA8}"/>
    <cellStyle name="Normal 11 3 2 2 3 4 2 2 5" xfId="38162" xr:uid="{666D478C-564F-4105-9E93-4D2BEE0D165E}"/>
    <cellStyle name="Normal 11 3 2 2 3 4 2 3" xfId="38163" xr:uid="{120AB493-2BCC-4A0E-9CC4-F32545A28279}"/>
    <cellStyle name="Normal 11 3 2 2 3 4 2 3 2" xfId="38164" xr:uid="{23FB7A46-9938-410F-9A0E-724C6E5ED202}"/>
    <cellStyle name="Normal 11 3 2 2 3 4 2 3 2 2" xfId="38165" xr:uid="{C79C7A4B-3827-47CC-BC2E-D9DC67C18BF7}"/>
    <cellStyle name="Normal 11 3 2 2 3 4 2 3 2 2 2" xfId="38166" xr:uid="{3C7A5A0E-197C-4CFC-A12B-20226646F132}"/>
    <cellStyle name="Normal 11 3 2 2 3 4 2 3 2 3" xfId="38167" xr:uid="{79A41F0E-B4DC-4111-A4DE-5A27C927D577}"/>
    <cellStyle name="Normal 11 3 2 2 3 4 2 3 3" xfId="38168" xr:uid="{05E7CDEF-2393-4427-9097-6B718BFDA39C}"/>
    <cellStyle name="Normal 11 3 2 2 3 4 2 3 3 2" xfId="38169" xr:uid="{89E3CC7A-9708-45C9-9419-9953DA5F5C42}"/>
    <cellStyle name="Normal 11 3 2 2 3 4 2 3 4" xfId="38170" xr:uid="{9286F805-3374-4384-AFF3-F1F23AAC965B}"/>
    <cellStyle name="Normal 11 3 2 2 3 4 2 4" xfId="38171" xr:uid="{D195FE92-D43D-4801-81E9-732DE2ADE42E}"/>
    <cellStyle name="Normal 11 3 2 2 3 4 2 4 2" xfId="38172" xr:uid="{D370ADC7-2F43-481A-BB6B-AB4E5C5946FE}"/>
    <cellStyle name="Normal 11 3 2 2 3 4 2 4 2 2" xfId="38173" xr:uid="{4FEDA3C7-D366-4D38-A14F-9E9498A70ED3}"/>
    <cellStyle name="Normal 11 3 2 2 3 4 2 4 3" xfId="38174" xr:uid="{169535E9-969C-4E68-882C-7D4F7B267B77}"/>
    <cellStyle name="Normal 11 3 2 2 3 4 2 5" xfId="38175" xr:uid="{4269FA2D-6E70-45BD-A517-F999A659B674}"/>
    <cellStyle name="Normal 11 3 2 2 3 4 2 5 2" xfId="38176" xr:uid="{9B2EB9D5-7DF5-4328-B021-5AD04BE189A4}"/>
    <cellStyle name="Normal 11 3 2 2 3 4 2 6" xfId="38177" xr:uid="{41652F23-7DB2-4450-B76A-84766754FB48}"/>
    <cellStyle name="Normal 11 3 2 2 3 4 3" xfId="38178" xr:uid="{BCDA7931-B551-4479-BCD9-658B7C5D42E8}"/>
    <cellStyle name="Normal 11 3 2 2 3 4 3 2" xfId="38179" xr:uid="{2C42C4CD-4575-474C-BB8B-3098E6E3B269}"/>
    <cellStyle name="Normal 11 3 2 2 3 4 3 2 2" xfId="38180" xr:uid="{38730B3C-9CF1-4683-848F-3FC0042FE01C}"/>
    <cellStyle name="Normal 11 3 2 2 3 4 3 2 2 2" xfId="38181" xr:uid="{866F1BC2-1F24-46D2-B000-86827E519B0C}"/>
    <cellStyle name="Normal 11 3 2 2 3 4 3 2 2 2 2" xfId="38182" xr:uid="{330F088A-C70D-406E-BC87-C1CE88335B2C}"/>
    <cellStyle name="Normal 11 3 2 2 3 4 3 2 2 3" xfId="38183" xr:uid="{D0D7F336-B299-43D6-8B9F-39DBF91604A4}"/>
    <cellStyle name="Normal 11 3 2 2 3 4 3 2 3" xfId="38184" xr:uid="{ADC4BDF8-0BC9-4D96-AD6D-2F9998E0A6AC}"/>
    <cellStyle name="Normal 11 3 2 2 3 4 3 2 3 2" xfId="38185" xr:uid="{FCF8A54C-3EEA-4914-A9BB-689B2CDB2912}"/>
    <cellStyle name="Normal 11 3 2 2 3 4 3 2 4" xfId="38186" xr:uid="{AF700E76-3551-4DF8-8BA5-607D77FEBBC4}"/>
    <cellStyle name="Normal 11 3 2 2 3 4 3 3" xfId="38187" xr:uid="{1A3129C1-82FF-4262-8D78-C5AD32D56312}"/>
    <cellStyle name="Normal 11 3 2 2 3 4 3 3 2" xfId="38188" xr:uid="{3D5D9B41-37A4-48B0-86E9-529C75A32EF8}"/>
    <cellStyle name="Normal 11 3 2 2 3 4 3 3 2 2" xfId="38189" xr:uid="{C7CCD3F2-31AF-45A2-9526-45018B2BE4E4}"/>
    <cellStyle name="Normal 11 3 2 2 3 4 3 3 3" xfId="38190" xr:uid="{A13136A1-08B4-44DC-B3F5-E70013A619BF}"/>
    <cellStyle name="Normal 11 3 2 2 3 4 3 4" xfId="38191" xr:uid="{82E794A5-F151-49C7-B154-0A3E16697E2C}"/>
    <cellStyle name="Normal 11 3 2 2 3 4 3 4 2" xfId="38192" xr:uid="{ED35A2FE-274B-4130-B182-4578B816B8AC}"/>
    <cellStyle name="Normal 11 3 2 2 3 4 3 5" xfId="38193" xr:uid="{F707E35D-9E5A-48C1-8B66-E690DB7A70E3}"/>
    <cellStyle name="Normal 11 3 2 2 3 4 4" xfId="38194" xr:uid="{39CCEA4E-9D5E-460E-8278-035582C0FCE3}"/>
    <cellStyle name="Normal 11 3 2 2 3 4 4 2" xfId="38195" xr:uid="{93673A76-7E3A-4492-AFC3-1411FEDF3B58}"/>
    <cellStyle name="Normal 11 3 2 2 3 4 4 2 2" xfId="38196" xr:uid="{ECC0D28A-AD25-4945-9809-21BCE98D193C}"/>
    <cellStyle name="Normal 11 3 2 2 3 4 4 2 2 2" xfId="38197" xr:uid="{B47648B7-987C-4E00-80FA-C47E3FF4D32B}"/>
    <cellStyle name="Normal 11 3 2 2 3 4 4 2 3" xfId="38198" xr:uid="{87FEDCAB-AEAE-49E3-A8F2-2C3686193636}"/>
    <cellStyle name="Normal 11 3 2 2 3 4 4 3" xfId="38199" xr:uid="{11C37062-7ADC-45AC-BF53-B329B401D26E}"/>
    <cellStyle name="Normal 11 3 2 2 3 4 4 3 2" xfId="38200" xr:uid="{513AEB38-DC31-4507-B4CF-349A2CA82C2E}"/>
    <cellStyle name="Normal 11 3 2 2 3 4 4 4" xfId="38201" xr:uid="{726F1AEF-857F-4FAD-A96D-901B5C0E7290}"/>
    <cellStyle name="Normal 11 3 2 2 3 4 5" xfId="38202" xr:uid="{3A48DD80-3B33-445E-9EE4-52CEFDE8AE9C}"/>
    <cellStyle name="Normal 11 3 2 2 3 4 5 2" xfId="38203" xr:uid="{3C7AAC90-C5F9-4917-92B8-E546CBC5DFF7}"/>
    <cellStyle name="Normal 11 3 2 2 3 4 5 2 2" xfId="38204" xr:uid="{560CEEBB-31C7-4888-8C58-23603D189F06}"/>
    <cellStyle name="Normal 11 3 2 2 3 4 5 3" xfId="38205" xr:uid="{A5C98FD3-7FAA-4AC4-ACFA-C1B3F404288B}"/>
    <cellStyle name="Normal 11 3 2 2 3 4 6" xfId="38206" xr:uid="{7D000437-FAD2-4123-827C-91100A657B35}"/>
    <cellStyle name="Normal 11 3 2 2 3 4 6 2" xfId="38207" xr:uid="{37B0B49C-B35B-4BCD-95A6-D3D235E548A2}"/>
    <cellStyle name="Normal 11 3 2 2 3 4 7" xfId="38208" xr:uid="{A65CD583-AF7A-42FE-A4E8-64DDB521E414}"/>
    <cellStyle name="Normal 11 3 2 2 3 5" xfId="38209" xr:uid="{3376891B-23C4-4972-B446-A9E5B7683A53}"/>
    <cellStyle name="Normal 11 3 2 2 3 5 2" xfId="38210" xr:uid="{F2FA9E29-0747-4185-ACDC-C55084946C64}"/>
    <cellStyle name="Normal 11 3 2 2 3 5 2 2" xfId="38211" xr:uid="{5EBD5711-C669-4208-BB89-AB213BDC85BA}"/>
    <cellStyle name="Normal 11 3 2 2 3 5 2 2 2" xfId="38212" xr:uid="{6CE7D168-E9CC-409B-A869-F5FAB101BE08}"/>
    <cellStyle name="Normal 11 3 2 2 3 5 2 2 2 2" xfId="38213" xr:uid="{7105005D-EBDE-4E27-AF57-EB6522F045F4}"/>
    <cellStyle name="Normal 11 3 2 2 3 5 2 2 2 2 2" xfId="38214" xr:uid="{36E410B9-A05C-4FC5-88EE-B8A26F2090AA}"/>
    <cellStyle name="Normal 11 3 2 2 3 5 2 2 2 3" xfId="38215" xr:uid="{96356A56-B837-434B-B1B4-8F4315E7BA97}"/>
    <cellStyle name="Normal 11 3 2 2 3 5 2 2 3" xfId="38216" xr:uid="{333B0937-105C-4731-A9A4-7AE2EB79CFB4}"/>
    <cellStyle name="Normal 11 3 2 2 3 5 2 2 3 2" xfId="38217" xr:uid="{26F9263A-9A1B-4497-A1D0-DFAD126E4972}"/>
    <cellStyle name="Normal 11 3 2 2 3 5 2 2 4" xfId="38218" xr:uid="{9EC598E9-9E2E-48AB-AC75-1E7A4092E0C3}"/>
    <cellStyle name="Normal 11 3 2 2 3 5 2 3" xfId="38219" xr:uid="{9BE98050-C3CF-4081-98A0-F1B8538C69A3}"/>
    <cellStyle name="Normal 11 3 2 2 3 5 2 3 2" xfId="38220" xr:uid="{4335EB42-B7C5-4B70-AAC6-15FF21DF30CF}"/>
    <cellStyle name="Normal 11 3 2 2 3 5 2 3 2 2" xfId="38221" xr:uid="{45BAB804-80BC-4CED-A2A6-F7163FD5B53E}"/>
    <cellStyle name="Normal 11 3 2 2 3 5 2 3 3" xfId="38222" xr:uid="{EEFF51F2-5DD3-4BCF-AFE1-23FE09F44651}"/>
    <cellStyle name="Normal 11 3 2 2 3 5 2 4" xfId="38223" xr:uid="{8C514D65-C410-42B6-9EC4-F951A0635FC9}"/>
    <cellStyle name="Normal 11 3 2 2 3 5 2 4 2" xfId="38224" xr:uid="{D52EE2B9-CAB9-4079-B9B2-2CB6E8F97FBB}"/>
    <cellStyle name="Normal 11 3 2 2 3 5 2 5" xfId="38225" xr:uid="{58328D6A-FD33-424B-8949-94D67CD8310E}"/>
    <cellStyle name="Normal 11 3 2 2 3 5 3" xfId="38226" xr:uid="{47029E3E-09A6-4F8F-90D8-8A8DF710E0F3}"/>
    <cellStyle name="Normal 11 3 2 2 3 5 3 2" xfId="38227" xr:uid="{A049CCD0-AAD8-4C17-B10A-0EF0C1A40ADA}"/>
    <cellStyle name="Normal 11 3 2 2 3 5 3 2 2" xfId="38228" xr:uid="{59256B74-8C67-4E20-ADDD-BE116585532C}"/>
    <cellStyle name="Normal 11 3 2 2 3 5 3 2 2 2" xfId="38229" xr:uid="{587C8F1E-1A1D-485C-AFC1-C200B447F09A}"/>
    <cellStyle name="Normal 11 3 2 2 3 5 3 2 3" xfId="38230" xr:uid="{CC6027AE-48F9-479B-98D1-C1830DDB8D0C}"/>
    <cellStyle name="Normal 11 3 2 2 3 5 3 3" xfId="38231" xr:uid="{6DE5606F-6443-44BF-854B-FD6CF0D2C0B6}"/>
    <cellStyle name="Normal 11 3 2 2 3 5 3 3 2" xfId="38232" xr:uid="{1585A5EC-6AFA-4EE4-9023-FEE9035B16F4}"/>
    <cellStyle name="Normal 11 3 2 2 3 5 3 4" xfId="38233" xr:uid="{569B877E-E30E-49A2-8957-014F70322E2D}"/>
    <cellStyle name="Normal 11 3 2 2 3 5 4" xfId="38234" xr:uid="{D351396D-0A9E-4A04-A7C2-2A0AB38F5D17}"/>
    <cellStyle name="Normal 11 3 2 2 3 5 4 2" xfId="38235" xr:uid="{35D08091-9ACB-4AE5-A6A1-4E147042B835}"/>
    <cellStyle name="Normal 11 3 2 2 3 5 4 2 2" xfId="38236" xr:uid="{DBD46373-E1D6-4704-83C5-AF1A3512BDA3}"/>
    <cellStyle name="Normal 11 3 2 2 3 5 4 3" xfId="38237" xr:uid="{B8F290CA-BE2E-4269-9A1C-B5F5A8572A11}"/>
    <cellStyle name="Normal 11 3 2 2 3 5 5" xfId="38238" xr:uid="{FD349169-43BD-453D-9C7C-1A084713D6C9}"/>
    <cellStyle name="Normal 11 3 2 2 3 5 5 2" xfId="38239" xr:uid="{AF1622A9-73C7-4848-858F-1FCCF6038EE3}"/>
    <cellStyle name="Normal 11 3 2 2 3 5 6" xfId="38240" xr:uid="{F6019C50-D724-4778-AFDB-A126EEB8803E}"/>
    <cellStyle name="Normal 11 3 2 2 3 6" xfId="38241" xr:uid="{528296CD-05D3-4681-B6B9-44CE1CEC4146}"/>
    <cellStyle name="Normal 11 3 2 2 3 6 2" xfId="38242" xr:uid="{C70EE4C6-BC33-482B-9C49-EAF93882F821}"/>
    <cellStyle name="Normal 11 3 2 2 3 6 2 2" xfId="38243" xr:uid="{A7488898-CBB1-4D9E-BEEF-06CD114507AE}"/>
    <cellStyle name="Normal 11 3 2 2 3 6 2 2 2" xfId="38244" xr:uid="{8B744610-E654-4074-8F42-4603D2604D61}"/>
    <cellStyle name="Normal 11 3 2 2 3 6 2 2 2 2" xfId="38245" xr:uid="{AA834B99-0F4C-4EE4-8E16-21E873696094}"/>
    <cellStyle name="Normal 11 3 2 2 3 6 2 2 3" xfId="38246" xr:uid="{CB62080F-3EBA-488C-ADCC-84DF0E05F8C1}"/>
    <cellStyle name="Normal 11 3 2 2 3 6 2 3" xfId="38247" xr:uid="{0FC2791E-9B1E-4E4D-A0CF-BDC6D3B98B84}"/>
    <cellStyle name="Normal 11 3 2 2 3 6 2 3 2" xfId="38248" xr:uid="{6907E128-7976-4AEC-8691-42708CE4D2CD}"/>
    <cellStyle name="Normal 11 3 2 2 3 6 2 4" xfId="38249" xr:uid="{72093F30-80AC-4265-9E25-7C1EC900A4E1}"/>
    <cellStyle name="Normal 11 3 2 2 3 6 3" xfId="38250" xr:uid="{981EE5FF-1AF3-4CB0-BA3B-CA9FED8096F8}"/>
    <cellStyle name="Normal 11 3 2 2 3 6 3 2" xfId="38251" xr:uid="{ABF65CE4-AFD0-4ED5-9307-3A258182738B}"/>
    <cellStyle name="Normal 11 3 2 2 3 6 3 2 2" xfId="38252" xr:uid="{1911B852-9679-4BBF-8B7B-DACEC2454703}"/>
    <cellStyle name="Normal 11 3 2 2 3 6 3 3" xfId="38253" xr:uid="{FEDE2CCC-88CB-4AF6-98B7-8E4E07DEDE15}"/>
    <cellStyle name="Normal 11 3 2 2 3 6 4" xfId="38254" xr:uid="{A7095C5E-ADE8-4183-93A2-E45BFECD8CA9}"/>
    <cellStyle name="Normal 11 3 2 2 3 6 4 2" xfId="38255" xr:uid="{E20448BC-45FF-404A-B0C3-B29C2C2AA0BB}"/>
    <cellStyle name="Normal 11 3 2 2 3 6 5" xfId="38256" xr:uid="{2939FA06-DD71-458A-A56F-AE7DF76CB96F}"/>
    <cellStyle name="Normal 11 3 2 2 3 7" xfId="38257" xr:uid="{18537E09-FFD4-481D-B7AC-5C3C57DA9327}"/>
    <cellStyle name="Normal 11 3 2 2 3 7 2" xfId="38258" xr:uid="{D10DFC1B-DCB6-494D-92C4-9E0744AAAB5C}"/>
    <cellStyle name="Normal 11 3 2 2 3 7 2 2" xfId="38259" xr:uid="{AEED05B4-6709-4590-BF4F-5C0373D0AAB8}"/>
    <cellStyle name="Normal 11 3 2 2 3 7 2 2 2" xfId="38260" xr:uid="{73BF2571-489C-484B-B30B-ADD10CACF708}"/>
    <cellStyle name="Normal 11 3 2 2 3 7 2 3" xfId="38261" xr:uid="{177B5BB9-FDC5-4139-89AC-C701708B86E4}"/>
    <cellStyle name="Normal 11 3 2 2 3 7 3" xfId="38262" xr:uid="{369CCCF1-3615-4473-A2E2-EAFDFA706882}"/>
    <cellStyle name="Normal 11 3 2 2 3 7 3 2" xfId="38263" xr:uid="{E07EF75A-54F8-4F71-BF94-56F1A9E75FFD}"/>
    <cellStyle name="Normal 11 3 2 2 3 7 4" xfId="38264" xr:uid="{ED6D56BA-12CE-45E9-984F-EF1207AAB506}"/>
    <cellStyle name="Normal 11 3 2 2 3 8" xfId="38265" xr:uid="{A0FFF810-A9CD-4C40-A97A-1D2A7EAC732A}"/>
    <cellStyle name="Normal 11 3 2 2 3 8 2" xfId="38266" xr:uid="{1CFE2824-1773-4077-BEEF-7B78CB168CD5}"/>
    <cellStyle name="Normal 11 3 2 2 3 8 2 2" xfId="38267" xr:uid="{5D13E6FF-2857-4FA1-9B86-0E0F6127FC2E}"/>
    <cellStyle name="Normal 11 3 2 2 3 8 3" xfId="38268" xr:uid="{714AD662-79B0-41CD-A0D8-4DF7E33C9C55}"/>
    <cellStyle name="Normal 11 3 2 2 3 9" xfId="38269" xr:uid="{92454DCA-9C2B-4317-8E2A-0F2C9046D80F}"/>
    <cellStyle name="Normal 11 3 2 2 3 9 2" xfId="38270" xr:uid="{16F7290E-514B-42AA-96E8-4E9D9123BEA6}"/>
    <cellStyle name="Normal 11 3 2 2 4" xfId="265" xr:uid="{0EB2B832-09BB-4B23-8664-E9E66D308774}"/>
    <cellStyle name="Normal 11 3 2 2 4 10" xfId="38271" xr:uid="{05BE7907-A373-4022-A413-001AE9EE1166}"/>
    <cellStyle name="Normal 11 3 2 2 4 11" xfId="593" xr:uid="{A3CCCE9A-B90B-4C8A-8FFE-39525F92BA71}"/>
    <cellStyle name="Normal 11 3 2 2 4 2" xfId="375" xr:uid="{182E827A-8AC2-449F-9DC1-1217C2196F4D}"/>
    <cellStyle name="Normal 11 3 2 2 4 2 10" xfId="38272" xr:uid="{B3F3BFEB-4643-470A-8016-F8619BF69862}"/>
    <cellStyle name="Normal 11 3 2 2 4 2 2" xfId="38273" xr:uid="{58CCCE1F-32E5-4F93-92CD-B32AAB84060F}"/>
    <cellStyle name="Normal 11 3 2 2 4 2 2 2" xfId="38274" xr:uid="{8F5EA4B9-9C3E-4E14-8AC0-0E80B43DD249}"/>
    <cellStyle name="Normal 11 3 2 2 4 2 2 2 2" xfId="38275" xr:uid="{A469C5C9-221F-452F-9B39-8B597590BFC5}"/>
    <cellStyle name="Normal 11 3 2 2 4 2 2 2 2 2" xfId="38276" xr:uid="{E9CD1998-145D-4A84-A041-F8CBFCFE9817}"/>
    <cellStyle name="Normal 11 3 2 2 4 2 2 2 2 2 2" xfId="38277" xr:uid="{0CB69110-16F8-4346-9D1B-0A5AD1694485}"/>
    <cellStyle name="Normal 11 3 2 2 4 2 2 2 2 2 2 2" xfId="38278" xr:uid="{BF269A31-EE44-4914-907D-C02A9386E35F}"/>
    <cellStyle name="Normal 11 3 2 2 4 2 2 2 2 2 2 2 2" xfId="38279" xr:uid="{A04599F1-8481-4007-B9BD-63B1F3A94D73}"/>
    <cellStyle name="Normal 11 3 2 2 4 2 2 2 2 2 2 2 2 2" xfId="38280" xr:uid="{8AD1BA41-B2A5-40A0-9ACE-A447E70F6EC9}"/>
    <cellStyle name="Normal 11 3 2 2 4 2 2 2 2 2 2 2 3" xfId="38281" xr:uid="{5A619FB9-9023-4CF3-9497-6EF3FC7C1236}"/>
    <cellStyle name="Normal 11 3 2 2 4 2 2 2 2 2 2 3" xfId="38282" xr:uid="{94DA4246-8EC0-4AF2-B062-991328EBD03C}"/>
    <cellStyle name="Normal 11 3 2 2 4 2 2 2 2 2 2 3 2" xfId="38283" xr:uid="{8F0B68D6-C64B-4F39-8B92-688D742A1250}"/>
    <cellStyle name="Normal 11 3 2 2 4 2 2 2 2 2 2 4" xfId="38284" xr:uid="{3589E1C8-FC93-46E8-B348-3BD4F6AFA14C}"/>
    <cellStyle name="Normal 11 3 2 2 4 2 2 2 2 2 3" xfId="38285" xr:uid="{6B9A3323-9E16-40AB-B3CB-72F771C61351}"/>
    <cellStyle name="Normal 11 3 2 2 4 2 2 2 2 2 3 2" xfId="38286" xr:uid="{087FA156-E4DC-45E5-87B3-0984AC1D7C1E}"/>
    <cellStyle name="Normal 11 3 2 2 4 2 2 2 2 2 3 2 2" xfId="38287" xr:uid="{2E2464E3-14A8-451A-B91C-34286421376A}"/>
    <cellStyle name="Normal 11 3 2 2 4 2 2 2 2 2 3 3" xfId="38288" xr:uid="{A776B163-8C28-4D88-8E11-07C23F8CAAC0}"/>
    <cellStyle name="Normal 11 3 2 2 4 2 2 2 2 2 4" xfId="38289" xr:uid="{86318585-56BC-4B3E-8C65-288D63CD9495}"/>
    <cellStyle name="Normal 11 3 2 2 4 2 2 2 2 2 4 2" xfId="38290" xr:uid="{B27522A0-FE03-45E9-AAF6-8C854B523433}"/>
    <cellStyle name="Normal 11 3 2 2 4 2 2 2 2 2 5" xfId="38291" xr:uid="{05F35B9B-30F5-48B8-998B-5C3F13CD30A1}"/>
    <cellStyle name="Normal 11 3 2 2 4 2 2 2 2 3" xfId="38292" xr:uid="{A2C1023F-A623-48D0-AE2E-E848DB88C1B0}"/>
    <cellStyle name="Normal 11 3 2 2 4 2 2 2 2 3 2" xfId="38293" xr:uid="{AEBDC504-B829-4A46-852D-7D40383D35BB}"/>
    <cellStyle name="Normal 11 3 2 2 4 2 2 2 2 3 2 2" xfId="38294" xr:uid="{091941AB-0EEF-4045-8547-E424AA0C2DD7}"/>
    <cellStyle name="Normal 11 3 2 2 4 2 2 2 2 3 2 2 2" xfId="38295" xr:uid="{69BB0249-9907-494B-8334-819AF9B34247}"/>
    <cellStyle name="Normal 11 3 2 2 4 2 2 2 2 3 2 3" xfId="38296" xr:uid="{6996A196-7006-42EF-851D-E7ED1379A936}"/>
    <cellStyle name="Normal 11 3 2 2 4 2 2 2 2 3 3" xfId="38297" xr:uid="{9095D0FF-F43F-47B5-8122-CF170C947CCE}"/>
    <cellStyle name="Normal 11 3 2 2 4 2 2 2 2 3 3 2" xfId="38298" xr:uid="{B8C3BE5F-28AE-4995-9B3A-C1E0F991A4D3}"/>
    <cellStyle name="Normal 11 3 2 2 4 2 2 2 2 3 4" xfId="38299" xr:uid="{73D0DE0F-830B-403B-B375-3BA17ABCA578}"/>
    <cellStyle name="Normal 11 3 2 2 4 2 2 2 2 4" xfId="38300" xr:uid="{DD6DD6E0-84CF-4C26-8959-CBBC2C75BA9A}"/>
    <cellStyle name="Normal 11 3 2 2 4 2 2 2 2 4 2" xfId="38301" xr:uid="{59B6FE2B-A026-4189-83CE-DA24C628508E}"/>
    <cellStyle name="Normal 11 3 2 2 4 2 2 2 2 4 2 2" xfId="38302" xr:uid="{C2ED9853-91FA-4991-8C10-C5565DC25DB0}"/>
    <cellStyle name="Normal 11 3 2 2 4 2 2 2 2 4 3" xfId="38303" xr:uid="{30D3CCFD-AF4A-4C65-8C67-03F3ACDEBEA8}"/>
    <cellStyle name="Normal 11 3 2 2 4 2 2 2 2 5" xfId="38304" xr:uid="{512C77CA-FFF2-4C53-A4E4-A056170D03A2}"/>
    <cellStyle name="Normal 11 3 2 2 4 2 2 2 2 5 2" xfId="38305" xr:uid="{F7FBF7C7-568A-44F9-995A-CF8573ADAEFF}"/>
    <cellStyle name="Normal 11 3 2 2 4 2 2 2 2 6" xfId="38306" xr:uid="{7529E351-1803-4C86-A3F9-9CEA2D7FFADC}"/>
    <cellStyle name="Normal 11 3 2 2 4 2 2 2 3" xfId="38307" xr:uid="{E5A4BA90-8FC4-4C60-9145-EA6729F5F41B}"/>
    <cellStyle name="Normal 11 3 2 2 4 2 2 2 3 2" xfId="38308" xr:uid="{D1B7B760-811A-44E8-AA59-5FD2876ABE8A}"/>
    <cellStyle name="Normal 11 3 2 2 4 2 2 2 3 2 2" xfId="38309" xr:uid="{B8505FA1-A61A-4312-A1A0-4506E7804FC5}"/>
    <cellStyle name="Normal 11 3 2 2 4 2 2 2 3 2 2 2" xfId="38310" xr:uid="{2CAC5CB5-85EA-46E3-B7EC-A29FF7C63248}"/>
    <cellStyle name="Normal 11 3 2 2 4 2 2 2 3 2 2 2 2" xfId="38311" xr:uid="{060D5721-0AE3-4256-A455-41B2F8A8C07D}"/>
    <cellStyle name="Normal 11 3 2 2 4 2 2 2 3 2 2 3" xfId="38312" xr:uid="{1B3095E6-4043-4830-A034-CA240E018F22}"/>
    <cellStyle name="Normal 11 3 2 2 4 2 2 2 3 2 3" xfId="38313" xr:uid="{C20D7C77-4B49-44EF-AF75-D91DC7EE3028}"/>
    <cellStyle name="Normal 11 3 2 2 4 2 2 2 3 2 3 2" xfId="38314" xr:uid="{806187A1-A725-4F41-B17E-9F1FC9D1B83B}"/>
    <cellStyle name="Normal 11 3 2 2 4 2 2 2 3 2 4" xfId="38315" xr:uid="{323640A8-3230-458B-972C-EF7BE4723E4D}"/>
    <cellStyle name="Normal 11 3 2 2 4 2 2 2 3 3" xfId="38316" xr:uid="{76858E53-035B-4D1B-8FB3-B72D0B7A5A95}"/>
    <cellStyle name="Normal 11 3 2 2 4 2 2 2 3 3 2" xfId="38317" xr:uid="{138444E4-382E-4D1F-9F63-4FBCBAE00398}"/>
    <cellStyle name="Normal 11 3 2 2 4 2 2 2 3 3 2 2" xfId="38318" xr:uid="{06CCDACF-F9DE-48AF-AAAD-2205FFF34638}"/>
    <cellStyle name="Normal 11 3 2 2 4 2 2 2 3 3 3" xfId="38319" xr:uid="{985699D1-E915-4816-B2CE-D2D4CDB8CCF9}"/>
    <cellStyle name="Normal 11 3 2 2 4 2 2 2 3 4" xfId="38320" xr:uid="{6123DA5C-3E6C-40BB-A1D8-DA2DEF360EB5}"/>
    <cellStyle name="Normal 11 3 2 2 4 2 2 2 3 4 2" xfId="38321" xr:uid="{D3FEEA43-C108-462D-818D-079D6227B329}"/>
    <cellStyle name="Normal 11 3 2 2 4 2 2 2 3 5" xfId="38322" xr:uid="{4E762907-B3E2-47D9-9C1A-321561624E19}"/>
    <cellStyle name="Normal 11 3 2 2 4 2 2 2 4" xfId="38323" xr:uid="{5143AE4D-1C09-4193-A300-7CC99F0BE0FF}"/>
    <cellStyle name="Normal 11 3 2 2 4 2 2 2 4 2" xfId="38324" xr:uid="{F38D4F65-5660-49A8-8FB2-6F942D5D5056}"/>
    <cellStyle name="Normal 11 3 2 2 4 2 2 2 4 2 2" xfId="38325" xr:uid="{52652D66-711E-420F-BA41-5CA7B5FF80FE}"/>
    <cellStyle name="Normal 11 3 2 2 4 2 2 2 4 2 2 2" xfId="38326" xr:uid="{AAD20AA3-AF9D-4CE1-8C45-FD8E9E860CFC}"/>
    <cellStyle name="Normal 11 3 2 2 4 2 2 2 4 2 3" xfId="38327" xr:uid="{1ACEA6A9-AA71-480F-96DB-0DFF9CC1FFE1}"/>
    <cellStyle name="Normal 11 3 2 2 4 2 2 2 4 3" xfId="38328" xr:uid="{94B3C04A-ED72-4B4A-A882-F37A5724ADCC}"/>
    <cellStyle name="Normal 11 3 2 2 4 2 2 2 4 3 2" xfId="38329" xr:uid="{7056E402-E8B3-4222-AD6D-EB862B08DB76}"/>
    <cellStyle name="Normal 11 3 2 2 4 2 2 2 4 4" xfId="38330" xr:uid="{931D81B0-A475-4EF4-BDC5-FF0D8D986CBD}"/>
    <cellStyle name="Normal 11 3 2 2 4 2 2 2 5" xfId="38331" xr:uid="{CE3DB859-99C8-4D4F-B1D4-A0E112737178}"/>
    <cellStyle name="Normal 11 3 2 2 4 2 2 2 5 2" xfId="38332" xr:uid="{5AAE9F4D-FCD6-43C2-9FB8-50119AD04AC2}"/>
    <cellStyle name="Normal 11 3 2 2 4 2 2 2 5 2 2" xfId="38333" xr:uid="{31F901A2-544A-40F1-BD16-22E54063A6F0}"/>
    <cellStyle name="Normal 11 3 2 2 4 2 2 2 5 3" xfId="38334" xr:uid="{3A2ACF9E-54EE-4EEF-BEB5-434912D4F2DA}"/>
    <cellStyle name="Normal 11 3 2 2 4 2 2 2 6" xfId="38335" xr:uid="{33BF321F-E94B-47F0-8D23-424E56584413}"/>
    <cellStyle name="Normal 11 3 2 2 4 2 2 2 6 2" xfId="38336" xr:uid="{47224871-860F-40C9-9F28-A8F9A4669B93}"/>
    <cellStyle name="Normal 11 3 2 2 4 2 2 2 7" xfId="38337" xr:uid="{25445197-E406-462A-A2F5-B1A0AE2E8185}"/>
    <cellStyle name="Normal 11 3 2 2 4 2 2 3" xfId="38338" xr:uid="{FC90910A-3235-49C4-91F0-79A20B77CC31}"/>
    <cellStyle name="Normal 11 3 2 2 4 2 2 3 2" xfId="38339" xr:uid="{9D76F283-1DAF-4228-9799-AE63F414F7FF}"/>
    <cellStyle name="Normal 11 3 2 2 4 2 2 3 2 2" xfId="38340" xr:uid="{191AB70D-B0B7-4827-A453-E9C54030ECF3}"/>
    <cellStyle name="Normal 11 3 2 2 4 2 2 3 2 2 2" xfId="38341" xr:uid="{8F32091D-B836-4108-BE5A-1ADFFA7D0CD2}"/>
    <cellStyle name="Normal 11 3 2 2 4 2 2 3 2 2 2 2" xfId="38342" xr:uid="{1D910051-9FEF-4C9F-BB45-3673C2C12D8F}"/>
    <cellStyle name="Normal 11 3 2 2 4 2 2 3 2 2 2 2 2" xfId="38343" xr:uid="{6576A4E0-4550-4916-A7C8-DD83907D78DF}"/>
    <cellStyle name="Normal 11 3 2 2 4 2 2 3 2 2 2 3" xfId="38344" xr:uid="{03695A4B-BA96-47A7-BA8A-EE4CC63621F5}"/>
    <cellStyle name="Normal 11 3 2 2 4 2 2 3 2 2 3" xfId="38345" xr:uid="{E5F39F2B-0DBE-4339-8AAC-320F710D6D95}"/>
    <cellStyle name="Normal 11 3 2 2 4 2 2 3 2 2 3 2" xfId="38346" xr:uid="{123A97C0-B493-4C57-B880-C9F68F345E40}"/>
    <cellStyle name="Normal 11 3 2 2 4 2 2 3 2 2 4" xfId="38347" xr:uid="{E4F57EA6-9E35-49F6-AFA5-BF0C6D47F9FF}"/>
    <cellStyle name="Normal 11 3 2 2 4 2 2 3 2 3" xfId="38348" xr:uid="{6892F117-B4E1-4D9D-9068-7099D85B50BD}"/>
    <cellStyle name="Normal 11 3 2 2 4 2 2 3 2 3 2" xfId="38349" xr:uid="{22D9581B-B728-4473-A129-417199F7CD57}"/>
    <cellStyle name="Normal 11 3 2 2 4 2 2 3 2 3 2 2" xfId="38350" xr:uid="{E7BBF3E3-C9BA-4DE1-9CC6-2C11C5EEAE9D}"/>
    <cellStyle name="Normal 11 3 2 2 4 2 2 3 2 3 3" xfId="38351" xr:uid="{16ED94CD-77C7-494C-8B66-669E2D3600B0}"/>
    <cellStyle name="Normal 11 3 2 2 4 2 2 3 2 4" xfId="38352" xr:uid="{B30DFC36-8640-434E-88DA-E360804F612D}"/>
    <cellStyle name="Normal 11 3 2 2 4 2 2 3 2 4 2" xfId="38353" xr:uid="{18477215-D7FE-44DF-ADAC-C7369505072D}"/>
    <cellStyle name="Normal 11 3 2 2 4 2 2 3 2 5" xfId="38354" xr:uid="{3A5D58DA-CA33-4F1A-8650-3FDF94F4466D}"/>
    <cellStyle name="Normal 11 3 2 2 4 2 2 3 3" xfId="38355" xr:uid="{678B78C9-5E13-4987-8C37-1F7EEFAB2124}"/>
    <cellStyle name="Normal 11 3 2 2 4 2 2 3 3 2" xfId="38356" xr:uid="{107013B2-04E5-4FCD-B55C-DB0DE6C18D45}"/>
    <cellStyle name="Normal 11 3 2 2 4 2 2 3 3 2 2" xfId="38357" xr:uid="{B7496729-73D4-4CCC-8358-B51C2E6485AF}"/>
    <cellStyle name="Normal 11 3 2 2 4 2 2 3 3 2 2 2" xfId="38358" xr:uid="{BEC9C0A2-6D89-42FF-A3B8-5B8C9E601497}"/>
    <cellStyle name="Normal 11 3 2 2 4 2 2 3 3 2 3" xfId="38359" xr:uid="{A2EF47F7-6A5F-4FA2-B42F-CF4CDF78FA29}"/>
    <cellStyle name="Normal 11 3 2 2 4 2 2 3 3 3" xfId="38360" xr:uid="{6FF13C41-A8C4-4342-B81D-87B6AA9AED2B}"/>
    <cellStyle name="Normal 11 3 2 2 4 2 2 3 3 3 2" xfId="38361" xr:uid="{154A7AD9-A4DB-467A-91B0-F59C545B9B93}"/>
    <cellStyle name="Normal 11 3 2 2 4 2 2 3 3 4" xfId="38362" xr:uid="{11710096-2A49-4413-8D91-6B1FFCD1CF9A}"/>
    <cellStyle name="Normal 11 3 2 2 4 2 2 3 4" xfId="38363" xr:uid="{E4DAB2B7-750B-4BCF-B01E-57FD04D87DCD}"/>
    <cellStyle name="Normal 11 3 2 2 4 2 2 3 4 2" xfId="38364" xr:uid="{7EAA325C-A5DB-4D55-9382-AFF18E6ECA8D}"/>
    <cellStyle name="Normal 11 3 2 2 4 2 2 3 4 2 2" xfId="38365" xr:uid="{61596ED6-DB1A-4D7F-9715-C9154F972862}"/>
    <cellStyle name="Normal 11 3 2 2 4 2 2 3 4 3" xfId="38366" xr:uid="{84A3A2F9-A0AF-406D-AA14-3F3AC37B8609}"/>
    <cellStyle name="Normal 11 3 2 2 4 2 2 3 5" xfId="38367" xr:uid="{90EFE023-BAB9-4439-84C5-60153669AAEC}"/>
    <cellStyle name="Normal 11 3 2 2 4 2 2 3 5 2" xfId="38368" xr:uid="{1E505060-3915-492D-A50A-4FD4F78A80DE}"/>
    <cellStyle name="Normal 11 3 2 2 4 2 2 3 6" xfId="38369" xr:uid="{F06D127D-B4D4-4452-9F81-7EFD4A9D07A5}"/>
    <cellStyle name="Normal 11 3 2 2 4 2 2 4" xfId="38370" xr:uid="{F474FB54-644B-422A-9E77-92051BFD5CAA}"/>
    <cellStyle name="Normal 11 3 2 2 4 2 2 4 2" xfId="38371" xr:uid="{739CC9C4-6021-4B6F-AB8D-0E3935BEBE90}"/>
    <cellStyle name="Normal 11 3 2 2 4 2 2 4 2 2" xfId="38372" xr:uid="{F878ABBC-A938-41F7-B4D3-13473EFA2CCF}"/>
    <cellStyle name="Normal 11 3 2 2 4 2 2 4 2 2 2" xfId="38373" xr:uid="{D1CE30AE-0200-4BFD-9142-786A84CEF112}"/>
    <cellStyle name="Normal 11 3 2 2 4 2 2 4 2 2 2 2" xfId="38374" xr:uid="{8958A7F3-817A-4F4F-B703-6545F69DD0BB}"/>
    <cellStyle name="Normal 11 3 2 2 4 2 2 4 2 2 3" xfId="38375" xr:uid="{55472834-F621-4D61-89B0-201609404492}"/>
    <cellStyle name="Normal 11 3 2 2 4 2 2 4 2 3" xfId="38376" xr:uid="{8217C0E5-08BF-44B1-BA4A-2741387CEE0F}"/>
    <cellStyle name="Normal 11 3 2 2 4 2 2 4 2 3 2" xfId="38377" xr:uid="{474D9987-DE6E-4C3A-B136-1F0FC6904B25}"/>
    <cellStyle name="Normal 11 3 2 2 4 2 2 4 2 4" xfId="38378" xr:uid="{68122127-AF4E-40A5-BBB2-8C57F8DAC429}"/>
    <cellStyle name="Normal 11 3 2 2 4 2 2 4 3" xfId="38379" xr:uid="{85D589C4-B79E-4E22-AE7B-07DDB0792ABD}"/>
    <cellStyle name="Normal 11 3 2 2 4 2 2 4 3 2" xfId="38380" xr:uid="{CB97410D-100C-44C2-9DD5-218CBF287020}"/>
    <cellStyle name="Normal 11 3 2 2 4 2 2 4 3 2 2" xfId="38381" xr:uid="{65C58E1E-E827-40DA-A994-2A4B609507E5}"/>
    <cellStyle name="Normal 11 3 2 2 4 2 2 4 3 3" xfId="38382" xr:uid="{617F2EE4-2CCC-4667-A689-F928BAB63304}"/>
    <cellStyle name="Normal 11 3 2 2 4 2 2 4 4" xfId="38383" xr:uid="{0220060E-3EAE-48A9-A568-7505B648CCEB}"/>
    <cellStyle name="Normal 11 3 2 2 4 2 2 4 4 2" xfId="38384" xr:uid="{FD3FDEE5-A0B3-44B5-90BE-46BE3F189332}"/>
    <cellStyle name="Normal 11 3 2 2 4 2 2 4 5" xfId="38385" xr:uid="{E85FC384-399E-433C-81E4-786D5DA22C76}"/>
    <cellStyle name="Normal 11 3 2 2 4 2 2 5" xfId="38386" xr:uid="{55E8777E-28D4-440F-AC6A-71AA45F158BC}"/>
    <cellStyle name="Normal 11 3 2 2 4 2 2 5 2" xfId="38387" xr:uid="{4972B284-E256-4676-B495-D0038B62F1DF}"/>
    <cellStyle name="Normal 11 3 2 2 4 2 2 5 2 2" xfId="38388" xr:uid="{F0DE7EE2-D5B2-4512-9F4B-3CDDAC21BC22}"/>
    <cellStyle name="Normal 11 3 2 2 4 2 2 5 2 2 2" xfId="38389" xr:uid="{4185726F-D400-4BB1-95F9-4199A4C53F6D}"/>
    <cellStyle name="Normal 11 3 2 2 4 2 2 5 2 3" xfId="38390" xr:uid="{19A76909-49C4-46C8-9ADD-45B15BE639B6}"/>
    <cellStyle name="Normal 11 3 2 2 4 2 2 5 3" xfId="38391" xr:uid="{358F7B85-BFB3-4855-B138-589231EFFFA7}"/>
    <cellStyle name="Normal 11 3 2 2 4 2 2 5 3 2" xfId="38392" xr:uid="{42309CB1-56AF-4ED7-A244-7BBB6863E142}"/>
    <cellStyle name="Normal 11 3 2 2 4 2 2 5 4" xfId="38393" xr:uid="{43990EBD-91B5-41B0-83CA-E99A7C396678}"/>
    <cellStyle name="Normal 11 3 2 2 4 2 2 6" xfId="38394" xr:uid="{92C41990-682A-4313-9A6A-4C1E4F3F71F3}"/>
    <cellStyle name="Normal 11 3 2 2 4 2 2 6 2" xfId="38395" xr:uid="{6652315D-0191-427B-A375-3CA8C33F6017}"/>
    <cellStyle name="Normal 11 3 2 2 4 2 2 6 2 2" xfId="38396" xr:uid="{4773148E-A6F5-4DAE-8A52-D0439DFC9B59}"/>
    <cellStyle name="Normal 11 3 2 2 4 2 2 6 3" xfId="38397" xr:uid="{A1DC8DCC-EBAD-4F15-80B9-4096EF384268}"/>
    <cellStyle name="Normal 11 3 2 2 4 2 2 7" xfId="38398" xr:uid="{FE76878E-D487-4F04-B19E-EBB2B1560556}"/>
    <cellStyle name="Normal 11 3 2 2 4 2 2 7 2" xfId="38399" xr:uid="{889753F4-AB90-4E89-A332-2DDF87452199}"/>
    <cellStyle name="Normal 11 3 2 2 4 2 2 8" xfId="38400" xr:uid="{C0E2DCB5-612D-4014-A85F-8F749151F4BB}"/>
    <cellStyle name="Normal 11 3 2 2 4 2 3" xfId="38401" xr:uid="{3EF4E426-613B-4DE9-884C-AB491687C042}"/>
    <cellStyle name="Normal 11 3 2 2 4 2 3 2" xfId="38402" xr:uid="{2BD6A43F-70AE-4B40-BD43-AD8C75E07FE2}"/>
    <cellStyle name="Normal 11 3 2 2 4 2 3 2 2" xfId="38403" xr:uid="{968D25D3-1831-4853-832A-A8AEA6C717D4}"/>
    <cellStyle name="Normal 11 3 2 2 4 2 3 2 2 2" xfId="38404" xr:uid="{EB03EC2A-ED96-4274-9C9C-A57344A3EEE2}"/>
    <cellStyle name="Normal 11 3 2 2 4 2 3 2 2 2 2" xfId="38405" xr:uid="{2A70E645-57A4-4B1A-8DE6-5858ABEA9A9F}"/>
    <cellStyle name="Normal 11 3 2 2 4 2 3 2 2 2 2 2" xfId="38406" xr:uid="{5627B6FC-C116-4FA9-8BD8-A870A2D7A9DF}"/>
    <cellStyle name="Normal 11 3 2 2 4 2 3 2 2 2 2 2 2" xfId="38407" xr:uid="{9FDCE371-B778-47AB-9F01-8E2F69881A5D}"/>
    <cellStyle name="Normal 11 3 2 2 4 2 3 2 2 2 2 3" xfId="38408" xr:uid="{73F7A164-0D51-4499-B973-90B5C8D7AFB2}"/>
    <cellStyle name="Normal 11 3 2 2 4 2 3 2 2 2 3" xfId="38409" xr:uid="{3EA34220-4B5E-409F-99F0-C060A52E1C31}"/>
    <cellStyle name="Normal 11 3 2 2 4 2 3 2 2 2 3 2" xfId="38410" xr:uid="{CED6FBCA-D680-4DD0-BEA5-D98972FBFC7F}"/>
    <cellStyle name="Normal 11 3 2 2 4 2 3 2 2 2 4" xfId="38411" xr:uid="{9D6FFC1A-9139-4B0C-BE35-436029D6A048}"/>
    <cellStyle name="Normal 11 3 2 2 4 2 3 2 2 3" xfId="38412" xr:uid="{26FD49C2-BE1A-4478-AE84-7343D6C0F642}"/>
    <cellStyle name="Normal 11 3 2 2 4 2 3 2 2 3 2" xfId="38413" xr:uid="{CF34A60E-2423-4EED-95F2-FA06F39FE9D6}"/>
    <cellStyle name="Normal 11 3 2 2 4 2 3 2 2 3 2 2" xfId="38414" xr:uid="{5FA57023-8787-46D5-8919-4417924DBA4A}"/>
    <cellStyle name="Normal 11 3 2 2 4 2 3 2 2 3 3" xfId="38415" xr:uid="{42C28387-36EC-438B-A6E7-05EEE4B07FA3}"/>
    <cellStyle name="Normal 11 3 2 2 4 2 3 2 2 4" xfId="38416" xr:uid="{B870742E-04A9-497F-A0CC-8B7F272E27BD}"/>
    <cellStyle name="Normal 11 3 2 2 4 2 3 2 2 4 2" xfId="38417" xr:uid="{23E2DB83-D622-4B0B-9F01-92144C09DDC6}"/>
    <cellStyle name="Normal 11 3 2 2 4 2 3 2 2 5" xfId="38418" xr:uid="{5B0BFFAD-9144-461C-9081-0FFB80513832}"/>
    <cellStyle name="Normal 11 3 2 2 4 2 3 2 3" xfId="38419" xr:uid="{71A35C04-134F-4FE3-82CD-D381B3C2864E}"/>
    <cellStyle name="Normal 11 3 2 2 4 2 3 2 3 2" xfId="38420" xr:uid="{0976497F-A4BB-4D17-B6A9-C09FADCAD623}"/>
    <cellStyle name="Normal 11 3 2 2 4 2 3 2 3 2 2" xfId="38421" xr:uid="{6779C8C3-A828-43CA-8261-05B4ECF8ABB8}"/>
    <cellStyle name="Normal 11 3 2 2 4 2 3 2 3 2 2 2" xfId="38422" xr:uid="{24EDFC6A-A39A-4D50-A9CF-2E3128098A54}"/>
    <cellStyle name="Normal 11 3 2 2 4 2 3 2 3 2 3" xfId="38423" xr:uid="{F9246107-B5D8-4EFA-A66D-41319531DDB2}"/>
    <cellStyle name="Normal 11 3 2 2 4 2 3 2 3 3" xfId="38424" xr:uid="{89C6C95E-9B91-4416-8938-5CCCDBA2FBA5}"/>
    <cellStyle name="Normal 11 3 2 2 4 2 3 2 3 3 2" xfId="38425" xr:uid="{680BB859-54EC-4E4F-8B2B-FF2B9866B61A}"/>
    <cellStyle name="Normal 11 3 2 2 4 2 3 2 3 4" xfId="38426" xr:uid="{46CBD727-3F67-49BD-9746-37B306980D78}"/>
    <cellStyle name="Normal 11 3 2 2 4 2 3 2 4" xfId="38427" xr:uid="{E51A92A2-4EB5-46EF-AF9A-4F00368F5ED5}"/>
    <cellStyle name="Normal 11 3 2 2 4 2 3 2 4 2" xfId="38428" xr:uid="{5F0A5EBC-B151-4300-9683-39E7F14E860E}"/>
    <cellStyle name="Normal 11 3 2 2 4 2 3 2 4 2 2" xfId="38429" xr:uid="{99A1A9E6-4138-49DB-A771-9C9E79E9ED9A}"/>
    <cellStyle name="Normal 11 3 2 2 4 2 3 2 4 3" xfId="38430" xr:uid="{B1A89326-D7C9-4097-8B17-4D321515E8ED}"/>
    <cellStyle name="Normal 11 3 2 2 4 2 3 2 5" xfId="38431" xr:uid="{04F8A69C-808D-42DD-B745-2EC604018B6A}"/>
    <cellStyle name="Normal 11 3 2 2 4 2 3 2 5 2" xfId="38432" xr:uid="{3B492A93-E66C-46E5-B4FB-9D76C584DBE6}"/>
    <cellStyle name="Normal 11 3 2 2 4 2 3 2 6" xfId="38433" xr:uid="{BC4A8251-41E4-465B-AB80-C605DB8AC632}"/>
    <cellStyle name="Normal 11 3 2 2 4 2 3 3" xfId="38434" xr:uid="{4F92BE30-4F11-4467-9277-7941377BC57C}"/>
    <cellStyle name="Normal 11 3 2 2 4 2 3 3 2" xfId="38435" xr:uid="{CC4ED101-10DE-4A28-8820-BC02F4F00982}"/>
    <cellStyle name="Normal 11 3 2 2 4 2 3 3 2 2" xfId="38436" xr:uid="{B7306D00-5D07-496D-8670-C590F5C9E7F9}"/>
    <cellStyle name="Normal 11 3 2 2 4 2 3 3 2 2 2" xfId="38437" xr:uid="{3E249C0E-4050-42C2-A0A0-689AEAA0156D}"/>
    <cellStyle name="Normal 11 3 2 2 4 2 3 3 2 2 2 2" xfId="38438" xr:uid="{E304959B-2D5E-46F6-BD62-E35B93D38288}"/>
    <cellStyle name="Normal 11 3 2 2 4 2 3 3 2 2 3" xfId="38439" xr:uid="{C2DDC2FE-AD3F-48A1-A10B-2AD6975D917B}"/>
    <cellStyle name="Normal 11 3 2 2 4 2 3 3 2 3" xfId="38440" xr:uid="{807EC211-1C04-42DD-B402-E3E132296B52}"/>
    <cellStyle name="Normal 11 3 2 2 4 2 3 3 2 3 2" xfId="38441" xr:uid="{824E0073-2DB2-4D89-8EE4-2FB457DBE15B}"/>
    <cellStyle name="Normal 11 3 2 2 4 2 3 3 2 4" xfId="38442" xr:uid="{2D189982-E472-4F7D-AA84-388295525904}"/>
    <cellStyle name="Normal 11 3 2 2 4 2 3 3 3" xfId="38443" xr:uid="{153D3DAF-B16C-40DA-8529-3C4E79FA362E}"/>
    <cellStyle name="Normal 11 3 2 2 4 2 3 3 3 2" xfId="38444" xr:uid="{B2AF0675-6DB5-40D1-B48D-612CB87B56BD}"/>
    <cellStyle name="Normal 11 3 2 2 4 2 3 3 3 2 2" xfId="38445" xr:uid="{29CA118D-7C1C-46C8-8B5B-4FA7E8E6B446}"/>
    <cellStyle name="Normal 11 3 2 2 4 2 3 3 3 3" xfId="38446" xr:uid="{98705685-78D5-411D-9074-9C3043E0521A}"/>
    <cellStyle name="Normal 11 3 2 2 4 2 3 3 4" xfId="38447" xr:uid="{CF95D82C-6AFD-4BA4-890E-4386D7AF6337}"/>
    <cellStyle name="Normal 11 3 2 2 4 2 3 3 4 2" xfId="38448" xr:uid="{C51E48CF-481C-4D4B-A221-633A4A9C66D7}"/>
    <cellStyle name="Normal 11 3 2 2 4 2 3 3 5" xfId="38449" xr:uid="{DB4017E4-65E6-4F94-A5C3-DE8C8025D39C}"/>
    <cellStyle name="Normal 11 3 2 2 4 2 3 4" xfId="38450" xr:uid="{4FA63E89-9E41-41A5-A889-2F045E3CDB1A}"/>
    <cellStyle name="Normal 11 3 2 2 4 2 3 4 2" xfId="38451" xr:uid="{844C6219-34B1-40EE-AB44-6DC36256FAEF}"/>
    <cellStyle name="Normal 11 3 2 2 4 2 3 4 2 2" xfId="38452" xr:uid="{09295B55-0E58-4DC6-A44B-DAA18A2161BE}"/>
    <cellStyle name="Normal 11 3 2 2 4 2 3 4 2 2 2" xfId="38453" xr:uid="{FD1B16D5-8335-41BB-B2BE-2D4B504A9F37}"/>
    <cellStyle name="Normal 11 3 2 2 4 2 3 4 2 3" xfId="38454" xr:uid="{CD465E97-B680-4449-BE4F-EC6A44CFCDBC}"/>
    <cellStyle name="Normal 11 3 2 2 4 2 3 4 3" xfId="38455" xr:uid="{3AA939FE-80F6-453A-A70A-66F562A664D0}"/>
    <cellStyle name="Normal 11 3 2 2 4 2 3 4 3 2" xfId="38456" xr:uid="{D8EEB32A-77CC-4120-8883-497B33070359}"/>
    <cellStyle name="Normal 11 3 2 2 4 2 3 4 4" xfId="38457" xr:uid="{815A9DA2-AC11-48F6-A441-B816384C257E}"/>
    <cellStyle name="Normal 11 3 2 2 4 2 3 5" xfId="38458" xr:uid="{032A6D33-566A-45FD-8521-78E9D9F529D5}"/>
    <cellStyle name="Normal 11 3 2 2 4 2 3 5 2" xfId="38459" xr:uid="{08AC6B69-3276-4A41-8E34-FA7A43D2A56F}"/>
    <cellStyle name="Normal 11 3 2 2 4 2 3 5 2 2" xfId="38460" xr:uid="{CED1CFBA-7742-4664-833A-9860ADE16F96}"/>
    <cellStyle name="Normal 11 3 2 2 4 2 3 5 3" xfId="38461" xr:uid="{23E8C371-8DB0-4BFA-A425-5D229C3AD9D9}"/>
    <cellStyle name="Normal 11 3 2 2 4 2 3 6" xfId="38462" xr:uid="{3B37B668-4E05-4E8C-BE74-CC8C109D7502}"/>
    <cellStyle name="Normal 11 3 2 2 4 2 3 6 2" xfId="38463" xr:uid="{BB016A65-AA8D-4D2E-896C-02C388B3E712}"/>
    <cellStyle name="Normal 11 3 2 2 4 2 3 7" xfId="38464" xr:uid="{7CE9F71E-926E-4BE4-AE70-0AED17AC5B49}"/>
    <cellStyle name="Normal 11 3 2 2 4 2 4" xfId="38465" xr:uid="{6A442DC8-687A-4E75-A516-CE11E638EA10}"/>
    <cellStyle name="Normal 11 3 2 2 4 2 4 2" xfId="38466" xr:uid="{0BAA5998-6E1C-4082-9BDA-7D8387DC8243}"/>
    <cellStyle name="Normal 11 3 2 2 4 2 4 2 2" xfId="38467" xr:uid="{B7F5D870-07B1-4146-A90D-A5BB0357ACC6}"/>
    <cellStyle name="Normal 11 3 2 2 4 2 4 2 2 2" xfId="38468" xr:uid="{126E3E1F-ABEB-4B77-B6CF-581E50E6CD7D}"/>
    <cellStyle name="Normal 11 3 2 2 4 2 4 2 2 2 2" xfId="38469" xr:uid="{76508C54-42EC-4633-91E9-1612BEABE86F}"/>
    <cellStyle name="Normal 11 3 2 2 4 2 4 2 2 2 2 2" xfId="38470" xr:uid="{CA666BCE-176C-41B8-B68E-D9754BEAEFE1}"/>
    <cellStyle name="Normal 11 3 2 2 4 2 4 2 2 2 3" xfId="38471" xr:uid="{A30ECBBC-201B-441D-9EC3-722C51992B74}"/>
    <cellStyle name="Normal 11 3 2 2 4 2 4 2 2 3" xfId="38472" xr:uid="{43B3E531-72FD-4181-A446-FF8597108778}"/>
    <cellStyle name="Normal 11 3 2 2 4 2 4 2 2 3 2" xfId="38473" xr:uid="{C09C7050-BFDA-4D75-B3CE-B8177A4F720C}"/>
    <cellStyle name="Normal 11 3 2 2 4 2 4 2 2 4" xfId="38474" xr:uid="{80395EFE-D3B3-4DDB-B37D-A3CA2DEAE3EA}"/>
    <cellStyle name="Normal 11 3 2 2 4 2 4 2 3" xfId="38475" xr:uid="{A3493CCC-E3A4-4A75-9A56-B410763DCCF6}"/>
    <cellStyle name="Normal 11 3 2 2 4 2 4 2 3 2" xfId="38476" xr:uid="{33627404-36F5-4CB2-83D9-9CA00D6A7342}"/>
    <cellStyle name="Normal 11 3 2 2 4 2 4 2 3 2 2" xfId="38477" xr:uid="{F0C9DDF0-DED3-4896-8F8D-D9BFE12B149B}"/>
    <cellStyle name="Normal 11 3 2 2 4 2 4 2 3 3" xfId="38478" xr:uid="{8720F3E8-9694-437D-8576-68A1B9C3DBB2}"/>
    <cellStyle name="Normal 11 3 2 2 4 2 4 2 4" xfId="38479" xr:uid="{1E9B197F-DF17-4191-8A2F-F2FF5A278402}"/>
    <cellStyle name="Normal 11 3 2 2 4 2 4 2 4 2" xfId="38480" xr:uid="{C5112B25-F26B-437B-AF15-431312EA4BB4}"/>
    <cellStyle name="Normal 11 3 2 2 4 2 4 2 5" xfId="38481" xr:uid="{841AEED7-37FE-4A79-9EF6-4A0982CBFD93}"/>
    <cellStyle name="Normal 11 3 2 2 4 2 4 3" xfId="38482" xr:uid="{A5DCE933-0317-4375-A50E-8AB5518E439D}"/>
    <cellStyle name="Normal 11 3 2 2 4 2 4 3 2" xfId="38483" xr:uid="{F1AF48E1-CC50-400C-90A8-28AC4CDD6811}"/>
    <cellStyle name="Normal 11 3 2 2 4 2 4 3 2 2" xfId="38484" xr:uid="{7D1CA5A1-60FB-4FE2-B933-A6E1F86478FE}"/>
    <cellStyle name="Normal 11 3 2 2 4 2 4 3 2 2 2" xfId="38485" xr:uid="{8EC45B04-3F58-4599-9893-1CCE4896E5EC}"/>
    <cellStyle name="Normal 11 3 2 2 4 2 4 3 2 3" xfId="38486" xr:uid="{60C7F39B-9FBA-4E2B-9CC7-E61D94D7AE42}"/>
    <cellStyle name="Normal 11 3 2 2 4 2 4 3 3" xfId="38487" xr:uid="{A006F52F-D0F5-4512-850F-FD99269805B2}"/>
    <cellStyle name="Normal 11 3 2 2 4 2 4 3 3 2" xfId="38488" xr:uid="{AEECB191-8440-458B-9729-CF4469B2E3C4}"/>
    <cellStyle name="Normal 11 3 2 2 4 2 4 3 4" xfId="38489" xr:uid="{7038AA31-BF80-47C3-8A53-652197BD5901}"/>
    <cellStyle name="Normal 11 3 2 2 4 2 4 4" xfId="38490" xr:uid="{0E63F4EE-A660-4485-B65D-7C71274A9F5C}"/>
    <cellStyle name="Normal 11 3 2 2 4 2 4 4 2" xfId="38491" xr:uid="{7B8C1AEE-5DE4-4308-B815-6F7D8909DCB8}"/>
    <cellStyle name="Normal 11 3 2 2 4 2 4 4 2 2" xfId="38492" xr:uid="{39123D80-FD50-40B1-B779-F62A59A9FBBF}"/>
    <cellStyle name="Normal 11 3 2 2 4 2 4 4 3" xfId="38493" xr:uid="{8E38EAF6-1F8C-4B0E-86EF-E3C707D1D049}"/>
    <cellStyle name="Normal 11 3 2 2 4 2 4 5" xfId="38494" xr:uid="{C7DAC305-EFB1-4D49-A007-941F8C066E18}"/>
    <cellStyle name="Normal 11 3 2 2 4 2 4 5 2" xfId="38495" xr:uid="{8CC63662-093F-4DFF-8217-96E842A351D3}"/>
    <cellStyle name="Normal 11 3 2 2 4 2 4 6" xfId="38496" xr:uid="{6551E8EF-1F51-4946-B85E-6D3B7604CAA4}"/>
    <cellStyle name="Normal 11 3 2 2 4 2 5" xfId="38497" xr:uid="{D9BFD0CC-BCD9-42C7-9FCA-FF65B7638AE6}"/>
    <cellStyle name="Normal 11 3 2 2 4 2 5 2" xfId="38498" xr:uid="{08E1040B-BB13-41EC-B1C9-37F695086DB5}"/>
    <cellStyle name="Normal 11 3 2 2 4 2 5 2 2" xfId="38499" xr:uid="{A7FBDB7C-6CB4-49DD-B0B7-A42B10831E2C}"/>
    <cellStyle name="Normal 11 3 2 2 4 2 5 2 2 2" xfId="38500" xr:uid="{3FDF1E10-3D4E-4593-B7C4-539D3E9C18F7}"/>
    <cellStyle name="Normal 11 3 2 2 4 2 5 2 2 2 2" xfId="38501" xr:uid="{ED909C82-954F-4491-85CA-7AD5332371BB}"/>
    <cellStyle name="Normal 11 3 2 2 4 2 5 2 2 3" xfId="38502" xr:uid="{BAA64224-CF4C-4249-9865-0E08BD0488D6}"/>
    <cellStyle name="Normal 11 3 2 2 4 2 5 2 3" xfId="38503" xr:uid="{993ED470-9D0C-460E-BE78-339C1DBB6CBB}"/>
    <cellStyle name="Normal 11 3 2 2 4 2 5 2 3 2" xfId="38504" xr:uid="{63E4EAA8-7EBC-475F-8E21-C947483A9586}"/>
    <cellStyle name="Normal 11 3 2 2 4 2 5 2 4" xfId="38505" xr:uid="{7B103811-CFB3-4894-9344-08C85A9038AD}"/>
    <cellStyle name="Normal 11 3 2 2 4 2 5 3" xfId="38506" xr:uid="{9AF2C4A0-521F-4200-B2FF-2D2C3AC71BAD}"/>
    <cellStyle name="Normal 11 3 2 2 4 2 5 3 2" xfId="38507" xr:uid="{5D126724-9D30-42F4-9306-7BDA57C7149B}"/>
    <cellStyle name="Normal 11 3 2 2 4 2 5 3 2 2" xfId="38508" xr:uid="{60F3DD75-E248-4A5B-AE9B-A6176D909517}"/>
    <cellStyle name="Normal 11 3 2 2 4 2 5 3 3" xfId="38509" xr:uid="{12B077BE-7607-46B3-A79A-DAED8BDC0198}"/>
    <cellStyle name="Normal 11 3 2 2 4 2 5 4" xfId="38510" xr:uid="{4EE583C3-A5AE-4792-A8B7-F015F2344159}"/>
    <cellStyle name="Normal 11 3 2 2 4 2 5 4 2" xfId="38511" xr:uid="{DB9642B9-F649-4A83-8C84-13B25315D54B}"/>
    <cellStyle name="Normal 11 3 2 2 4 2 5 5" xfId="38512" xr:uid="{CC6F5F47-3EED-4BB7-9751-F7F74D3B05E4}"/>
    <cellStyle name="Normal 11 3 2 2 4 2 6" xfId="38513" xr:uid="{D94BB099-8975-46CF-9120-1AF4A2360FC3}"/>
    <cellStyle name="Normal 11 3 2 2 4 2 6 2" xfId="38514" xr:uid="{6E69E769-B90E-4298-8758-955EF951D23A}"/>
    <cellStyle name="Normal 11 3 2 2 4 2 6 2 2" xfId="38515" xr:uid="{D1275980-6582-4AA0-BAE0-016472F06568}"/>
    <cellStyle name="Normal 11 3 2 2 4 2 6 2 2 2" xfId="38516" xr:uid="{DD3A1417-850A-43C9-AD03-38404EDF8B00}"/>
    <cellStyle name="Normal 11 3 2 2 4 2 6 2 3" xfId="38517" xr:uid="{AF114147-5EB0-4FCA-A6DB-FB1B922E0165}"/>
    <cellStyle name="Normal 11 3 2 2 4 2 6 3" xfId="38518" xr:uid="{AA71F104-6A79-43EB-93B5-6C97D88EBA03}"/>
    <cellStyle name="Normal 11 3 2 2 4 2 6 3 2" xfId="38519" xr:uid="{3C09441F-91CC-43B7-BFD8-C9D2773C99C3}"/>
    <cellStyle name="Normal 11 3 2 2 4 2 6 4" xfId="38520" xr:uid="{C3BF4737-828C-41C8-BE73-14054D8AA9C9}"/>
    <cellStyle name="Normal 11 3 2 2 4 2 7" xfId="38521" xr:uid="{325343D7-04E3-48DD-BBED-D26A8AA80F35}"/>
    <cellStyle name="Normal 11 3 2 2 4 2 7 2" xfId="38522" xr:uid="{9E2C9A6E-EB98-405C-8273-354FA2ACC169}"/>
    <cellStyle name="Normal 11 3 2 2 4 2 7 2 2" xfId="38523" xr:uid="{715E4F4E-9378-44EC-B30C-E26846D52AA4}"/>
    <cellStyle name="Normal 11 3 2 2 4 2 7 3" xfId="38524" xr:uid="{E4830E17-4767-4414-B440-EB45A9D7AE56}"/>
    <cellStyle name="Normal 11 3 2 2 4 2 8" xfId="38525" xr:uid="{22375E20-E444-40DB-92E1-5BC7219B1824}"/>
    <cellStyle name="Normal 11 3 2 2 4 2 8 2" xfId="38526" xr:uid="{BEA02466-E9D6-4983-B39E-61040270208D}"/>
    <cellStyle name="Normal 11 3 2 2 4 2 9" xfId="38527" xr:uid="{72979B73-691E-440B-AAE0-9EFA1D4288FC}"/>
    <cellStyle name="Normal 11 3 2 2 4 3" xfId="500" xr:uid="{CEFBFF9A-9CD9-4E54-88DA-7BCE59B773AA}"/>
    <cellStyle name="Normal 11 3 2 2 4 3 2" xfId="38529" xr:uid="{2A9A964E-D69B-4B23-863C-7130B042F61D}"/>
    <cellStyle name="Normal 11 3 2 2 4 3 2 2" xfId="38530" xr:uid="{FEF35AD3-6605-4E57-8AA4-8BDCA40D5B51}"/>
    <cellStyle name="Normal 11 3 2 2 4 3 2 2 2" xfId="38531" xr:uid="{6F07FC9C-0F92-4D2B-96CC-E0B0E761A950}"/>
    <cellStyle name="Normal 11 3 2 2 4 3 2 2 2 2" xfId="38532" xr:uid="{76EE0FC1-A2FD-403E-AA96-B76764DCA3B6}"/>
    <cellStyle name="Normal 11 3 2 2 4 3 2 2 2 2 2" xfId="38533" xr:uid="{D18CC7C1-E8C9-49DB-87D2-B49321A1E5A5}"/>
    <cellStyle name="Normal 11 3 2 2 4 3 2 2 2 2 2 2" xfId="38534" xr:uid="{59F6B52D-0B15-43D2-A2E4-22964DCAD435}"/>
    <cellStyle name="Normal 11 3 2 2 4 3 2 2 2 2 2 2 2" xfId="38535" xr:uid="{C6ABB4F5-88B5-4ACE-AD63-F3627BDF2318}"/>
    <cellStyle name="Normal 11 3 2 2 4 3 2 2 2 2 2 3" xfId="38536" xr:uid="{1BC76113-8D3B-48C7-AED6-F895819E1332}"/>
    <cellStyle name="Normal 11 3 2 2 4 3 2 2 2 2 3" xfId="38537" xr:uid="{3FE76C00-37F3-4FAC-9959-F2A750276D3F}"/>
    <cellStyle name="Normal 11 3 2 2 4 3 2 2 2 2 3 2" xfId="38538" xr:uid="{B18CFBDD-F65B-4A21-8680-14385C4FEBC4}"/>
    <cellStyle name="Normal 11 3 2 2 4 3 2 2 2 2 4" xfId="38539" xr:uid="{8D5EC166-98FE-4E09-B7A8-2DDC9847929D}"/>
    <cellStyle name="Normal 11 3 2 2 4 3 2 2 2 3" xfId="38540" xr:uid="{72ED836A-DE1B-4C8E-A2B2-35BCC2F41229}"/>
    <cellStyle name="Normal 11 3 2 2 4 3 2 2 2 3 2" xfId="38541" xr:uid="{669C5DD1-82B6-4072-A246-616089DD1454}"/>
    <cellStyle name="Normal 11 3 2 2 4 3 2 2 2 3 2 2" xfId="38542" xr:uid="{F93CB63D-C89D-4802-B1E1-9048B7746D94}"/>
    <cellStyle name="Normal 11 3 2 2 4 3 2 2 2 3 3" xfId="38543" xr:uid="{5BD27450-EA57-470A-8734-12539FCA6C47}"/>
    <cellStyle name="Normal 11 3 2 2 4 3 2 2 2 4" xfId="38544" xr:uid="{2CE34EFB-DE9C-463B-85CA-BB339AD2C71D}"/>
    <cellStyle name="Normal 11 3 2 2 4 3 2 2 2 4 2" xfId="38545" xr:uid="{CEECD29D-05B9-4386-9103-DEB3DAD05657}"/>
    <cellStyle name="Normal 11 3 2 2 4 3 2 2 2 5" xfId="38546" xr:uid="{1174FEE4-1989-41EF-8C6D-67D3357EDD13}"/>
    <cellStyle name="Normal 11 3 2 2 4 3 2 2 3" xfId="38547" xr:uid="{6929D49F-2905-4684-9CAC-6F89AEF69A87}"/>
    <cellStyle name="Normal 11 3 2 2 4 3 2 2 3 2" xfId="38548" xr:uid="{23E3B96E-A14A-4140-9CF5-AD1F066921EC}"/>
    <cellStyle name="Normal 11 3 2 2 4 3 2 2 3 2 2" xfId="38549" xr:uid="{D9E96678-0104-476E-BAB1-AF1A456AC9B1}"/>
    <cellStyle name="Normal 11 3 2 2 4 3 2 2 3 2 2 2" xfId="38550" xr:uid="{7C353D8B-A3C8-454C-BC10-7C2127676F63}"/>
    <cellStyle name="Normal 11 3 2 2 4 3 2 2 3 2 3" xfId="38551" xr:uid="{4925C3CC-8B0E-41DE-9834-F9C86E19B5CD}"/>
    <cellStyle name="Normal 11 3 2 2 4 3 2 2 3 3" xfId="38552" xr:uid="{B25BBA44-DA79-41CD-8851-F7F846614097}"/>
    <cellStyle name="Normal 11 3 2 2 4 3 2 2 3 3 2" xfId="38553" xr:uid="{D595365B-4BB8-4C30-B898-2AE391555E8A}"/>
    <cellStyle name="Normal 11 3 2 2 4 3 2 2 3 4" xfId="38554" xr:uid="{0D0595FE-6D92-48E2-B478-C0696D6D09CD}"/>
    <cellStyle name="Normal 11 3 2 2 4 3 2 2 4" xfId="38555" xr:uid="{391EA071-D070-43BB-B427-01A227641580}"/>
    <cellStyle name="Normal 11 3 2 2 4 3 2 2 4 2" xfId="38556" xr:uid="{C4F4C6D2-3C10-4993-ABCB-29E4319CC558}"/>
    <cellStyle name="Normal 11 3 2 2 4 3 2 2 4 2 2" xfId="38557" xr:uid="{E30AD7C3-E93D-41AC-A7E6-4A95A0234CAA}"/>
    <cellStyle name="Normal 11 3 2 2 4 3 2 2 4 3" xfId="38558" xr:uid="{CBD23709-1466-42DB-B27A-D7B1684255BB}"/>
    <cellStyle name="Normal 11 3 2 2 4 3 2 2 5" xfId="38559" xr:uid="{09622D45-A3B3-48FB-809D-9976716F64BC}"/>
    <cellStyle name="Normal 11 3 2 2 4 3 2 2 5 2" xfId="38560" xr:uid="{B42F08E4-1DDB-4AA2-8912-2BECC016DD6D}"/>
    <cellStyle name="Normal 11 3 2 2 4 3 2 2 6" xfId="38561" xr:uid="{70C31125-DFAE-4871-889C-98BCFC14FB4A}"/>
    <cellStyle name="Normal 11 3 2 2 4 3 2 3" xfId="38562" xr:uid="{8834F9A0-6F8A-4D7C-A37E-F4187A918EEE}"/>
    <cellStyle name="Normal 11 3 2 2 4 3 2 3 2" xfId="38563" xr:uid="{12706407-E0F9-4D75-AC6C-20270A421640}"/>
    <cellStyle name="Normal 11 3 2 2 4 3 2 3 2 2" xfId="38564" xr:uid="{8CFACBEF-08CB-4FF6-A212-D9D91B192B06}"/>
    <cellStyle name="Normal 11 3 2 2 4 3 2 3 2 2 2" xfId="38565" xr:uid="{DBE8FB68-6B18-4D39-8C71-1E879F1CF6C8}"/>
    <cellStyle name="Normal 11 3 2 2 4 3 2 3 2 2 2 2" xfId="38566" xr:uid="{092A7BFF-CD81-4E62-BA84-BCAF6B20B0C2}"/>
    <cellStyle name="Normal 11 3 2 2 4 3 2 3 2 2 3" xfId="38567" xr:uid="{767BEECB-9C06-4945-B3E0-38EF6D0D2D57}"/>
    <cellStyle name="Normal 11 3 2 2 4 3 2 3 2 3" xfId="38568" xr:uid="{2DDD9CE2-94D0-4E79-A271-20F89E13AFB1}"/>
    <cellStyle name="Normal 11 3 2 2 4 3 2 3 2 3 2" xfId="38569" xr:uid="{BC061F8C-0110-4B7A-96B9-619CECE209AB}"/>
    <cellStyle name="Normal 11 3 2 2 4 3 2 3 2 4" xfId="38570" xr:uid="{961A2609-C757-427C-AC5A-AB57E233CCB6}"/>
    <cellStyle name="Normal 11 3 2 2 4 3 2 3 3" xfId="38571" xr:uid="{837409DB-81CD-495A-ABA1-4F694F37C9FE}"/>
    <cellStyle name="Normal 11 3 2 2 4 3 2 3 3 2" xfId="38572" xr:uid="{FBB1A108-98C0-4A2C-9481-6826028174B9}"/>
    <cellStyle name="Normal 11 3 2 2 4 3 2 3 3 2 2" xfId="38573" xr:uid="{20F87098-EFEF-4113-A23C-41B676D4BD1A}"/>
    <cellStyle name="Normal 11 3 2 2 4 3 2 3 3 3" xfId="38574" xr:uid="{143D7559-34D4-4942-AE54-540070CD5DF4}"/>
    <cellStyle name="Normal 11 3 2 2 4 3 2 3 4" xfId="38575" xr:uid="{D707F64B-09BB-476C-872A-5C13E65FEF2F}"/>
    <cellStyle name="Normal 11 3 2 2 4 3 2 3 4 2" xfId="38576" xr:uid="{0299977A-6AEE-4B16-9234-9DC0A43E2229}"/>
    <cellStyle name="Normal 11 3 2 2 4 3 2 3 5" xfId="38577" xr:uid="{BD00D88A-FE70-4BCC-8725-33398C96025B}"/>
    <cellStyle name="Normal 11 3 2 2 4 3 2 4" xfId="38578" xr:uid="{5B795EFD-5D41-46A0-A65E-B90D06512694}"/>
    <cellStyle name="Normal 11 3 2 2 4 3 2 4 2" xfId="38579" xr:uid="{79F6CBB1-3C43-4CDE-950E-48F28B7DEB04}"/>
    <cellStyle name="Normal 11 3 2 2 4 3 2 4 2 2" xfId="38580" xr:uid="{2653CE07-4229-4093-9EA9-D0C3661E367C}"/>
    <cellStyle name="Normal 11 3 2 2 4 3 2 4 2 2 2" xfId="38581" xr:uid="{C4202BE7-E1BE-4B25-AD6C-1DD71E74B3DB}"/>
    <cellStyle name="Normal 11 3 2 2 4 3 2 4 2 3" xfId="38582" xr:uid="{ACF04C6B-780B-4FFB-9B5C-6D2B6F26437F}"/>
    <cellStyle name="Normal 11 3 2 2 4 3 2 4 3" xfId="38583" xr:uid="{20097DE1-A45C-4E48-9B4E-FFB3DF43022B}"/>
    <cellStyle name="Normal 11 3 2 2 4 3 2 4 3 2" xfId="38584" xr:uid="{C513E8AB-B385-4E6B-B2B7-65151976F398}"/>
    <cellStyle name="Normal 11 3 2 2 4 3 2 4 4" xfId="38585" xr:uid="{533193B6-9228-4685-87B5-577FF87F44C4}"/>
    <cellStyle name="Normal 11 3 2 2 4 3 2 5" xfId="38586" xr:uid="{C47F53DE-33E0-4715-86BF-43F195F9B631}"/>
    <cellStyle name="Normal 11 3 2 2 4 3 2 5 2" xfId="38587" xr:uid="{DC7FF69C-68C6-472F-9655-AF40ADD40FD0}"/>
    <cellStyle name="Normal 11 3 2 2 4 3 2 5 2 2" xfId="38588" xr:uid="{37E3A0B0-39EF-4012-88F2-EFB3DAC889AC}"/>
    <cellStyle name="Normal 11 3 2 2 4 3 2 5 3" xfId="38589" xr:uid="{934C8238-E38A-4F2C-8AD8-3CEC7468893F}"/>
    <cellStyle name="Normal 11 3 2 2 4 3 2 6" xfId="38590" xr:uid="{824BE7F1-F968-456C-80B9-A06E0C239BC0}"/>
    <cellStyle name="Normal 11 3 2 2 4 3 2 6 2" xfId="38591" xr:uid="{DCA352B7-2C07-416D-B9FA-7A63666B1A83}"/>
    <cellStyle name="Normal 11 3 2 2 4 3 2 7" xfId="38592" xr:uid="{316FF015-7C46-4498-9F34-2623A0E49A9E}"/>
    <cellStyle name="Normal 11 3 2 2 4 3 3" xfId="38593" xr:uid="{30C91E39-530E-47AE-8601-F3873F000BB5}"/>
    <cellStyle name="Normal 11 3 2 2 4 3 3 2" xfId="38594" xr:uid="{ECAFE1E7-1939-4F89-B75E-2EF345BF8E8D}"/>
    <cellStyle name="Normal 11 3 2 2 4 3 3 2 2" xfId="38595" xr:uid="{FE14F74C-853A-4B81-9BB9-51ED8F3EBC14}"/>
    <cellStyle name="Normal 11 3 2 2 4 3 3 2 2 2" xfId="38596" xr:uid="{5A125F7F-E97B-4B9B-9899-78842DED80C4}"/>
    <cellStyle name="Normal 11 3 2 2 4 3 3 2 2 2 2" xfId="38597" xr:uid="{BB305AE2-0248-4355-AB0E-79AA10140D83}"/>
    <cellStyle name="Normal 11 3 2 2 4 3 3 2 2 2 2 2" xfId="38598" xr:uid="{30398A90-BAD2-45D2-A73E-0530409BDFA7}"/>
    <cellStyle name="Normal 11 3 2 2 4 3 3 2 2 2 3" xfId="38599" xr:uid="{EFEFFDCC-2929-40F0-82E8-546B02F52885}"/>
    <cellStyle name="Normal 11 3 2 2 4 3 3 2 2 3" xfId="38600" xr:uid="{75CF068F-518A-48FF-B7B8-81F11FCDCDD5}"/>
    <cellStyle name="Normal 11 3 2 2 4 3 3 2 2 3 2" xfId="38601" xr:uid="{B096D9D1-B768-4E3A-8C37-EEF0A2E7B4FB}"/>
    <cellStyle name="Normal 11 3 2 2 4 3 3 2 2 4" xfId="38602" xr:uid="{CD7DD72A-FAC1-4182-9A73-9C37DECB7ED5}"/>
    <cellStyle name="Normal 11 3 2 2 4 3 3 2 3" xfId="38603" xr:uid="{287DA2EB-FE45-4DE8-83B4-A499E4B447B1}"/>
    <cellStyle name="Normal 11 3 2 2 4 3 3 2 3 2" xfId="38604" xr:uid="{276F740F-0009-4F23-B796-F2B56304B9BD}"/>
    <cellStyle name="Normal 11 3 2 2 4 3 3 2 3 2 2" xfId="38605" xr:uid="{FB27116A-97D3-4E5C-B823-0F967739433B}"/>
    <cellStyle name="Normal 11 3 2 2 4 3 3 2 3 3" xfId="38606" xr:uid="{DD60C4E8-0C5D-4F98-9B98-5228EBE87E8D}"/>
    <cellStyle name="Normal 11 3 2 2 4 3 3 2 4" xfId="38607" xr:uid="{B4C88BB4-0BEA-4094-A586-318C13CD8E58}"/>
    <cellStyle name="Normal 11 3 2 2 4 3 3 2 4 2" xfId="38608" xr:uid="{29460409-5E28-4C5E-8C51-27BADA7FB714}"/>
    <cellStyle name="Normal 11 3 2 2 4 3 3 2 5" xfId="38609" xr:uid="{1AB70909-9A42-4AB0-B72D-D044FFA3F9AE}"/>
    <cellStyle name="Normal 11 3 2 2 4 3 3 3" xfId="38610" xr:uid="{0C262710-1F9A-432A-9787-7C07E4BED534}"/>
    <cellStyle name="Normal 11 3 2 2 4 3 3 3 2" xfId="38611" xr:uid="{D57DDD62-0761-4634-9009-5C891C826083}"/>
    <cellStyle name="Normal 11 3 2 2 4 3 3 3 2 2" xfId="38612" xr:uid="{5C097BD5-C303-4DD7-99F9-2704AF46FB86}"/>
    <cellStyle name="Normal 11 3 2 2 4 3 3 3 2 2 2" xfId="38613" xr:uid="{044EC30F-F4EE-45D1-8909-0E6CC84CA6F1}"/>
    <cellStyle name="Normal 11 3 2 2 4 3 3 3 2 3" xfId="38614" xr:uid="{8AFCD057-1DC4-4208-914F-EAEFE208A563}"/>
    <cellStyle name="Normal 11 3 2 2 4 3 3 3 3" xfId="38615" xr:uid="{924E4B18-F7F4-4120-8466-4BD75F6838FA}"/>
    <cellStyle name="Normal 11 3 2 2 4 3 3 3 3 2" xfId="38616" xr:uid="{0BC740FC-776D-4214-8BDF-0FDB05509D6E}"/>
    <cellStyle name="Normal 11 3 2 2 4 3 3 3 4" xfId="38617" xr:uid="{5D1485BF-8CCA-44BA-8E2A-03C6D7EC72AD}"/>
    <cellStyle name="Normal 11 3 2 2 4 3 3 4" xfId="38618" xr:uid="{0613C972-A7ED-4379-98A4-D7B91707C22B}"/>
    <cellStyle name="Normal 11 3 2 2 4 3 3 4 2" xfId="38619" xr:uid="{0B4F64CF-2D5C-45AD-B44E-EF2179D69B62}"/>
    <cellStyle name="Normal 11 3 2 2 4 3 3 4 2 2" xfId="38620" xr:uid="{A0CA4FB6-7D85-48FC-8E74-02EFE0664CF6}"/>
    <cellStyle name="Normal 11 3 2 2 4 3 3 4 3" xfId="38621" xr:uid="{52C2415A-4DB3-449F-A738-E0EFE7162434}"/>
    <cellStyle name="Normal 11 3 2 2 4 3 3 5" xfId="38622" xr:uid="{D04ABFA5-F0F2-4735-B108-C279CC6E5176}"/>
    <cellStyle name="Normal 11 3 2 2 4 3 3 5 2" xfId="38623" xr:uid="{B51E065F-22BB-433F-B2C0-C05E7566BAF9}"/>
    <cellStyle name="Normal 11 3 2 2 4 3 3 6" xfId="38624" xr:uid="{2A10B96E-3603-4994-A35F-F7FD50BA3A03}"/>
    <cellStyle name="Normal 11 3 2 2 4 3 4" xfId="38625" xr:uid="{CFA476C4-08AA-4D84-9DA6-EE894EEE0A31}"/>
    <cellStyle name="Normal 11 3 2 2 4 3 4 2" xfId="38626" xr:uid="{E938B781-73F8-4A12-BB40-96EC61948EE5}"/>
    <cellStyle name="Normal 11 3 2 2 4 3 4 2 2" xfId="38627" xr:uid="{92DC5417-D46F-4DB1-8F17-9036B55FBE8E}"/>
    <cellStyle name="Normal 11 3 2 2 4 3 4 2 2 2" xfId="38628" xr:uid="{8E90F979-4E3A-46F7-8AB0-763188A2DD2F}"/>
    <cellStyle name="Normal 11 3 2 2 4 3 4 2 2 2 2" xfId="38629" xr:uid="{064EA65F-E265-41AF-AE8D-D16D1B3D220D}"/>
    <cellStyle name="Normal 11 3 2 2 4 3 4 2 2 3" xfId="38630" xr:uid="{7DC9A511-D785-439F-B8B5-8D1CBDF8D442}"/>
    <cellStyle name="Normal 11 3 2 2 4 3 4 2 3" xfId="38631" xr:uid="{C86A1E5F-608E-4720-9274-A0009238DD56}"/>
    <cellStyle name="Normal 11 3 2 2 4 3 4 2 3 2" xfId="38632" xr:uid="{601399B0-EA36-4B16-B446-54A7BDD067A1}"/>
    <cellStyle name="Normal 11 3 2 2 4 3 4 2 4" xfId="38633" xr:uid="{62B3B05F-3F50-437C-BCCC-8D119152AF05}"/>
    <cellStyle name="Normal 11 3 2 2 4 3 4 3" xfId="38634" xr:uid="{CC8AAC96-60AA-4CD9-8F75-E0B1C132F263}"/>
    <cellStyle name="Normal 11 3 2 2 4 3 4 3 2" xfId="38635" xr:uid="{E512A4A6-5056-4F67-90FA-C8806729AC68}"/>
    <cellStyle name="Normal 11 3 2 2 4 3 4 3 2 2" xfId="38636" xr:uid="{4E87BF30-6C5C-4634-921B-1CAEA055F3FC}"/>
    <cellStyle name="Normal 11 3 2 2 4 3 4 3 3" xfId="38637" xr:uid="{DEEBAC77-6D65-4FD8-8C1F-4E8CCEE7068A}"/>
    <cellStyle name="Normal 11 3 2 2 4 3 4 4" xfId="38638" xr:uid="{41E9D1AE-B693-493A-8E52-1B50BF55313E}"/>
    <cellStyle name="Normal 11 3 2 2 4 3 4 4 2" xfId="38639" xr:uid="{6AAF32E5-48AB-49EE-A26E-87F5B756D37B}"/>
    <cellStyle name="Normal 11 3 2 2 4 3 4 5" xfId="38640" xr:uid="{3CE93042-F898-43E1-928C-FE384D5A374D}"/>
    <cellStyle name="Normal 11 3 2 2 4 3 5" xfId="38641" xr:uid="{7E6BEBE0-F677-4829-8BE9-74CE99D2DB91}"/>
    <cellStyle name="Normal 11 3 2 2 4 3 5 2" xfId="38642" xr:uid="{00B09367-CFB9-4AC3-B0A9-DFB22AC4E80E}"/>
    <cellStyle name="Normal 11 3 2 2 4 3 5 2 2" xfId="38643" xr:uid="{BA758F84-E426-45DA-88C1-8426603520C4}"/>
    <cellStyle name="Normal 11 3 2 2 4 3 5 2 2 2" xfId="38644" xr:uid="{BC8D9F32-CF2F-422F-88FA-0E7BE423ED85}"/>
    <cellStyle name="Normal 11 3 2 2 4 3 5 2 3" xfId="38645" xr:uid="{FAFFCE65-1B39-459B-8E54-41303EF12608}"/>
    <cellStyle name="Normal 11 3 2 2 4 3 5 3" xfId="38646" xr:uid="{A27B83C6-F952-4E9C-BEAF-2CE0F10F696B}"/>
    <cellStyle name="Normal 11 3 2 2 4 3 5 3 2" xfId="38647" xr:uid="{691C93D7-65A9-4ADB-B5E0-B6C25156A436}"/>
    <cellStyle name="Normal 11 3 2 2 4 3 5 4" xfId="38648" xr:uid="{7263D113-B6E9-40C6-9783-642087EC1942}"/>
    <cellStyle name="Normal 11 3 2 2 4 3 6" xfId="38649" xr:uid="{1F495B49-021F-4476-8D20-AC37B86E4B75}"/>
    <cellStyle name="Normal 11 3 2 2 4 3 6 2" xfId="38650" xr:uid="{711A4BDA-7D37-4D86-AEA4-2B8290DA9456}"/>
    <cellStyle name="Normal 11 3 2 2 4 3 6 2 2" xfId="38651" xr:uid="{CC0F353D-D647-47E2-9CDA-10BC8CB3BA4A}"/>
    <cellStyle name="Normal 11 3 2 2 4 3 6 3" xfId="38652" xr:uid="{E0917C25-CF95-4D2C-9CE1-B701958BAE72}"/>
    <cellStyle name="Normal 11 3 2 2 4 3 7" xfId="38653" xr:uid="{CA9AFB39-971B-485F-AB52-243E6E00CB37}"/>
    <cellStyle name="Normal 11 3 2 2 4 3 7 2" xfId="38654" xr:uid="{A2890F7F-103A-4A9A-85F3-A3D4F3DA69D2}"/>
    <cellStyle name="Normal 11 3 2 2 4 3 8" xfId="38655" xr:uid="{B09C28CB-2D4E-4D5C-A65A-DEF912328768}"/>
    <cellStyle name="Normal 11 3 2 2 4 3 9" xfId="38528" xr:uid="{23EC75BC-B7E2-4EBE-B045-6B9AE65136EA}"/>
    <cellStyle name="Normal 11 3 2 2 4 4" xfId="38656" xr:uid="{B41E854F-0536-4EC6-A8AB-E862F5D98185}"/>
    <cellStyle name="Normal 11 3 2 2 4 4 2" xfId="38657" xr:uid="{4A9F242D-2EA7-4392-81D9-DCB31D52FCB0}"/>
    <cellStyle name="Normal 11 3 2 2 4 4 2 2" xfId="38658" xr:uid="{5DD9FA9A-FDCD-4B4E-9570-5B0A38C32991}"/>
    <cellStyle name="Normal 11 3 2 2 4 4 2 2 2" xfId="38659" xr:uid="{D80C4798-9550-429A-BA42-A9EE44F6B2FF}"/>
    <cellStyle name="Normal 11 3 2 2 4 4 2 2 2 2" xfId="38660" xr:uid="{493A70CB-59D3-4D76-B480-16CD908A9B3B}"/>
    <cellStyle name="Normal 11 3 2 2 4 4 2 2 2 2 2" xfId="38661" xr:uid="{557FDC0A-B0C1-4117-B12A-C88747E5597E}"/>
    <cellStyle name="Normal 11 3 2 2 4 4 2 2 2 2 2 2" xfId="38662" xr:uid="{78FB872C-9F00-4342-B31B-B083431AB516}"/>
    <cellStyle name="Normal 11 3 2 2 4 4 2 2 2 2 3" xfId="38663" xr:uid="{AEE7927E-B8A7-48B2-B044-95E819749301}"/>
    <cellStyle name="Normal 11 3 2 2 4 4 2 2 2 3" xfId="38664" xr:uid="{85A1BCBE-1A95-449D-AD00-8A1090B611AF}"/>
    <cellStyle name="Normal 11 3 2 2 4 4 2 2 2 3 2" xfId="38665" xr:uid="{18CCB97C-BE41-46C5-8F18-70151C7FDA84}"/>
    <cellStyle name="Normal 11 3 2 2 4 4 2 2 2 4" xfId="38666" xr:uid="{A6DC6B88-FF9E-40EC-8B6A-7C9ACBE54602}"/>
    <cellStyle name="Normal 11 3 2 2 4 4 2 2 3" xfId="38667" xr:uid="{3C87CE5C-6F18-48EA-B8DE-6EAD691FEB67}"/>
    <cellStyle name="Normal 11 3 2 2 4 4 2 2 3 2" xfId="38668" xr:uid="{DB019A35-0A19-4391-B86D-E269EE6801A9}"/>
    <cellStyle name="Normal 11 3 2 2 4 4 2 2 3 2 2" xfId="38669" xr:uid="{6CF52FAC-8B30-486A-BCD9-348F42E65542}"/>
    <cellStyle name="Normal 11 3 2 2 4 4 2 2 3 3" xfId="38670" xr:uid="{F31714C7-6451-461C-A3B9-697A1956F85A}"/>
    <cellStyle name="Normal 11 3 2 2 4 4 2 2 4" xfId="38671" xr:uid="{E657DD3E-2046-453D-9378-4F0DC3DAA4C6}"/>
    <cellStyle name="Normal 11 3 2 2 4 4 2 2 4 2" xfId="38672" xr:uid="{4D79DBD4-2F74-420E-B292-172F0E243280}"/>
    <cellStyle name="Normal 11 3 2 2 4 4 2 2 5" xfId="38673" xr:uid="{8DE3CE58-3A79-4B88-81F4-B375C580FA98}"/>
    <cellStyle name="Normal 11 3 2 2 4 4 2 3" xfId="38674" xr:uid="{6ECB1693-2669-4486-93F2-461AA4D80615}"/>
    <cellStyle name="Normal 11 3 2 2 4 4 2 3 2" xfId="38675" xr:uid="{08DF0EA2-D153-4BD1-B9DE-7D9CC626B189}"/>
    <cellStyle name="Normal 11 3 2 2 4 4 2 3 2 2" xfId="38676" xr:uid="{3B5AD039-C044-4CC4-AB63-37702C67635B}"/>
    <cellStyle name="Normal 11 3 2 2 4 4 2 3 2 2 2" xfId="38677" xr:uid="{6422E67B-23FF-4C6B-B4CB-8E7982852B42}"/>
    <cellStyle name="Normal 11 3 2 2 4 4 2 3 2 3" xfId="38678" xr:uid="{8F4EE63E-24AF-4290-9C54-E792676DD8A1}"/>
    <cellStyle name="Normal 11 3 2 2 4 4 2 3 3" xfId="38679" xr:uid="{03B2BAC4-FF99-4ACC-A188-C10B99228F0F}"/>
    <cellStyle name="Normal 11 3 2 2 4 4 2 3 3 2" xfId="38680" xr:uid="{A646CCD6-3ACF-4632-822A-9F020E65E4F3}"/>
    <cellStyle name="Normal 11 3 2 2 4 4 2 3 4" xfId="38681" xr:uid="{F7DAA0CB-5BF0-4B83-A050-A0B0BEDA59BF}"/>
    <cellStyle name="Normal 11 3 2 2 4 4 2 4" xfId="38682" xr:uid="{C371AA22-2153-4C64-BC25-0A35FC2E21E1}"/>
    <cellStyle name="Normal 11 3 2 2 4 4 2 4 2" xfId="38683" xr:uid="{EBAEAA09-BC1E-4107-86CB-4C81F3EA9AC1}"/>
    <cellStyle name="Normal 11 3 2 2 4 4 2 4 2 2" xfId="38684" xr:uid="{2EE891B1-5F91-4BF3-8BF2-A1185DD31A76}"/>
    <cellStyle name="Normal 11 3 2 2 4 4 2 4 3" xfId="38685" xr:uid="{B5623FF8-DCA3-4AD3-812C-00ECBE0B8017}"/>
    <cellStyle name="Normal 11 3 2 2 4 4 2 5" xfId="38686" xr:uid="{3616515C-EFC2-4217-820F-97965A5AA2AD}"/>
    <cellStyle name="Normal 11 3 2 2 4 4 2 5 2" xfId="38687" xr:uid="{F23D0FB8-3B54-4E86-AEB9-2CE6DE2320EF}"/>
    <cellStyle name="Normal 11 3 2 2 4 4 2 6" xfId="38688" xr:uid="{C3D55D89-9973-4E96-A05E-33C67A90D217}"/>
    <cellStyle name="Normal 11 3 2 2 4 4 3" xfId="38689" xr:uid="{C24848CB-91FD-46BA-A05E-6CE372594E86}"/>
    <cellStyle name="Normal 11 3 2 2 4 4 3 2" xfId="38690" xr:uid="{1C4721ED-B623-4FCD-9BEF-A4F9EEEF008A}"/>
    <cellStyle name="Normal 11 3 2 2 4 4 3 2 2" xfId="38691" xr:uid="{46E8DE74-F1C8-4B96-9F22-17BF925B18A8}"/>
    <cellStyle name="Normal 11 3 2 2 4 4 3 2 2 2" xfId="38692" xr:uid="{46EF7224-3068-42B1-827B-55F036EB02E2}"/>
    <cellStyle name="Normal 11 3 2 2 4 4 3 2 2 2 2" xfId="38693" xr:uid="{F94BE43E-E94C-4291-B805-0FD41D303DDC}"/>
    <cellStyle name="Normal 11 3 2 2 4 4 3 2 2 3" xfId="38694" xr:uid="{28599618-3DC4-4362-89BE-2CD0049B329A}"/>
    <cellStyle name="Normal 11 3 2 2 4 4 3 2 3" xfId="38695" xr:uid="{0D90445D-6986-4678-90F4-3DDC8A41F959}"/>
    <cellStyle name="Normal 11 3 2 2 4 4 3 2 3 2" xfId="38696" xr:uid="{CEADEE64-C25E-43B4-9677-6B9FE3E3C627}"/>
    <cellStyle name="Normal 11 3 2 2 4 4 3 2 4" xfId="38697" xr:uid="{4C423FC4-66A9-4142-BAA3-CB8894FC7476}"/>
    <cellStyle name="Normal 11 3 2 2 4 4 3 3" xfId="38698" xr:uid="{C913D3C3-B6B2-4630-9309-EC005EDB4643}"/>
    <cellStyle name="Normal 11 3 2 2 4 4 3 3 2" xfId="38699" xr:uid="{B50B0B0D-6AE0-4AD7-ACAE-5BAB30B46AC0}"/>
    <cellStyle name="Normal 11 3 2 2 4 4 3 3 2 2" xfId="38700" xr:uid="{7895AC49-C2E0-41C3-9D66-D0C672A492DC}"/>
    <cellStyle name="Normal 11 3 2 2 4 4 3 3 3" xfId="38701" xr:uid="{A24418C3-58D2-4A5E-8A4F-7DD9200534CF}"/>
    <cellStyle name="Normal 11 3 2 2 4 4 3 4" xfId="38702" xr:uid="{532063F3-EF51-4439-BEA9-098AA0CF003D}"/>
    <cellStyle name="Normal 11 3 2 2 4 4 3 4 2" xfId="38703" xr:uid="{15B9D56F-197E-49E9-90C5-F10D0823A1AF}"/>
    <cellStyle name="Normal 11 3 2 2 4 4 3 5" xfId="38704" xr:uid="{DCFACBA2-69F5-4EBC-B694-7A6DC81BB9EB}"/>
    <cellStyle name="Normal 11 3 2 2 4 4 4" xfId="38705" xr:uid="{9AD9DC63-E172-43D9-9279-91E8A0350A89}"/>
    <cellStyle name="Normal 11 3 2 2 4 4 4 2" xfId="38706" xr:uid="{5C46E998-CD4C-4688-BCDC-870AC8A79FD0}"/>
    <cellStyle name="Normal 11 3 2 2 4 4 4 2 2" xfId="38707" xr:uid="{80EA118A-CF13-449E-BC2C-1AC55A51DF09}"/>
    <cellStyle name="Normal 11 3 2 2 4 4 4 2 2 2" xfId="38708" xr:uid="{ECB470D1-50F4-41E7-90DC-85AB927FBCE6}"/>
    <cellStyle name="Normal 11 3 2 2 4 4 4 2 3" xfId="38709" xr:uid="{66FD63F2-F41B-443F-A162-51CCEA995607}"/>
    <cellStyle name="Normal 11 3 2 2 4 4 4 3" xfId="38710" xr:uid="{31B100AB-610D-44C1-9CFE-52683FC0F47A}"/>
    <cellStyle name="Normal 11 3 2 2 4 4 4 3 2" xfId="38711" xr:uid="{17597682-1BF6-4FD6-9DE9-B9DB56AFA3E5}"/>
    <cellStyle name="Normal 11 3 2 2 4 4 4 4" xfId="38712" xr:uid="{A1ACBBD6-B46C-475D-9BB7-0093827C5621}"/>
    <cellStyle name="Normal 11 3 2 2 4 4 5" xfId="38713" xr:uid="{15ED0801-3ACF-4D91-A3F9-43127A0059D4}"/>
    <cellStyle name="Normal 11 3 2 2 4 4 5 2" xfId="38714" xr:uid="{B4E2AA8B-480B-4DD3-A28F-FAC7273413F4}"/>
    <cellStyle name="Normal 11 3 2 2 4 4 5 2 2" xfId="38715" xr:uid="{8CC53655-3E69-4619-BF52-23BFA3031426}"/>
    <cellStyle name="Normal 11 3 2 2 4 4 5 3" xfId="38716" xr:uid="{10765830-7E7A-4234-BF34-C6CEA3C9D7B2}"/>
    <cellStyle name="Normal 11 3 2 2 4 4 6" xfId="38717" xr:uid="{8D65C94D-2F47-4FD2-B7D9-5AC55E297714}"/>
    <cellStyle name="Normal 11 3 2 2 4 4 6 2" xfId="38718" xr:uid="{4404E1D0-817E-4DCF-A779-44743D842B44}"/>
    <cellStyle name="Normal 11 3 2 2 4 4 7" xfId="38719" xr:uid="{43DB2B4D-599D-4D44-BDE7-E2CD6B37EC16}"/>
    <cellStyle name="Normal 11 3 2 2 4 5" xfId="38720" xr:uid="{5F5FE80C-54B2-4D57-9235-B49444ADBD0F}"/>
    <cellStyle name="Normal 11 3 2 2 4 5 2" xfId="38721" xr:uid="{75F6C5FF-ADD3-4C3E-A170-24FB4BBB6C59}"/>
    <cellStyle name="Normal 11 3 2 2 4 5 2 2" xfId="38722" xr:uid="{A5259F3E-41E1-4CCC-82BB-ACFF6110A557}"/>
    <cellStyle name="Normal 11 3 2 2 4 5 2 2 2" xfId="38723" xr:uid="{36E60FB2-55D9-45EA-9F5D-22A7D7BE5324}"/>
    <cellStyle name="Normal 11 3 2 2 4 5 2 2 2 2" xfId="38724" xr:uid="{9F4A5597-F92A-4140-976C-91C525A2EABC}"/>
    <cellStyle name="Normal 11 3 2 2 4 5 2 2 2 2 2" xfId="38725" xr:uid="{4827816B-BC9C-41C8-B942-E2FEACC2E68E}"/>
    <cellStyle name="Normal 11 3 2 2 4 5 2 2 2 3" xfId="38726" xr:uid="{D15D4DB1-19F6-4950-ABB5-E54A98270041}"/>
    <cellStyle name="Normal 11 3 2 2 4 5 2 2 3" xfId="38727" xr:uid="{A9EC3840-AC97-4567-8250-006A2BF723E5}"/>
    <cellStyle name="Normal 11 3 2 2 4 5 2 2 3 2" xfId="38728" xr:uid="{C4C12865-ED3B-4685-97B4-861E655C12EA}"/>
    <cellStyle name="Normal 11 3 2 2 4 5 2 2 4" xfId="38729" xr:uid="{4F6AA5C0-03B7-45B8-8B87-A674A1FB9F29}"/>
    <cellStyle name="Normal 11 3 2 2 4 5 2 3" xfId="38730" xr:uid="{2D1FCB51-74BF-442E-BACA-9F28CA772702}"/>
    <cellStyle name="Normal 11 3 2 2 4 5 2 3 2" xfId="38731" xr:uid="{4212E12C-C087-42BF-A191-7C6FCFC0B014}"/>
    <cellStyle name="Normal 11 3 2 2 4 5 2 3 2 2" xfId="38732" xr:uid="{A6F22DAC-F966-453D-877E-AF6AE6932FFA}"/>
    <cellStyle name="Normal 11 3 2 2 4 5 2 3 3" xfId="38733" xr:uid="{4C963738-7060-410C-B52C-0253A63600B4}"/>
    <cellStyle name="Normal 11 3 2 2 4 5 2 4" xfId="38734" xr:uid="{D21B4FFF-8AEA-4DDE-8A5C-46E65CE5EBEE}"/>
    <cellStyle name="Normal 11 3 2 2 4 5 2 4 2" xfId="38735" xr:uid="{90F82C9D-8420-48B3-9219-C42CDC988950}"/>
    <cellStyle name="Normal 11 3 2 2 4 5 2 5" xfId="38736" xr:uid="{C9861256-1AD0-4158-ADDB-C7985CCA3F5D}"/>
    <cellStyle name="Normal 11 3 2 2 4 5 3" xfId="38737" xr:uid="{B4E47A0E-724E-477F-A2E7-B43809B77F0C}"/>
    <cellStyle name="Normal 11 3 2 2 4 5 3 2" xfId="38738" xr:uid="{E8482CA0-1091-4E23-B30C-1400FB6F50FF}"/>
    <cellStyle name="Normal 11 3 2 2 4 5 3 2 2" xfId="38739" xr:uid="{8F117541-AB10-4952-8518-97A92502EFB3}"/>
    <cellStyle name="Normal 11 3 2 2 4 5 3 2 2 2" xfId="38740" xr:uid="{5592DBEA-2DF1-4D83-838F-E406D6CD8C13}"/>
    <cellStyle name="Normal 11 3 2 2 4 5 3 2 3" xfId="38741" xr:uid="{E48419C1-EA6A-4033-B54C-5B2A63F48DC3}"/>
    <cellStyle name="Normal 11 3 2 2 4 5 3 3" xfId="38742" xr:uid="{5A0F3D90-B60E-4DEC-8529-219D92F899BD}"/>
    <cellStyle name="Normal 11 3 2 2 4 5 3 3 2" xfId="38743" xr:uid="{1C8D7739-A970-4BC5-A316-24400CCD1F2D}"/>
    <cellStyle name="Normal 11 3 2 2 4 5 3 4" xfId="38744" xr:uid="{AC707A83-2B44-4592-B6CE-26FDE27A4B07}"/>
    <cellStyle name="Normal 11 3 2 2 4 5 4" xfId="38745" xr:uid="{556487FE-DA19-4FE4-B604-DFFD70910D5E}"/>
    <cellStyle name="Normal 11 3 2 2 4 5 4 2" xfId="38746" xr:uid="{5EA92935-FF2D-429F-8126-4E7BDD6B710C}"/>
    <cellStyle name="Normal 11 3 2 2 4 5 4 2 2" xfId="38747" xr:uid="{001A1B6D-6E77-40E0-BA85-C2179D4F12E1}"/>
    <cellStyle name="Normal 11 3 2 2 4 5 4 3" xfId="38748" xr:uid="{B0776401-C15A-46BF-8C82-9E97FFE600DC}"/>
    <cellStyle name="Normal 11 3 2 2 4 5 5" xfId="38749" xr:uid="{3579CAA4-F573-419C-8D4C-6CD4D1165F8B}"/>
    <cellStyle name="Normal 11 3 2 2 4 5 5 2" xfId="38750" xr:uid="{A297F54F-547A-4FB6-89FF-284735ADD973}"/>
    <cellStyle name="Normal 11 3 2 2 4 5 6" xfId="38751" xr:uid="{CB5B9370-7EE6-488C-9389-ABA8B946CBC1}"/>
    <cellStyle name="Normal 11 3 2 2 4 6" xfId="38752" xr:uid="{2ECC1DD2-F21D-4D5B-A948-127A27901EB3}"/>
    <cellStyle name="Normal 11 3 2 2 4 6 2" xfId="38753" xr:uid="{DD476F0F-65CE-4623-912E-9763B3CB13C9}"/>
    <cellStyle name="Normal 11 3 2 2 4 6 2 2" xfId="38754" xr:uid="{91532405-072A-4122-A8CF-3A011D3918E3}"/>
    <cellStyle name="Normal 11 3 2 2 4 6 2 2 2" xfId="38755" xr:uid="{79149541-AD78-4D1F-860D-F00D057FEB65}"/>
    <cellStyle name="Normal 11 3 2 2 4 6 2 2 2 2" xfId="38756" xr:uid="{11C5A564-BB31-4398-8D2E-B77BD7E914A3}"/>
    <cellStyle name="Normal 11 3 2 2 4 6 2 2 3" xfId="38757" xr:uid="{141ACDA2-67B6-4947-A634-A905F10483F2}"/>
    <cellStyle name="Normal 11 3 2 2 4 6 2 3" xfId="38758" xr:uid="{42CB4C9B-4D44-4D08-8CAF-ECCDE5362C8D}"/>
    <cellStyle name="Normal 11 3 2 2 4 6 2 3 2" xfId="38759" xr:uid="{6867FCC5-5C57-49C5-B00C-2F9042F2C465}"/>
    <cellStyle name="Normal 11 3 2 2 4 6 2 4" xfId="38760" xr:uid="{8E4156F5-AE19-4C03-BD9E-BE223694248E}"/>
    <cellStyle name="Normal 11 3 2 2 4 6 3" xfId="38761" xr:uid="{B0A2C720-6A86-4AC5-895D-0C4A498086EA}"/>
    <cellStyle name="Normal 11 3 2 2 4 6 3 2" xfId="38762" xr:uid="{35455637-83FC-4505-B13E-0103F0FD6413}"/>
    <cellStyle name="Normal 11 3 2 2 4 6 3 2 2" xfId="38763" xr:uid="{D53C1A65-6228-4DB6-B423-555560F45D58}"/>
    <cellStyle name="Normal 11 3 2 2 4 6 3 3" xfId="38764" xr:uid="{4C62E375-E84B-49EB-84E7-29B8832E1B76}"/>
    <cellStyle name="Normal 11 3 2 2 4 6 4" xfId="38765" xr:uid="{75F12FE5-72A7-46DB-845A-2F70690579D6}"/>
    <cellStyle name="Normal 11 3 2 2 4 6 4 2" xfId="38766" xr:uid="{99F14F92-C01E-44A7-B58E-A303FB19E295}"/>
    <cellStyle name="Normal 11 3 2 2 4 6 5" xfId="38767" xr:uid="{2700FFD2-3409-4889-AB27-C642A10D3C3C}"/>
    <cellStyle name="Normal 11 3 2 2 4 7" xfId="38768" xr:uid="{A96B6E1C-7B44-4355-8022-5F2503BBA8A5}"/>
    <cellStyle name="Normal 11 3 2 2 4 7 2" xfId="38769" xr:uid="{650C8552-90B1-420E-8438-CFE459782817}"/>
    <cellStyle name="Normal 11 3 2 2 4 7 2 2" xfId="38770" xr:uid="{70CB492C-4AA5-4F95-A3B4-7AD468F9D762}"/>
    <cellStyle name="Normal 11 3 2 2 4 7 2 2 2" xfId="38771" xr:uid="{AE7106B7-D58B-43AD-9076-C62EE25F0052}"/>
    <cellStyle name="Normal 11 3 2 2 4 7 2 3" xfId="38772" xr:uid="{D56C3F0D-D76F-431C-83E2-DFEB8F9D51DE}"/>
    <cellStyle name="Normal 11 3 2 2 4 7 3" xfId="38773" xr:uid="{167F2B83-7826-4EF7-B9BC-4E5EB5CC24A8}"/>
    <cellStyle name="Normal 11 3 2 2 4 7 3 2" xfId="38774" xr:uid="{90D705AF-535D-4104-AE8A-6A839A07868C}"/>
    <cellStyle name="Normal 11 3 2 2 4 7 4" xfId="38775" xr:uid="{6E90831D-A1F7-4E2E-9AAD-796C373BB599}"/>
    <cellStyle name="Normal 11 3 2 2 4 8" xfId="38776" xr:uid="{5CFB5E79-B712-45FB-AFAC-6722D750C372}"/>
    <cellStyle name="Normal 11 3 2 2 4 8 2" xfId="38777" xr:uid="{C700BEC3-C894-42D9-8095-097BC6421F26}"/>
    <cellStyle name="Normal 11 3 2 2 4 8 2 2" xfId="38778" xr:uid="{E75C2EF5-241E-4FC7-AE2F-24CB2FF08E9C}"/>
    <cellStyle name="Normal 11 3 2 2 4 8 3" xfId="38779" xr:uid="{F69642F1-3926-451E-87AD-415ADE634CB0}"/>
    <cellStyle name="Normal 11 3 2 2 4 9" xfId="38780" xr:uid="{222BD8AE-AA67-41F9-A8BB-888B82CA4529}"/>
    <cellStyle name="Normal 11 3 2 2 4 9 2" xfId="38781" xr:uid="{A0767E01-082B-4DF1-AF5E-42A4B9B65345}"/>
    <cellStyle name="Normal 11 3 2 2 5" xfId="281" xr:uid="{16E4E68B-A2FD-4BF7-9CE9-214D945331A4}"/>
    <cellStyle name="Normal 11 3 2 2 5 10" xfId="38782" xr:uid="{C0381C41-BC9B-439D-A513-CB8E5579463D}"/>
    <cellStyle name="Normal 11 3 2 2 5 11" xfId="594" xr:uid="{7AD4F83B-951C-449A-8E20-F9206350CBF4}"/>
    <cellStyle name="Normal 11 3 2 2 5 2" xfId="376" xr:uid="{4922D445-78A2-472F-8DB0-CE6D8C82E47A}"/>
    <cellStyle name="Normal 11 3 2 2 5 2 10" xfId="38783" xr:uid="{AC0BCEAA-5F19-472E-949D-4B563A796921}"/>
    <cellStyle name="Normal 11 3 2 2 5 2 2" xfId="38784" xr:uid="{8B813EF7-3791-4866-A541-EF55EC754F9E}"/>
    <cellStyle name="Normal 11 3 2 2 5 2 2 2" xfId="38785" xr:uid="{710A56F6-8A08-4B9B-95F1-F04472C6C007}"/>
    <cellStyle name="Normal 11 3 2 2 5 2 2 2 2" xfId="38786" xr:uid="{EAB135C8-6D8D-4054-9778-F570D91CE1DA}"/>
    <cellStyle name="Normal 11 3 2 2 5 2 2 2 2 2" xfId="38787" xr:uid="{03570C11-0A30-4F6C-AD38-5BE8838DA4E4}"/>
    <cellStyle name="Normal 11 3 2 2 5 2 2 2 2 2 2" xfId="38788" xr:uid="{464AA137-9805-4682-A8F2-74860A01BD96}"/>
    <cellStyle name="Normal 11 3 2 2 5 2 2 2 2 2 2 2" xfId="38789" xr:uid="{2248DD02-8A00-4D68-8025-93AFA52A18E0}"/>
    <cellStyle name="Normal 11 3 2 2 5 2 2 2 2 2 2 2 2" xfId="38790" xr:uid="{804C9582-66D7-454E-AC0C-789F463E8BCC}"/>
    <cellStyle name="Normal 11 3 2 2 5 2 2 2 2 2 2 2 2 2" xfId="38791" xr:uid="{4442B8D3-0995-4F8C-AC68-6A6AA89D8635}"/>
    <cellStyle name="Normal 11 3 2 2 5 2 2 2 2 2 2 2 3" xfId="38792" xr:uid="{F3D98FD8-3C60-4079-A7E0-E171627A30E2}"/>
    <cellStyle name="Normal 11 3 2 2 5 2 2 2 2 2 2 3" xfId="38793" xr:uid="{0612A9E0-6A28-499F-B782-5F2C10808951}"/>
    <cellStyle name="Normal 11 3 2 2 5 2 2 2 2 2 2 3 2" xfId="38794" xr:uid="{50F42FA1-79B1-405E-8D8E-9C3AC07A3CA6}"/>
    <cellStyle name="Normal 11 3 2 2 5 2 2 2 2 2 2 4" xfId="38795" xr:uid="{59E89CAD-6A56-4A17-BCDB-21A9AA2679D8}"/>
    <cellStyle name="Normal 11 3 2 2 5 2 2 2 2 2 3" xfId="38796" xr:uid="{E5A51090-553D-45B0-A5D6-14AA3DC3EF0C}"/>
    <cellStyle name="Normal 11 3 2 2 5 2 2 2 2 2 3 2" xfId="38797" xr:uid="{B18C4DE3-07C6-409D-8715-412A92989B61}"/>
    <cellStyle name="Normal 11 3 2 2 5 2 2 2 2 2 3 2 2" xfId="38798" xr:uid="{39560FB8-2B29-4339-94A6-DC70527E9C34}"/>
    <cellStyle name="Normal 11 3 2 2 5 2 2 2 2 2 3 3" xfId="38799" xr:uid="{5C808DCF-3EF5-4086-AD33-0658ECC84CF9}"/>
    <cellStyle name="Normal 11 3 2 2 5 2 2 2 2 2 4" xfId="38800" xr:uid="{5EE5CE1A-634B-4002-836F-D77711C5E1EC}"/>
    <cellStyle name="Normal 11 3 2 2 5 2 2 2 2 2 4 2" xfId="38801" xr:uid="{CEDDC7C2-A352-418B-B850-B09FE61A2DD0}"/>
    <cellStyle name="Normal 11 3 2 2 5 2 2 2 2 2 5" xfId="38802" xr:uid="{52ED67FE-95C1-4DE1-9A3A-165990E036DB}"/>
    <cellStyle name="Normal 11 3 2 2 5 2 2 2 2 3" xfId="38803" xr:uid="{2C656DAF-6258-4A38-B369-2C4B5B7BCB5F}"/>
    <cellStyle name="Normal 11 3 2 2 5 2 2 2 2 3 2" xfId="38804" xr:uid="{CA99062D-5B6D-4273-AE03-61A6E6031654}"/>
    <cellStyle name="Normal 11 3 2 2 5 2 2 2 2 3 2 2" xfId="38805" xr:uid="{EC99715A-948F-4A58-BE15-330C843E470E}"/>
    <cellStyle name="Normal 11 3 2 2 5 2 2 2 2 3 2 2 2" xfId="38806" xr:uid="{CCC53443-E91A-4E21-9CD9-E73E2A6F11A4}"/>
    <cellStyle name="Normal 11 3 2 2 5 2 2 2 2 3 2 3" xfId="38807" xr:uid="{8BE0B90E-02A1-4AA4-9672-4C8E256250CE}"/>
    <cellStyle name="Normal 11 3 2 2 5 2 2 2 2 3 3" xfId="38808" xr:uid="{32241980-F5DD-445E-9013-1A5DB9405731}"/>
    <cellStyle name="Normal 11 3 2 2 5 2 2 2 2 3 3 2" xfId="38809" xr:uid="{B817B371-2CA1-496C-BD57-02C20D24D9DD}"/>
    <cellStyle name="Normal 11 3 2 2 5 2 2 2 2 3 4" xfId="38810" xr:uid="{AF698EA0-58C7-4383-A9F6-1F163C0D2632}"/>
    <cellStyle name="Normal 11 3 2 2 5 2 2 2 2 4" xfId="38811" xr:uid="{A98187E0-68B6-4F23-A7A4-2C94FCE384A6}"/>
    <cellStyle name="Normal 11 3 2 2 5 2 2 2 2 4 2" xfId="38812" xr:uid="{B24E41F7-87C9-4B89-B886-76E12B1CBABF}"/>
    <cellStyle name="Normal 11 3 2 2 5 2 2 2 2 4 2 2" xfId="38813" xr:uid="{F5E1625D-25B4-4425-8929-285B05D6702F}"/>
    <cellStyle name="Normal 11 3 2 2 5 2 2 2 2 4 3" xfId="38814" xr:uid="{FE816EE9-450A-489D-B9CE-ABA5C0143415}"/>
    <cellStyle name="Normal 11 3 2 2 5 2 2 2 2 5" xfId="38815" xr:uid="{E1D34DA9-7E1C-4DF6-A787-9F55A85CDB23}"/>
    <cellStyle name="Normal 11 3 2 2 5 2 2 2 2 5 2" xfId="38816" xr:uid="{4BBAE381-6A23-4352-8C1C-417A020D9DCE}"/>
    <cellStyle name="Normal 11 3 2 2 5 2 2 2 2 6" xfId="38817" xr:uid="{5D21B9D0-5FE2-47BB-BA96-A2BAFEDCE048}"/>
    <cellStyle name="Normal 11 3 2 2 5 2 2 2 3" xfId="38818" xr:uid="{F71E040D-BA6B-4765-9DB8-C245020C1A39}"/>
    <cellStyle name="Normal 11 3 2 2 5 2 2 2 3 2" xfId="38819" xr:uid="{FD17D90F-1A19-4B6E-A4AE-B5DD51F26E88}"/>
    <cellStyle name="Normal 11 3 2 2 5 2 2 2 3 2 2" xfId="38820" xr:uid="{4EC51D39-CBF8-43E2-9716-4A3F323249A1}"/>
    <cellStyle name="Normal 11 3 2 2 5 2 2 2 3 2 2 2" xfId="38821" xr:uid="{5F809FA1-E1A0-4D81-BD3F-EBD1729309AD}"/>
    <cellStyle name="Normal 11 3 2 2 5 2 2 2 3 2 2 2 2" xfId="38822" xr:uid="{79A2A619-D928-4FFA-B374-63BE8DEAFE46}"/>
    <cellStyle name="Normal 11 3 2 2 5 2 2 2 3 2 2 3" xfId="38823" xr:uid="{9D2DA1BD-460E-425E-930C-73BC19D569F0}"/>
    <cellStyle name="Normal 11 3 2 2 5 2 2 2 3 2 3" xfId="38824" xr:uid="{21DBE32C-F6FC-490B-A3B7-E7B929C8511A}"/>
    <cellStyle name="Normal 11 3 2 2 5 2 2 2 3 2 3 2" xfId="38825" xr:uid="{87748614-54BF-4ABA-8FEA-0E9B02AFDEE6}"/>
    <cellStyle name="Normal 11 3 2 2 5 2 2 2 3 2 4" xfId="38826" xr:uid="{3840CF8D-4D5C-4B8F-9AA6-5023EB0A3AB9}"/>
    <cellStyle name="Normal 11 3 2 2 5 2 2 2 3 3" xfId="38827" xr:uid="{22752ADF-0FFA-4913-9CFA-956E40D62F3D}"/>
    <cellStyle name="Normal 11 3 2 2 5 2 2 2 3 3 2" xfId="38828" xr:uid="{E4B3F407-DAB3-413C-BAA0-4F7C1D022A47}"/>
    <cellStyle name="Normal 11 3 2 2 5 2 2 2 3 3 2 2" xfId="38829" xr:uid="{0E2F3AF0-B929-4991-A1FF-97E7E812B0B5}"/>
    <cellStyle name="Normal 11 3 2 2 5 2 2 2 3 3 3" xfId="38830" xr:uid="{10A60F07-E0C9-43AF-B305-F3EBFB9C45E8}"/>
    <cellStyle name="Normal 11 3 2 2 5 2 2 2 3 4" xfId="38831" xr:uid="{5F231267-155F-426B-B461-84ABC902F003}"/>
    <cellStyle name="Normal 11 3 2 2 5 2 2 2 3 4 2" xfId="38832" xr:uid="{0E6C88C0-7450-4AE6-AAF9-9D970C935254}"/>
    <cellStyle name="Normal 11 3 2 2 5 2 2 2 3 5" xfId="38833" xr:uid="{B779EE27-208A-41DF-A399-6259B3E2D22F}"/>
    <cellStyle name="Normal 11 3 2 2 5 2 2 2 4" xfId="38834" xr:uid="{396A116D-741E-45E6-985D-DB6ED7B435E9}"/>
    <cellStyle name="Normal 11 3 2 2 5 2 2 2 4 2" xfId="38835" xr:uid="{9FBAE73D-3DFE-499A-8B90-F2FCFA4F6B8D}"/>
    <cellStyle name="Normal 11 3 2 2 5 2 2 2 4 2 2" xfId="38836" xr:uid="{25113339-3968-48A3-9175-B67A6662ABEF}"/>
    <cellStyle name="Normal 11 3 2 2 5 2 2 2 4 2 2 2" xfId="38837" xr:uid="{9625A503-9688-43DA-9E17-7E9E4025CB34}"/>
    <cellStyle name="Normal 11 3 2 2 5 2 2 2 4 2 3" xfId="38838" xr:uid="{6A259A14-8B6F-4F36-804E-1241E9F659E1}"/>
    <cellStyle name="Normal 11 3 2 2 5 2 2 2 4 3" xfId="38839" xr:uid="{4C7D6415-8372-46CF-9FED-166859CE2F65}"/>
    <cellStyle name="Normal 11 3 2 2 5 2 2 2 4 3 2" xfId="38840" xr:uid="{1A42764E-7430-4C0D-84D3-0D3A92F9FBE0}"/>
    <cellStyle name="Normal 11 3 2 2 5 2 2 2 4 4" xfId="38841" xr:uid="{115A3F7A-8A07-4265-9D0B-BAD5B160A54C}"/>
    <cellStyle name="Normal 11 3 2 2 5 2 2 2 5" xfId="38842" xr:uid="{4FB88371-5F54-4F50-AD90-A0FD9FDB810B}"/>
    <cellStyle name="Normal 11 3 2 2 5 2 2 2 5 2" xfId="38843" xr:uid="{C9E21865-5F8A-47E8-8FF8-4523F023478D}"/>
    <cellStyle name="Normal 11 3 2 2 5 2 2 2 5 2 2" xfId="38844" xr:uid="{ACBBF687-C5FB-49B0-8863-80AB3442BEB7}"/>
    <cellStyle name="Normal 11 3 2 2 5 2 2 2 5 3" xfId="38845" xr:uid="{6A3F6B58-D94B-4E65-A2F0-63BB9BAFE3D7}"/>
    <cellStyle name="Normal 11 3 2 2 5 2 2 2 6" xfId="38846" xr:uid="{6883E5C8-ADD3-43C2-93C3-3F0BA8DFA6C7}"/>
    <cellStyle name="Normal 11 3 2 2 5 2 2 2 6 2" xfId="38847" xr:uid="{1465655B-17B1-48F2-B388-58D9D71F41AB}"/>
    <cellStyle name="Normal 11 3 2 2 5 2 2 2 7" xfId="38848" xr:uid="{1D6DBFDB-FE6A-4EBF-94BB-C3F774AA744B}"/>
    <cellStyle name="Normal 11 3 2 2 5 2 2 3" xfId="38849" xr:uid="{2DFB8357-52D6-4D63-BC6D-45A2F35B674C}"/>
    <cellStyle name="Normal 11 3 2 2 5 2 2 3 2" xfId="38850" xr:uid="{1BB8481C-94E9-4E1C-9984-1D32F94C2E45}"/>
    <cellStyle name="Normal 11 3 2 2 5 2 2 3 2 2" xfId="38851" xr:uid="{C0AF2572-67C7-4B20-A694-EFD466BEF847}"/>
    <cellStyle name="Normal 11 3 2 2 5 2 2 3 2 2 2" xfId="38852" xr:uid="{D74E71B1-27E1-41BB-9BAE-3A0511699A0F}"/>
    <cellStyle name="Normal 11 3 2 2 5 2 2 3 2 2 2 2" xfId="38853" xr:uid="{580DB6E6-9360-461B-AD99-B43CC02C9790}"/>
    <cellStyle name="Normal 11 3 2 2 5 2 2 3 2 2 2 2 2" xfId="38854" xr:uid="{CEEC8DF1-1460-4875-9FB6-A95D1C8F06FE}"/>
    <cellStyle name="Normal 11 3 2 2 5 2 2 3 2 2 2 3" xfId="38855" xr:uid="{46839591-FD3E-4F3D-85AD-CE237AC09233}"/>
    <cellStyle name="Normal 11 3 2 2 5 2 2 3 2 2 3" xfId="38856" xr:uid="{CEAFC459-537A-43FB-A86E-3A3C6CE4289C}"/>
    <cellStyle name="Normal 11 3 2 2 5 2 2 3 2 2 3 2" xfId="38857" xr:uid="{2698A573-6927-4839-A9A0-189C23F7E83A}"/>
    <cellStyle name="Normal 11 3 2 2 5 2 2 3 2 2 4" xfId="38858" xr:uid="{B7A8E171-442F-4C8E-A281-0D5C96422B25}"/>
    <cellStyle name="Normal 11 3 2 2 5 2 2 3 2 3" xfId="38859" xr:uid="{4A109A01-BC91-4761-8680-7A836B4DD898}"/>
    <cellStyle name="Normal 11 3 2 2 5 2 2 3 2 3 2" xfId="38860" xr:uid="{A42B873A-0D08-49D5-8DBE-58F6054D3751}"/>
    <cellStyle name="Normal 11 3 2 2 5 2 2 3 2 3 2 2" xfId="38861" xr:uid="{9C3F63C5-CD28-4051-B9C3-1E529E2448FE}"/>
    <cellStyle name="Normal 11 3 2 2 5 2 2 3 2 3 3" xfId="38862" xr:uid="{A625D5A3-928E-48F2-8291-DC1B11084293}"/>
    <cellStyle name="Normal 11 3 2 2 5 2 2 3 2 4" xfId="38863" xr:uid="{A94F6D87-32BA-4D84-B897-1A25E648F270}"/>
    <cellStyle name="Normal 11 3 2 2 5 2 2 3 2 4 2" xfId="38864" xr:uid="{103B8525-84A2-4D7A-8C02-3641050121B0}"/>
    <cellStyle name="Normal 11 3 2 2 5 2 2 3 2 5" xfId="38865" xr:uid="{D82E499A-A5F8-484F-8ED0-DBEA5A776453}"/>
    <cellStyle name="Normal 11 3 2 2 5 2 2 3 3" xfId="38866" xr:uid="{3F88B3A0-AA30-45CA-9DD2-0A5A9F5BC832}"/>
    <cellStyle name="Normal 11 3 2 2 5 2 2 3 3 2" xfId="38867" xr:uid="{5B89B359-6A48-4F1F-AA7B-48E7606C46B6}"/>
    <cellStyle name="Normal 11 3 2 2 5 2 2 3 3 2 2" xfId="38868" xr:uid="{845475BE-7884-4F5E-B3DB-A5541CC3E399}"/>
    <cellStyle name="Normal 11 3 2 2 5 2 2 3 3 2 2 2" xfId="38869" xr:uid="{736F9A67-E8DA-4912-BE4D-1EAC5CD19A11}"/>
    <cellStyle name="Normal 11 3 2 2 5 2 2 3 3 2 3" xfId="38870" xr:uid="{F1CF5BAA-6B6A-4B5F-A12B-6235BF6964CA}"/>
    <cellStyle name="Normal 11 3 2 2 5 2 2 3 3 3" xfId="38871" xr:uid="{33ECE1CE-77D4-421C-8EAB-BDE74E77EE8A}"/>
    <cellStyle name="Normal 11 3 2 2 5 2 2 3 3 3 2" xfId="38872" xr:uid="{04BA3358-F099-4B44-883A-7F8053C3E7C0}"/>
    <cellStyle name="Normal 11 3 2 2 5 2 2 3 3 4" xfId="38873" xr:uid="{0A37911B-B3F5-4688-9BA1-1D43C5ABB1FA}"/>
    <cellStyle name="Normal 11 3 2 2 5 2 2 3 4" xfId="38874" xr:uid="{14ED5360-2CE8-4FD1-B94B-68B7A6496BF9}"/>
    <cellStyle name="Normal 11 3 2 2 5 2 2 3 4 2" xfId="38875" xr:uid="{B62F1AAE-944A-4FD0-8396-A2C833A613A0}"/>
    <cellStyle name="Normal 11 3 2 2 5 2 2 3 4 2 2" xfId="38876" xr:uid="{504465AC-3188-48C7-B36B-21148E4FF321}"/>
    <cellStyle name="Normal 11 3 2 2 5 2 2 3 4 3" xfId="38877" xr:uid="{07451645-9448-4CE3-A79E-8EAE6F91F749}"/>
    <cellStyle name="Normal 11 3 2 2 5 2 2 3 5" xfId="38878" xr:uid="{DA6B7348-DF6E-46CA-8856-0E0B87D8A042}"/>
    <cellStyle name="Normal 11 3 2 2 5 2 2 3 5 2" xfId="38879" xr:uid="{6BE87E25-B7B3-4C6D-A45B-21D7313EE2D3}"/>
    <cellStyle name="Normal 11 3 2 2 5 2 2 3 6" xfId="38880" xr:uid="{A9439B96-C869-4EFA-96E0-FF2AA064509E}"/>
    <cellStyle name="Normal 11 3 2 2 5 2 2 4" xfId="38881" xr:uid="{459546B0-9932-4235-B3BE-CD8F6733B4FF}"/>
    <cellStyle name="Normal 11 3 2 2 5 2 2 4 2" xfId="38882" xr:uid="{3E1B60DC-51D7-4B47-9FA2-CD85EE508EEA}"/>
    <cellStyle name="Normal 11 3 2 2 5 2 2 4 2 2" xfId="38883" xr:uid="{49D7AA36-B561-41DE-8C5D-E8F6A3F540C7}"/>
    <cellStyle name="Normal 11 3 2 2 5 2 2 4 2 2 2" xfId="38884" xr:uid="{8DED0D85-8AEC-48B7-B361-3B3CAC78B45D}"/>
    <cellStyle name="Normal 11 3 2 2 5 2 2 4 2 2 2 2" xfId="38885" xr:uid="{51E333BA-4B33-46C4-98CA-D0691AE9EC93}"/>
    <cellStyle name="Normal 11 3 2 2 5 2 2 4 2 2 3" xfId="38886" xr:uid="{E23F9BC5-10C9-430A-8898-73059E3369FC}"/>
    <cellStyle name="Normal 11 3 2 2 5 2 2 4 2 3" xfId="38887" xr:uid="{39FD3365-391A-4F4F-BF6D-83FE1B37E1FF}"/>
    <cellStyle name="Normal 11 3 2 2 5 2 2 4 2 3 2" xfId="38888" xr:uid="{299633CC-E61C-49DE-80B9-A86213AA4F67}"/>
    <cellStyle name="Normal 11 3 2 2 5 2 2 4 2 4" xfId="38889" xr:uid="{2DD13BD2-165C-4054-98A5-FCD7299F5619}"/>
    <cellStyle name="Normal 11 3 2 2 5 2 2 4 3" xfId="38890" xr:uid="{9AF20B23-281A-40EC-930C-699952AD31B1}"/>
    <cellStyle name="Normal 11 3 2 2 5 2 2 4 3 2" xfId="38891" xr:uid="{389F3848-A299-4C33-AFF9-D63B0C6A4FE7}"/>
    <cellStyle name="Normal 11 3 2 2 5 2 2 4 3 2 2" xfId="38892" xr:uid="{6B7B9A58-EBA2-4ED9-B49A-9C6B296FF391}"/>
    <cellStyle name="Normal 11 3 2 2 5 2 2 4 3 3" xfId="38893" xr:uid="{D867B4AD-0D08-4181-B76F-C4E6EF793245}"/>
    <cellStyle name="Normal 11 3 2 2 5 2 2 4 4" xfId="38894" xr:uid="{66393819-3F19-4132-9F0F-39A4CD4B8F5E}"/>
    <cellStyle name="Normal 11 3 2 2 5 2 2 4 4 2" xfId="38895" xr:uid="{6819DCE6-421C-43BC-A0D5-76DBD6FD8650}"/>
    <cellStyle name="Normal 11 3 2 2 5 2 2 4 5" xfId="38896" xr:uid="{18DF5670-A75D-45D8-B19A-8477502E4B02}"/>
    <cellStyle name="Normal 11 3 2 2 5 2 2 5" xfId="38897" xr:uid="{4157629D-3EA8-4867-9128-130E33563909}"/>
    <cellStyle name="Normal 11 3 2 2 5 2 2 5 2" xfId="38898" xr:uid="{231E6552-DCEB-4EF6-A383-2E9B548646E5}"/>
    <cellStyle name="Normal 11 3 2 2 5 2 2 5 2 2" xfId="38899" xr:uid="{A0C78087-20F3-48DC-8E5A-5619B6763688}"/>
    <cellStyle name="Normal 11 3 2 2 5 2 2 5 2 2 2" xfId="38900" xr:uid="{BAE599D7-0B23-4050-AB3C-98E955A90005}"/>
    <cellStyle name="Normal 11 3 2 2 5 2 2 5 2 3" xfId="38901" xr:uid="{681FEA84-466D-454D-8D2E-FFD63BB6B773}"/>
    <cellStyle name="Normal 11 3 2 2 5 2 2 5 3" xfId="38902" xr:uid="{3235252F-B696-40FD-AD7D-DDB0521EA55D}"/>
    <cellStyle name="Normal 11 3 2 2 5 2 2 5 3 2" xfId="38903" xr:uid="{5845AEFD-40AA-4855-9967-4B7C693CC75A}"/>
    <cellStyle name="Normal 11 3 2 2 5 2 2 5 4" xfId="38904" xr:uid="{59CDF45A-E888-4264-A644-F623DE85970A}"/>
    <cellStyle name="Normal 11 3 2 2 5 2 2 6" xfId="38905" xr:uid="{FB8168E6-74D3-4DD8-B41E-1D7FE3FE1632}"/>
    <cellStyle name="Normal 11 3 2 2 5 2 2 6 2" xfId="38906" xr:uid="{73002212-FE21-43A6-8A61-C9626B10A605}"/>
    <cellStyle name="Normal 11 3 2 2 5 2 2 6 2 2" xfId="38907" xr:uid="{DE96F6C6-3E81-44A1-B95E-B2F5966CA6B8}"/>
    <cellStyle name="Normal 11 3 2 2 5 2 2 6 3" xfId="38908" xr:uid="{F1F1A973-3CDF-4CF1-8CC8-6BFBF7DE5877}"/>
    <cellStyle name="Normal 11 3 2 2 5 2 2 7" xfId="38909" xr:uid="{40F0D0C1-3F7A-4EB8-9527-B66077F83DD3}"/>
    <cellStyle name="Normal 11 3 2 2 5 2 2 7 2" xfId="38910" xr:uid="{F30D0B2E-20D9-42C4-B5E8-C9A81ED0485B}"/>
    <cellStyle name="Normal 11 3 2 2 5 2 2 8" xfId="38911" xr:uid="{71F8C7C0-4156-4464-B131-9F66414F0AF3}"/>
    <cellStyle name="Normal 11 3 2 2 5 2 3" xfId="38912" xr:uid="{788C0F9A-BD14-4DCF-8CF8-4F7E437E60B8}"/>
    <cellStyle name="Normal 11 3 2 2 5 2 3 2" xfId="38913" xr:uid="{75D3722A-9B92-45C7-A326-BAC1E2229172}"/>
    <cellStyle name="Normal 11 3 2 2 5 2 3 2 2" xfId="38914" xr:uid="{29C36A12-8BD3-4967-81FE-A22BFD1043C2}"/>
    <cellStyle name="Normal 11 3 2 2 5 2 3 2 2 2" xfId="38915" xr:uid="{D6772113-BD87-4DB6-A0B3-681FCD43514E}"/>
    <cellStyle name="Normal 11 3 2 2 5 2 3 2 2 2 2" xfId="38916" xr:uid="{2CC50FB0-4975-43C1-8D72-7D5D5FC08C74}"/>
    <cellStyle name="Normal 11 3 2 2 5 2 3 2 2 2 2 2" xfId="38917" xr:uid="{239157C8-C5A4-4617-9564-E9A1D179B1EF}"/>
    <cellStyle name="Normal 11 3 2 2 5 2 3 2 2 2 2 2 2" xfId="38918" xr:uid="{7341C787-85D5-4A99-9F02-FE57A4C9C4A5}"/>
    <cellStyle name="Normal 11 3 2 2 5 2 3 2 2 2 2 3" xfId="38919" xr:uid="{A28ACA77-6574-4623-BAD1-88BB695C155B}"/>
    <cellStyle name="Normal 11 3 2 2 5 2 3 2 2 2 3" xfId="38920" xr:uid="{23AF7599-762C-4EE0-BCC3-67F1293E6AA1}"/>
    <cellStyle name="Normal 11 3 2 2 5 2 3 2 2 2 3 2" xfId="38921" xr:uid="{56FE1BDA-6F82-455C-959E-9E08505BD236}"/>
    <cellStyle name="Normal 11 3 2 2 5 2 3 2 2 2 4" xfId="38922" xr:uid="{3470E01B-25CA-4832-B88B-E3B1B3043856}"/>
    <cellStyle name="Normal 11 3 2 2 5 2 3 2 2 3" xfId="38923" xr:uid="{1CC3AA81-54EF-465D-B6B4-6507164859AA}"/>
    <cellStyle name="Normal 11 3 2 2 5 2 3 2 2 3 2" xfId="38924" xr:uid="{0966B9AB-0027-4771-A9E4-F539EEAC0505}"/>
    <cellStyle name="Normal 11 3 2 2 5 2 3 2 2 3 2 2" xfId="38925" xr:uid="{9A508466-F437-4605-A493-7B6C11C5CD8F}"/>
    <cellStyle name="Normal 11 3 2 2 5 2 3 2 2 3 3" xfId="38926" xr:uid="{82919550-C3EA-436A-949F-77204A4CCEB0}"/>
    <cellStyle name="Normal 11 3 2 2 5 2 3 2 2 4" xfId="38927" xr:uid="{B664223D-FBA6-44BF-A456-7D14FDB51D11}"/>
    <cellStyle name="Normal 11 3 2 2 5 2 3 2 2 4 2" xfId="38928" xr:uid="{31D6DFA2-407D-45D9-A321-555A45F3CCCF}"/>
    <cellStyle name="Normal 11 3 2 2 5 2 3 2 2 5" xfId="38929" xr:uid="{9012F1A8-BE36-4DEE-8553-B30F0C40FDB3}"/>
    <cellStyle name="Normal 11 3 2 2 5 2 3 2 3" xfId="38930" xr:uid="{7839C6EC-7078-43B2-BE55-23AF6E10A402}"/>
    <cellStyle name="Normal 11 3 2 2 5 2 3 2 3 2" xfId="38931" xr:uid="{BC5D23D5-3FC8-448C-8A03-1F30A20315C6}"/>
    <cellStyle name="Normal 11 3 2 2 5 2 3 2 3 2 2" xfId="38932" xr:uid="{2854D0DB-F20A-4D8E-B40F-EF23932E000D}"/>
    <cellStyle name="Normal 11 3 2 2 5 2 3 2 3 2 2 2" xfId="38933" xr:uid="{A9FFCF41-76F8-47EF-9E94-9323CD9A265C}"/>
    <cellStyle name="Normal 11 3 2 2 5 2 3 2 3 2 3" xfId="38934" xr:uid="{1AEB7DC2-F31C-49DA-9506-E8F726426F0D}"/>
    <cellStyle name="Normal 11 3 2 2 5 2 3 2 3 3" xfId="38935" xr:uid="{4FB50E3A-3B68-4C51-A0AB-C477D30F07A6}"/>
    <cellStyle name="Normal 11 3 2 2 5 2 3 2 3 3 2" xfId="38936" xr:uid="{12DB6500-5068-48FC-BD14-368DFCE2D78D}"/>
    <cellStyle name="Normal 11 3 2 2 5 2 3 2 3 4" xfId="38937" xr:uid="{45788CEA-9FC2-4FD1-83AB-9D6C73D07B9F}"/>
    <cellStyle name="Normal 11 3 2 2 5 2 3 2 4" xfId="38938" xr:uid="{D04F0B4B-2C8F-4CD0-9172-51200B32E128}"/>
    <cellStyle name="Normal 11 3 2 2 5 2 3 2 4 2" xfId="38939" xr:uid="{D72C3369-4B2B-44A2-91D0-B275C9444DD4}"/>
    <cellStyle name="Normal 11 3 2 2 5 2 3 2 4 2 2" xfId="38940" xr:uid="{B942448A-1E6C-4868-A156-74FB151AF412}"/>
    <cellStyle name="Normal 11 3 2 2 5 2 3 2 4 3" xfId="38941" xr:uid="{FA719E84-BD64-4E44-800D-647417C3EB7A}"/>
    <cellStyle name="Normal 11 3 2 2 5 2 3 2 5" xfId="38942" xr:uid="{10172E6A-7B28-44C1-8FC3-0EE69EA1B2FC}"/>
    <cellStyle name="Normal 11 3 2 2 5 2 3 2 5 2" xfId="38943" xr:uid="{20155CE0-84D6-4939-91FD-B7283664F540}"/>
    <cellStyle name="Normal 11 3 2 2 5 2 3 2 6" xfId="38944" xr:uid="{B88C4066-4BDA-4D85-9591-B6FE4B6882EC}"/>
    <cellStyle name="Normal 11 3 2 2 5 2 3 3" xfId="38945" xr:uid="{3057A3C7-7A0B-4753-81DB-81C872AF9D23}"/>
    <cellStyle name="Normal 11 3 2 2 5 2 3 3 2" xfId="38946" xr:uid="{0055392D-AD6F-4822-90E3-FEB8D959A4D2}"/>
    <cellStyle name="Normal 11 3 2 2 5 2 3 3 2 2" xfId="38947" xr:uid="{938377A9-E72C-4C94-929D-DBAF9E6100C9}"/>
    <cellStyle name="Normal 11 3 2 2 5 2 3 3 2 2 2" xfId="38948" xr:uid="{87CF8596-C5F8-41C4-AB2C-A28C6F149F86}"/>
    <cellStyle name="Normal 11 3 2 2 5 2 3 3 2 2 2 2" xfId="38949" xr:uid="{5726ED91-891E-470D-81DE-579E5DF14354}"/>
    <cellStyle name="Normal 11 3 2 2 5 2 3 3 2 2 3" xfId="38950" xr:uid="{2A6CE005-C2B9-4BDD-89BA-1912B4C259CB}"/>
    <cellStyle name="Normal 11 3 2 2 5 2 3 3 2 3" xfId="38951" xr:uid="{75667A3D-A327-48E4-BF8D-72CDEDE81BC0}"/>
    <cellStyle name="Normal 11 3 2 2 5 2 3 3 2 3 2" xfId="38952" xr:uid="{4309819F-B4B4-4BFD-9931-3AAEA57192FD}"/>
    <cellStyle name="Normal 11 3 2 2 5 2 3 3 2 4" xfId="38953" xr:uid="{ABF556D2-E8CC-467E-8309-042BB54CE86B}"/>
    <cellStyle name="Normal 11 3 2 2 5 2 3 3 3" xfId="38954" xr:uid="{43D36258-C5E6-44D8-89C5-20477413FF38}"/>
    <cellStyle name="Normal 11 3 2 2 5 2 3 3 3 2" xfId="38955" xr:uid="{2BD6A74C-FC0F-4772-82FF-02F6E766C187}"/>
    <cellStyle name="Normal 11 3 2 2 5 2 3 3 3 2 2" xfId="38956" xr:uid="{B0AB21C1-5F57-409C-8BB6-72D400244E68}"/>
    <cellStyle name="Normal 11 3 2 2 5 2 3 3 3 3" xfId="38957" xr:uid="{BD14447A-62CF-42EF-BBB0-9641F3C61043}"/>
    <cellStyle name="Normal 11 3 2 2 5 2 3 3 4" xfId="38958" xr:uid="{D886309D-7A37-4C93-AFC8-B1B3850E0831}"/>
    <cellStyle name="Normal 11 3 2 2 5 2 3 3 4 2" xfId="38959" xr:uid="{D38ED07D-2E52-4CE4-9422-2E801E09510A}"/>
    <cellStyle name="Normal 11 3 2 2 5 2 3 3 5" xfId="38960" xr:uid="{CD06E149-660E-48E7-82B9-C569ED2CF376}"/>
    <cellStyle name="Normal 11 3 2 2 5 2 3 4" xfId="38961" xr:uid="{B5BB6B00-996D-4565-B7BC-C6610FE807EE}"/>
    <cellStyle name="Normal 11 3 2 2 5 2 3 4 2" xfId="38962" xr:uid="{9C56C359-8419-46CF-B524-A0554379C486}"/>
    <cellStyle name="Normal 11 3 2 2 5 2 3 4 2 2" xfId="38963" xr:uid="{25A22F38-E6C1-4797-B320-792E3FD9C84A}"/>
    <cellStyle name="Normal 11 3 2 2 5 2 3 4 2 2 2" xfId="38964" xr:uid="{CFB5EA04-AED0-4967-A0EC-7AC4183FB02F}"/>
    <cellStyle name="Normal 11 3 2 2 5 2 3 4 2 3" xfId="38965" xr:uid="{4B592471-979F-443E-8C94-D9EEDD65FE70}"/>
    <cellStyle name="Normal 11 3 2 2 5 2 3 4 3" xfId="38966" xr:uid="{4C1F654B-BD15-4174-85DD-4768AD6847EA}"/>
    <cellStyle name="Normal 11 3 2 2 5 2 3 4 3 2" xfId="38967" xr:uid="{19F1CE09-D23B-42B1-B719-5175576F4984}"/>
    <cellStyle name="Normal 11 3 2 2 5 2 3 4 4" xfId="38968" xr:uid="{97AC6F6C-7AE0-48EA-BD9D-571E8E6E38EF}"/>
    <cellStyle name="Normal 11 3 2 2 5 2 3 5" xfId="38969" xr:uid="{C18E2C98-4249-4763-A0D2-74A3A3D01F91}"/>
    <cellStyle name="Normal 11 3 2 2 5 2 3 5 2" xfId="38970" xr:uid="{4637AB87-1E32-4EBA-90FA-B2C397C2E538}"/>
    <cellStyle name="Normal 11 3 2 2 5 2 3 5 2 2" xfId="38971" xr:uid="{772E245E-139B-4BF1-A77D-4DF45F3153D1}"/>
    <cellStyle name="Normal 11 3 2 2 5 2 3 5 3" xfId="38972" xr:uid="{EADE4989-0254-4D27-94C6-AD29BB8335EE}"/>
    <cellStyle name="Normal 11 3 2 2 5 2 3 6" xfId="38973" xr:uid="{AFE08946-B3D1-42E3-B504-8F863EED3CC1}"/>
    <cellStyle name="Normal 11 3 2 2 5 2 3 6 2" xfId="38974" xr:uid="{D8B4665C-3E65-4FD9-AFB0-9F6A07BCF330}"/>
    <cellStyle name="Normal 11 3 2 2 5 2 3 7" xfId="38975" xr:uid="{FA51FF6B-41D6-4C6A-9F28-B5B3593D327D}"/>
    <cellStyle name="Normal 11 3 2 2 5 2 4" xfId="38976" xr:uid="{3FD093AD-D31B-45F9-8466-9FCD86A33045}"/>
    <cellStyle name="Normal 11 3 2 2 5 2 4 2" xfId="38977" xr:uid="{124B6D41-AC83-4A1E-9025-42824D501B39}"/>
    <cellStyle name="Normal 11 3 2 2 5 2 4 2 2" xfId="38978" xr:uid="{81B43068-03F8-476B-9935-68373FD2569F}"/>
    <cellStyle name="Normal 11 3 2 2 5 2 4 2 2 2" xfId="38979" xr:uid="{E571860F-DFE0-4D85-A89E-77F0F72DE961}"/>
    <cellStyle name="Normal 11 3 2 2 5 2 4 2 2 2 2" xfId="38980" xr:uid="{1765B41F-8F42-4A9A-BDAA-DB7817F1AB9D}"/>
    <cellStyle name="Normal 11 3 2 2 5 2 4 2 2 2 2 2" xfId="38981" xr:uid="{F5C59DC0-E880-484F-B15C-CE38366CF001}"/>
    <cellStyle name="Normal 11 3 2 2 5 2 4 2 2 2 3" xfId="38982" xr:uid="{0309B4CD-3C3F-46BB-8D16-A04C57E41BFD}"/>
    <cellStyle name="Normal 11 3 2 2 5 2 4 2 2 3" xfId="38983" xr:uid="{26C90213-8B70-4A1D-B6D6-D234584D5DBD}"/>
    <cellStyle name="Normal 11 3 2 2 5 2 4 2 2 3 2" xfId="38984" xr:uid="{BEF63602-C727-4416-9290-660F2E71E40D}"/>
    <cellStyle name="Normal 11 3 2 2 5 2 4 2 2 4" xfId="38985" xr:uid="{1660CEE4-7A16-4AC3-8E18-F6A678EB0DDB}"/>
    <cellStyle name="Normal 11 3 2 2 5 2 4 2 3" xfId="38986" xr:uid="{FF1EB478-2D4D-430B-AF25-03B3CE3FA2B1}"/>
    <cellStyle name="Normal 11 3 2 2 5 2 4 2 3 2" xfId="38987" xr:uid="{CE705257-0CD1-44DC-BDED-F3D4C0D51738}"/>
    <cellStyle name="Normal 11 3 2 2 5 2 4 2 3 2 2" xfId="38988" xr:uid="{59F87ABF-797E-44AF-8401-CCF6D11D44BA}"/>
    <cellStyle name="Normal 11 3 2 2 5 2 4 2 3 3" xfId="38989" xr:uid="{30FEDD14-BC14-42D6-BA01-7A3389D0B289}"/>
    <cellStyle name="Normal 11 3 2 2 5 2 4 2 4" xfId="38990" xr:uid="{48B8249B-8194-43CC-BED3-AC7F76690BBF}"/>
    <cellStyle name="Normal 11 3 2 2 5 2 4 2 4 2" xfId="38991" xr:uid="{541BF397-B531-48CD-AE2A-67D942FAFAED}"/>
    <cellStyle name="Normal 11 3 2 2 5 2 4 2 5" xfId="38992" xr:uid="{AE21232E-C962-4C61-AEBE-4133C1714328}"/>
    <cellStyle name="Normal 11 3 2 2 5 2 4 3" xfId="38993" xr:uid="{6A8F0B4C-D526-4D55-8C1C-4E5A334203EA}"/>
    <cellStyle name="Normal 11 3 2 2 5 2 4 3 2" xfId="38994" xr:uid="{F9C7D547-59D8-44F6-9527-0A1ABD2AB0FD}"/>
    <cellStyle name="Normal 11 3 2 2 5 2 4 3 2 2" xfId="38995" xr:uid="{002BA1C7-65B1-48F9-B43B-E7B7EABCEFA8}"/>
    <cellStyle name="Normal 11 3 2 2 5 2 4 3 2 2 2" xfId="38996" xr:uid="{89C405FF-C2B3-48DF-9DA2-22EF8F60A070}"/>
    <cellStyle name="Normal 11 3 2 2 5 2 4 3 2 3" xfId="38997" xr:uid="{F6BDAA8D-1272-444D-AF46-3A206AA07D6A}"/>
    <cellStyle name="Normal 11 3 2 2 5 2 4 3 3" xfId="38998" xr:uid="{9A3D57A9-FA79-48A6-BD72-1959DBC32188}"/>
    <cellStyle name="Normal 11 3 2 2 5 2 4 3 3 2" xfId="38999" xr:uid="{CFF32BB7-B899-4FC2-AB54-0AD4D67B1F89}"/>
    <cellStyle name="Normal 11 3 2 2 5 2 4 3 4" xfId="39000" xr:uid="{39290305-17E5-4B2F-A4A1-9F30CF46658A}"/>
    <cellStyle name="Normal 11 3 2 2 5 2 4 4" xfId="39001" xr:uid="{4819034D-6926-46E9-8203-3B0C32A42B37}"/>
    <cellStyle name="Normal 11 3 2 2 5 2 4 4 2" xfId="39002" xr:uid="{B6B65B18-6AE4-47D2-9EAD-AC4042BC5B95}"/>
    <cellStyle name="Normal 11 3 2 2 5 2 4 4 2 2" xfId="39003" xr:uid="{2FF30B86-3B6A-4D75-BA1D-205572087362}"/>
    <cellStyle name="Normal 11 3 2 2 5 2 4 4 3" xfId="39004" xr:uid="{E27AAA48-4E68-45CB-926C-1AD076C5D697}"/>
    <cellStyle name="Normal 11 3 2 2 5 2 4 5" xfId="39005" xr:uid="{15703FD0-0D09-47F2-9743-8EDD9EC5B8E1}"/>
    <cellStyle name="Normal 11 3 2 2 5 2 4 5 2" xfId="39006" xr:uid="{BDDCEB8B-2FE5-4CAD-A191-E4C03F7A0372}"/>
    <cellStyle name="Normal 11 3 2 2 5 2 4 6" xfId="39007" xr:uid="{4D217B11-DBD2-4819-B1D7-7D73FD8C4519}"/>
    <cellStyle name="Normal 11 3 2 2 5 2 5" xfId="39008" xr:uid="{3FD987E2-CF0D-488F-912B-47B60FF831E1}"/>
    <cellStyle name="Normal 11 3 2 2 5 2 5 2" xfId="39009" xr:uid="{E769B881-913B-4AFF-947A-7AB48D4100CF}"/>
    <cellStyle name="Normal 11 3 2 2 5 2 5 2 2" xfId="39010" xr:uid="{3361967C-DCE0-4196-A85A-BCB787C1E451}"/>
    <cellStyle name="Normal 11 3 2 2 5 2 5 2 2 2" xfId="39011" xr:uid="{67F2D506-67E5-44BD-A136-D09865718706}"/>
    <cellStyle name="Normal 11 3 2 2 5 2 5 2 2 2 2" xfId="39012" xr:uid="{98A532CB-0200-4FFA-B85B-8C06EF6CF2D2}"/>
    <cellStyle name="Normal 11 3 2 2 5 2 5 2 2 3" xfId="39013" xr:uid="{8CC13F5E-9018-4F65-8E19-162C803D9775}"/>
    <cellStyle name="Normal 11 3 2 2 5 2 5 2 3" xfId="39014" xr:uid="{EB39392C-A11F-4C07-8836-67AA371BFFFE}"/>
    <cellStyle name="Normal 11 3 2 2 5 2 5 2 3 2" xfId="39015" xr:uid="{ED77A2FA-97CC-4133-8FCB-FA10A3641B79}"/>
    <cellStyle name="Normal 11 3 2 2 5 2 5 2 4" xfId="39016" xr:uid="{E4BC3492-5054-4AA0-811F-C40BC63B8992}"/>
    <cellStyle name="Normal 11 3 2 2 5 2 5 3" xfId="39017" xr:uid="{B53B47CC-56DE-4473-B7B2-EAA85970F99E}"/>
    <cellStyle name="Normal 11 3 2 2 5 2 5 3 2" xfId="39018" xr:uid="{B2DDE0EA-B6E2-424D-82E6-AD82F03C69CE}"/>
    <cellStyle name="Normal 11 3 2 2 5 2 5 3 2 2" xfId="39019" xr:uid="{7DEB07ED-87D5-46B3-8B68-F655CD1DADAE}"/>
    <cellStyle name="Normal 11 3 2 2 5 2 5 3 3" xfId="39020" xr:uid="{6D21E04C-9555-4BC8-9D02-FAA81963750C}"/>
    <cellStyle name="Normal 11 3 2 2 5 2 5 4" xfId="39021" xr:uid="{1B563AB9-1C25-45A3-8DDE-D6F5153872C4}"/>
    <cellStyle name="Normal 11 3 2 2 5 2 5 4 2" xfId="39022" xr:uid="{48DD4A51-D34E-4C95-B0CC-94F9134F8E08}"/>
    <cellStyle name="Normal 11 3 2 2 5 2 5 5" xfId="39023" xr:uid="{9B45EE40-6EBC-4E8E-8DA9-19F859CF0B58}"/>
    <cellStyle name="Normal 11 3 2 2 5 2 6" xfId="39024" xr:uid="{1A1B43A4-48E9-417A-AD19-A4A355BA03E3}"/>
    <cellStyle name="Normal 11 3 2 2 5 2 6 2" xfId="39025" xr:uid="{689520DD-235B-4E58-A72C-457FF2E6C624}"/>
    <cellStyle name="Normal 11 3 2 2 5 2 6 2 2" xfId="39026" xr:uid="{38527C02-43F7-445D-8F4F-FF186C268289}"/>
    <cellStyle name="Normal 11 3 2 2 5 2 6 2 2 2" xfId="39027" xr:uid="{9FF1B1BD-3D97-43BC-AF56-9BF9009F413C}"/>
    <cellStyle name="Normal 11 3 2 2 5 2 6 2 3" xfId="39028" xr:uid="{DDA6F50F-4D7F-4497-BB68-CEA02F37DD91}"/>
    <cellStyle name="Normal 11 3 2 2 5 2 6 3" xfId="39029" xr:uid="{E239BD2C-08DD-4680-9A4D-6F12068881C0}"/>
    <cellStyle name="Normal 11 3 2 2 5 2 6 3 2" xfId="39030" xr:uid="{7CE4D5B4-0E83-4A13-82F0-393BCEE90547}"/>
    <cellStyle name="Normal 11 3 2 2 5 2 6 4" xfId="39031" xr:uid="{FAC46E2D-AD57-4409-A173-E4566898A9EA}"/>
    <cellStyle name="Normal 11 3 2 2 5 2 7" xfId="39032" xr:uid="{CAB96394-D51E-4020-9551-C19A0708FD5C}"/>
    <cellStyle name="Normal 11 3 2 2 5 2 7 2" xfId="39033" xr:uid="{737DDB45-C3E4-4F32-9E86-F5E933D895C0}"/>
    <cellStyle name="Normal 11 3 2 2 5 2 7 2 2" xfId="39034" xr:uid="{08D7CB23-C0B3-419E-A192-56181E223520}"/>
    <cellStyle name="Normal 11 3 2 2 5 2 7 3" xfId="39035" xr:uid="{57BBA106-5184-42C8-9F8F-B65F96B2B690}"/>
    <cellStyle name="Normal 11 3 2 2 5 2 8" xfId="39036" xr:uid="{CBE287C1-D992-4DF0-9BC3-C5B779B3D075}"/>
    <cellStyle name="Normal 11 3 2 2 5 2 8 2" xfId="39037" xr:uid="{9DF8EBFF-824E-4087-80D3-6624BCFFCB3A}"/>
    <cellStyle name="Normal 11 3 2 2 5 2 9" xfId="39038" xr:uid="{A30FCEA8-E568-46A2-A73F-19D70B6C5893}"/>
    <cellStyle name="Normal 11 3 2 2 5 3" xfId="516" xr:uid="{D6C3B6C0-6A2C-4C48-A988-96D53B566F4C}"/>
    <cellStyle name="Normal 11 3 2 2 5 3 2" xfId="39040" xr:uid="{A0A3B1A6-DB9B-47A3-A702-953EB6154569}"/>
    <cellStyle name="Normal 11 3 2 2 5 3 2 2" xfId="39041" xr:uid="{5FFAE814-3A1D-4055-AB3D-AA1C9DE298FE}"/>
    <cellStyle name="Normal 11 3 2 2 5 3 2 2 2" xfId="39042" xr:uid="{98C8F6AB-244F-457F-A75A-6B16A8E2227E}"/>
    <cellStyle name="Normal 11 3 2 2 5 3 2 2 2 2" xfId="39043" xr:uid="{3653C801-E6F0-42C3-958A-C4A832EDA713}"/>
    <cellStyle name="Normal 11 3 2 2 5 3 2 2 2 2 2" xfId="39044" xr:uid="{937F0932-55C7-4E15-997C-EA0F8136546A}"/>
    <cellStyle name="Normal 11 3 2 2 5 3 2 2 2 2 2 2" xfId="39045" xr:uid="{EBEC8327-559A-487A-B45F-2A7874DFA1B2}"/>
    <cellStyle name="Normal 11 3 2 2 5 3 2 2 2 2 2 2 2" xfId="39046" xr:uid="{39D9D505-4A99-421B-BD00-EEEFD4D120EB}"/>
    <cellStyle name="Normal 11 3 2 2 5 3 2 2 2 2 2 3" xfId="39047" xr:uid="{99AD72DC-EB64-4E3C-8996-C6BADCD1AC06}"/>
    <cellStyle name="Normal 11 3 2 2 5 3 2 2 2 2 3" xfId="39048" xr:uid="{D925D7A5-356B-41FD-94F7-84A90F9ACCFC}"/>
    <cellStyle name="Normal 11 3 2 2 5 3 2 2 2 2 3 2" xfId="39049" xr:uid="{EFB14777-EFA6-499D-A995-5E1598CB8695}"/>
    <cellStyle name="Normal 11 3 2 2 5 3 2 2 2 2 4" xfId="39050" xr:uid="{D6180CAE-E999-479E-895B-16F3E3B5E387}"/>
    <cellStyle name="Normal 11 3 2 2 5 3 2 2 2 3" xfId="39051" xr:uid="{0251C912-93DC-437F-A411-8CC72710009D}"/>
    <cellStyle name="Normal 11 3 2 2 5 3 2 2 2 3 2" xfId="39052" xr:uid="{D3AF46C0-9E41-414D-826F-52DA604D5CA4}"/>
    <cellStyle name="Normal 11 3 2 2 5 3 2 2 2 3 2 2" xfId="39053" xr:uid="{6BCD8182-5E3F-48F3-89A7-8ABC56759836}"/>
    <cellStyle name="Normal 11 3 2 2 5 3 2 2 2 3 3" xfId="39054" xr:uid="{50984327-50D3-4817-B981-703BC73CAD94}"/>
    <cellStyle name="Normal 11 3 2 2 5 3 2 2 2 4" xfId="39055" xr:uid="{843DD460-75CD-4B86-A44B-E480C2555CEB}"/>
    <cellStyle name="Normal 11 3 2 2 5 3 2 2 2 4 2" xfId="39056" xr:uid="{56748FFB-4664-4C68-94FE-82F2ADB99098}"/>
    <cellStyle name="Normal 11 3 2 2 5 3 2 2 2 5" xfId="39057" xr:uid="{1E880276-8E1D-46F0-8F9D-61274F79D6F3}"/>
    <cellStyle name="Normal 11 3 2 2 5 3 2 2 3" xfId="39058" xr:uid="{66FCABBB-DB33-4512-A2DE-5D3260E63F40}"/>
    <cellStyle name="Normal 11 3 2 2 5 3 2 2 3 2" xfId="39059" xr:uid="{87CB6F89-131A-4E32-B4F6-6940AE19EE2C}"/>
    <cellStyle name="Normal 11 3 2 2 5 3 2 2 3 2 2" xfId="39060" xr:uid="{ABD557B7-7ED0-45EB-83BC-88DAE24EC108}"/>
    <cellStyle name="Normal 11 3 2 2 5 3 2 2 3 2 2 2" xfId="39061" xr:uid="{32F3CA06-4B65-4A08-8F23-02705C45720A}"/>
    <cellStyle name="Normal 11 3 2 2 5 3 2 2 3 2 3" xfId="39062" xr:uid="{21BBABBB-F36A-439F-B17D-6C5A68B5281B}"/>
    <cellStyle name="Normal 11 3 2 2 5 3 2 2 3 3" xfId="39063" xr:uid="{B0D80AE7-E3BA-4AD5-9564-82531B6A192E}"/>
    <cellStyle name="Normal 11 3 2 2 5 3 2 2 3 3 2" xfId="39064" xr:uid="{786776C7-ACBC-481E-80E0-0429859796F2}"/>
    <cellStyle name="Normal 11 3 2 2 5 3 2 2 3 4" xfId="39065" xr:uid="{E6C9BF7F-F4CC-43EF-9683-CD6802B6D71B}"/>
    <cellStyle name="Normal 11 3 2 2 5 3 2 2 4" xfId="39066" xr:uid="{8E7DBC3C-51CB-4CF2-BE57-F0568653F0C2}"/>
    <cellStyle name="Normal 11 3 2 2 5 3 2 2 4 2" xfId="39067" xr:uid="{0E78A85D-6F90-4ADC-A918-312F2AD50D22}"/>
    <cellStyle name="Normal 11 3 2 2 5 3 2 2 4 2 2" xfId="39068" xr:uid="{E22A7F24-689A-449D-88D8-43EBD23FFE17}"/>
    <cellStyle name="Normal 11 3 2 2 5 3 2 2 4 3" xfId="39069" xr:uid="{FDC61A49-3414-4AD7-AE57-374741BAD8A4}"/>
    <cellStyle name="Normal 11 3 2 2 5 3 2 2 5" xfId="39070" xr:uid="{0231BB83-B1FB-4B5A-8820-D8001833533D}"/>
    <cellStyle name="Normal 11 3 2 2 5 3 2 2 5 2" xfId="39071" xr:uid="{AD135DFA-00C8-4F00-A97C-F05F62F58C23}"/>
    <cellStyle name="Normal 11 3 2 2 5 3 2 2 6" xfId="39072" xr:uid="{5D24549A-2F3F-4D76-93D7-9D3376B99BC0}"/>
    <cellStyle name="Normal 11 3 2 2 5 3 2 3" xfId="39073" xr:uid="{C168A888-4D3B-4BE9-B281-AAA2386C682F}"/>
    <cellStyle name="Normal 11 3 2 2 5 3 2 3 2" xfId="39074" xr:uid="{E5AD3387-E185-4C99-855F-5CE9D4FD0228}"/>
    <cellStyle name="Normal 11 3 2 2 5 3 2 3 2 2" xfId="39075" xr:uid="{7CA91B8E-038B-40C1-A0D7-5F121C77644E}"/>
    <cellStyle name="Normal 11 3 2 2 5 3 2 3 2 2 2" xfId="39076" xr:uid="{CDD24C54-185A-482C-92FB-9F752E61BD90}"/>
    <cellStyle name="Normal 11 3 2 2 5 3 2 3 2 2 2 2" xfId="39077" xr:uid="{DD962A2D-ED43-43C2-AD6A-26B5547F2CE3}"/>
    <cellStyle name="Normal 11 3 2 2 5 3 2 3 2 2 3" xfId="39078" xr:uid="{7CA60AFD-6F83-455C-972C-727D996679F0}"/>
    <cellStyle name="Normal 11 3 2 2 5 3 2 3 2 3" xfId="39079" xr:uid="{32813B31-C6F4-4F65-8FB8-DF1D8992C064}"/>
    <cellStyle name="Normal 11 3 2 2 5 3 2 3 2 3 2" xfId="39080" xr:uid="{D070AEE8-61FB-40B6-8B0A-89F7E9C3BE18}"/>
    <cellStyle name="Normal 11 3 2 2 5 3 2 3 2 4" xfId="39081" xr:uid="{4041AC9B-E781-4619-A273-97552D4517A0}"/>
    <cellStyle name="Normal 11 3 2 2 5 3 2 3 3" xfId="39082" xr:uid="{9D021717-1722-4F30-85C1-F89A39284AF7}"/>
    <cellStyle name="Normal 11 3 2 2 5 3 2 3 3 2" xfId="39083" xr:uid="{B20F371F-E4B9-49A8-9E4F-7C0073450204}"/>
    <cellStyle name="Normal 11 3 2 2 5 3 2 3 3 2 2" xfId="39084" xr:uid="{31B834E5-41FE-42FE-A7E8-87B7E1CDDE0C}"/>
    <cellStyle name="Normal 11 3 2 2 5 3 2 3 3 3" xfId="39085" xr:uid="{E7F3A4BA-D7CF-4B1E-ADFA-53BB4AE4F17D}"/>
    <cellStyle name="Normal 11 3 2 2 5 3 2 3 4" xfId="39086" xr:uid="{D1B5D306-7B10-4F4E-9A0E-C5D82FFD613C}"/>
    <cellStyle name="Normal 11 3 2 2 5 3 2 3 4 2" xfId="39087" xr:uid="{A1AE28DC-F197-4937-9BA8-B58ECE39CC82}"/>
    <cellStyle name="Normal 11 3 2 2 5 3 2 3 5" xfId="39088" xr:uid="{F99CC7F3-81A8-49CF-96DD-601468869B5C}"/>
    <cellStyle name="Normal 11 3 2 2 5 3 2 4" xfId="39089" xr:uid="{E4EDF134-39D1-46E1-9410-BDE94594AB32}"/>
    <cellStyle name="Normal 11 3 2 2 5 3 2 4 2" xfId="39090" xr:uid="{2DC9F730-A0B8-40D6-88EC-B33DB274C6E2}"/>
    <cellStyle name="Normal 11 3 2 2 5 3 2 4 2 2" xfId="39091" xr:uid="{77CB0300-A919-4353-8412-C4E2DD004D98}"/>
    <cellStyle name="Normal 11 3 2 2 5 3 2 4 2 2 2" xfId="39092" xr:uid="{544FEA7F-4138-4D9A-8272-08A1ECA9041C}"/>
    <cellStyle name="Normal 11 3 2 2 5 3 2 4 2 3" xfId="39093" xr:uid="{CBF45297-243A-477A-A430-357584FA1392}"/>
    <cellStyle name="Normal 11 3 2 2 5 3 2 4 3" xfId="39094" xr:uid="{A851E620-036E-458C-8EA8-BA2C920A268A}"/>
    <cellStyle name="Normal 11 3 2 2 5 3 2 4 3 2" xfId="39095" xr:uid="{D06A5304-A670-4242-8E8E-B573F023228D}"/>
    <cellStyle name="Normal 11 3 2 2 5 3 2 4 4" xfId="39096" xr:uid="{F0C89474-5AC1-4309-9A9D-A39147728920}"/>
    <cellStyle name="Normal 11 3 2 2 5 3 2 5" xfId="39097" xr:uid="{1A38D788-16CA-4707-B465-DDABC78ECE4D}"/>
    <cellStyle name="Normal 11 3 2 2 5 3 2 5 2" xfId="39098" xr:uid="{03CC9929-D698-40C5-8026-0185DAB812FF}"/>
    <cellStyle name="Normal 11 3 2 2 5 3 2 5 2 2" xfId="39099" xr:uid="{161D6619-FB28-443C-9D55-F3DCE50030C7}"/>
    <cellStyle name="Normal 11 3 2 2 5 3 2 5 3" xfId="39100" xr:uid="{B82F9047-1B1F-46C6-AC41-DB9E3C136FB5}"/>
    <cellStyle name="Normal 11 3 2 2 5 3 2 6" xfId="39101" xr:uid="{FA6456DC-8A99-4AA0-9D37-25A478BF4D37}"/>
    <cellStyle name="Normal 11 3 2 2 5 3 2 6 2" xfId="39102" xr:uid="{CD33EC51-9742-49E2-AE59-F93580DD682F}"/>
    <cellStyle name="Normal 11 3 2 2 5 3 2 7" xfId="39103" xr:uid="{035E1044-8F1D-4BD0-AB84-4779BE099327}"/>
    <cellStyle name="Normal 11 3 2 2 5 3 3" xfId="39104" xr:uid="{3CB341E6-FD68-4593-BBB7-F92BD49952AD}"/>
    <cellStyle name="Normal 11 3 2 2 5 3 3 2" xfId="39105" xr:uid="{66F62C6B-AD7E-40B3-8640-AEC51F8A9735}"/>
    <cellStyle name="Normal 11 3 2 2 5 3 3 2 2" xfId="39106" xr:uid="{BCBFC670-F508-45C3-816B-53FD87C328B0}"/>
    <cellStyle name="Normal 11 3 2 2 5 3 3 2 2 2" xfId="39107" xr:uid="{817735ED-ABCE-46D3-B829-B725EF14E10C}"/>
    <cellStyle name="Normal 11 3 2 2 5 3 3 2 2 2 2" xfId="39108" xr:uid="{75E4A329-B6C4-4E00-A6FA-DC54FA6F1EFE}"/>
    <cellStyle name="Normal 11 3 2 2 5 3 3 2 2 2 2 2" xfId="39109" xr:uid="{1C09535E-6F18-4F33-8C7A-EF00CD2607D0}"/>
    <cellStyle name="Normal 11 3 2 2 5 3 3 2 2 2 3" xfId="39110" xr:uid="{BAFC934D-D0D3-430C-B2B2-377985561EE4}"/>
    <cellStyle name="Normal 11 3 2 2 5 3 3 2 2 3" xfId="39111" xr:uid="{BDA5FB55-BD2D-4854-9F7A-2BD22DE05DD4}"/>
    <cellStyle name="Normal 11 3 2 2 5 3 3 2 2 3 2" xfId="39112" xr:uid="{60A6F30B-C6E4-4D7B-8F7F-4B217AC68481}"/>
    <cellStyle name="Normal 11 3 2 2 5 3 3 2 2 4" xfId="39113" xr:uid="{C722C98A-844A-4EC3-845F-7109F7D941F6}"/>
    <cellStyle name="Normal 11 3 2 2 5 3 3 2 3" xfId="39114" xr:uid="{77F3CFA1-FD91-4B3B-A969-4BF94E9C5DBA}"/>
    <cellStyle name="Normal 11 3 2 2 5 3 3 2 3 2" xfId="39115" xr:uid="{9BE90E4A-3D67-45D8-BC84-D808173B136C}"/>
    <cellStyle name="Normal 11 3 2 2 5 3 3 2 3 2 2" xfId="39116" xr:uid="{99269667-6F00-41C1-9D51-734E497B7B42}"/>
    <cellStyle name="Normal 11 3 2 2 5 3 3 2 3 3" xfId="39117" xr:uid="{ED3A24CC-8D4A-42C9-B0F8-0D52C6CE3B77}"/>
    <cellStyle name="Normal 11 3 2 2 5 3 3 2 4" xfId="39118" xr:uid="{B5FC72F2-C398-46D1-8A69-4FF60AA61D17}"/>
    <cellStyle name="Normal 11 3 2 2 5 3 3 2 4 2" xfId="39119" xr:uid="{A220189E-3E83-4104-85C6-1A04CB4284B2}"/>
    <cellStyle name="Normal 11 3 2 2 5 3 3 2 5" xfId="39120" xr:uid="{239689DA-F002-4EF8-A880-811F87BFF873}"/>
    <cellStyle name="Normal 11 3 2 2 5 3 3 3" xfId="39121" xr:uid="{228D6D6C-BB8B-4B64-94C4-ACD7D744992A}"/>
    <cellStyle name="Normal 11 3 2 2 5 3 3 3 2" xfId="39122" xr:uid="{6A1D0FC0-637E-4F28-A37E-BAB6F3475C95}"/>
    <cellStyle name="Normal 11 3 2 2 5 3 3 3 2 2" xfId="39123" xr:uid="{760E7957-4A14-4C10-9CC3-9102EB4FBCFE}"/>
    <cellStyle name="Normal 11 3 2 2 5 3 3 3 2 2 2" xfId="39124" xr:uid="{291E0566-6042-461A-9C0B-2B4A494D8EEC}"/>
    <cellStyle name="Normal 11 3 2 2 5 3 3 3 2 3" xfId="39125" xr:uid="{1AB76E1F-41E3-43EC-B62B-C17D655A77C3}"/>
    <cellStyle name="Normal 11 3 2 2 5 3 3 3 3" xfId="39126" xr:uid="{9A9BC20B-31A1-480B-814D-C85FC573E8DC}"/>
    <cellStyle name="Normal 11 3 2 2 5 3 3 3 3 2" xfId="39127" xr:uid="{0F586479-D199-44E8-87E1-8E8B8C565A25}"/>
    <cellStyle name="Normal 11 3 2 2 5 3 3 3 4" xfId="39128" xr:uid="{CE4C471C-F77C-47E3-834C-F035A9780AB7}"/>
    <cellStyle name="Normal 11 3 2 2 5 3 3 4" xfId="39129" xr:uid="{34B0069B-C3D3-4038-B7B9-BCA6067631C6}"/>
    <cellStyle name="Normal 11 3 2 2 5 3 3 4 2" xfId="39130" xr:uid="{4D161BED-B700-4ACC-997A-202511B0DA70}"/>
    <cellStyle name="Normal 11 3 2 2 5 3 3 4 2 2" xfId="39131" xr:uid="{BC037CA4-DBBE-43FB-805B-1EA0748B951D}"/>
    <cellStyle name="Normal 11 3 2 2 5 3 3 4 3" xfId="39132" xr:uid="{CF57801A-CD9A-42F7-99F7-C0664FF00B11}"/>
    <cellStyle name="Normal 11 3 2 2 5 3 3 5" xfId="39133" xr:uid="{FF3564B6-F335-42B7-B2D1-44AAB2525282}"/>
    <cellStyle name="Normal 11 3 2 2 5 3 3 5 2" xfId="39134" xr:uid="{9DB4F9AF-BEC9-4938-9729-2092AC5A9A53}"/>
    <cellStyle name="Normal 11 3 2 2 5 3 3 6" xfId="39135" xr:uid="{DD6552FC-C0B3-4E27-8B6D-48D29868DB4D}"/>
    <cellStyle name="Normal 11 3 2 2 5 3 4" xfId="39136" xr:uid="{DCBAB7B5-B2E2-4910-AA4F-6EDF30B6A8FF}"/>
    <cellStyle name="Normal 11 3 2 2 5 3 4 2" xfId="39137" xr:uid="{BE02450E-9C6F-4841-92CC-5121B35F4D53}"/>
    <cellStyle name="Normal 11 3 2 2 5 3 4 2 2" xfId="39138" xr:uid="{2A2FFA88-E2D7-4D6B-A272-FE2B07D9E705}"/>
    <cellStyle name="Normal 11 3 2 2 5 3 4 2 2 2" xfId="39139" xr:uid="{68505754-0041-4F93-8B55-0F325969B626}"/>
    <cellStyle name="Normal 11 3 2 2 5 3 4 2 2 2 2" xfId="39140" xr:uid="{48528B11-D567-4B09-9F05-7B6DD8D7CDF7}"/>
    <cellStyle name="Normal 11 3 2 2 5 3 4 2 2 3" xfId="39141" xr:uid="{0C492C0D-7CCE-43F9-9E14-1F97625D0C6A}"/>
    <cellStyle name="Normal 11 3 2 2 5 3 4 2 3" xfId="39142" xr:uid="{2A09F606-2D77-445C-A982-770F63DBB4F1}"/>
    <cellStyle name="Normal 11 3 2 2 5 3 4 2 3 2" xfId="39143" xr:uid="{04D7DAE5-2F45-40BA-B041-02FCA4043807}"/>
    <cellStyle name="Normal 11 3 2 2 5 3 4 2 4" xfId="39144" xr:uid="{5A595502-12A5-4D15-B1FA-D4161463F9D8}"/>
    <cellStyle name="Normal 11 3 2 2 5 3 4 3" xfId="39145" xr:uid="{001D6780-B62D-421E-B57E-64E5E4935D18}"/>
    <cellStyle name="Normal 11 3 2 2 5 3 4 3 2" xfId="39146" xr:uid="{CF3BBE02-64B3-49CF-9FE9-E78B59E3B4C0}"/>
    <cellStyle name="Normal 11 3 2 2 5 3 4 3 2 2" xfId="39147" xr:uid="{D61CD91D-7C78-4B16-B49F-8C4145CA62B0}"/>
    <cellStyle name="Normal 11 3 2 2 5 3 4 3 3" xfId="39148" xr:uid="{CF090094-46B5-49B2-8A8E-A1777CE4A93F}"/>
    <cellStyle name="Normal 11 3 2 2 5 3 4 4" xfId="39149" xr:uid="{61577296-E343-4E79-8961-DB2FA463FA79}"/>
    <cellStyle name="Normal 11 3 2 2 5 3 4 4 2" xfId="39150" xr:uid="{9AEED5E8-5A89-47C3-ACFE-328F88AA6A52}"/>
    <cellStyle name="Normal 11 3 2 2 5 3 4 5" xfId="39151" xr:uid="{23773C12-A8DA-4977-A142-EB87CDCA7C40}"/>
    <cellStyle name="Normal 11 3 2 2 5 3 5" xfId="39152" xr:uid="{B9D675D1-939B-4E5D-A103-D5E8BFDCBCEE}"/>
    <cellStyle name="Normal 11 3 2 2 5 3 5 2" xfId="39153" xr:uid="{C72FEDE8-9153-49DB-B55C-7523DA2FE4F1}"/>
    <cellStyle name="Normal 11 3 2 2 5 3 5 2 2" xfId="39154" xr:uid="{D2395C11-523B-4D85-A0FB-E29ADE482002}"/>
    <cellStyle name="Normal 11 3 2 2 5 3 5 2 2 2" xfId="39155" xr:uid="{7C2A6AB4-7F46-4059-912E-321A63BC99BF}"/>
    <cellStyle name="Normal 11 3 2 2 5 3 5 2 3" xfId="39156" xr:uid="{0EB6135F-8BA3-46F6-AAE5-56F2D66B5B98}"/>
    <cellStyle name="Normal 11 3 2 2 5 3 5 3" xfId="39157" xr:uid="{799A7D92-C182-4347-A519-AD82E78626F1}"/>
    <cellStyle name="Normal 11 3 2 2 5 3 5 3 2" xfId="39158" xr:uid="{CBB12EB8-EDE3-43E2-8F85-DF7CD4808093}"/>
    <cellStyle name="Normal 11 3 2 2 5 3 5 4" xfId="39159" xr:uid="{49C7B711-65AC-418E-B821-A97DAB9AEAE3}"/>
    <cellStyle name="Normal 11 3 2 2 5 3 6" xfId="39160" xr:uid="{04BF21C1-9610-4E31-9A2E-10F5F93B4D47}"/>
    <cellStyle name="Normal 11 3 2 2 5 3 6 2" xfId="39161" xr:uid="{5685DEA8-F1B1-40C1-B961-C447AEBF886E}"/>
    <cellStyle name="Normal 11 3 2 2 5 3 6 2 2" xfId="39162" xr:uid="{AB8752FA-6CE8-4188-BE45-76C65698729F}"/>
    <cellStyle name="Normal 11 3 2 2 5 3 6 3" xfId="39163" xr:uid="{38AF05F4-D261-4EC7-992B-7438014EEC53}"/>
    <cellStyle name="Normal 11 3 2 2 5 3 7" xfId="39164" xr:uid="{BE363E0D-7B9E-45A3-8A4C-BFA7E458BBB8}"/>
    <cellStyle name="Normal 11 3 2 2 5 3 7 2" xfId="39165" xr:uid="{258762C6-34CF-4A53-894A-A2E0F8798032}"/>
    <cellStyle name="Normal 11 3 2 2 5 3 8" xfId="39166" xr:uid="{BBD98C4C-A301-4B34-A0C4-0099149F69F7}"/>
    <cellStyle name="Normal 11 3 2 2 5 3 9" xfId="39039" xr:uid="{4836F9BE-B8BB-4B72-8BE2-52F40887CD12}"/>
    <cellStyle name="Normal 11 3 2 2 5 4" xfId="39167" xr:uid="{F8D75B95-7A9F-4032-AF09-720C2875D41D}"/>
    <cellStyle name="Normal 11 3 2 2 5 4 2" xfId="39168" xr:uid="{B0A365A0-FB7A-497E-93E7-758A4EE603A2}"/>
    <cellStyle name="Normal 11 3 2 2 5 4 2 2" xfId="39169" xr:uid="{E513C27D-70E1-4793-8024-A7487142F8DD}"/>
    <cellStyle name="Normal 11 3 2 2 5 4 2 2 2" xfId="39170" xr:uid="{64C38606-4B88-4340-A7F3-2DC17A84A4D1}"/>
    <cellStyle name="Normal 11 3 2 2 5 4 2 2 2 2" xfId="39171" xr:uid="{AF940AB4-E6DB-4F27-8E59-544C0BB0B59C}"/>
    <cellStyle name="Normal 11 3 2 2 5 4 2 2 2 2 2" xfId="39172" xr:uid="{8CCC5C90-1BE1-4E61-87A5-BEF474EBE552}"/>
    <cellStyle name="Normal 11 3 2 2 5 4 2 2 2 2 2 2" xfId="39173" xr:uid="{5FF50A1E-D57D-4BC1-95B7-048451C87904}"/>
    <cellStyle name="Normal 11 3 2 2 5 4 2 2 2 2 3" xfId="39174" xr:uid="{834121BB-95CF-4D5D-A078-5A60660EBADD}"/>
    <cellStyle name="Normal 11 3 2 2 5 4 2 2 2 3" xfId="39175" xr:uid="{AE1F4836-4333-40FF-8DE9-5295287ADB4E}"/>
    <cellStyle name="Normal 11 3 2 2 5 4 2 2 2 3 2" xfId="39176" xr:uid="{2EE23960-96BF-46B2-A023-A2A54A716FEA}"/>
    <cellStyle name="Normal 11 3 2 2 5 4 2 2 2 4" xfId="39177" xr:uid="{EBC610FF-577F-44C9-9AA2-2ACCF8DBA39D}"/>
    <cellStyle name="Normal 11 3 2 2 5 4 2 2 3" xfId="39178" xr:uid="{4E501F7D-F08A-4975-970B-B9DC1F34F474}"/>
    <cellStyle name="Normal 11 3 2 2 5 4 2 2 3 2" xfId="39179" xr:uid="{E0982EC0-DC35-450D-A871-38365193BF98}"/>
    <cellStyle name="Normal 11 3 2 2 5 4 2 2 3 2 2" xfId="39180" xr:uid="{E023F3F5-CBD3-42B1-AF12-B77C83E7F8E4}"/>
    <cellStyle name="Normal 11 3 2 2 5 4 2 2 3 3" xfId="39181" xr:uid="{D1C63F69-A139-48FC-BE3E-2751B7E24304}"/>
    <cellStyle name="Normal 11 3 2 2 5 4 2 2 4" xfId="39182" xr:uid="{9FAADED7-9B02-435A-8F0D-1F05FCBF7C33}"/>
    <cellStyle name="Normal 11 3 2 2 5 4 2 2 4 2" xfId="39183" xr:uid="{3A928DA6-EB20-4370-8437-00C949960116}"/>
    <cellStyle name="Normal 11 3 2 2 5 4 2 2 5" xfId="39184" xr:uid="{18F383CB-8553-44B8-A795-7B587E2629A8}"/>
    <cellStyle name="Normal 11 3 2 2 5 4 2 3" xfId="39185" xr:uid="{57D9FD14-0F9C-4E13-A68F-417459F79BEF}"/>
    <cellStyle name="Normal 11 3 2 2 5 4 2 3 2" xfId="39186" xr:uid="{CF1F03B4-A418-4CA9-86C5-FBBF9676179F}"/>
    <cellStyle name="Normal 11 3 2 2 5 4 2 3 2 2" xfId="39187" xr:uid="{F14175B7-2AA2-47A4-A823-FF8DC9796B83}"/>
    <cellStyle name="Normal 11 3 2 2 5 4 2 3 2 2 2" xfId="39188" xr:uid="{0F702C29-3E25-4E84-9C26-D9BB284CD2E4}"/>
    <cellStyle name="Normal 11 3 2 2 5 4 2 3 2 3" xfId="39189" xr:uid="{665F2C39-89CC-4096-B97E-1933100F9BC8}"/>
    <cellStyle name="Normal 11 3 2 2 5 4 2 3 3" xfId="39190" xr:uid="{1AD9193C-312C-4505-8961-9C25A456AB5F}"/>
    <cellStyle name="Normal 11 3 2 2 5 4 2 3 3 2" xfId="39191" xr:uid="{5FC7D395-2E5D-4D73-8C94-846BD97D642A}"/>
    <cellStyle name="Normal 11 3 2 2 5 4 2 3 4" xfId="39192" xr:uid="{14D6DE0E-66A5-44C5-A0EB-B7C8E42D60F1}"/>
    <cellStyle name="Normal 11 3 2 2 5 4 2 4" xfId="39193" xr:uid="{B5BDFCC0-6968-493D-9EC4-41891EEA5228}"/>
    <cellStyle name="Normal 11 3 2 2 5 4 2 4 2" xfId="39194" xr:uid="{7889092F-7498-4C51-AC65-80F89204A632}"/>
    <cellStyle name="Normal 11 3 2 2 5 4 2 4 2 2" xfId="39195" xr:uid="{F1C90DBB-951E-4305-BF37-45BC9339EE5A}"/>
    <cellStyle name="Normal 11 3 2 2 5 4 2 4 3" xfId="39196" xr:uid="{151C6FD0-A59D-4CFA-A804-059747885EB9}"/>
    <cellStyle name="Normal 11 3 2 2 5 4 2 5" xfId="39197" xr:uid="{AD2ED52E-1EB6-4569-B8F5-B46457D07B4C}"/>
    <cellStyle name="Normal 11 3 2 2 5 4 2 5 2" xfId="39198" xr:uid="{8AC9B39B-2806-47BD-97F2-64D4C47D6BEA}"/>
    <cellStyle name="Normal 11 3 2 2 5 4 2 6" xfId="39199" xr:uid="{9B0E9E79-1EB4-4D1E-99C7-4E6E1AACD2E0}"/>
    <cellStyle name="Normal 11 3 2 2 5 4 3" xfId="39200" xr:uid="{6BF59E97-1059-4A7A-8CBA-81229329C563}"/>
    <cellStyle name="Normal 11 3 2 2 5 4 3 2" xfId="39201" xr:uid="{A45E4CE0-CA04-4EBE-827F-FDD9389F4834}"/>
    <cellStyle name="Normal 11 3 2 2 5 4 3 2 2" xfId="39202" xr:uid="{B68B37A9-10F3-4B26-BC5C-8FA47F9AAC8C}"/>
    <cellStyle name="Normal 11 3 2 2 5 4 3 2 2 2" xfId="39203" xr:uid="{7E399636-847A-4743-BF35-9E62F64AC7A8}"/>
    <cellStyle name="Normal 11 3 2 2 5 4 3 2 2 2 2" xfId="39204" xr:uid="{26830B33-CEF1-4BC2-9E23-39FB46EBE1D7}"/>
    <cellStyle name="Normal 11 3 2 2 5 4 3 2 2 3" xfId="39205" xr:uid="{4C8C487C-D509-4BC7-90E6-3CB1F1340B10}"/>
    <cellStyle name="Normal 11 3 2 2 5 4 3 2 3" xfId="39206" xr:uid="{2F87CB22-987E-476A-B381-D92719963322}"/>
    <cellStyle name="Normal 11 3 2 2 5 4 3 2 3 2" xfId="39207" xr:uid="{DE8982C4-CD21-47A1-988C-92D89B0995F7}"/>
    <cellStyle name="Normal 11 3 2 2 5 4 3 2 4" xfId="39208" xr:uid="{FD2FC4D3-924C-4585-9EFF-5EEC5C1D89B9}"/>
    <cellStyle name="Normal 11 3 2 2 5 4 3 3" xfId="39209" xr:uid="{24DD97C7-67C0-493C-8619-2BC2DAA8BA99}"/>
    <cellStyle name="Normal 11 3 2 2 5 4 3 3 2" xfId="39210" xr:uid="{110960B4-D2EA-4429-BB95-A391AC2B9927}"/>
    <cellStyle name="Normal 11 3 2 2 5 4 3 3 2 2" xfId="39211" xr:uid="{734B5D43-31EA-4A50-BF76-78A30354BC44}"/>
    <cellStyle name="Normal 11 3 2 2 5 4 3 3 3" xfId="39212" xr:uid="{1FEBE054-76F3-4189-893B-9A2F4C453BDC}"/>
    <cellStyle name="Normal 11 3 2 2 5 4 3 4" xfId="39213" xr:uid="{98CA6742-6D02-4A03-97EF-9664404689CB}"/>
    <cellStyle name="Normal 11 3 2 2 5 4 3 4 2" xfId="39214" xr:uid="{8D19D7C8-48BC-45DC-A77C-E0DEBB586ED1}"/>
    <cellStyle name="Normal 11 3 2 2 5 4 3 5" xfId="39215" xr:uid="{F92FF7D5-388E-4A70-8C20-2508CFD89371}"/>
    <cellStyle name="Normal 11 3 2 2 5 4 4" xfId="39216" xr:uid="{0DDA6AC2-1117-4A46-94A4-F03F2631AC7D}"/>
    <cellStyle name="Normal 11 3 2 2 5 4 4 2" xfId="39217" xr:uid="{FD58F972-FBA7-4C40-B85B-5B3D65F95742}"/>
    <cellStyle name="Normal 11 3 2 2 5 4 4 2 2" xfId="39218" xr:uid="{2C48B05B-CF66-497E-A97A-BCDC67C852AE}"/>
    <cellStyle name="Normal 11 3 2 2 5 4 4 2 2 2" xfId="39219" xr:uid="{29E65117-40AD-4CA6-98A3-52032CDC0627}"/>
    <cellStyle name="Normal 11 3 2 2 5 4 4 2 3" xfId="39220" xr:uid="{1DCA6FAF-77DF-4464-BDD4-4E9073CE510B}"/>
    <cellStyle name="Normal 11 3 2 2 5 4 4 3" xfId="39221" xr:uid="{ABA71FC6-85C4-4E41-96FB-63DB742357A4}"/>
    <cellStyle name="Normal 11 3 2 2 5 4 4 3 2" xfId="39222" xr:uid="{30646F56-43D5-4C15-B4F4-4E06AA71BE22}"/>
    <cellStyle name="Normal 11 3 2 2 5 4 4 4" xfId="39223" xr:uid="{941DA443-23E2-4CFE-AAEA-2C1AB9C5856F}"/>
    <cellStyle name="Normal 11 3 2 2 5 4 5" xfId="39224" xr:uid="{9C2913D2-C884-4294-A291-C3BF65BF938F}"/>
    <cellStyle name="Normal 11 3 2 2 5 4 5 2" xfId="39225" xr:uid="{134C98C7-B738-45FB-B2F5-66AF3566435F}"/>
    <cellStyle name="Normal 11 3 2 2 5 4 5 2 2" xfId="39226" xr:uid="{7C37B2F9-EFE0-45BA-B8EA-A969A49059F1}"/>
    <cellStyle name="Normal 11 3 2 2 5 4 5 3" xfId="39227" xr:uid="{97373DDE-3BF6-48C7-AFD1-800E49FDF20C}"/>
    <cellStyle name="Normal 11 3 2 2 5 4 6" xfId="39228" xr:uid="{26D2D4EF-EE4B-43C9-8E3B-653E2C3D228F}"/>
    <cellStyle name="Normal 11 3 2 2 5 4 6 2" xfId="39229" xr:uid="{737D9FC2-A8A3-41CB-9705-4540CD45FFCB}"/>
    <cellStyle name="Normal 11 3 2 2 5 4 7" xfId="39230" xr:uid="{322516BE-6094-4611-B350-07FA9A5E944E}"/>
    <cellStyle name="Normal 11 3 2 2 5 5" xfId="39231" xr:uid="{5225A94D-A6B8-426A-875E-A7281C5710D5}"/>
    <cellStyle name="Normal 11 3 2 2 5 5 2" xfId="39232" xr:uid="{5BB5D331-0D1F-4FD5-99F3-38424AFE29B0}"/>
    <cellStyle name="Normal 11 3 2 2 5 5 2 2" xfId="39233" xr:uid="{D7D2979B-3226-4487-8A5A-9C472FA5BFD9}"/>
    <cellStyle name="Normal 11 3 2 2 5 5 2 2 2" xfId="39234" xr:uid="{D21CCD10-02E9-4ABB-98B9-F99445DE6077}"/>
    <cellStyle name="Normal 11 3 2 2 5 5 2 2 2 2" xfId="39235" xr:uid="{92323EB7-087E-474B-8CD9-303AC0A6D380}"/>
    <cellStyle name="Normal 11 3 2 2 5 5 2 2 2 2 2" xfId="39236" xr:uid="{6D6710CA-1EAA-4292-9A5E-E2DC0B278F90}"/>
    <cellStyle name="Normal 11 3 2 2 5 5 2 2 2 3" xfId="39237" xr:uid="{8666775F-BB44-4D62-9146-33420BF070D7}"/>
    <cellStyle name="Normal 11 3 2 2 5 5 2 2 3" xfId="39238" xr:uid="{34843BB5-79EB-4E7D-BA53-78A8E04F5ED7}"/>
    <cellStyle name="Normal 11 3 2 2 5 5 2 2 3 2" xfId="39239" xr:uid="{50CCB7B8-3299-43AE-82DC-B7C302041EFA}"/>
    <cellStyle name="Normal 11 3 2 2 5 5 2 2 4" xfId="39240" xr:uid="{576E47BA-BC0E-4D10-9ED5-7CC9ADADFF49}"/>
    <cellStyle name="Normal 11 3 2 2 5 5 2 3" xfId="39241" xr:uid="{EEDBB433-3BF4-40E5-B450-FD97749C14F9}"/>
    <cellStyle name="Normal 11 3 2 2 5 5 2 3 2" xfId="39242" xr:uid="{C2171E4F-547A-4B83-B9FB-125E19583685}"/>
    <cellStyle name="Normal 11 3 2 2 5 5 2 3 2 2" xfId="39243" xr:uid="{C9687F59-2853-41B0-A6A6-88FECC0FFC1D}"/>
    <cellStyle name="Normal 11 3 2 2 5 5 2 3 3" xfId="39244" xr:uid="{8CAA4283-53E7-4A06-8310-BE8EF5C18391}"/>
    <cellStyle name="Normal 11 3 2 2 5 5 2 4" xfId="39245" xr:uid="{EAA9E4BB-4ADD-4E7E-8553-EBD376571AC9}"/>
    <cellStyle name="Normal 11 3 2 2 5 5 2 4 2" xfId="39246" xr:uid="{397ABDCD-1450-4C0A-B228-77F6DA302E04}"/>
    <cellStyle name="Normal 11 3 2 2 5 5 2 5" xfId="39247" xr:uid="{4F3A3D45-8A5A-4993-AF70-3F16357C5C0C}"/>
    <cellStyle name="Normal 11 3 2 2 5 5 3" xfId="39248" xr:uid="{1A8C02D6-D983-4CFE-A6A8-861F7BDDB236}"/>
    <cellStyle name="Normal 11 3 2 2 5 5 3 2" xfId="39249" xr:uid="{14D185B7-6A46-41DF-9C5E-8A9AA068F489}"/>
    <cellStyle name="Normal 11 3 2 2 5 5 3 2 2" xfId="39250" xr:uid="{5F1F52F7-1D82-4541-8D07-74DAB2E7BF86}"/>
    <cellStyle name="Normal 11 3 2 2 5 5 3 2 2 2" xfId="39251" xr:uid="{FE18EBE4-D348-46BA-9AE0-3B5EA8F543BF}"/>
    <cellStyle name="Normal 11 3 2 2 5 5 3 2 3" xfId="39252" xr:uid="{C90DACC7-CD87-49D8-9F1D-9867A0B29073}"/>
    <cellStyle name="Normal 11 3 2 2 5 5 3 3" xfId="39253" xr:uid="{39039C08-D3F2-4A0F-BAD2-59596139B407}"/>
    <cellStyle name="Normal 11 3 2 2 5 5 3 3 2" xfId="39254" xr:uid="{AF69A10C-BB2A-46B4-A75E-0056340E7579}"/>
    <cellStyle name="Normal 11 3 2 2 5 5 3 4" xfId="39255" xr:uid="{C8EB7359-DC01-49D9-B022-B0AE20977F20}"/>
    <cellStyle name="Normal 11 3 2 2 5 5 4" xfId="39256" xr:uid="{1953BA04-05FD-4510-AE80-776E678E1821}"/>
    <cellStyle name="Normal 11 3 2 2 5 5 4 2" xfId="39257" xr:uid="{A073A43A-8CF1-4323-9DE5-86CD3EDE79A4}"/>
    <cellStyle name="Normal 11 3 2 2 5 5 4 2 2" xfId="39258" xr:uid="{CAB244B4-F217-47CC-904D-251423BB6060}"/>
    <cellStyle name="Normal 11 3 2 2 5 5 4 3" xfId="39259" xr:uid="{DE56B1BE-CE9D-4B6A-94C4-4A02363C7360}"/>
    <cellStyle name="Normal 11 3 2 2 5 5 5" xfId="39260" xr:uid="{CE66B9BC-FF30-4319-B633-9F84AB18CF8C}"/>
    <cellStyle name="Normal 11 3 2 2 5 5 5 2" xfId="39261" xr:uid="{1D10B04D-966B-4FC1-91B1-D7D5D553B928}"/>
    <cellStyle name="Normal 11 3 2 2 5 5 6" xfId="39262" xr:uid="{3AA15D8C-B1E3-4476-BA91-CCF525378C3C}"/>
    <cellStyle name="Normal 11 3 2 2 5 6" xfId="39263" xr:uid="{ED749080-C0DA-45F1-BD2E-6561D0417D1D}"/>
    <cellStyle name="Normal 11 3 2 2 5 6 2" xfId="39264" xr:uid="{0945D827-D046-44D5-93CA-E6A7B2B4C12D}"/>
    <cellStyle name="Normal 11 3 2 2 5 6 2 2" xfId="39265" xr:uid="{EAF0F42C-E724-413E-8270-93F8D7BA03BD}"/>
    <cellStyle name="Normal 11 3 2 2 5 6 2 2 2" xfId="39266" xr:uid="{6C20FAB9-B7EA-4619-BFD4-BAA494549908}"/>
    <cellStyle name="Normal 11 3 2 2 5 6 2 2 2 2" xfId="39267" xr:uid="{6A65436B-EABA-4731-BA7E-1BEED0D6AAE9}"/>
    <cellStyle name="Normal 11 3 2 2 5 6 2 2 3" xfId="39268" xr:uid="{AAD91807-94BA-4807-908B-C7242F226AC8}"/>
    <cellStyle name="Normal 11 3 2 2 5 6 2 3" xfId="39269" xr:uid="{CC32B884-A51C-41A3-8CF5-06F96180A9CE}"/>
    <cellStyle name="Normal 11 3 2 2 5 6 2 3 2" xfId="39270" xr:uid="{37CA0C93-58A0-4397-92FE-6C2ABAB92B0E}"/>
    <cellStyle name="Normal 11 3 2 2 5 6 2 4" xfId="39271" xr:uid="{FBD7E21E-046B-434A-B5DA-4F85523FB061}"/>
    <cellStyle name="Normal 11 3 2 2 5 6 3" xfId="39272" xr:uid="{7EEE013B-BA2B-4BC3-97FD-4EBB8DC0BA7B}"/>
    <cellStyle name="Normal 11 3 2 2 5 6 3 2" xfId="39273" xr:uid="{8AF5BDD0-A629-4433-9EB3-41BD558CE3EE}"/>
    <cellStyle name="Normal 11 3 2 2 5 6 3 2 2" xfId="39274" xr:uid="{43134931-2EC6-4303-8EB8-885D4838D989}"/>
    <cellStyle name="Normal 11 3 2 2 5 6 3 3" xfId="39275" xr:uid="{D606997D-82AF-41BE-AA6F-D71FEBAE228D}"/>
    <cellStyle name="Normal 11 3 2 2 5 6 4" xfId="39276" xr:uid="{D630503D-2FBD-4C40-9424-E34EB3A5DBD6}"/>
    <cellStyle name="Normal 11 3 2 2 5 6 4 2" xfId="39277" xr:uid="{3BC32062-1D29-4A89-BE9A-CD1001D11AA0}"/>
    <cellStyle name="Normal 11 3 2 2 5 6 5" xfId="39278" xr:uid="{450CD3D7-341B-4D6C-97E0-746C8DE8DF73}"/>
    <cellStyle name="Normal 11 3 2 2 5 7" xfId="39279" xr:uid="{8F12C813-30C1-4EDC-B25D-A0BA808E4920}"/>
    <cellStyle name="Normal 11 3 2 2 5 7 2" xfId="39280" xr:uid="{EA0B08E6-A676-4308-A880-D01EB1E7008C}"/>
    <cellStyle name="Normal 11 3 2 2 5 7 2 2" xfId="39281" xr:uid="{29A55C04-5A82-42D7-93E5-468AF80AAD90}"/>
    <cellStyle name="Normal 11 3 2 2 5 7 2 2 2" xfId="39282" xr:uid="{ACF72137-B7F8-4951-96D5-C4B083EB0F86}"/>
    <cellStyle name="Normal 11 3 2 2 5 7 2 3" xfId="39283" xr:uid="{4A9C0CB9-7A2B-424F-BC02-1E670EBB993B}"/>
    <cellStyle name="Normal 11 3 2 2 5 7 3" xfId="39284" xr:uid="{BDA6924B-6BD6-4827-BADE-5D593580E38F}"/>
    <cellStyle name="Normal 11 3 2 2 5 7 3 2" xfId="39285" xr:uid="{26967B39-1DFE-4313-9D74-3A3B62D506A1}"/>
    <cellStyle name="Normal 11 3 2 2 5 7 4" xfId="39286" xr:uid="{6654F11F-240C-421C-8EA8-55131AFEB6FB}"/>
    <cellStyle name="Normal 11 3 2 2 5 8" xfId="39287" xr:uid="{F79C499F-11C9-40A7-8316-14E79442D333}"/>
    <cellStyle name="Normal 11 3 2 2 5 8 2" xfId="39288" xr:uid="{0A9CE35C-2D54-4422-8F18-DFCDDA6C32DE}"/>
    <cellStyle name="Normal 11 3 2 2 5 8 2 2" xfId="39289" xr:uid="{ADF732DE-7D5F-4618-BE7C-2D2F44875F86}"/>
    <cellStyle name="Normal 11 3 2 2 5 8 3" xfId="39290" xr:uid="{2BFA2DC4-42D7-4A2F-8CBC-4C74D38C06E1}"/>
    <cellStyle name="Normal 11 3 2 2 5 9" xfId="39291" xr:uid="{404AB71C-5929-4BC2-8443-8430619F223A}"/>
    <cellStyle name="Normal 11 3 2 2 5 9 2" xfId="39292" xr:uid="{FF2E40C7-CA15-4EF9-9B02-0C71825E16E3}"/>
    <cellStyle name="Normal 11 3 2 2 6" xfId="372" xr:uid="{394EDB1E-F90A-4162-B2A5-846C00751345}"/>
    <cellStyle name="Normal 11 3 2 2 6 10" xfId="39293" xr:uid="{656ABA71-A4E5-4EA8-8712-78CDCDBCB32C}"/>
    <cellStyle name="Normal 11 3 2 2 6 2" xfId="39294" xr:uid="{F4666418-D873-4ACC-A723-74942B1BE0E7}"/>
    <cellStyle name="Normal 11 3 2 2 6 2 2" xfId="39295" xr:uid="{4D1D25EB-6872-4E28-87CA-22AE2FBAE0E6}"/>
    <cellStyle name="Normal 11 3 2 2 6 2 2 2" xfId="39296" xr:uid="{2AE4F1DB-8044-4900-BD85-99BFDCE5BD7D}"/>
    <cellStyle name="Normal 11 3 2 2 6 2 2 2 2" xfId="39297" xr:uid="{6434B426-61A7-4F98-8957-3991F7CA247A}"/>
    <cellStyle name="Normal 11 3 2 2 6 2 2 2 2 2" xfId="39298" xr:uid="{2BD0EB3F-E1D2-4095-8406-7EFA1F35116D}"/>
    <cellStyle name="Normal 11 3 2 2 6 2 2 2 2 2 2" xfId="39299" xr:uid="{A52CE1CD-4FC4-485F-9CEE-8B8F1B69B416}"/>
    <cellStyle name="Normal 11 3 2 2 6 2 2 2 2 2 2 2" xfId="39300" xr:uid="{CC9B2953-F37C-4753-A61E-F35A80247A18}"/>
    <cellStyle name="Normal 11 3 2 2 6 2 2 2 2 2 2 2 2" xfId="39301" xr:uid="{489E2C2E-6D3E-4CF7-9681-B4BD0C074886}"/>
    <cellStyle name="Normal 11 3 2 2 6 2 2 2 2 2 2 3" xfId="39302" xr:uid="{41033317-BBD2-49BD-8502-786B8360740C}"/>
    <cellStyle name="Normal 11 3 2 2 6 2 2 2 2 2 3" xfId="39303" xr:uid="{85F94B93-0D06-4579-9F9D-0A8484485A3B}"/>
    <cellStyle name="Normal 11 3 2 2 6 2 2 2 2 2 3 2" xfId="39304" xr:uid="{94083018-2B15-4129-9D85-2D11F1BC5B61}"/>
    <cellStyle name="Normal 11 3 2 2 6 2 2 2 2 2 4" xfId="39305" xr:uid="{4802C616-8937-4BF6-BF9A-141F5FB6DB0E}"/>
    <cellStyle name="Normal 11 3 2 2 6 2 2 2 2 3" xfId="39306" xr:uid="{ACBE2A05-FEE0-4DA8-A889-B91E50CA83C5}"/>
    <cellStyle name="Normal 11 3 2 2 6 2 2 2 2 3 2" xfId="39307" xr:uid="{107CA090-89BD-41DD-81DD-45858EF0157A}"/>
    <cellStyle name="Normal 11 3 2 2 6 2 2 2 2 3 2 2" xfId="39308" xr:uid="{0538757D-8976-4A5A-8D29-4666F29C7FBB}"/>
    <cellStyle name="Normal 11 3 2 2 6 2 2 2 2 3 3" xfId="39309" xr:uid="{8500081C-A06D-40EB-9168-A37418EC7F75}"/>
    <cellStyle name="Normal 11 3 2 2 6 2 2 2 2 4" xfId="39310" xr:uid="{5351E26C-03B2-46F3-96A2-B523D0AE291E}"/>
    <cellStyle name="Normal 11 3 2 2 6 2 2 2 2 4 2" xfId="39311" xr:uid="{96C7C0D3-F73E-44DC-A658-D7F23AE8A126}"/>
    <cellStyle name="Normal 11 3 2 2 6 2 2 2 2 5" xfId="39312" xr:uid="{5BD89C54-2ADE-4485-828A-A0E7E0FF320A}"/>
    <cellStyle name="Normal 11 3 2 2 6 2 2 2 3" xfId="39313" xr:uid="{56D02950-098C-4B74-A2DD-97E9FAEFDBEE}"/>
    <cellStyle name="Normal 11 3 2 2 6 2 2 2 3 2" xfId="39314" xr:uid="{0EC7B864-0DAB-49C1-8D31-B001B671AA00}"/>
    <cellStyle name="Normal 11 3 2 2 6 2 2 2 3 2 2" xfId="39315" xr:uid="{312F910F-D65B-44D9-8B69-5DC7E36B58CA}"/>
    <cellStyle name="Normal 11 3 2 2 6 2 2 2 3 2 2 2" xfId="39316" xr:uid="{82091749-9A3B-41F0-9E12-C572FF2A990C}"/>
    <cellStyle name="Normal 11 3 2 2 6 2 2 2 3 2 3" xfId="39317" xr:uid="{562BB3CE-2955-435C-A89A-6A291EC5D618}"/>
    <cellStyle name="Normal 11 3 2 2 6 2 2 2 3 3" xfId="39318" xr:uid="{A1D247E6-8918-40E4-9895-41F3BA88CE6F}"/>
    <cellStyle name="Normal 11 3 2 2 6 2 2 2 3 3 2" xfId="39319" xr:uid="{20B2F6CF-EC96-4707-B502-79F05ED43157}"/>
    <cellStyle name="Normal 11 3 2 2 6 2 2 2 3 4" xfId="39320" xr:uid="{B1EAE686-1CA3-46A9-A22D-8A4599A09181}"/>
    <cellStyle name="Normal 11 3 2 2 6 2 2 2 4" xfId="39321" xr:uid="{7A4BDE95-5723-477B-9FB7-10341FDB9311}"/>
    <cellStyle name="Normal 11 3 2 2 6 2 2 2 4 2" xfId="39322" xr:uid="{9040308B-7CC1-4BF2-9AD0-F444D8EFD19E}"/>
    <cellStyle name="Normal 11 3 2 2 6 2 2 2 4 2 2" xfId="39323" xr:uid="{FF220D94-05FD-4FAB-9FB0-F7B8B2435523}"/>
    <cellStyle name="Normal 11 3 2 2 6 2 2 2 4 3" xfId="39324" xr:uid="{F450E905-2886-4ADB-B0D7-BF461FB30707}"/>
    <cellStyle name="Normal 11 3 2 2 6 2 2 2 5" xfId="39325" xr:uid="{F0696EC5-2DD9-44DE-B372-0F03DD7A12E9}"/>
    <cellStyle name="Normal 11 3 2 2 6 2 2 2 5 2" xfId="39326" xr:uid="{3C26C3C2-A456-455F-8B11-655DC0144720}"/>
    <cellStyle name="Normal 11 3 2 2 6 2 2 2 6" xfId="39327" xr:uid="{8466758C-F0CB-4E48-A18C-8DA540F0379E}"/>
    <cellStyle name="Normal 11 3 2 2 6 2 2 3" xfId="39328" xr:uid="{3AF95C68-FEA4-4AD1-AC90-B9518B2F7D82}"/>
    <cellStyle name="Normal 11 3 2 2 6 2 2 3 2" xfId="39329" xr:uid="{04D59070-9AB0-4DD9-A5E7-1F37F4CB63E3}"/>
    <cellStyle name="Normal 11 3 2 2 6 2 2 3 2 2" xfId="39330" xr:uid="{A82356CE-5D43-4C96-9261-B472A47EB7D4}"/>
    <cellStyle name="Normal 11 3 2 2 6 2 2 3 2 2 2" xfId="39331" xr:uid="{B4660E9D-258D-46FF-A0D7-99CF1DD410BE}"/>
    <cellStyle name="Normal 11 3 2 2 6 2 2 3 2 2 2 2" xfId="39332" xr:uid="{5BA9B4F5-D398-455E-9740-E7DDD03BBF22}"/>
    <cellStyle name="Normal 11 3 2 2 6 2 2 3 2 2 3" xfId="39333" xr:uid="{6BBD7B09-132D-4D7B-910C-71E47B995E82}"/>
    <cellStyle name="Normal 11 3 2 2 6 2 2 3 2 3" xfId="39334" xr:uid="{6F1E0162-7C06-4D69-8B24-950AC5BD905A}"/>
    <cellStyle name="Normal 11 3 2 2 6 2 2 3 2 3 2" xfId="39335" xr:uid="{CAECE958-A788-45F7-AAF5-36B1559A9B6E}"/>
    <cellStyle name="Normal 11 3 2 2 6 2 2 3 2 4" xfId="39336" xr:uid="{CA0E1091-6485-41AD-9A6A-DEDEFFD48EC4}"/>
    <cellStyle name="Normal 11 3 2 2 6 2 2 3 3" xfId="39337" xr:uid="{5D35B978-F9E5-4FAE-B3C3-82F5B8146AB1}"/>
    <cellStyle name="Normal 11 3 2 2 6 2 2 3 3 2" xfId="39338" xr:uid="{4AD23670-F6F2-41A2-BA3C-49A836CD710F}"/>
    <cellStyle name="Normal 11 3 2 2 6 2 2 3 3 2 2" xfId="39339" xr:uid="{F854EBEA-1E2D-46AD-B51D-566918767ACE}"/>
    <cellStyle name="Normal 11 3 2 2 6 2 2 3 3 3" xfId="39340" xr:uid="{B0A256A4-C846-4A6C-91B8-A8A773E9010B}"/>
    <cellStyle name="Normal 11 3 2 2 6 2 2 3 4" xfId="39341" xr:uid="{03644414-5C0A-471C-95F3-2DFC956EBD7C}"/>
    <cellStyle name="Normal 11 3 2 2 6 2 2 3 4 2" xfId="39342" xr:uid="{9F488FA8-0829-4170-BC6F-727935908402}"/>
    <cellStyle name="Normal 11 3 2 2 6 2 2 3 5" xfId="39343" xr:uid="{CC4B7B45-FB0A-432E-A3D0-877EAEA7E689}"/>
    <cellStyle name="Normal 11 3 2 2 6 2 2 4" xfId="39344" xr:uid="{B4D77774-9FC5-4B6D-9F3D-0E2DBD30EF6A}"/>
    <cellStyle name="Normal 11 3 2 2 6 2 2 4 2" xfId="39345" xr:uid="{FF46FCEB-AAD7-4D7B-AEF0-D4C926730FD3}"/>
    <cellStyle name="Normal 11 3 2 2 6 2 2 4 2 2" xfId="39346" xr:uid="{3E8A3A46-2D98-4040-A2A3-2B459682FB4C}"/>
    <cellStyle name="Normal 11 3 2 2 6 2 2 4 2 2 2" xfId="39347" xr:uid="{278A610A-CC42-4908-89C5-89890F26598E}"/>
    <cellStyle name="Normal 11 3 2 2 6 2 2 4 2 3" xfId="39348" xr:uid="{538A4F2E-1E01-491F-A8CB-9D95EE64F784}"/>
    <cellStyle name="Normal 11 3 2 2 6 2 2 4 3" xfId="39349" xr:uid="{A51256C7-F110-48F8-B2A7-8BC699E1BEEC}"/>
    <cellStyle name="Normal 11 3 2 2 6 2 2 4 3 2" xfId="39350" xr:uid="{FCEFB4F0-596B-41DC-B29F-1EAF2AE63658}"/>
    <cellStyle name="Normal 11 3 2 2 6 2 2 4 4" xfId="39351" xr:uid="{C1B8940B-F540-47AB-A834-03CAD7E93548}"/>
    <cellStyle name="Normal 11 3 2 2 6 2 2 5" xfId="39352" xr:uid="{7D043D30-A72C-4CD0-B1F0-06AFC5A7F78F}"/>
    <cellStyle name="Normal 11 3 2 2 6 2 2 5 2" xfId="39353" xr:uid="{FD1A33E8-567A-4049-AE73-4A9D8941533B}"/>
    <cellStyle name="Normal 11 3 2 2 6 2 2 5 2 2" xfId="39354" xr:uid="{C020BD42-479B-461A-9F1C-0385346A7410}"/>
    <cellStyle name="Normal 11 3 2 2 6 2 2 5 3" xfId="39355" xr:uid="{11986A53-7A33-4D25-B30F-FE6CE9AC6D6D}"/>
    <cellStyle name="Normal 11 3 2 2 6 2 2 6" xfId="39356" xr:uid="{2B9DEECE-FB3C-43AB-B70A-FB205E2498DF}"/>
    <cellStyle name="Normal 11 3 2 2 6 2 2 6 2" xfId="39357" xr:uid="{ECAE57EF-4946-4709-BCC3-EC247A5EA316}"/>
    <cellStyle name="Normal 11 3 2 2 6 2 2 7" xfId="39358" xr:uid="{6DA06658-09D6-421D-9BEE-44BC6320379A}"/>
    <cellStyle name="Normal 11 3 2 2 6 2 3" xfId="39359" xr:uid="{AA149733-F4E4-4CAE-99A0-FB50A435723E}"/>
    <cellStyle name="Normal 11 3 2 2 6 2 3 2" xfId="39360" xr:uid="{766DBD39-097B-4866-B693-20A37AB8863B}"/>
    <cellStyle name="Normal 11 3 2 2 6 2 3 2 2" xfId="39361" xr:uid="{CF74300E-CBE5-4EC4-BCE3-277D5B85C287}"/>
    <cellStyle name="Normal 11 3 2 2 6 2 3 2 2 2" xfId="39362" xr:uid="{A3AAB5F7-CD42-40AF-BE46-FE2D3BC11D1E}"/>
    <cellStyle name="Normal 11 3 2 2 6 2 3 2 2 2 2" xfId="39363" xr:uid="{C9722393-B519-4A63-A038-52DAB2933BB3}"/>
    <cellStyle name="Normal 11 3 2 2 6 2 3 2 2 2 2 2" xfId="39364" xr:uid="{14B7DEF6-13C0-4CC3-A61E-29228206952C}"/>
    <cellStyle name="Normal 11 3 2 2 6 2 3 2 2 2 3" xfId="39365" xr:uid="{AB77637E-B86A-4C90-94A9-BF88B8D14AB3}"/>
    <cellStyle name="Normal 11 3 2 2 6 2 3 2 2 3" xfId="39366" xr:uid="{3CAA146D-EF8F-4ABE-BABD-A377D6CC1EC8}"/>
    <cellStyle name="Normal 11 3 2 2 6 2 3 2 2 3 2" xfId="39367" xr:uid="{7B379AA5-8F15-4F04-9ED5-5D7AFA6EC381}"/>
    <cellStyle name="Normal 11 3 2 2 6 2 3 2 2 4" xfId="39368" xr:uid="{004F6D5E-1094-4AB6-9877-BD4AC2F66AEA}"/>
    <cellStyle name="Normal 11 3 2 2 6 2 3 2 3" xfId="39369" xr:uid="{F530E770-DBA0-47E7-AF6E-E2D886EA9553}"/>
    <cellStyle name="Normal 11 3 2 2 6 2 3 2 3 2" xfId="39370" xr:uid="{3C0F790B-82F1-4ACA-B9A1-887CFB32534D}"/>
    <cellStyle name="Normal 11 3 2 2 6 2 3 2 3 2 2" xfId="39371" xr:uid="{1C020F5D-50CF-4F23-BF7C-CCC42D2F1260}"/>
    <cellStyle name="Normal 11 3 2 2 6 2 3 2 3 3" xfId="39372" xr:uid="{E58EB4A0-7A9B-4857-BB55-F51B1C6E09A0}"/>
    <cellStyle name="Normal 11 3 2 2 6 2 3 2 4" xfId="39373" xr:uid="{F2D8F6A6-8CA6-4AE9-AC31-A928632793C8}"/>
    <cellStyle name="Normal 11 3 2 2 6 2 3 2 4 2" xfId="39374" xr:uid="{80BEC9E2-70C0-4268-B0B8-3DC65D01B40F}"/>
    <cellStyle name="Normal 11 3 2 2 6 2 3 2 5" xfId="39375" xr:uid="{EE456D5C-4AFE-4E1E-B540-0EE609C2667A}"/>
    <cellStyle name="Normal 11 3 2 2 6 2 3 3" xfId="39376" xr:uid="{936C4611-1625-414D-A11E-6731C389C953}"/>
    <cellStyle name="Normal 11 3 2 2 6 2 3 3 2" xfId="39377" xr:uid="{A2B5FE4B-6214-49CE-AF15-70B1222D53DB}"/>
    <cellStyle name="Normal 11 3 2 2 6 2 3 3 2 2" xfId="39378" xr:uid="{D9D5FC1B-A0B1-4190-A529-F347C5688BD6}"/>
    <cellStyle name="Normal 11 3 2 2 6 2 3 3 2 2 2" xfId="39379" xr:uid="{89078582-84DD-47AE-A5B1-76322BF0EC7A}"/>
    <cellStyle name="Normal 11 3 2 2 6 2 3 3 2 3" xfId="39380" xr:uid="{6904FD36-6808-46D0-9A86-0F2733433C8D}"/>
    <cellStyle name="Normal 11 3 2 2 6 2 3 3 3" xfId="39381" xr:uid="{CEE22E1E-A189-4E03-A9EC-ED0D1102110C}"/>
    <cellStyle name="Normal 11 3 2 2 6 2 3 3 3 2" xfId="39382" xr:uid="{D4FB30CB-3EE9-4801-8AED-32B27CB2D281}"/>
    <cellStyle name="Normal 11 3 2 2 6 2 3 3 4" xfId="39383" xr:uid="{28E13D90-FC51-426B-AA15-3C0E9C02BA8F}"/>
    <cellStyle name="Normal 11 3 2 2 6 2 3 4" xfId="39384" xr:uid="{2EA37489-EFF2-4D8F-9C93-4DDA40FE560A}"/>
    <cellStyle name="Normal 11 3 2 2 6 2 3 4 2" xfId="39385" xr:uid="{1CCBFC9F-AF94-4908-BCAC-F8F2BB5390FB}"/>
    <cellStyle name="Normal 11 3 2 2 6 2 3 4 2 2" xfId="39386" xr:uid="{6B8A6F41-22AD-483D-8651-B0F63A4B645F}"/>
    <cellStyle name="Normal 11 3 2 2 6 2 3 4 3" xfId="39387" xr:uid="{005B379D-9F49-40C8-BD79-A7499A0F0DFC}"/>
    <cellStyle name="Normal 11 3 2 2 6 2 3 5" xfId="39388" xr:uid="{647EEA32-B07C-42C8-B04D-9760CB939B41}"/>
    <cellStyle name="Normal 11 3 2 2 6 2 3 5 2" xfId="39389" xr:uid="{B2B9EB99-0888-4D99-8340-EF67F8399FDE}"/>
    <cellStyle name="Normal 11 3 2 2 6 2 3 6" xfId="39390" xr:uid="{B234C31D-C3DC-4A1B-8DA6-A29F3881CBD1}"/>
    <cellStyle name="Normal 11 3 2 2 6 2 4" xfId="39391" xr:uid="{9259C5C0-92CA-485A-9A3E-D6581F699D1C}"/>
    <cellStyle name="Normal 11 3 2 2 6 2 4 2" xfId="39392" xr:uid="{41A0E0A0-FEC1-486A-8D55-6125764E8792}"/>
    <cellStyle name="Normal 11 3 2 2 6 2 4 2 2" xfId="39393" xr:uid="{9C0F2B22-4411-4A42-94CB-FDE9051520DB}"/>
    <cellStyle name="Normal 11 3 2 2 6 2 4 2 2 2" xfId="39394" xr:uid="{B758A57E-4671-479E-BC90-BFF97BC1E52F}"/>
    <cellStyle name="Normal 11 3 2 2 6 2 4 2 2 2 2" xfId="39395" xr:uid="{3D217222-115E-42DB-BA87-B1386F34811E}"/>
    <cellStyle name="Normal 11 3 2 2 6 2 4 2 2 3" xfId="39396" xr:uid="{4F4E19A0-6C37-4C31-A8BD-54F3D077BF8A}"/>
    <cellStyle name="Normal 11 3 2 2 6 2 4 2 3" xfId="39397" xr:uid="{ABA3CF1F-C138-4BD2-9C68-FE9E64B2B480}"/>
    <cellStyle name="Normal 11 3 2 2 6 2 4 2 3 2" xfId="39398" xr:uid="{B424ADAE-F535-4C4C-84FE-F4F56FAD4ADC}"/>
    <cellStyle name="Normal 11 3 2 2 6 2 4 2 4" xfId="39399" xr:uid="{47E7B1B2-C32F-49E0-93F4-2AF1BE3B22B6}"/>
    <cellStyle name="Normal 11 3 2 2 6 2 4 3" xfId="39400" xr:uid="{BC875BD2-6E80-4937-A01A-EFD3C23207CD}"/>
    <cellStyle name="Normal 11 3 2 2 6 2 4 3 2" xfId="39401" xr:uid="{F92BD5C1-381E-43B4-B496-A7AFAC5F938E}"/>
    <cellStyle name="Normal 11 3 2 2 6 2 4 3 2 2" xfId="39402" xr:uid="{64AA0C6B-A854-4BD7-92FA-C7015A6F9729}"/>
    <cellStyle name="Normal 11 3 2 2 6 2 4 3 3" xfId="39403" xr:uid="{2C301535-EEB8-406B-A8C9-1A9E14AA3E1A}"/>
    <cellStyle name="Normal 11 3 2 2 6 2 4 4" xfId="39404" xr:uid="{7D574E77-E51B-405B-923F-E81D4FED4E77}"/>
    <cellStyle name="Normal 11 3 2 2 6 2 4 4 2" xfId="39405" xr:uid="{46A89EF4-1590-41F5-A3BD-51B0A0D5D130}"/>
    <cellStyle name="Normal 11 3 2 2 6 2 4 5" xfId="39406" xr:uid="{71A56F55-AA41-453E-B77A-585C4217A2FC}"/>
    <cellStyle name="Normal 11 3 2 2 6 2 5" xfId="39407" xr:uid="{3E0BDA44-4AAE-4734-928B-DEA0ED4094EE}"/>
    <cellStyle name="Normal 11 3 2 2 6 2 5 2" xfId="39408" xr:uid="{1E3717F8-54F9-4B1E-91E9-58FF2C957BF6}"/>
    <cellStyle name="Normal 11 3 2 2 6 2 5 2 2" xfId="39409" xr:uid="{3C3F253F-7AC2-4D06-AF8E-0AFF5DC70B5B}"/>
    <cellStyle name="Normal 11 3 2 2 6 2 5 2 2 2" xfId="39410" xr:uid="{CFDC1607-4FBF-473B-B2E6-023C57465133}"/>
    <cellStyle name="Normal 11 3 2 2 6 2 5 2 3" xfId="39411" xr:uid="{1CA53720-3714-4E99-B7F5-6529D6076B64}"/>
    <cellStyle name="Normal 11 3 2 2 6 2 5 3" xfId="39412" xr:uid="{D866D95F-17AA-4236-AB7D-A21913493D14}"/>
    <cellStyle name="Normal 11 3 2 2 6 2 5 3 2" xfId="39413" xr:uid="{887548F6-6C2E-4478-BF7B-57409D06B763}"/>
    <cellStyle name="Normal 11 3 2 2 6 2 5 4" xfId="39414" xr:uid="{FC02C9E3-C554-4AAE-849A-37BE49E3EF2D}"/>
    <cellStyle name="Normal 11 3 2 2 6 2 6" xfId="39415" xr:uid="{B18E1BDF-1FE5-4EDC-9673-7E9B5A750585}"/>
    <cellStyle name="Normal 11 3 2 2 6 2 6 2" xfId="39416" xr:uid="{EF76AB95-51F9-4D11-B6D0-766E374DB9F4}"/>
    <cellStyle name="Normal 11 3 2 2 6 2 6 2 2" xfId="39417" xr:uid="{857C661B-534C-4F98-9365-C9D5E587A446}"/>
    <cellStyle name="Normal 11 3 2 2 6 2 6 3" xfId="39418" xr:uid="{CAFE5C3D-4276-468D-A667-31298A2E9ACB}"/>
    <cellStyle name="Normal 11 3 2 2 6 2 7" xfId="39419" xr:uid="{0809E718-57D5-4B8E-A7C9-75D8CF47C881}"/>
    <cellStyle name="Normal 11 3 2 2 6 2 7 2" xfId="39420" xr:uid="{26DA948C-7B2C-4446-8A07-56DB02FC0F9A}"/>
    <cellStyle name="Normal 11 3 2 2 6 2 8" xfId="39421" xr:uid="{758CD987-CA2E-41BB-8DA6-9CA0223C7CB4}"/>
    <cellStyle name="Normal 11 3 2 2 6 3" xfId="39422" xr:uid="{9B0A5D07-5D76-4FC2-B232-E1A999AFB37D}"/>
    <cellStyle name="Normal 11 3 2 2 6 3 2" xfId="39423" xr:uid="{1E274364-D8D0-4157-9D7F-F7CF7D521776}"/>
    <cellStyle name="Normal 11 3 2 2 6 3 2 2" xfId="39424" xr:uid="{1C9B24E0-4061-4ACD-91AF-9A60761C333E}"/>
    <cellStyle name="Normal 11 3 2 2 6 3 2 2 2" xfId="39425" xr:uid="{CA6776A5-0A5A-4DB8-B361-FF927FA3CF28}"/>
    <cellStyle name="Normal 11 3 2 2 6 3 2 2 2 2" xfId="39426" xr:uid="{2272FFDF-EC5C-440D-A77A-7D6F41B04CE8}"/>
    <cellStyle name="Normal 11 3 2 2 6 3 2 2 2 2 2" xfId="39427" xr:uid="{2DAADC49-B482-4C53-9271-C2F259E56E40}"/>
    <cellStyle name="Normal 11 3 2 2 6 3 2 2 2 2 2 2" xfId="39428" xr:uid="{12B69718-DEF2-477A-99C3-DF236778C29E}"/>
    <cellStyle name="Normal 11 3 2 2 6 3 2 2 2 2 3" xfId="39429" xr:uid="{6E30640A-20D8-4CC4-BCC9-39698B3FF3C9}"/>
    <cellStyle name="Normal 11 3 2 2 6 3 2 2 2 3" xfId="39430" xr:uid="{3E8EF655-0A0F-492D-B2FA-9B15154C01CF}"/>
    <cellStyle name="Normal 11 3 2 2 6 3 2 2 2 3 2" xfId="39431" xr:uid="{6B2DA74F-B9C9-4CFB-81D7-DAD6CF002314}"/>
    <cellStyle name="Normal 11 3 2 2 6 3 2 2 2 4" xfId="39432" xr:uid="{ADBBA9A6-C2EF-4859-B25B-3E579043EA78}"/>
    <cellStyle name="Normal 11 3 2 2 6 3 2 2 3" xfId="39433" xr:uid="{D0666E97-F344-4278-B6BF-59CE1DA5D94F}"/>
    <cellStyle name="Normal 11 3 2 2 6 3 2 2 3 2" xfId="39434" xr:uid="{74E900F3-AC34-4027-B2AA-C0A0C4D1FEEF}"/>
    <cellStyle name="Normal 11 3 2 2 6 3 2 2 3 2 2" xfId="39435" xr:uid="{E1D3232B-571B-4B37-B7A5-6EB8B2811AC5}"/>
    <cellStyle name="Normal 11 3 2 2 6 3 2 2 3 3" xfId="39436" xr:uid="{CFD80093-FF94-4A67-9C7A-A7D245857BF8}"/>
    <cellStyle name="Normal 11 3 2 2 6 3 2 2 4" xfId="39437" xr:uid="{40A45B03-B2B5-47EA-875F-E8C5C4084DCE}"/>
    <cellStyle name="Normal 11 3 2 2 6 3 2 2 4 2" xfId="39438" xr:uid="{726019F9-0588-4533-99DC-02679941FC55}"/>
    <cellStyle name="Normal 11 3 2 2 6 3 2 2 5" xfId="39439" xr:uid="{052C9F5E-880C-4F5D-A900-B919720C4481}"/>
    <cellStyle name="Normal 11 3 2 2 6 3 2 3" xfId="39440" xr:uid="{776AD1BD-005F-48F6-B1F3-113A4EE3CBFE}"/>
    <cellStyle name="Normal 11 3 2 2 6 3 2 3 2" xfId="39441" xr:uid="{87C2D87E-55D1-4485-88CB-DE617BE9F914}"/>
    <cellStyle name="Normal 11 3 2 2 6 3 2 3 2 2" xfId="39442" xr:uid="{F848548E-5531-4CE8-ACA8-8FC0B4BA88DE}"/>
    <cellStyle name="Normal 11 3 2 2 6 3 2 3 2 2 2" xfId="39443" xr:uid="{D9F2E4A6-BB3B-4C1E-B070-FDBDCBAF55BB}"/>
    <cellStyle name="Normal 11 3 2 2 6 3 2 3 2 3" xfId="39444" xr:uid="{28B2F9B2-E367-4EBE-8C53-CE3521BA3DA4}"/>
    <cellStyle name="Normal 11 3 2 2 6 3 2 3 3" xfId="39445" xr:uid="{19BE5C3B-7961-4A2F-9A7A-6C979D722445}"/>
    <cellStyle name="Normal 11 3 2 2 6 3 2 3 3 2" xfId="39446" xr:uid="{52E3D2D2-9C95-4284-8BD8-6B443378B419}"/>
    <cellStyle name="Normal 11 3 2 2 6 3 2 3 4" xfId="39447" xr:uid="{B5712BBE-82C6-4084-B41A-A0BB0DC198BE}"/>
    <cellStyle name="Normal 11 3 2 2 6 3 2 4" xfId="39448" xr:uid="{9DCAC179-AC81-4C71-B0EF-CA781895B7EC}"/>
    <cellStyle name="Normal 11 3 2 2 6 3 2 4 2" xfId="39449" xr:uid="{8484D84D-08E6-4FCC-9997-BFD4768AC5E8}"/>
    <cellStyle name="Normal 11 3 2 2 6 3 2 4 2 2" xfId="39450" xr:uid="{2EF30F67-F7CB-4F8B-B5E9-185D93CEE633}"/>
    <cellStyle name="Normal 11 3 2 2 6 3 2 4 3" xfId="39451" xr:uid="{C94D2B9A-24E0-44B9-89C6-427ED8C74908}"/>
    <cellStyle name="Normal 11 3 2 2 6 3 2 5" xfId="39452" xr:uid="{8942B7FE-6B86-43B0-BCCD-A19DF452B802}"/>
    <cellStyle name="Normal 11 3 2 2 6 3 2 5 2" xfId="39453" xr:uid="{3EEFDE59-BF98-4A0B-B0FE-A5E6D155EDBE}"/>
    <cellStyle name="Normal 11 3 2 2 6 3 2 6" xfId="39454" xr:uid="{CC6E450B-5886-43BC-8A88-DBD524B3E627}"/>
    <cellStyle name="Normal 11 3 2 2 6 3 3" xfId="39455" xr:uid="{71A49F7F-0C4E-4BC7-AA7B-E4F5D37F2E7F}"/>
    <cellStyle name="Normal 11 3 2 2 6 3 3 2" xfId="39456" xr:uid="{0D370F77-AAF6-4AA9-BAE8-7109EE624E79}"/>
    <cellStyle name="Normal 11 3 2 2 6 3 3 2 2" xfId="39457" xr:uid="{81F94D94-E3CE-4BA5-A6F6-0A24A587A373}"/>
    <cellStyle name="Normal 11 3 2 2 6 3 3 2 2 2" xfId="39458" xr:uid="{C94868BE-B715-4F03-A457-0D77F00997E2}"/>
    <cellStyle name="Normal 11 3 2 2 6 3 3 2 2 2 2" xfId="39459" xr:uid="{1DFC5597-88A9-41BE-B082-2D3C0C101749}"/>
    <cellStyle name="Normal 11 3 2 2 6 3 3 2 2 3" xfId="39460" xr:uid="{3D6C506B-AEC8-43C1-9141-878597D85BB9}"/>
    <cellStyle name="Normal 11 3 2 2 6 3 3 2 3" xfId="39461" xr:uid="{AC8AA384-144B-42C8-AC2D-6278870F6601}"/>
    <cellStyle name="Normal 11 3 2 2 6 3 3 2 3 2" xfId="39462" xr:uid="{EC891529-BF7C-4990-893E-F13C6AD5B032}"/>
    <cellStyle name="Normal 11 3 2 2 6 3 3 2 4" xfId="39463" xr:uid="{64766F0B-FF77-4258-A712-8801E80C4710}"/>
    <cellStyle name="Normal 11 3 2 2 6 3 3 3" xfId="39464" xr:uid="{5AB651B7-8264-4550-8B68-126FB70DAC71}"/>
    <cellStyle name="Normal 11 3 2 2 6 3 3 3 2" xfId="39465" xr:uid="{23D4BA2C-1255-47DF-94FC-A737F3FDBF0B}"/>
    <cellStyle name="Normal 11 3 2 2 6 3 3 3 2 2" xfId="39466" xr:uid="{0BD9DCBB-3565-4999-BB81-5B1C0BFADB82}"/>
    <cellStyle name="Normal 11 3 2 2 6 3 3 3 3" xfId="39467" xr:uid="{D4AAA0AE-3916-4986-B624-7E409CB16B9A}"/>
    <cellStyle name="Normal 11 3 2 2 6 3 3 4" xfId="39468" xr:uid="{A76268FE-9BDD-4C68-9204-5E35F912994D}"/>
    <cellStyle name="Normal 11 3 2 2 6 3 3 4 2" xfId="39469" xr:uid="{ECE997F9-382C-4601-BC10-C936948A3363}"/>
    <cellStyle name="Normal 11 3 2 2 6 3 3 5" xfId="39470" xr:uid="{B80FDA33-0897-4E02-85D2-BE660DBD6B8F}"/>
    <cellStyle name="Normal 11 3 2 2 6 3 4" xfId="39471" xr:uid="{4F3AA8C5-DAF8-4B22-A5FC-52DC26CB8B73}"/>
    <cellStyle name="Normal 11 3 2 2 6 3 4 2" xfId="39472" xr:uid="{AE7B0C7D-4049-4EF4-B8C2-A4F23FB5A1FA}"/>
    <cellStyle name="Normal 11 3 2 2 6 3 4 2 2" xfId="39473" xr:uid="{5C830A99-92D1-4424-9511-1C931EE8DF1A}"/>
    <cellStyle name="Normal 11 3 2 2 6 3 4 2 2 2" xfId="39474" xr:uid="{0DA3EF2A-98A5-420C-88FC-D37E9CC0A7DA}"/>
    <cellStyle name="Normal 11 3 2 2 6 3 4 2 3" xfId="39475" xr:uid="{67DA350F-B35A-4360-958A-DD02BE92AB39}"/>
    <cellStyle name="Normal 11 3 2 2 6 3 4 3" xfId="39476" xr:uid="{48BA779B-4AE2-4F17-BA8F-034730BF6452}"/>
    <cellStyle name="Normal 11 3 2 2 6 3 4 3 2" xfId="39477" xr:uid="{21381E04-374B-41FA-BB71-AA978AA068AE}"/>
    <cellStyle name="Normal 11 3 2 2 6 3 4 4" xfId="39478" xr:uid="{5BFFD5C5-7330-47C6-86D3-9A443F03D5B9}"/>
    <cellStyle name="Normal 11 3 2 2 6 3 5" xfId="39479" xr:uid="{009837EF-5A08-46A3-89B4-FB3BE0646133}"/>
    <cellStyle name="Normal 11 3 2 2 6 3 5 2" xfId="39480" xr:uid="{1287303F-CD66-4164-84AD-47D38D16D946}"/>
    <cellStyle name="Normal 11 3 2 2 6 3 5 2 2" xfId="39481" xr:uid="{ADC43050-5C46-4CC9-9354-4823AE7E97C7}"/>
    <cellStyle name="Normal 11 3 2 2 6 3 5 3" xfId="39482" xr:uid="{16A45899-EF71-400A-A7F6-771E1F3F99DB}"/>
    <cellStyle name="Normal 11 3 2 2 6 3 6" xfId="39483" xr:uid="{FDBA785F-5B5F-4AD3-A823-551EBCD11860}"/>
    <cellStyle name="Normal 11 3 2 2 6 3 6 2" xfId="39484" xr:uid="{D3C2EFFE-91AC-4B2E-A764-9747629E69B0}"/>
    <cellStyle name="Normal 11 3 2 2 6 3 7" xfId="39485" xr:uid="{146E1DCC-DB59-4D27-A3B0-AE7D803ADF1F}"/>
    <cellStyle name="Normal 11 3 2 2 6 4" xfId="39486" xr:uid="{D08FB029-320D-4179-914C-6A341AC99DBC}"/>
    <cellStyle name="Normal 11 3 2 2 6 4 2" xfId="39487" xr:uid="{8CBD8BF1-B33B-467E-AC75-99AD1739C805}"/>
    <cellStyle name="Normal 11 3 2 2 6 4 2 2" xfId="39488" xr:uid="{495FEC5A-67C2-4DD6-93B9-1E25EFEC7201}"/>
    <cellStyle name="Normal 11 3 2 2 6 4 2 2 2" xfId="39489" xr:uid="{C9CA9E8B-6589-4E7E-A346-78B413798406}"/>
    <cellStyle name="Normal 11 3 2 2 6 4 2 2 2 2" xfId="39490" xr:uid="{53B36709-11A5-4564-8B6E-FCCD0221CA53}"/>
    <cellStyle name="Normal 11 3 2 2 6 4 2 2 2 2 2" xfId="39491" xr:uid="{E8FAED46-F7A3-4611-97AD-194A23EF8843}"/>
    <cellStyle name="Normal 11 3 2 2 6 4 2 2 2 3" xfId="39492" xr:uid="{E7674781-2F43-4957-9723-03D707436B4F}"/>
    <cellStyle name="Normal 11 3 2 2 6 4 2 2 3" xfId="39493" xr:uid="{437DB26E-A484-4E0A-9048-CFFD1E4BD03B}"/>
    <cellStyle name="Normal 11 3 2 2 6 4 2 2 3 2" xfId="39494" xr:uid="{6FB676AF-CF04-4D2D-8701-F2B56B3E9478}"/>
    <cellStyle name="Normal 11 3 2 2 6 4 2 2 4" xfId="39495" xr:uid="{2FAA27C5-72C9-43C5-9571-1E903A01D5FB}"/>
    <cellStyle name="Normal 11 3 2 2 6 4 2 3" xfId="39496" xr:uid="{948237BB-A696-448D-AFD9-A806909F4113}"/>
    <cellStyle name="Normal 11 3 2 2 6 4 2 3 2" xfId="39497" xr:uid="{4B0C6E2D-9DE2-4450-AD0E-8192E334B413}"/>
    <cellStyle name="Normal 11 3 2 2 6 4 2 3 2 2" xfId="39498" xr:uid="{6FF21C57-522B-4459-8154-D8B2286560D1}"/>
    <cellStyle name="Normal 11 3 2 2 6 4 2 3 3" xfId="39499" xr:uid="{3D1FDBAF-B23D-4290-A2D6-1BBD1B5D706E}"/>
    <cellStyle name="Normal 11 3 2 2 6 4 2 4" xfId="39500" xr:uid="{2CA2938A-1C1C-4D45-A2A6-E2830F165D9A}"/>
    <cellStyle name="Normal 11 3 2 2 6 4 2 4 2" xfId="39501" xr:uid="{B0465650-ED91-45E0-9AF4-9F8A74B8C0C0}"/>
    <cellStyle name="Normal 11 3 2 2 6 4 2 5" xfId="39502" xr:uid="{C5B6103F-AF3F-479E-8A1A-DE15759CD398}"/>
    <cellStyle name="Normal 11 3 2 2 6 4 3" xfId="39503" xr:uid="{1750E1B6-2AAB-4C27-BE93-52576CB5DC9E}"/>
    <cellStyle name="Normal 11 3 2 2 6 4 3 2" xfId="39504" xr:uid="{33F61CA8-7095-4C6A-908B-348B30AC11DD}"/>
    <cellStyle name="Normal 11 3 2 2 6 4 3 2 2" xfId="39505" xr:uid="{2FE728F8-1202-4C26-8C38-15BBEA2580AC}"/>
    <cellStyle name="Normal 11 3 2 2 6 4 3 2 2 2" xfId="39506" xr:uid="{080ABB52-ED75-477A-8D87-E8F96700D61D}"/>
    <cellStyle name="Normal 11 3 2 2 6 4 3 2 3" xfId="39507" xr:uid="{5474F1FB-FA4D-4807-93A0-AAB29BEAA213}"/>
    <cellStyle name="Normal 11 3 2 2 6 4 3 3" xfId="39508" xr:uid="{B3499DEA-21BE-487A-8199-DE5897B5DF67}"/>
    <cellStyle name="Normal 11 3 2 2 6 4 3 3 2" xfId="39509" xr:uid="{7E8F68EA-5D89-4588-8457-B9F5D309917A}"/>
    <cellStyle name="Normal 11 3 2 2 6 4 3 4" xfId="39510" xr:uid="{1F357E23-22DE-4E4E-A40E-959E4BECFD21}"/>
    <cellStyle name="Normal 11 3 2 2 6 4 4" xfId="39511" xr:uid="{DF3EDCFB-1364-49D1-8828-B709F88CEC1B}"/>
    <cellStyle name="Normal 11 3 2 2 6 4 4 2" xfId="39512" xr:uid="{87881AA1-2765-4AD0-9B6C-0EB02D23585D}"/>
    <cellStyle name="Normal 11 3 2 2 6 4 4 2 2" xfId="39513" xr:uid="{935B2BA5-35C1-4D7B-8E96-1B84F6F15F8D}"/>
    <cellStyle name="Normal 11 3 2 2 6 4 4 3" xfId="39514" xr:uid="{2CE7D9A0-B5A0-49E5-BBA6-D33381323416}"/>
    <cellStyle name="Normal 11 3 2 2 6 4 5" xfId="39515" xr:uid="{78356537-D06C-42C9-8E28-C635F22687F5}"/>
    <cellStyle name="Normal 11 3 2 2 6 4 5 2" xfId="39516" xr:uid="{11517DE7-839F-4E9B-9489-6A6FEC211690}"/>
    <cellStyle name="Normal 11 3 2 2 6 4 6" xfId="39517" xr:uid="{E453DAA6-9053-45E9-81E1-B23A8091F1C5}"/>
    <cellStyle name="Normal 11 3 2 2 6 5" xfId="39518" xr:uid="{582EB6F2-C470-48A0-BAFA-EFDB52660C8D}"/>
    <cellStyle name="Normal 11 3 2 2 6 5 2" xfId="39519" xr:uid="{FF20A947-9653-457D-A3E5-21D2666D44B7}"/>
    <cellStyle name="Normal 11 3 2 2 6 5 2 2" xfId="39520" xr:uid="{1B77DE5D-445F-415E-B6F8-C60E43F4B316}"/>
    <cellStyle name="Normal 11 3 2 2 6 5 2 2 2" xfId="39521" xr:uid="{6B144401-81E9-4028-A061-58D62EF68634}"/>
    <cellStyle name="Normal 11 3 2 2 6 5 2 2 2 2" xfId="39522" xr:uid="{176419E4-3507-4878-A453-B966901F8AB5}"/>
    <cellStyle name="Normal 11 3 2 2 6 5 2 2 3" xfId="39523" xr:uid="{69E34465-D781-49AE-A3ED-37A86D1F24F3}"/>
    <cellStyle name="Normal 11 3 2 2 6 5 2 3" xfId="39524" xr:uid="{13E498FD-C512-4075-99E6-8C20675916E1}"/>
    <cellStyle name="Normal 11 3 2 2 6 5 2 3 2" xfId="39525" xr:uid="{3583F28B-D71E-4553-93BB-B2D4828EEB43}"/>
    <cellStyle name="Normal 11 3 2 2 6 5 2 4" xfId="39526" xr:uid="{621DDB72-A806-4177-BC1C-6BEBC3C2F490}"/>
    <cellStyle name="Normal 11 3 2 2 6 5 3" xfId="39527" xr:uid="{40A6533D-D1AD-4E84-8892-A4FDB05DEFA1}"/>
    <cellStyle name="Normal 11 3 2 2 6 5 3 2" xfId="39528" xr:uid="{F303DD1E-4530-44FC-B3BF-D8D9B7BBC673}"/>
    <cellStyle name="Normal 11 3 2 2 6 5 3 2 2" xfId="39529" xr:uid="{66E7A29F-2B65-43EF-B1B0-3E9F41870A31}"/>
    <cellStyle name="Normal 11 3 2 2 6 5 3 3" xfId="39530" xr:uid="{955038E2-8217-47B1-BFB8-3881DE96CAC2}"/>
    <cellStyle name="Normal 11 3 2 2 6 5 4" xfId="39531" xr:uid="{0662A2FB-0563-4BF4-85A6-8203D999D7D1}"/>
    <cellStyle name="Normal 11 3 2 2 6 5 4 2" xfId="39532" xr:uid="{10D1EB73-74D7-42BC-B15E-19C25382E13E}"/>
    <cellStyle name="Normal 11 3 2 2 6 5 5" xfId="39533" xr:uid="{0DA675F7-6D6C-426B-9BA7-84D0F075998F}"/>
    <cellStyle name="Normal 11 3 2 2 6 6" xfId="39534" xr:uid="{8073DE2B-F23F-4BA0-8832-BB4297ED47D1}"/>
    <cellStyle name="Normal 11 3 2 2 6 6 2" xfId="39535" xr:uid="{CC74E21A-80CA-43C0-8E34-C0BEABF9C6CA}"/>
    <cellStyle name="Normal 11 3 2 2 6 6 2 2" xfId="39536" xr:uid="{F03B253C-75FF-4F97-9636-8863D6CD207A}"/>
    <cellStyle name="Normal 11 3 2 2 6 6 2 2 2" xfId="39537" xr:uid="{68BC8B5E-7020-4EA9-A1ED-1B2AFA1130A3}"/>
    <cellStyle name="Normal 11 3 2 2 6 6 2 3" xfId="39538" xr:uid="{E6672D8D-7A06-4D55-9807-673D9FD39F74}"/>
    <cellStyle name="Normal 11 3 2 2 6 6 3" xfId="39539" xr:uid="{9A01476C-2113-4A53-8D46-C2EEA93BA88D}"/>
    <cellStyle name="Normal 11 3 2 2 6 6 3 2" xfId="39540" xr:uid="{0C61034D-1A4A-4591-9E1E-F0B9E862B8E9}"/>
    <cellStyle name="Normal 11 3 2 2 6 6 4" xfId="39541" xr:uid="{B86BAD2D-DDED-4DAE-B1A5-64DAA76E8A5C}"/>
    <cellStyle name="Normal 11 3 2 2 6 7" xfId="39542" xr:uid="{533C0E76-DFB3-480E-BA0F-91416ED4D70B}"/>
    <cellStyle name="Normal 11 3 2 2 6 7 2" xfId="39543" xr:uid="{67D5AB44-A859-4891-BD79-9764084E30BB}"/>
    <cellStyle name="Normal 11 3 2 2 6 7 2 2" xfId="39544" xr:uid="{90E4CEEC-A002-4254-9D3A-2FDCFEFF0B03}"/>
    <cellStyle name="Normal 11 3 2 2 6 7 3" xfId="39545" xr:uid="{264165F4-AA1D-4D57-9DC9-F0DAFD8E36B7}"/>
    <cellStyle name="Normal 11 3 2 2 6 8" xfId="39546" xr:uid="{079CBF73-98CC-4C7C-83C1-C3386188AA74}"/>
    <cellStyle name="Normal 11 3 2 2 6 8 2" xfId="39547" xr:uid="{5CE39CAC-0E58-4E6E-B0D5-AB2A69F05F0E}"/>
    <cellStyle name="Normal 11 3 2 2 6 9" xfId="39548" xr:uid="{46CCC0DF-5A17-493D-8D6E-7E0A1F8A9FD4}"/>
    <cellStyle name="Normal 11 3 2 2 7" xfId="452" xr:uid="{FF5FE5D4-22E9-4C5C-A8AE-E151EF4F21E0}"/>
    <cellStyle name="Normal 11 3 2 2 7 2" xfId="39550" xr:uid="{7A9814FB-FE05-4B77-A147-496EF6CC5284}"/>
    <cellStyle name="Normal 11 3 2 2 7 2 2" xfId="39551" xr:uid="{EF61BD42-BBAA-46AF-9AA5-2975D32960D9}"/>
    <cellStyle name="Normal 11 3 2 2 7 2 2 2" xfId="39552" xr:uid="{5977574F-97F7-4F55-9F78-FBB78A2BA19C}"/>
    <cellStyle name="Normal 11 3 2 2 7 2 2 2 2" xfId="39553" xr:uid="{9E0B3271-19B5-41D1-9EDF-569B3311EFC5}"/>
    <cellStyle name="Normal 11 3 2 2 7 2 2 2 2 2" xfId="39554" xr:uid="{CA4BF294-7F3A-4855-804B-CD87F2FA5302}"/>
    <cellStyle name="Normal 11 3 2 2 7 2 2 2 2 2 2" xfId="39555" xr:uid="{6E8FA185-FD86-426D-B644-4CEBCC22B889}"/>
    <cellStyle name="Normal 11 3 2 2 7 2 2 2 2 2 2 2" xfId="39556" xr:uid="{87ADD5AB-3766-41A5-9E3C-3ED3E74A2A57}"/>
    <cellStyle name="Normal 11 3 2 2 7 2 2 2 2 2 3" xfId="39557" xr:uid="{39CBEC91-FD8C-4403-9AA7-8E10EA92052D}"/>
    <cellStyle name="Normal 11 3 2 2 7 2 2 2 2 3" xfId="39558" xr:uid="{83F9B196-A2FD-4723-A376-B2AFE7F68001}"/>
    <cellStyle name="Normal 11 3 2 2 7 2 2 2 2 3 2" xfId="39559" xr:uid="{5AEC95EE-635E-431F-AC2E-69C2D5478C64}"/>
    <cellStyle name="Normal 11 3 2 2 7 2 2 2 2 4" xfId="39560" xr:uid="{DD4A6DC9-0E5B-4459-ABAD-E0A8783B2F0B}"/>
    <cellStyle name="Normal 11 3 2 2 7 2 2 2 3" xfId="39561" xr:uid="{E476B413-5EA7-4987-9403-6B1A11DCE026}"/>
    <cellStyle name="Normal 11 3 2 2 7 2 2 2 3 2" xfId="39562" xr:uid="{CE3972CE-D316-4192-935B-A719BFC46182}"/>
    <cellStyle name="Normal 11 3 2 2 7 2 2 2 3 2 2" xfId="39563" xr:uid="{BD35081F-5A5B-4D96-AD0B-31C977DECFED}"/>
    <cellStyle name="Normal 11 3 2 2 7 2 2 2 3 3" xfId="39564" xr:uid="{776D2807-1E1C-41AB-A18B-82CD1762D50D}"/>
    <cellStyle name="Normal 11 3 2 2 7 2 2 2 4" xfId="39565" xr:uid="{C5DECC0F-6012-4DE1-880C-17012449B3A3}"/>
    <cellStyle name="Normal 11 3 2 2 7 2 2 2 4 2" xfId="39566" xr:uid="{97F6F584-0AAF-4727-9F64-52079EF5082E}"/>
    <cellStyle name="Normal 11 3 2 2 7 2 2 2 5" xfId="39567" xr:uid="{2C11418F-48A4-446F-8844-C8EC7527E42E}"/>
    <cellStyle name="Normal 11 3 2 2 7 2 2 3" xfId="39568" xr:uid="{1E7F30EC-BF16-4700-B311-AC6267392F7F}"/>
    <cellStyle name="Normal 11 3 2 2 7 2 2 3 2" xfId="39569" xr:uid="{D0282877-AC1D-4108-A448-459561FB6CCA}"/>
    <cellStyle name="Normal 11 3 2 2 7 2 2 3 2 2" xfId="39570" xr:uid="{32531E21-656D-461C-AB1E-7E44D67EFF47}"/>
    <cellStyle name="Normal 11 3 2 2 7 2 2 3 2 2 2" xfId="39571" xr:uid="{80827DF5-8FA6-4718-B986-38FBA4C4825D}"/>
    <cellStyle name="Normal 11 3 2 2 7 2 2 3 2 3" xfId="39572" xr:uid="{13CDF3EC-700D-4D67-B642-4A31334A724C}"/>
    <cellStyle name="Normal 11 3 2 2 7 2 2 3 3" xfId="39573" xr:uid="{AF49F128-FEA8-4341-8833-631803D74C7C}"/>
    <cellStyle name="Normal 11 3 2 2 7 2 2 3 3 2" xfId="39574" xr:uid="{95799A8C-1EF2-4014-ADA0-9A3081FDFFAB}"/>
    <cellStyle name="Normal 11 3 2 2 7 2 2 3 4" xfId="39575" xr:uid="{803CA8D6-A423-4D09-AA96-1D9C7712D1F9}"/>
    <cellStyle name="Normal 11 3 2 2 7 2 2 4" xfId="39576" xr:uid="{6BE318D9-EBE3-4A5C-B9AC-2582C345858E}"/>
    <cellStyle name="Normal 11 3 2 2 7 2 2 4 2" xfId="39577" xr:uid="{B27DE9F8-C7C2-47BD-8F04-44C02F8C682D}"/>
    <cellStyle name="Normal 11 3 2 2 7 2 2 4 2 2" xfId="39578" xr:uid="{232789BB-AAE5-4D5E-B5AC-A24971A39B88}"/>
    <cellStyle name="Normal 11 3 2 2 7 2 2 4 3" xfId="39579" xr:uid="{8C5D41DE-31A0-4186-A76C-0606160BB505}"/>
    <cellStyle name="Normal 11 3 2 2 7 2 2 5" xfId="39580" xr:uid="{86C89B91-8AEE-427A-8C85-E70D49E5DC36}"/>
    <cellStyle name="Normal 11 3 2 2 7 2 2 5 2" xfId="39581" xr:uid="{089E3CB0-441A-4502-8172-79AE7C0C0463}"/>
    <cellStyle name="Normal 11 3 2 2 7 2 2 6" xfId="39582" xr:uid="{09592F71-4D6F-42A2-90CA-6E4B9862319C}"/>
    <cellStyle name="Normal 11 3 2 2 7 2 3" xfId="39583" xr:uid="{2CDE8196-EF5D-4037-B685-1D66DAE23FC9}"/>
    <cellStyle name="Normal 11 3 2 2 7 2 3 2" xfId="39584" xr:uid="{47913D38-948D-41D4-B9DC-1FAD0E8A3A5A}"/>
    <cellStyle name="Normal 11 3 2 2 7 2 3 2 2" xfId="39585" xr:uid="{69CEDFDC-FAB6-405C-8B66-CB255DF4F481}"/>
    <cellStyle name="Normal 11 3 2 2 7 2 3 2 2 2" xfId="39586" xr:uid="{8857170A-44F4-4A67-AD00-5CAD6F609BB0}"/>
    <cellStyle name="Normal 11 3 2 2 7 2 3 2 2 2 2" xfId="39587" xr:uid="{D8E6304F-8732-4934-83B7-7161E6324F14}"/>
    <cellStyle name="Normal 11 3 2 2 7 2 3 2 2 3" xfId="39588" xr:uid="{8D3B797C-E94F-43BD-AAA0-B5F070863FE7}"/>
    <cellStyle name="Normal 11 3 2 2 7 2 3 2 3" xfId="39589" xr:uid="{642C4B3D-C365-4925-ABC4-425E14653DBD}"/>
    <cellStyle name="Normal 11 3 2 2 7 2 3 2 3 2" xfId="39590" xr:uid="{0D37EA2B-0571-497B-9DE7-037EA3712544}"/>
    <cellStyle name="Normal 11 3 2 2 7 2 3 2 4" xfId="39591" xr:uid="{18954C5A-3617-47B2-A4C5-DC09D277782A}"/>
    <cellStyle name="Normal 11 3 2 2 7 2 3 3" xfId="39592" xr:uid="{63F40680-5743-4C91-AD3E-15B6397BD4A9}"/>
    <cellStyle name="Normal 11 3 2 2 7 2 3 3 2" xfId="39593" xr:uid="{887AA40C-A111-4ACD-83F3-0357DB55D685}"/>
    <cellStyle name="Normal 11 3 2 2 7 2 3 3 2 2" xfId="39594" xr:uid="{58754607-5807-4586-B988-0F8A89FC2D8A}"/>
    <cellStyle name="Normal 11 3 2 2 7 2 3 3 3" xfId="39595" xr:uid="{C771BA59-8519-4F08-9D86-A12A51833D1D}"/>
    <cellStyle name="Normal 11 3 2 2 7 2 3 4" xfId="39596" xr:uid="{CF72718F-B667-4EAA-9015-F4FC0D906626}"/>
    <cellStyle name="Normal 11 3 2 2 7 2 3 4 2" xfId="39597" xr:uid="{E78CBBA5-804E-41B7-A57E-4C6EC5547E4B}"/>
    <cellStyle name="Normal 11 3 2 2 7 2 3 5" xfId="39598" xr:uid="{CF4A8C8B-EA5E-4962-A424-5016AAE28E45}"/>
    <cellStyle name="Normal 11 3 2 2 7 2 4" xfId="39599" xr:uid="{FCA07A91-3B51-4B2E-9182-58205D656D79}"/>
    <cellStyle name="Normal 11 3 2 2 7 2 4 2" xfId="39600" xr:uid="{9E495DB1-DA2A-487F-854E-D746ACE1A03B}"/>
    <cellStyle name="Normal 11 3 2 2 7 2 4 2 2" xfId="39601" xr:uid="{2AFB2CDC-1F05-4CD5-AD86-62B5357EC8A2}"/>
    <cellStyle name="Normal 11 3 2 2 7 2 4 2 2 2" xfId="39602" xr:uid="{C5989E41-7BDE-48CC-BA80-D69F4B39914B}"/>
    <cellStyle name="Normal 11 3 2 2 7 2 4 2 3" xfId="39603" xr:uid="{EDF597A9-840E-4387-BC10-54DACF4322D2}"/>
    <cellStyle name="Normal 11 3 2 2 7 2 4 3" xfId="39604" xr:uid="{589E1550-FFCB-485F-9AB1-DF29A6EA2130}"/>
    <cellStyle name="Normal 11 3 2 2 7 2 4 3 2" xfId="39605" xr:uid="{8FBD6D43-B5ED-4847-A728-38D25C5CCE56}"/>
    <cellStyle name="Normal 11 3 2 2 7 2 4 4" xfId="39606" xr:uid="{138818B6-FAB1-482C-A0F7-EB570C0E0924}"/>
    <cellStyle name="Normal 11 3 2 2 7 2 5" xfId="39607" xr:uid="{ED07983D-7AC9-4001-87A9-01199FEED687}"/>
    <cellStyle name="Normal 11 3 2 2 7 2 5 2" xfId="39608" xr:uid="{1736C793-19F8-4EBF-9D54-EA32E4280DAA}"/>
    <cellStyle name="Normal 11 3 2 2 7 2 5 2 2" xfId="39609" xr:uid="{E9714F4B-5BA9-428D-BC1C-8C454125415F}"/>
    <cellStyle name="Normal 11 3 2 2 7 2 5 3" xfId="39610" xr:uid="{617DEF42-A88A-462E-AC63-3EC92E6C981C}"/>
    <cellStyle name="Normal 11 3 2 2 7 2 6" xfId="39611" xr:uid="{C180062C-B7E8-4886-BCCE-4BABAE56B4BC}"/>
    <cellStyle name="Normal 11 3 2 2 7 2 6 2" xfId="39612" xr:uid="{423282DB-FE39-4AD7-A720-75DBCF1DD91E}"/>
    <cellStyle name="Normal 11 3 2 2 7 2 7" xfId="39613" xr:uid="{B8263895-F5D4-45BA-A7F6-E468BDE82D16}"/>
    <cellStyle name="Normal 11 3 2 2 7 3" xfId="39614" xr:uid="{7B43D5A6-8298-4515-A2A5-9AA27DB25CBB}"/>
    <cellStyle name="Normal 11 3 2 2 7 3 2" xfId="39615" xr:uid="{677D01DB-C6CD-43FF-8336-897A0EB1101C}"/>
    <cellStyle name="Normal 11 3 2 2 7 3 2 2" xfId="39616" xr:uid="{7DAA7E2A-B517-489C-8F0E-DBA6189A21DE}"/>
    <cellStyle name="Normal 11 3 2 2 7 3 2 2 2" xfId="39617" xr:uid="{A836A519-6179-4D9B-9F23-84927D5FD382}"/>
    <cellStyle name="Normal 11 3 2 2 7 3 2 2 2 2" xfId="39618" xr:uid="{C7378220-0E93-44E9-B67F-66ABB25A40D9}"/>
    <cellStyle name="Normal 11 3 2 2 7 3 2 2 2 2 2" xfId="39619" xr:uid="{7D3FEB50-59DE-4893-94E9-6FDD083A9611}"/>
    <cellStyle name="Normal 11 3 2 2 7 3 2 2 2 3" xfId="39620" xr:uid="{81FCC14B-6F25-4834-A653-1B578B6C256B}"/>
    <cellStyle name="Normal 11 3 2 2 7 3 2 2 3" xfId="39621" xr:uid="{CBC3A3F9-3561-4F2B-BE3A-2C833F7B053D}"/>
    <cellStyle name="Normal 11 3 2 2 7 3 2 2 3 2" xfId="39622" xr:uid="{EEE53A6A-861E-4A36-BC85-99D3687AAF44}"/>
    <cellStyle name="Normal 11 3 2 2 7 3 2 2 4" xfId="39623" xr:uid="{DDFD5540-F60D-46B0-AA51-C761531CE3CF}"/>
    <cellStyle name="Normal 11 3 2 2 7 3 2 3" xfId="39624" xr:uid="{0E9FC91B-3DE3-4583-A897-AC3EA45AAB0F}"/>
    <cellStyle name="Normal 11 3 2 2 7 3 2 3 2" xfId="39625" xr:uid="{7DA375EC-E12D-4C3D-BBA9-43FCDD9B32D2}"/>
    <cellStyle name="Normal 11 3 2 2 7 3 2 3 2 2" xfId="39626" xr:uid="{F2FC3B6E-63EC-4C1E-B8EE-44CE0F31CFF8}"/>
    <cellStyle name="Normal 11 3 2 2 7 3 2 3 3" xfId="39627" xr:uid="{62F87BBF-72EF-44EC-9D44-B61DD878CED0}"/>
    <cellStyle name="Normal 11 3 2 2 7 3 2 4" xfId="39628" xr:uid="{B407BEE1-3815-45B5-B3B9-65451F0E473D}"/>
    <cellStyle name="Normal 11 3 2 2 7 3 2 4 2" xfId="39629" xr:uid="{30AEC6E8-4B2D-42AD-A2D8-56772C2544FB}"/>
    <cellStyle name="Normal 11 3 2 2 7 3 2 5" xfId="39630" xr:uid="{3C034EDA-FC3C-4A74-A7FA-39EE09FC209D}"/>
    <cellStyle name="Normal 11 3 2 2 7 3 3" xfId="39631" xr:uid="{F792E0C1-BAB6-4C94-BAAC-9E30BE656C12}"/>
    <cellStyle name="Normal 11 3 2 2 7 3 3 2" xfId="39632" xr:uid="{C452AED3-5E44-46D9-A22A-0665223334C8}"/>
    <cellStyle name="Normal 11 3 2 2 7 3 3 2 2" xfId="39633" xr:uid="{06E27717-5682-4311-819B-23BBA1743F8E}"/>
    <cellStyle name="Normal 11 3 2 2 7 3 3 2 2 2" xfId="39634" xr:uid="{66C4E379-41E0-44B8-9D43-05D798241A11}"/>
    <cellStyle name="Normal 11 3 2 2 7 3 3 2 3" xfId="39635" xr:uid="{A14870DC-863F-4074-955B-DB62E7B511BF}"/>
    <cellStyle name="Normal 11 3 2 2 7 3 3 3" xfId="39636" xr:uid="{36168B7E-00B0-4D07-9AF1-591133AB0EC1}"/>
    <cellStyle name="Normal 11 3 2 2 7 3 3 3 2" xfId="39637" xr:uid="{200EC0AC-2218-4A50-9AB5-D923C3C492CC}"/>
    <cellStyle name="Normal 11 3 2 2 7 3 3 4" xfId="39638" xr:uid="{658ACFA8-BD22-44CE-B5B9-A595365309EC}"/>
    <cellStyle name="Normal 11 3 2 2 7 3 4" xfId="39639" xr:uid="{E24B8638-BF6E-4DFF-9959-7C042359E283}"/>
    <cellStyle name="Normal 11 3 2 2 7 3 4 2" xfId="39640" xr:uid="{7CDB6EAB-4864-4D67-8429-17940C5F027C}"/>
    <cellStyle name="Normal 11 3 2 2 7 3 4 2 2" xfId="39641" xr:uid="{1911929F-D90F-4258-8661-A418DA223F42}"/>
    <cellStyle name="Normal 11 3 2 2 7 3 4 3" xfId="39642" xr:uid="{E5D20016-F842-4238-BB4C-EFD8C394FD1A}"/>
    <cellStyle name="Normal 11 3 2 2 7 3 5" xfId="39643" xr:uid="{961D6F1C-97A2-4461-A94C-9C2A927F02F7}"/>
    <cellStyle name="Normal 11 3 2 2 7 3 5 2" xfId="39644" xr:uid="{59A21D8C-FE7D-4539-8156-73F4B02CA99E}"/>
    <cellStyle name="Normal 11 3 2 2 7 3 6" xfId="39645" xr:uid="{1F9260C2-AB71-4A65-A1DF-103E18A731A0}"/>
    <cellStyle name="Normal 11 3 2 2 7 4" xfId="39646" xr:uid="{AB1BD125-56B6-445D-A05C-B209A5E3403E}"/>
    <cellStyle name="Normal 11 3 2 2 7 4 2" xfId="39647" xr:uid="{DCB34C2F-6DD9-41F4-92C6-454E73712EAE}"/>
    <cellStyle name="Normal 11 3 2 2 7 4 2 2" xfId="39648" xr:uid="{3D2811B9-858C-4659-8176-96347C265C2E}"/>
    <cellStyle name="Normal 11 3 2 2 7 4 2 2 2" xfId="39649" xr:uid="{43A89ABB-82B9-40D3-886B-67766A579CBF}"/>
    <cellStyle name="Normal 11 3 2 2 7 4 2 2 2 2" xfId="39650" xr:uid="{FE621C3B-31CA-42F6-802A-627B6AAA5E7B}"/>
    <cellStyle name="Normal 11 3 2 2 7 4 2 2 3" xfId="39651" xr:uid="{FC7D5697-E9D9-401A-91DE-5FDCECA97598}"/>
    <cellStyle name="Normal 11 3 2 2 7 4 2 3" xfId="39652" xr:uid="{63276A7C-57A3-41D4-8CF0-7DDE9F7A9ED8}"/>
    <cellStyle name="Normal 11 3 2 2 7 4 2 3 2" xfId="39653" xr:uid="{AF8A5B86-EE8D-45A0-A827-88F7C92BDB31}"/>
    <cellStyle name="Normal 11 3 2 2 7 4 2 4" xfId="39654" xr:uid="{25CF4744-BF67-45A3-AF19-7FCA2E40F872}"/>
    <cellStyle name="Normal 11 3 2 2 7 4 3" xfId="39655" xr:uid="{0EFF1896-333A-4EF2-AB67-FF24489935A3}"/>
    <cellStyle name="Normal 11 3 2 2 7 4 3 2" xfId="39656" xr:uid="{CF1C9E61-6B36-45ED-A36C-1FD49377D424}"/>
    <cellStyle name="Normal 11 3 2 2 7 4 3 2 2" xfId="39657" xr:uid="{EDAD0953-15D4-422F-891F-9449F1C642E4}"/>
    <cellStyle name="Normal 11 3 2 2 7 4 3 3" xfId="39658" xr:uid="{9BA9FA5A-2470-44FA-B78D-E30DBF568170}"/>
    <cellStyle name="Normal 11 3 2 2 7 4 4" xfId="39659" xr:uid="{25191A2A-8458-47A4-906E-3E3730B35CA8}"/>
    <cellStyle name="Normal 11 3 2 2 7 4 4 2" xfId="39660" xr:uid="{F15030C0-3F3F-4DBA-9D39-E1578B74AB5D}"/>
    <cellStyle name="Normal 11 3 2 2 7 4 5" xfId="39661" xr:uid="{FFC237CD-E3ED-487F-9C22-EC6DC69B7C7F}"/>
    <cellStyle name="Normal 11 3 2 2 7 5" xfId="39662" xr:uid="{61022971-692D-45C3-876A-93E3BD228C98}"/>
    <cellStyle name="Normal 11 3 2 2 7 5 2" xfId="39663" xr:uid="{1620EC63-4F84-46D2-925C-D4DB58E605D8}"/>
    <cellStyle name="Normal 11 3 2 2 7 5 2 2" xfId="39664" xr:uid="{E724BB17-38FA-43BA-BEE8-B03650194197}"/>
    <cellStyle name="Normal 11 3 2 2 7 5 2 2 2" xfId="39665" xr:uid="{D4864589-17A0-4E62-959E-E76CDA10D38F}"/>
    <cellStyle name="Normal 11 3 2 2 7 5 2 3" xfId="39666" xr:uid="{A50FCBF5-597E-4704-A55C-AAF13A213F05}"/>
    <cellStyle name="Normal 11 3 2 2 7 5 3" xfId="39667" xr:uid="{237DAD8C-0D4B-4E8D-B377-346E34402E4D}"/>
    <cellStyle name="Normal 11 3 2 2 7 5 3 2" xfId="39668" xr:uid="{BB1D0DDC-66ED-4855-9B22-6CD7C504A2FF}"/>
    <cellStyle name="Normal 11 3 2 2 7 5 4" xfId="39669" xr:uid="{06FFE7DB-C9F7-471F-AAE4-F70994229AA6}"/>
    <cellStyle name="Normal 11 3 2 2 7 6" xfId="39670" xr:uid="{C1E42B33-F468-4F33-9E60-CC2F260BAB47}"/>
    <cellStyle name="Normal 11 3 2 2 7 6 2" xfId="39671" xr:uid="{A54300A1-4239-4C12-ADE4-C33E5A07FAC6}"/>
    <cellStyle name="Normal 11 3 2 2 7 6 2 2" xfId="39672" xr:uid="{9E99D35A-17A9-4F5D-8186-B2B29E149463}"/>
    <cellStyle name="Normal 11 3 2 2 7 6 3" xfId="39673" xr:uid="{16454DD7-3CF6-4944-9C26-DF51170CBEB4}"/>
    <cellStyle name="Normal 11 3 2 2 7 7" xfId="39674" xr:uid="{A3E2B292-1BA9-4F0F-B55B-6F59F17C5E79}"/>
    <cellStyle name="Normal 11 3 2 2 7 7 2" xfId="39675" xr:uid="{23A34C19-F4A3-4B56-9818-04FF7F85D507}"/>
    <cellStyle name="Normal 11 3 2 2 7 8" xfId="39676" xr:uid="{737D36D4-0B6D-4B04-AC50-EA90EE5571D3}"/>
    <cellStyle name="Normal 11 3 2 2 7 9" xfId="39549" xr:uid="{18D5CE14-7996-4315-8860-1D8CB3239F35}"/>
    <cellStyle name="Normal 11 3 2 2 8" xfId="39677" xr:uid="{A0F2E86B-C6D0-4BD1-A69A-522AB242C6DF}"/>
    <cellStyle name="Normal 11 3 2 2 8 2" xfId="39678" xr:uid="{0891868E-BECE-4467-AFFF-A06A41A09FF3}"/>
    <cellStyle name="Normal 11 3 2 2 8 2 2" xfId="39679" xr:uid="{0DE8315F-75FD-42BD-AFE6-6EB4A6BB0282}"/>
    <cellStyle name="Normal 11 3 2 2 8 2 2 2" xfId="39680" xr:uid="{2A4B12CB-FAAF-4136-9C6F-7B571616C18E}"/>
    <cellStyle name="Normal 11 3 2 2 8 2 2 2 2" xfId="39681" xr:uid="{CFE8ECB5-D319-4F26-AF12-9CAB03715C2C}"/>
    <cellStyle name="Normal 11 3 2 2 8 2 2 2 2 2" xfId="39682" xr:uid="{163C8DB2-7DF0-4CFC-A5EB-A6723C7DFD14}"/>
    <cellStyle name="Normal 11 3 2 2 8 2 2 2 2 2 2" xfId="39683" xr:uid="{E5D43F37-BE0F-410E-A633-B1397995612A}"/>
    <cellStyle name="Normal 11 3 2 2 8 2 2 2 2 3" xfId="39684" xr:uid="{BA70C8D1-CC68-4211-B350-043202C29AD8}"/>
    <cellStyle name="Normal 11 3 2 2 8 2 2 2 3" xfId="39685" xr:uid="{B544A84C-7F57-45C8-B9B6-6821E494E686}"/>
    <cellStyle name="Normal 11 3 2 2 8 2 2 2 3 2" xfId="39686" xr:uid="{9A884A7A-D199-46B0-86FB-7BC6C6301A5B}"/>
    <cellStyle name="Normal 11 3 2 2 8 2 2 2 4" xfId="39687" xr:uid="{4D55904F-D284-4003-A22E-4CE37A26E6DD}"/>
    <cellStyle name="Normal 11 3 2 2 8 2 2 3" xfId="39688" xr:uid="{A5B22CF3-BC28-4181-808E-67FB20F3DADE}"/>
    <cellStyle name="Normal 11 3 2 2 8 2 2 3 2" xfId="39689" xr:uid="{E685A8CF-F352-4903-A330-4D310F3EA647}"/>
    <cellStyle name="Normal 11 3 2 2 8 2 2 3 2 2" xfId="39690" xr:uid="{3A6CA980-D3EB-44FA-B1AC-237843EE1E3C}"/>
    <cellStyle name="Normal 11 3 2 2 8 2 2 3 3" xfId="39691" xr:uid="{3258F736-1FAE-4B4D-A91C-3DFFF96C24D7}"/>
    <cellStyle name="Normal 11 3 2 2 8 2 2 4" xfId="39692" xr:uid="{8F7F9DD1-F594-4315-A0E4-AD97D9388D1B}"/>
    <cellStyle name="Normal 11 3 2 2 8 2 2 4 2" xfId="39693" xr:uid="{CC261880-08E1-4BE8-9808-097F60ED75FD}"/>
    <cellStyle name="Normal 11 3 2 2 8 2 2 5" xfId="39694" xr:uid="{E60464D4-C148-47E6-A3FB-66C15AB62360}"/>
    <cellStyle name="Normal 11 3 2 2 8 2 3" xfId="39695" xr:uid="{FDCCDF06-E4BE-42CB-8C3B-54196A347E61}"/>
    <cellStyle name="Normal 11 3 2 2 8 2 3 2" xfId="39696" xr:uid="{41B4746F-AE62-4D6A-B1F2-4E6FADC0F185}"/>
    <cellStyle name="Normal 11 3 2 2 8 2 3 2 2" xfId="39697" xr:uid="{17B54DC8-630F-471F-828B-2CB63D4D23D8}"/>
    <cellStyle name="Normal 11 3 2 2 8 2 3 2 2 2" xfId="39698" xr:uid="{0ECC9F1C-3ABC-4E84-B167-406B780F128C}"/>
    <cellStyle name="Normal 11 3 2 2 8 2 3 2 3" xfId="39699" xr:uid="{A042ACF9-C402-41B7-A8B9-48E80E7C57B9}"/>
    <cellStyle name="Normal 11 3 2 2 8 2 3 3" xfId="39700" xr:uid="{E1C156EF-D5BC-494E-98C4-3510F3A720C7}"/>
    <cellStyle name="Normal 11 3 2 2 8 2 3 3 2" xfId="39701" xr:uid="{51222CE5-F2AA-49A6-AE0E-F6F63C449D92}"/>
    <cellStyle name="Normal 11 3 2 2 8 2 3 4" xfId="39702" xr:uid="{C705603A-9094-4E68-907E-37AA0F454D12}"/>
    <cellStyle name="Normal 11 3 2 2 8 2 4" xfId="39703" xr:uid="{04C8EE29-447E-4744-AAF1-263A640BB2CE}"/>
    <cellStyle name="Normal 11 3 2 2 8 2 4 2" xfId="39704" xr:uid="{B8CF5803-1BAE-4906-87C0-0DD8A8BE55C7}"/>
    <cellStyle name="Normal 11 3 2 2 8 2 4 2 2" xfId="39705" xr:uid="{93506C57-E671-47CE-B21C-C4CB0E715DF5}"/>
    <cellStyle name="Normal 11 3 2 2 8 2 4 3" xfId="39706" xr:uid="{49A12D9B-1F26-40DC-8F51-D03EAD8DC475}"/>
    <cellStyle name="Normal 11 3 2 2 8 2 5" xfId="39707" xr:uid="{1B44BB05-FBED-43D3-AF11-2E7311BA2511}"/>
    <cellStyle name="Normal 11 3 2 2 8 2 5 2" xfId="39708" xr:uid="{DF99C174-9F8A-429B-BB09-0C7E22F40DA1}"/>
    <cellStyle name="Normal 11 3 2 2 8 2 6" xfId="39709" xr:uid="{7FA9FD44-EBBC-4E63-9CCE-81735606614E}"/>
    <cellStyle name="Normal 11 3 2 2 8 3" xfId="39710" xr:uid="{260E972C-25FD-407A-B049-EAF5CE52F768}"/>
    <cellStyle name="Normal 11 3 2 2 8 3 2" xfId="39711" xr:uid="{94456146-F5E5-4E23-A003-A9CE7385BA5E}"/>
    <cellStyle name="Normal 11 3 2 2 8 3 2 2" xfId="39712" xr:uid="{EB6E4EFE-924A-4563-B849-E7D5BC054337}"/>
    <cellStyle name="Normal 11 3 2 2 8 3 2 2 2" xfId="39713" xr:uid="{1D68FB9D-C5EB-44F0-922A-2B0A86F097D9}"/>
    <cellStyle name="Normal 11 3 2 2 8 3 2 2 2 2" xfId="39714" xr:uid="{241D9438-CB13-4932-A939-712294F214CA}"/>
    <cellStyle name="Normal 11 3 2 2 8 3 2 2 3" xfId="39715" xr:uid="{551D71BD-D6CF-46EF-A9B0-5DFEFE47A30B}"/>
    <cellStyle name="Normal 11 3 2 2 8 3 2 3" xfId="39716" xr:uid="{29AA6EF2-1604-4234-B768-C93063D21961}"/>
    <cellStyle name="Normal 11 3 2 2 8 3 2 3 2" xfId="39717" xr:uid="{F0C21834-2545-4B53-844F-C3E51708D9C3}"/>
    <cellStyle name="Normal 11 3 2 2 8 3 2 4" xfId="39718" xr:uid="{8DC29E1B-3C79-44A7-B5F2-C3EDF701FBD3}"/>
    <cellStyle name="Normal 11 3 2 2 8 3 3" xfId="39719" xr:uid="{A7D09FCC-DD2C-4D4F-8D91-5D52D87BFBD6}"/>
    <cellStyle name="Normal 11 3 2 2 8 3 3 2" xfId="39720" xr:uid="{244F8FEC-DBAA-4804-8738-718C3517DB20}"/>
    <cellStyle name="Normal 11 3 2 2 8 3 3 2 2" xfId="39721" xr:uid="{2B90EFED-F0E4-4D4B-AE15-8DF58725F3DF}"/>
    <cellStyle name="Normal 11 3 2 2 8 3 3 3" xfId="39722" xr:uid="{71EB0739-D6E7-4F94-A047-219C172490E1}"/>
    <cellStyle name="Normal 11 3 2 2 8 3 4" xfId="39723" xr:uid="{F752C767-7EEF-4E84-8FEA-5DBD20DED8A8}"/>
    <cellStyle name="Normal 11 3 2 2 8 3 4 2" xfId="39724" xr:uid="{5E03D06D-BBBF-4170-87B2-7641BF5157A9}"/>
    <cellStyle name="Normal 11 3 2 2 8 3 5" xfId="39725" xr:uid="{FDB44CE3-E5A4-49BF-A603-28597958C766}"/>
    <cellStyle name="Normal 11 3 2 2 8 4" xfId="39726" xr:uid="{FE272F17-6538-42CE-8745-ED1AC063138B}"/>
    <cellStyle name="Normal 11 3 2 2 8 4 2" xfId="39727" xr:uid="{6A3B2E55-D58F-4837-8E91-118FC847BABD}"/>
    <cellStyle name="Normal 11 3 2 2 8 4 2 2" xfId="39728" xr:uid="{8AB57EBD-744A-41CE-8195-9221D1B4FDA8}"/>
    <cellStyle name="Normal 11 3 2 2 8 4 2 2 2" xfId="39729" xr:uid="{062E6FF2-7342-42CA-87F6-6C0EA602C5AC}"/>
    <cellStyle name="Normal 11 3 2 2 8 4 2 3" xfId="39730" xr:uid="{8C5D65C1-3AB5-4526-918C-F53E518A8618}"/>
    <cellStyle name="Normal 11 3 2 2 8 4 3" xfId="39731" xr:uid="{0DFF4D46-1FCE-43F6-881C-60805D6475F6}"/>
    <cellStyle name="Normal 11 3 2 2 8 4 3 2" xfId="39732" xr:uid="{DB34D0DD-2C7A-483D-808D-2DA7E7A53A00}"/>
    <cellStyle name="Normal 11 3 2 2 8 4 4" xfId="39733" xr:uid="{0850D68F-51B1-434B-A77E-24811BE70321}"/>
    <cellStyle name="Normal 11 3 2 2 8 5" xfId="39734" xr:uid="{66ECB6E6-796F-4442-927E-753E419D8D31}"/>
    <cellStyle name="Normal 11 3 2 2 8 5 2" xfId="39735" xr:uid="{AA4C70C1-6AF2-4581-8613-80BB62950853}"/>
    <cellStyle name="Normal 11 3 2 2 8 5 2 2" xfId="39736" xr:uid="{76935CEA-87E3-435C-94E8-758C7E17ACFE}"/>
    <cellStyle name="Normal 11 3 2 2 8 5 3" xfId="39737" xr:uid="{A176A100-FEFE-4EE9-890A-F2131B6CE9F6}"/>
    <cellStyle name="Normal 11 3 2 2 8 6" xfId="39738" xr:uid="{542759FC-3058-4926-A38F-C447C2212F54}"/>
    <cellStyle name="Normal 11 3 2 2 8 6 2" xfId="39739" xr:uid="{5B805CC4-8EF6-464D-B29D-5C9780A23B45}"/>
    <cellStyle name="Normal 11 3 2 2 8 7" xfId="39740" xr:uid="{43DC504D-4A0E-43AC-B6AA-9446506BC266}"/>
    <cellStyle name="Normal 11 3 2 2 9" xfId="39741" xr:uid="{130FC04E-13B4-4620-8F4E-F7BBE6AC9D16}"/>
    <cellStyle name="Normal 11 3 2 2 9 2" xfId="39742" xr:uid="{8B60D0C0-F476-42EF-8674-E9E788A61173}"/>
    <cellStyle name="Normal 11 3 2 2 9 2 2" xfId="39743" xr:uid="{9DB62DFA-9CEA-455C-A8BC-59246B3BF0FB}"/>
    <cellStyle name="Normal 11 3 2 2 9 2 2 2" xfId="39744" xr:uid="{E60AFF0F-7953-4A8F-B16E-4A30CFDE5C1D}"/>
    <cellStyle name="Normal 11 3 2 2 9 2 2 2 2" xfId="39745" xr:uid="{CC3F1ABF-C258-47B4-8AE6-1AB4CE9B7CB8}"/>
    <cellStyle name="Normal 11 3 2 2 9 2 2 2 2 2" xfId="39746" xr:uid="{15DA4F9B-27EA-49B3-93ED-73083A7FD3EB}"/>
    <cellStyle name="Normal 11 3 2 2 9 2 2 2 3" xfId="39747" xr:uid="{297006B6-E7FA-4D0E-A2F4-B281426FE5DA}"/>
    <cellStyle name="Normal 11 3 2 2 9 2 2 3" xfId="39748" xr:uid="{03668771-2224-421D-B915-FE87B0D6F40B}"/>
    <cellStyle name="Normal 11 3 2 2 9 2 2 3 2" xfId="39749" xr:uid="{CC41C961-5E58-4D13-87BF-649306F34625}"/>
    <cellStyle name="Normal 11 3 2 2 9 2 2 4" xfId="39750" xr:uid="{4EC4E998-DF51-459A-82AE-1BE1933305F6}"/>
    <cellStyle name="Normal 11 3 2 2 9 2 3" xfId="39751" xr:uid="{905427ED-4F33-450C-8C3E-164C58CFD93C}"/>
    <cellStyle name="Normal 11 3 2 2 9 2 3 2" xfId="39752" xr:uid="{48944968-81FE-4F05-81F2-EF3F4D9B5FC7}"/>
    <cellStyle name="Normal 11 3 2 2 9 2 3 2 2" xfId="39753" xr:uid="{C8964D7F-386D-48A8-99CB-7FB84207E0FF}"/>
    <cellStyle name="Normal 11 3 2 2 9 2 3 3" xfId="39754" xr:uid="{F340B1B2-5D34-4989-B1C8-70DDC29ABDE5}"/>
    <cellStyle name="Normal 11 3 2 2 9 2 4" xfId="39755" xr:uid="{CDD2E227-245F-4B39-9151-75E5A3AF60A6}"/>
    <cellStyle name="Normal 11 3 2 2 9 2 4 2" xfId="39756" xr:uid="{2B5BA5E1-94E0-4EEA-A20A-2A5A56095F9F}"/>
    <cellStyle name="Normal 11 3 2 2 9 2 5" xfId="39757" xr:uid="{8053D4B5-9B2B-4438-A2EA-2E1BE01A7A9B}"/>
    <cellStyle name="Normal 11 3 2 2 9 3" xfId="39758" xr:uid="{3E87AAE5-60EA-4D27-AD86-0CFE0D604672}"/>
    <cellStyle name="Normal 11 3 2 2 9 3 2" xfId="39759" xr:uid="{7E643342-C43D-434F-B3E9-AD9B3CD21576}"/>
    <cellStyle name="Normal 11 3 2 2 9 3 2 2" xfId="39760" xr:uid="{7D097A67-62EA-463D-BE9D-7DD5E367492F}"/>
    <cellStyle name="Normal 11 3 2 2 9 3 2 2 2" xfId="39761" xr:uid="{7834649F-B08E-4DEB-B69C-F95F852F449F}"/>
    <cellStyle name="Normal 11 3 2 2 9 3 2 3" xfId="39762" xr:uid="{31DC2DFF-17A7-46C6-8F94-0D9ECDC1D73E}"/>
    <cellStyle name="Normal 11 3 2 2 9 3 3" xfId="39763" xr:uid="{E961B188-FA42-4471-AFAC-991CA2208DD0}"/>
    <cellStyle name="Normal 11 3 2 2 9 3 3 2" xfId="39764" xr:uid="{78F5D2EB-A463-487E-8651-4BB8B9072CF5}"/>
    <cellStyle name="Normal 11 3 2 2 9 3 4" xfId="39765" xr:uid="{995CA743-CFBA-43FC-ADCF-95721A097E59}"/>
    <cellStyle name="Normal 11 3 2 2 9 4" xfId="39766" xr:uid="{E99FFD8C-49AD-4445-AAF9-6E6117C867D8}"/>
    <cellStyle name="Normal 11 3 2 2 9 4 2" xfId="39767" xr:uid="{1117E8A6-FC8A-49D7-B73D-5D3B93ABBD87}"/>
    <cellStyle name="Normal 11 3 2 2 9 4 2 2" xfId="39768" xr:uid="{BF5A6E88-4457-4BE2-992C-8F28A757DF51}"/>
    <cellStyle name="Normal 11 3 2 2 9 4 3" xfId="39769" xr:uid="{640C59BF-2551-4B85-BF26-D5B42463D681}"/>
    <cellStyle name="Normal 11 3 2 2 9 5" xfId="39770" xr:uid="{6D767DF9-3B4B-41B8-A9F2-99A64740E860}"/>
    <cellStyle name="Normal 11 3 2 2 9 5 2" xfId="39771" xr:uid="{F2A27F6A-455D-44ED-BFCB-1D839574237D}"/>
    <cellStyle name="Normal 11 3 2 2 9 6" xfId="39772" xr:uid="{4CD5C98C-BFF4-4E69-B9B4-CA08F9EF521E}"/>
    <cellStyle name="Normal 11 3 2 3" xfId="225" xr:uid="{517DC53B-59ED-4832-A1F8-B27D1A3F2980}"/>
    <cellStyle name="Normal 11 3 2 3 10" xfId="39773" xr:uid="{9088D4D3-E870-4293-97DD-28666FB7D73E}"/>
    <cellStyle name="Normal 11 3 2 3 11" xfId="595" xr:uid="{18128F98-1D32-4E3F-9B5D-D9593F06A619}"/>
    <cellStyle name="Normal 11 3 2 3 2" xfId="377" xr:uid="{169EC581-35DD-4A41-8C06-B55558B8A604}"/>
    <cellStyle name="Normal 11 3 2 3 2 10" xfId="39774" xr:uid="{BA7DB5E9-3BF8-4153-A136-4B9E43CB9F11}"/>
    <cellStyle name="Normal 11 3 2 3 2 2" xfId="39775" xr:uid="{B5A6241C-4FF1-4D42-90FA-534648D4AB37}"/>
    <cellStyle name="Normal 11 3 2 3 2 2 2" xfId="39776" xr:uid="{77993CC5-9FA2-448D-8A1A-3837AC8C58B8}"/>
    <cellStyle name="Normal 11 3 2 3 2 2 2 2" xfId="39777" xr:uid="{1EA63932-CE46-4E57-A858-4E41A21818F1}"/>
    <cellStyle name="Normal 11 3 2 3 2 2 2 2 2" xfId="39778" xr:uid="{3CAD0C09-D523-4079-8C32-589783666F90}"/>
    <cellStyle name="Normal 11 3 2 3 2 2 2 2 2 2" xfId="39779" xr:uid="{1959CE75-626A-4FBC-B076-7F1CA727F4DD}"/>
    <cellStyle name="Normal 11 3 2 3 2 2 2 2 2 2 2" xfId="39780" xr:uid="{D3ECE174-F332-4EEE-95AF-F0ED0F262543}"/>
    <cellStyle name="Normal 11 3 2 3 2 2 2 2 2 2 2 2" xfId="39781" xr:uid="{7B274B6C-237B-498D-AB8F-D348D3297F3D}"/>
    <cellStyle name="Normal 11 3 2 3 2 2 2 2 2 2 2 2 2" xfId="39782" xr:uid="{33B72451-6FDF-4C71-A2EA-87B72A2331DC}"/>
    <cellStyle name="Normal 11 3 2 3 2 2 2 2 2 2 2 3" xfId="39783" xr:uid="{D6F5DA09-BD9A-491C-AF67-B265A18B3072}"/>
    <cellStyle name="Normal 11 3 2 3 2 2 2 2 2 2 3" xfId="39784" xr:uid="{505C3D67-A1CD-4BAC-9034-C16F8CD3DCB8}"/>
    <cellStyle name="Normal 11 3 2 3 2 2 2 2 2 2 3 2" xfId="39785" xr:uid="{8FA64981-290A-43C9-8BF9-B61063862895}"/>
    <cellStyle name="Normal 11 3 2 3 2 2 2 2 2 2 4" xfId="39786" xr:uid="{B4236990-7BF2-4CF7-A1CC-25D7444E247C}"/>
    <cellStyle name="Normal 11 3 2 3 2 2 2 2 2 3" xfId="39787" xr:uid="{852588DD-7652-45EC-961D-2B5CA6795E6F}"/>
    <cellStyle name="Normal 11 3 2 3 2 2 2 2 2 3 2" xfId="39788" xr:uid="{B2B1B1FD-284F-4622-B763-61E5CB6B8048}"/>
    <cellStyle name="Normal 11 3 2 3 2 2 2 2 2 3 2 2" xfId="39789" xr:uid="{2DDD5FBB-3A50-4A88-8D7D-E7BC39BD6EC3}"/>
    <cellStyle name="Normal 11 3 2 3 2 2 2 2 2 3 3" xfId="39790" xr:uid="{CFBCBA17-1AFB-49B8-9EBB-78F03460780C}"/>
    <cellStyle name="Normal 11 3 2 3 2 2 2 2 2 4" xfId="39791" xr:uid="{C5D52005-8D8A-4332-A85F-89E63C5E7B25}"/>
    <cellStyle name="Normal 11 3 2 3 2 2 2 2 2 4 2" xfId="39792" xr:uid="{974DCD2C-A7F5-4D23-A81B-5135155C6959}"/>
    <cellStyle name="Normal 11 3 2 3 2 2 2 2 2 5" xfId="39793" xr:uid="{720EC699-2A79-450C-AA4B-5762EC34E73E}"/>
    <cellStyle name="Normal 11 3 2 3 2 2 2 2 3" xfId="39794" xr:uid="{9F268F10-5488-4F66-AD64-30403D3C3757}"/>
    <cellStyle name="Normal 11 3 2 3 2 2 2 2 3 2" xfId="39795" xr:uid="{20F02515-C048-42A2-8801-ABD8B597FAA6}"/>
    <cellStyle name="Normal 11 3 2 3 2 2 2 2 3 2 2" xfId="39796" xr:uid="{D6F554EE-02B4-47F1-B711-4140D7DA698F}"/>
    <cellStyle name="Normal 11 3 2 3 2 2 2 2 3 2 2 2" xfId="39797" xr:uid="{6556B0D5-EE53-4701-87B1-B19E80BBD814}"/>
    <cellStyle name="Normal 11 3 2 3 2 2 2 2 3 2 3" xfId="39798" xr:uid="{ED8FF3F4-FD61-4059-9C4D-C365646E7FB1}"/>
    <cellStyle name="Normal 11 3 2 3 2 2 2 2 3 3" xfId="39799" xr:uid="{F346CE18-1354-4324-9536-BCD269295B0D}"/>
    <cellStyle name="Normal 11 3 2 3 2 2 2 2 3 3 2" xfId="39800" xr:uid="{808A2177-4A9F-4D60-934C-35A7BF9E048E}"/>
    <cellStyle name="Normal 11 3 2 3 2 2 2 2 3 4" xfId="39801" xr:uid="{6EC2A88A-276B-42D1-9813-2EAB0E0BE140}"/>
    <cellStyle name="Normal 11 3 2 3 2 2 2 2 4" xfId="39802" xr:uid="{D18BD2A3-EF80-49E3-A9B7-697139940A4E}"/>
    <cellStyle name="Normal 11 3 2 3 2 2 2 2 4 2" xfId="39803" xr:uid="{2DDEA571-4721-4D21-99EB-6570DB5B836B}"/>
    <cellStyle name="Normal 11 3 2 3 2 2 2 2 4 2 2" xfId="39804" xr:uid="{F2079271-DF48-4FC2-AE1C-DE0B3B32E383}"/>
    <cellStyle name="Normal 11 3 2 3 2 2 2 2 4 3" xfId="39805" xr:uid="{450D3988-DCA6-45C1-92C0-7ABAFB9F8688}"/>
    <cellStyle name="Normal 11 3 2 3 2 2 2 2 5" xfId="39806" xr:uid="{9F87DA59-20EB-4BE4-B92A-F86E036A301B}"/>
    <cellStyle name="Normal 11 3 2 3 2 2 2 2 5 2" xfId="39807" xr:uid="{25F424C5-C8AF-4F6A-82A3-D9FB0ED78455}"/>
    <cellStyle name="Normal 11 3 2 3 2 2 2 2 6" xfId="39808" xr:uid="{CCBF0EA2-F0BF-4F83-807E-EB433A3216BD}"/>
    <cellStyle name="Normal 11 3 2 3 2 2 2 3" xfId="39809" xr:uid="{E729855A-ACDE-4B7E-82AB-5D31D7DBC883}"/>
    <cellStyle name="Normal 11 3 2 3 2 2 2 3 2" xfId="39810" xr:uid="{FB3689DB-762C-4501-93D4-84FF378B03CF}"/>
    <cellStyle name="Normal 11 3 2 3 2 2 2 3 2 2" xfId="39811" xr:uid="{BB945B23-A023-4E75-92FC-1A93B63D353C}"/>
    <cellStyle name="Normal 11 3 2 3 2 2 2 3 2 2 2" xfId="39812" xr:uid="{47A1AEF8-E93C-4C7A-82BB-F25099BAEFA4}"/>
    <cellStyle name="Normal 11 3 2 3 2 2 2 3 2 2 2 2" xfId="39813" xr:uid="{51D1BECF-6576-4E42-A212-14EA97B3CB8C}"/>
    <cellStyle name="Normal 11 3 2 3 2 2 2 3 2 2 3" xfId="39814" xr:uid="{8D2DAF42-AD15-4DA7-9FC3-33608C257172}"/>
    <cellStyle name="Normal 11 3 2 3 2 2 2 3 2 3" xfId="39815" xr:uid="{C4F8E146-6437-449F-968B-B7EFDAF44871}"/>
    <cellStyle name="Normal 11 3 2 3 2 2 2 3 2 3 2" xfId="39816" xr:uid="{896DA814-EDA9-4EFC-992C-4E76AB8DFD6D}"/>
    <cellStyle name="Normal 11 3 2 3 2 2 2 3 2 4" xfId="39817" xr:uid="{A5F89944-C118-491B-AD4E-DE90E414085E}"/>
    <cellStyle name="Normal 11 3 2 3 2 2 2 3 3" xfId="39818" xr:uid="{D4756C6C-5C65-420A-8D70-9FEF9D783622}"/>
    <cellStyle name="Normal 11 3 2 3 2 2 2 3 3 2" xfId="39819" xr:uid="{D5276F5E-2EF0-474A-B867-BB80046E8088}"/>
    <cellStyle name="Normal 11 3 2 3 2 2 2 3 3 2 2" xfId="39820" xr:uid="{CF736D29-D890-4FAD-9963-3F92EFD9A215}"/>
    <cellStyle name="Normal 11 3 2 3 2 2 2 3 3 3" xfId="39821" xr:uid="{3A607306-87D0-4D3B-B31A-3395B05EF2AE}"/>
    <cellStyle name="Normal 11 3 2 3 2 2 2 3 4" xfId="39822" xr:uid="{2B877582-5BE3-4CA5-AC2E-DD1252EDF352}"/>
    <cellStyle name="Normal 11 3 2 3 2 2 2 3 4 2" xfId="39823" xr:uid="{8F3275DF-0638-4B5D-AD9F-1C276B55A215}"/>
    <cellStyle name="Normal 11 3 2 3 2 2 2 3 5" xfId="39824" xr:uid="{94D2CA3C-9E2A-4B99-BDD5-C6E7C78F3F20}"/>
    <cellStyle name="Normal 11 3 2 3 2 2 2 4" xfId="39825" xr:uid="{CB438BB1-B108-40C5-8895-4BE3D121A927}"/>
    <cellStyle name="Normal 11 3 2 3 2 2 2 4 2" xfId="39826" xr:uid="{C4147CCD-A1B5-4517-8600-BA8A5BF0DB57}"/>
    <cellStyle name="Normal 11 3 2 3 2 2 2 4 2 2" xfId="39827" xr:uid="{21BC4AD8-6485-4365-8096-840635D3692C}"/>
    <cellStyle name="Normal 11 3 2 3 2 2 2 4 2 2 2" xfId="39828" xr:uid="{1E729AC3-071F-4656-9ED3-D6393C1BB53A}"/>
    <cellStyle name="Normal 11 3 2 3 2 2 2 4 2 3" xfId="39829" xr:uid="{19158289-E986-4E5D-A520-76D3AE614301}"/>
    <cellStyle name="Normal 11 3 2 3 2 2 2 4 3" xfId="39830" xr:uid="{17EAF627-FEF3-4F45-8689-5D8A282DCB9F}"/>
    <cellStyle name="Normal 11 3 2 3 2 2 2 4 3 2" xfId="39831" xr:uid="{A37A2C45-DEFF-4130-BF4E-09BD3E25DBA3}"/>
    <cellStyle name="Normal 11 3 2 3 2 2 2 4 4" xfId="39832" xr:uid="{D9212C0D-6D7C-4EAB-AE11-8FF08AEA0F68}"/>
    <cellStyle name="Normal 11 3 2 3 2 2 2 5" xfId="39833" xr:uid="{4C8D3A29-3020-4073-BE87-A8A99DB27DD1}"/>
    <cellStyle name="Normal 11 3 2 3 2 2 2 5 2" xfId="39834" xr:uid="{2AAD95E1-7FAD-4A3A-AA80-9ECDB1F377DD}"/>
    <cellStyle name="Normal 11 3 2 3 2 2 2 5 2 2" xfId="39835" xr:uid="{88743599-C72C-4180-A545-B6D03FD3A26A}"/>
    <cellStyle name="Normal 11 3 2 3 2 2 2 5 3" xfId="39836" xr:uid="{DB81A2AA-CB89-405C-8A45-A669661DC1FF}"/>
    <cellStyle name="Normal 11 3 2 3 2 2 2 6" xfId="39837" xr:uid="{E0CF8FF1-FF9E-4039-BB64-28C07A2362F5}"/>
    <cellStyle name="Normal 11 3 2 3 2 2 2 6 2" xfId="39838" xr:uid="{95F5DAD1-FAE3-4E30-A2FC-5C291A845F5C}"/>
    <cellStyle name="Normal 11 3 2 3 2 2 2 7" xfId="39839" xr:uid="{9311141D-94F0-4C01-A453-A0409FD8EA81}"/>
    <cellStyle name="Normal 11 3 2 3 2 2 3" xfId="39840" xr:uid="{DD270ABC-62D5-43C3-A499-29934EA7263C}"/>
    <cellStyle name="Normal 11 3 2 3 2 2 3 2" xfId="39841" xr:uid="{03486AA8-3F97-4A5D-948B-0DA51B71FE5D}"/>
    <cellStyle name="Normal 11 3 2 3 2 2 3 2 2" xfId="39842" xr:uid="{30F0F8BF-A0B4-4818-9930-1F14A16619BF}"/>
    <cellStyle name="Normal 11 3 2 3 2 2 3 2 2 2" xfId="39843" xr:uid="{B5F23857-0F3B-462C-B584-0C8692340EAB}"/>
    <cellStyle name="Normal 11 3 2 3 2 2 3 2 2 2 2" xfId="39844" xr:uid="{7B7E7B8E-0BAF-49B0-9D7E-5AE7D980EAAD}"/>
    <cellStyle name="Normal 11 3 2 3 2 2 3 2 2 2 2 2" xfId="39845" xr:uid="{603855CE-2F6F-4D84-ACBB-CE6AF1F862EA}"/>
    <cellStyle name="Normal 11 3 2 3 2 2 3 2 2 2 3" xfId="39846" xr:uid="{2988F44E-2E77-49A3-9220-E48EEBFB3984}"/>
    <cellStyle name="Normal 11 3 2 3 2 2 3 2 2 3" xfId="39847" xr:uid="{9EE00B7F-6336-4EE7-9B41-56025342C23E}"/>
    <cellStyle name="Normal 11 3 2 3 2 2 3 2 2 3 2" xfId="39848" xr:uid="{385BAA68-05D6-4F0B-AA1E-FBBEEB8AC0D7}"/>
    <cellStyle name="Normal 11 3 2 3 2 2 3 2 2 4" xfId="39849" xr:uid="{E9679256-E1E0-4AAF-9EE1-728EAAD17136}"/>
    <cellStyle name="Normal 11 3 2 3 2 2 3 2 3" xfId="39850" xr:uid="{D966DD59-38CD-4C7B-8824-A319B11F648F}"/>
    <cellStyle name="Normal 11 3 2 3 2 2 3 2 3 2" xfId="39851" xr:uid="{A75D3C65-D3AD-4A4E-880B-04DD1BEAD76F}"/>
    <cellStyle name="Normal 11 3 2 3 2 2 3 2 3 2 2" xfId="39852" xr:uid="{74420DE4-EEF9-4244-AA7F-0B31FC1855D3}"/>
    <cellStyle name="Normal 11 3 2 3 2 2 3 2 3 3" xfId="39853" xr:uid="{F73E0FAA-5CC7-462A-8EF1-63936BD62AEA}"/>
    <cellStyle name="Normal 11 3 2 3 2 2 3 2 4" xfId="39854" xr:uid="{24E10D31-7DDD-4554-9C3C-7D7E01619E07}"/>
    <cellStyle name="Normal 11 3 2 3 2 2 3 2 4 2" xfId="39855" xr:uid="{8B3CD654-B5C6-416D-AAA3-6B062362545C}"/>
    <cellStyle name="Normal 11 3 2 3 2 2 3 2 5" xfId="39856" xr:uid="{DB91B994-5E91-4F2C-B8BE-1442DADF8341}"/>
    <cellStyle name="Normal 11 3 2 3 2 2 3 3" xfId="39857" xr:uid="{40ADE7FB-AFD1-43A2-8D1D-373C752EDF4A}"/>
    <cellStyle name="Normal 11 3 2 3 2 2 3 3 2" xfId="39858" xr:uid="{A5FC9670-7B4E-4F8E-AB30-2577F584397E}"/>
    <cellStyle name="Normal 11 3 2 3 2 2 3 3 2 2" xfId="39859" xr:uid="{0AD4513B-53A2-40EF-806C-BF7DD8987CB8}"/>
    <cellStyle name="Normal 11 3 2 3 2 2 3 3 2 2 2" xfId="39860" xr:uid="{ECB5C84B-DB6B-4850-9EEB-451097E5CCF6}"/>
    <cellStyle name="Normal 11 3 2 3 2 2 3 3 2 3" xfId="39861" xr:uid="{F096FEE7-D036-47C6-9FCD-F301A96709E3}"/>
    <cellStyle name="Normal 11 3 2 3 2 2 3 3 3" xfId="39862" xr:uid="{D2EB987A-7D6B-437E-93A9-CFA01F3AD141}"/>
    <cellStyle name="Normal 11 3 2 3 2 2 3 3 3 2" xfId="39863" xr:uid="{6E3195E4-8234-4EBB-BD87-538FBB0A34A5}"/>
    <cellStyle name="Normal 11 3 2 3 2 2 3 3 4" xfId="39864" xr:uid="{06AE9761-F278-432B-9B76-54581657BEBB}"/>
    <cellStyle name="Normal 11 3 2 3 2 2 3 4" xfId="39865" xr:uid="{27833A13-83AA-4961-A96B-5EE284569CC9}"/>
    <cellStyle name="Normal 11 3 2 3 2 2 3 4 2" xfId="39866" xr:uid="{C5B91BEE-4627-4505-B03B-228454633E9D}"/>
    <cellStyle name="Normal 11 3 2 3 2 2 3 4 2 2" xfId="39867" xr:uid="{C08C06EE-45BB-4E95-905A-4245246A78EF}"/>
    <cellStyle name="Normal 11 3 2 3 2 2 3 4 3" xfId="39868" xr:uid="{59CF7F0D-16F2-4755-95DC-E55975A990EF}"/>
    <cellStyle name="Normal 11 3 2 3 2 2 3 5" xfId="39869" xr:uid="{E5D25B10-CDED-45F5-A93E-CFE087756F22}"/>
    <cellStyle name="Normal 11 3 2 3 2 2 3 5 2" xfId="39870" xr:uid="{E561936B-9FCB-4F8C-8E91-43989C9BE1C0}"/>
    <cellStyle name="Normal 11 3 2 3 2 2 3 6" xfId="39871" xr:uid="{2FA68821-50D3-4740-BF2E-008B868E7B8C}"/>
    <cellStyle name="Normal 11 3 2 3 2 2 4" xfId="39872" xr:uid="{B6F92D50-A15E-4048-B119-C03C6662BB68}"/>
    <cellStyle name="Normal 11 3 2 3 2 2 4 2" xfId="39873" xr:uid="{5202EFFE-3686-4CBA-8B29-542B93FCEB5A}"/>
    <cellStyle name="Normal 11 3 2 3 2 2 4 2 2" xfId="39874" xr:uid="{1CDD35D9-6957-4C25-BC5E-4F9BAA9D359F}"/>
    <cellStyle name="Normal 11 3 2 3 2 2 4 2 2 2" xfId="39875" xr:uid="{34FA8F55-F4A8-40A4-86DC-B16156E32A41}"/>
    <cellStyle name="Normal 11 3 2 3 2 2 4 2 2 2 2" xfId="39876" xr:uid="{CBE2A851-4DDC-424B-9EC4-9B14C0C8D0C1}"/>
    <cellStyle name="Normal 11 3 2 3 2 2 4 2 2 3" xfId="39877" xr:uid="{AAC3FC90-088A-4D35-B7AF-B9AEBF50C7EB}"/>
    <cellStyle name="Normal 11 3 2 3 2 2 4 2 3" xfId="39878" xr:uid="{4A1C23F3-C160-4257-BAD1-B2DEBAE2D533}"/>
    <cellStyle name="Normal 11 3 2 3 2 2 4 2 3 2" xfId="39879" xr:uid="{3B43BDA8-4B92-4281-914D-F1C59B27FA86}"/>
    <cellStyle name="Normal 11 3 2 3 2 2 4 2 4" xfId="39880" xr:uid="{7BD01CF6-C7BE-4BED-AC73-C19DD0E82187}"/>
    <cellStyle name="Normal 11 3 2 3 2 2 4 3" xfId="39881" xr:uid="{AAF46164-298E-4FF3-9833-928BD8D5615D}"/>
    <cellStyle name="Normal 11 3 2 3 2 2 4 3 2" xfId="39882" xr:uid="{DAA09E0B-9831-42CD-946E-DE9156057409}"/>
    <cellStyle name="Normal 11 3 2 3 2 2 4 3 2 2" xfId="39883" xr:uid="{8EA74439-A1D9-4DFD-96AC-3A8E7BC2E353}"/>
    <cellStyle name="Normal 11 3 2 3 2 2 4 3 3" xfId="39884" xr:uid="{2F11724A-ED40-4332-A4C5-BB5EDFD0F17F}"/>
    <cellStyle name="Normal 11 3 2 3 2 2 4 4" xfId="39885" xr:uid="{31D288D9-64D3-44C8-857E-5F1C0512A7C0}"/>
    <cellStyle name="Normal 11 3 2 3 2 2 4 4 2" xfId="39886" xr:uid="{8898E682-9992-4F2E-AC87-19F8794D30FA}"/>
    <cellStyle name="Normal 11 3 2 3 2 2 4 5" xfId="39887" xr:uid="{3F200132-362D-42E0-BFB4-0D28D79671F2}"/>
    <cellStyle name="Normal 11 3 2 3 2 2 5" xfId="39888" xr:uid="{B88C4E15-F607-46EE-8026-BF8AD78F3CEF}"/>
    <cellStyle name="Normal 11 3 2 3 2 2 5 2" xfId="39889" xr:uid="{2A1A8765-7DE7-4735-8BA0-445321C47057}"/>
    <cellStyle name="Normal 11 3 2 3 2 2 5 2 2" xfId="39890" xr:uid="{9AF26493-8080-466C-8879-544B564B2DC4}"/>
    <cellStyle name="Normal 11 3 2 3 2 2 5 2 2 2" xfId="39891" xr:uid="{DB57E30C-A814-4E49-BE7D-B2AD05757CC4}"/>
    <cellStyle name="Normal 11 3 2 3 2 2 5 2 3" xfId="39892" xr:uid="{C6D8BE7D-AB45-4E17-B210-ED822E58733F}"/>
    <cellStyle name="Normal 11 3 2 3 2 2 5 3" xfId="39893" xr:uid="{849B081D-561F-4EFD-B627-00788ABB30B2}"/>
    <cellStyle name="Normal 11 3 2 3 2 2 5 3 2" xfId="39894" xr:uid="{85BAB127-6EA5-4404-BF42-7CCA61BA8052}"/>
    <cellStyle name="Normal 11 3 2 3 2 2 5 4" xfId="39895" xr:uid="{5E74A7FC-D7BB-40BE-8DC2-EC59EA318FFE}"/>
    <cellStyle name="Normal 11 3 2 3 2 2 6" xfId="39896" xr:uid="{1872BADC-55F0-441F-B089-F4904B94B36E}"/>
    <cellStyle name="Normal 11 3 2 3 2 2 6 2" xfId="39897" xr:uid="{FBA34BAB-3F4B-4E2F-A99C-637B3DD33846}"/>
    <cellStyle name="Normal 11 3 2 3 2 2 6 2 2" xfId="39898" xr:uid="{79FB5614-4C09-4C57-8C14-E493AEA953CB}"/>
    <cellStyle name="Normal 11 3 2 3 2 2 6 3" xfId="39899" xr:uid="{713FFF98-DFA8-465F-AC31-6EA3BB1B8E82}"/>
    <cellStyle name="Normal 11 3 2 3 2 2 7" xfId="39900" xr:uid="{DC6D883A-2ECA-4128-BB3A-97617D921476}"/>
    <cellStyle name="Normal 11 3 2 3 2 2 7 2" xfId="39901" xr:uid="{98B6FB26-5363-4490-8CDA-221FE8FD9D5E}"/>
    <cellStyle name="Normal 11 3 2 3 2 2 8" xfId="39902" xr:uid="{CEE7D219-A260-4099-B302-4FF40CBCA6AB}"/>
    <cellStyle name="Normal 11 3 2 3 2 3" xfId="39903" xr:uid="{A9B0A9E4-16D1-47CA-B602-E5D4611D4309}"/>
    <cellStyle name="Normal 11 3 2 3 2 3 2" xfId="39904" xr:uid="{7DD7E1A8-471C-4FE9-A403-59AB3FB5E2D3}"/>
    <cellStyle name="Normal 11 3 2 3 2 3 2 2" xfId="39905" xr:uid="{FF62AF44-B727-4085-A0FD-170A96372A52}"/>
    <cellStyle name="Normal 11 3 2 3 2 3 2 2 2" xfId="39906" xr:uid="{AFB488EB-F968-4728-96EC-E735680A45BE}"/>
    <cellStyle name="Normal 11 3 2 3 2 3 2 2 2 2" xfId="39907" xr:uid="{8BD73A02-1F16-472B-A296-6FE3C7EC8F65}"/>
    <cellStyle name="Normal 11 3 2 3 2 3 2 2 2 2 2" xfId="39908" xr:uid="{DCAC93E1-6E57-4EEC-82C8-86369724DB07}"/>
    <cellStyle name="Normal 11 3 2 3 2 3 2 2 2 2 2 2" xfId="39909" xr:uid="{E09CE24E-835A-4DAE-B329-AAD9FC5A27FB}"/>
    <cellStyle name="Normal 11 3 2 3 2 3 2 2 2 2 3" xfId="39910" xr:uid="{900705EE-1F3E-476E-9112-992B5BD65B05}"/>
    <cellStyle name="Normal 11 3 2 3 2 3 2 2 2 3" xfId="39911" xr:uid="{DA0034A1-C3FF-41E1-A169-1FF5C59CFC2D}"/>
    <cellStyle name="Normal 11 3 2 3 2 3 2 2 2 3 2" xfId="39912" xr:uid="{4E777F3D-A11F-4CE3-92AD-E078A4512470}"/>
    <cellStyle name="Normal 11 3 2 3 2 3 2 2 2 4" xfId="39913" xr:uid="{B175A606-C6D2-4DA0-9961-D62E6E272A5A}"/>
    <cellStyle name="Normal 11 3 2 3 2 3 2 2 3" xfId="39914" xr:uid="{E1D875C6-6BFD-44DD-A9AE-10E88FB84CF4}"/>
    <cellStyle name="Normal 11 3 2 3 2 3 2 2 3 2" xfId="39915" xr:uid="{3A487DF1-EA62-4E11-BC79-7B1362E53F61}"/>
    <cellStyle name="Normal 11 3 2 3 2 3 2 2 3 2 2" xfId="39916" xr:uid="{30779ED9-899D-4210-B7F8-E4A157A9B597}"/>
    <cellStyle name="Normal 11 3 2 3 2 3 2 2 3 3" xfId="39917" xr:uid="{3C9380C5-0E8D-41CE-A3E7-164EDEA42776}"/>
    <cellStyle name="Normal 11 3 2 3 2 3 2 2 4" xfId="39918" xr:uid="{809048A7-967F-425B-AD7E-918C3C488DF9}"/>
    <cellStyle name="Normal 11 3 2 3 2 3 2 2 4 2" xfId="39919" xr:uid="{1B815BF7-A244-4C8F-9F89-2BB7B79A6FDE}"/>
    <cellStyle name="Normal 11 3 2 3 2 3 2 2 5" xfId="39920" xr:uid="{0A2821A9-64A9-49D9-8F44-1D36976B84AF}"/>
    <cellStyle name="Normal 11 3 2 3 2 3 2 3" xfId="39921" xr:uid="{195A94FE-9177-4F62-B8C8-7708E1E0AAC2}"/>
    <cellStyle name="Normal 11 3 2 3 2 3 2 3 2" xfId="39922" xr:uid="{B0798F42-221A-499D-94CF-CEA0372150BC}"/>
    <cellStyle name="Normal 11 3 2 3 2 3 2 3 2 2" xfId="39923" xr:uid="{0FC988E4-92BA-4FD7-879C-2D88B5D9A49A}"/>
    <cellStyle name="Normal 11 3 2 3 2 3 2 3 2 2 2" xfId="39924" xr:uid="{2D79CFD0-38D5-4128-AEB2-F47D9EB39CE7}"/>
    <cellStyle name="Normal 11 3 2 3 2 3 2 3 2 3" xfId="39925" xr:uid="{E1549F8A-5BF9-4072-A2EE-9AFDDE4B80DA}"/>
    <cellStyle name="Normal 11 3 2 3 2 3 2 3 3" xfId="39926" xr:uid="{468289B0-B084-485D-AA5A-738D21DBDFD6}"/>
    <cellStyle name="Normal 11 3 2 3 2 3 2 3 3 2" xfId="39927" xr:uid="{C1A4EE5C-3B4A-4CF2-BE2B-1824955094E3}"/>
    <cellStyle name="Normal 11 3 2 3 2 3 2 3 4" xfId="39928" xr:uid="{08235208-7DB8-43AB-8706-6D98022AAD74}"/>
    <cellStyle name="Normal 11 3 2 3 2 3 2 4" xfId="39929" xr:uid="{5D2C6602-0CC8-4C5B-9F2F-89C2195F5ADD}"/>
    <cellStyle name="Normal 11 3 2 3 2 3 2 4 2" xfId="39930" xr:uid="{2E299504-55EE-4938-A8EA-4E6DDC925654}"/>
    <cellStyle name="Normal 11 3 2 3 2 3 2 4 2 2" xfId="39931" xr:uid="{7B6B937A-ED8A-4C6B-B1A7-FD22C2AF1B9B}"/>
    <cellStyle name="Normal 11 3 2 3 2 3 2 4 3" xfId="39932" xr:uid="{3106DCB8-62B2-4490-9A6D-FCE25D6FC27E}"/>
    <cellStyle name="Normal 11 3 2 3 2 3 2 5" xfId="39933" xr:uid="{ED29308E-304C-49E9-8CC2-F7F16DD542A1}"/>
    <cellStyle name="Normal 11 3 2 3 2 3 2 5 2" xfId="39934" xr:uid="{DDE652AB-CF8B-4609-8933-CC0533DFA05A}"/>
    <cellStyle name="Normal 11 3 2 3 2 3 2 6" xfId="39935" xr:uid="{48472A13-9E5E-4989-A7C7-FC1AC98BA294}"/>
    <cellStyle name="Normal 11 3 2 3 2 3 3" xfId="39936" xr:uid="{544F5B29-2E4B-46B3-B41A-F5E7FFD62D11}"/>
    <cellStyle name="Normal 11 3 2 3 2 3 3 2" xfId="39937" xr:uid="{7391B3EF-BE74-493F-8C40-F6F4DF84425C}"/>
    <cellStyle name="Normal 11 3 2 3 2 3 3 2 2" xfId="39938" xr:uid="{E851118C-4CF5-413B-B050-6E45C7EB725C}"/>
    <cellStyle name="Normal 11 3 2 3 2 3 3 2 2 2" xfId="39939" xr:uid="{71C027D9-70B9-41FC-9E65-DC1B88AE58AE}"/>
    <cellStyle name="Normal 11 3 2 3 2 3 3 2 2 2 2" xfId="39940" xr:uid="{C9DBEBB0-B34A-4F2B-91C8-AE385D52B617}"/>
    <cellStyle name="Normal 11 3 2 3 2 3 3 2 2 3" xfId="39941" xr:uid="{183DCB17-B1FD-4DAF-8129-F0E030E42FA1}"/>
    <cellStyle name="Normal 11 3 2 3 2 3 3 2 3" xfId="39942" xr:uid="{922EC41D-D69E-4A6C-8B0A-A5A794C55505}"/>
    <cellStyle name="Normal 11 3 2 3 2 3 3 2 3 2" xfId="39943" xr:uid="{5A816926-31EB-4FD3-83A3-0FEC7E30186D}"/>
    <cellStyle name="Normal 11 3 2 3 2 3 3 2 4" xfId="39944" xr:uid="{26FA2BB3-9753-4CAE-A5B8-60DD3C68E915}"/>
    <cellStyle name="Normal 11 3 2 3 2 3 3 3" xfId="39945" xr:uid="{0F978BEE-D6A8-4111-9081-9BA802E40DBE}"/>
    <cellStyle name="Normal 11 3 2 3 2 3 3 3 2" xfId="39946" xr:uid="{09CD5FA3-D149-4BAC-BC53-860CDDED4C84}"/>
    <cellStyle name="Normal 11 3 2 3 2 3 3 3 2 2" xfId="39947" xr:uid="{1FA088C2-8F72-4164-8967-D0E3BE51E91C}"/>
    <cellStyle name="Normal 11 3 2 3 2 3 3 3 3" xfId="39948" xr:uid="{166FF6E0-E287-4992-B4B2-52C19BE268F2}"/>
    <cellStyle name="Normal 11 3 2 3 2 3 3 4" xfId="39949" xr:uid="{2AA6060B-1337-428E-BF59-6579AEBCA7F4}"/>
    <cellStyle name="Normal 11 3 2 3 2 3 3 4 2" xfId="39950" xr:uid="{82585744-9F08-4151-8F5A-2EF31D27FE4E}"/>
    <cellStyle name="Normal 11 3 2 3 2 3 3 5" xfId="39951" xr:uid="{095150E8-0B29-4A1C-8891-379D5BF72E11}"/>
    <cellStyle name="Normal 11 3 2 3 2 3 4" xfId="39952" xr:uid="{C0984E69-D75D-4506-863C-E64C973EFBF2}"/>
    <cellStyle name="Normal 11 3 2 3 2 3 4 2" xfId="39953" xr:uid="{73EC14C5-7B76-4742-B75C-12FA892B4390}"/>
    <cellStyle name="Normal 11 3 2 3 2 3 4 2 2" xfId="39954" xr:uid="{EA023DEF-D89A-49CA-A770-6129DD6DD4B4}"/>
    <cellStyle name="Normal 11 3 2 3 2 3 4 2 2 2" xfId="39955" xr:uid="{40842657-D9AE-42B7-9BFD-CFDEA27C1648}"/>
    <cellStyle name="Normal 11 3 2 3 2 3 4 2 3" xfId="39956" xr:uid="{6DF388D2-4B8E-424D-8DC9-E8388B686021}"/>
    <cellStyle name="Normal 11 3 2 3 2 3 4 3" xfId="39957" xr:uid="{29ACE4CA-C782-4601-951A-FB0504450029}"/>
    <cellStyle name="Normal 11 3 2 3 2 3 4 3 2" xfId="39958" xr:uid="{65571AA5-031C-4A8E-8769-F3DCC2DBE1FD}"/>
    <cellStyle name="Normal 11 3 2 3 2 3 4 4" xfId="39959" xr:uid="{B975DFCF-7945-4082-BC2A-01F9F60C57A1}"/>
    <cellStyle name="Normal 11 3 2 3 2 3 5" xfId="39960" xr:uid="{1526D72B-0EBB-4F9C-8266-679A166BD9F5}"/>
    <cellStyle name="Normal 11 3 2 3 2 3 5 2" xfId="39961" xr:uid="{750409E0-7F51-4200-94FB-147E94F38DC7}"/>
    <cellStyle name="Normal 11 3 2 3 2 3 5 2 2" xfId="39962" xr:uid="{579FF4DD-A24A-43D5-9F4C-F5866C81B210}"/>
    <cellStyle name="Normal 11 3 2 3 2 3 5 3" xfId="39963" xr:uid="{826F6F07-2AC0-4A84-A3AD-059066866DAF}"/>
    <cellStyle name="Normal 11 3 2 3 2 3 6" xfId="39964" xr:uid="{11DFEBAF-C6E6-4E23-A48F-688245A4C635}"/>
    <cellStyle name="Normal 11 3 2 3 2 3 6 2" xfId="39965" xr:uid="{6B33AEDE-EE94-43B4-9E94-72120D8C7D9C}"/>
    <cellStyle name="Normal 11 3 2 3 2 3 7" xfId="39966" xr:uid="{356B39D9-D9EB-4F16-9630-FBAB7CDD78D1}"/>
    <cellStyle name="Normal 11 3 2 3 2 4" xfId="39967" xr:uid="{D1F93024-02A0-430B-8BAC-2DFF483DE3CB}"/>
    <cellStyle name="Normal 11 3 2 3 2 4 2" xfId="39968" xr:uid="{3FE47AF0-25C6-47A8-8F38-6C0E1F6F2362}"/>
    <cellStyle name="Normal 11 3 2 3 2 4 2 2" xfId="39969" xr:uid="{6125B40B-37B6-4402-B5DD-2A234B515C1D}"/>
    <cellStyle name="Normal 11 3 2 3 2 4 2 2 2" xfId="39970" xr:uid="{AAFD2B93-D118-4BF8-9702-599E346E8CA0}"/>
    <cellStyle name="Normal 11 3 2 3 2 4 2 2 2 2" xfId="39971" xr:uid="{516D6EF9-5405-4B37-9F66-BD2F4A2BF8DF}"/>
    <cellStyle name="Normal 11 3 2 3 2 4 2 2 2 2 2" xfId="39972" xr:uid="{F508AFD6-B78B-4E78-87E6-5C1A4BBCA1EB}"/>
    <cellStyle name="Normal 11 3 2 3 2 4 2 2 2 3" xfId="39973" xr:uid="{D0C4918B-8FB8-4F10-9A33-924AC1A0D82D}"/>
    <cellStyle name="Normal 11 3 2 3 2 4 2 2 3" xfId="39974" xr:uid="{E3876591-A71E-49DD-B16A-ADAE3F7CE5D4}"/>
    <cellStyle name="Normal 11 3 2 3 2 4 2 2 3 2" xfId="39975" xr:uid="{D6B0E392-6DAF-4463-987C-70D4EAFEAF1B}"/>
    <cellStyle name="Normal 11 3 2 3 2 4 2 2 4" xfId="39976" xr:uid="{C3C4DC8E-D661-4E05-BD03-227F4F19FB0D}"/>
    <cellStyle name="Normal 11 3 2 3 2 4 2 3" xfId="39977" xr:uid="{664B4BCB-BE4F-4746-8FC3-839613505C51}"/>
    <cellStyle name="Normal 11 3 2 3 2 4 2 3 2" xfId="39978" xr:uid="{5A79252D-2CBB-4CFC-956C-3C63228CE8E4}"/>
    <cellStyle name="Normal 11 3 2 3 2 4 2 3 2 2" xfId="39979" xr:uid="{8F62153E-2CA2-49E9-9645-1A0C9147176F}"/>
    <cellStyle name="Normal 11 3 2 3 2 4 2 3 3" xfId="39980" xr:uid="{272F21EA-0EE9-4CC2-9921-38DF59A6F3B5}"/>
    <cellStyle name="Normal 11 3 2 3 2 4 2 4" xfId="39981" xr:uid="{A30EAB10-FDD5-4DEC-B966-6B1F484EA33E}"/>
    <cellStyle name="Normal 11 3 2 3 2 4 2 4 2" xfId="39982" xr:uid="{C4342074-2651-44F3-A461-A41A5FC6DF15}"/>
    <cellStyle name="Normal 11 3 2 3 2 4 2 5" xfId="39983" xr:uid="{C45862ED-4C54-4876-B0CE-3CDE8488353A}"/>
    <cellStyle name="Normal 11 3 2 3 2 4 3" xfId="39984" xr:uid="{AF5BBC03-249E-4E5F-8E67-6B8C7DF2B2CE}"/>
    <cellStyle name="Normal 11 3 2 3 2 4 3 2" xfId="39985" xr:uid="{95BEE0C0-9098-42A9-A5B4-3F99541EA4E9}"/>
    <cellStyle name="Normal 11 3 2 3 2 4 3 2 2" xfId="39986" xr:uid="{A4123453-1A74-43EE-ACCD-6A1B3EAAC5C4}"/>
    <cellStyle name="Normal 11 3 2 3 2 4 3 2 2 2" xfId="39987" xr:uid="{CB785AE3-0E35-45DF-92C1-37E4A995C7B6}"/>
    <cellStyle name="Normal 11 3 2 3 2 4 3 2 3" xfId="39988" xr:uid="{23C9C40F-5092-4152-BAA2-A5DBF40FAAC6}"/>
    <cellStyle name="Normal 11 3 2 3 2 4 3 3" xfId="39989" xr:uid="{56E2D6FE-2F87-47D6-AC10-B497F00C6874}"/>
    <cellStyle name="Normal 11 3 2 3 2 4 3 3 2" xfId="39990" xr:uid="{BF9FBB70-ED5B-4183-8DBE-FA1F9D345C1B}"/>
    <cellStyle name="Normal 11 3 2 3 2 4 3 4" xfId="39991" xr:uid="{2426088E-F2CC-4F22-9EC9-0F0BE6629C57}"/>
    <cellStyle name="Normal 11 3 2 3 2 4 4" xfId="39992" xr:uid="{75BD0228-D277-4E57-8BEC-3AC78E6169B8}"/>
    <cellStyle name="Normal 11 3 2 3 2 4 4 2" xfId="39993" xr:uid="{0262D9F6-0F8A-4887-A2CE-04A6FFD976D8}"/>
    <cellStyle name="Normal 11 3 2 3 2 4 4 2 2" xfId="39994" xr:uid="{368F4972-D4E7-40F2-94CA-B066C295A239}"/>
    <cellStyle name="Normal 11 3 2 3 2 4 4 3" xfId="39995" xr:uid="{E61B45A9-9660-4C5B-8909-6003E072DF4C}"/>
    <cellStyle name="Normal 11 3 2 3 2 4 5" xfId="39996" xr:uid="{33DD20C1-A0B2-46D2-8E4C-3FC7D13904E9}"/>
    <cellStyle name="Normal 11 3 2 3 2 4 5 2" xfId="39997" xr:uid="{5EF1748C-9D0C-4C55-91EA-945B015A72C8}"/>
    <cellStyle name="Normal 11 3 2 3 2 4 6" xfId="39998" xr:uid="{F7F57662-6784-4E1E-B863-C0300A969B5B}"/>
    <cellStyle name="Normal 11 3 2 3 2 5" xfId="39999" xr:uid="{9E540CFF-EAB4-40D0-8B45-F42C274299E5}"/>
    <cellStyle name="Normal 11 3 2 3 2 5 2" xfId="40000" xr:uid="{ADF8F937-FC11-4724-86F6-95440A1DA39E}"/>
    <cellStyle name="Normal 11 3 2 3 2 5 2 2" xfId="40001" xr:uid="{778CDAF9-F021-4782-BC8F-E27814A53675}"/>
    <cellStyle name="Normal 11 3 2 3 2 5 2 2 2" xfId="40002" xr:uid="{1BB31C7E-70AA-471E-90F5-D3E8538A0F65}"/>
    <cellStyle name="Normal 11 3 2 3 2 5 2 2 2 2" xfId="40003" xr:uid="{0917222F-4B84-45DF-B8F7-41E2D0FABF26}"/>
    <cellStyle name="Normal 11 3 2 3 2 5 2 2 3" xfId="40004" xr:uid="{B73C349B-9055-4497-9312-F09F969F264A}"/>
    <cellStyle name="Normal 11 3 2 3 2 5 2 3" xfId="40005" xr:uid="{6EE62E62-EF91-420C-84C6-56D82BA634C7}"/>
    <cellStyle name="Normal 11 3 2 3 2 5 2 3 2" xfId="40006" xr:uid="{C3904642-2AB8-45F5-BCBF-13F0E964C9A1}"/>
    <cellStyle name="Normal 11 3 2 3 2 5 2 4" xfId="40007" xr:uid="{B99BA52E-5FB9-4874-9583-B8DF82E07900}"/>
    <cellStyle name="Normal 11 3 2 3 2 5 3" xfId="40008" xr:uid="{E5E39E6A-DD26-4B35-9B06-D40022C5296F}"/>
    <cellStyle name="Normal 11 3 2 3 2 5 3 2" xfId="40009" xr:uid="{1E652AF0-B0FE-4A1D-8F94-DEB2B473571C}"/>
    <cellStyle name="Normal 11 3 2 3 2 5 3 2 2" xfId="40010" xr:uid="{713E349F-8377-4B41-BCE4-5905DE8BC857}"/>
    <cellStyle name="Normal 11 3 2 3 2 5 3 3" xfId="40011" xr:uid="{0EBC8587-AD1D-4749-939B-906300D5B815}"/>
    <cellStyle name="Normal 11 3 2 3 2 5 4" xfId="40012" xr:uid="{4F4EBD06-6F04-4108-AE21-F80F0B4EAE04}"/>
    <cellStyle name="Normal 11 3 2 3 2 5 4 2" xfId="40013" xr:uid="{D76FE965-34FF-4A65-A494-C9F83DBF0A99}"/>
    <cellStyle name="Normal 11 3 2 3 2 5 5" xfId="40014" xr:uid="{FE34EBFA-260E-495A-89DA-819D0324F298}"/>
    <cellStyle name="Normal 11 3 2 3 2 6" xfId="40015" xr:uid="{4C77B4C8-6637-4D43-81E3-A3F600422200}"/>
    <cellStyle name="Normal 11 3 2 3 2 6 2" xfId="40016" xr:uid="{FE4F1FAF-CE6D-43C0-883B-B69AC42EDA09}"/>
    <cellStyle name="Normal 11 3 2 3 2 6 2 2" xfId="40017" xr:uid="{67258869-E4F8-4538-B32E-E4DE439910F9}"/>
    <cellStyle name="Normal 11 3 2 3 2 6 2 2 2" xfId="40018" xr:uid="{8E012DA5-5200-4FE5-AB79-46C8151FCF07}"/>
    <cellStyle name="Normal 11 3 2 3 2 6 2 3" xfId="40019" xr:uid="{9853249F-17A5-4C69-963F-1BD806DB6FE3}"/>
    <cellStyle name="Normal 11 3 2 3 2 6 3" xfId="40020" xr:uid="{C0160580-E9FB-4538-85A9-BA5A2C38A427}"/>
    <cellStyle name="Normal 11 3 2 3 2 6 3 2" xfId="40021" xr:uid="{A14EADE4-CA4F-43D4-AB89-B657A17F9F6C}"/>
    <cellStyle name="Normal 11 3 2 3 2 6 4" xfId="40022" xr:uid="{8B02D75C-E870-48DB-B7D6-0A201620E04C}"/>
    <cellStyle name="Normal 11 3 2 3 2 7" xfId="40023" xr:uid="{DDD91A78-00C8-4A1F-AC66-345AEDD415A9}"/>
    <cellStyle name="Normal 11 3 2 3 2 7 2" xfId="40024" xr:uid="{50A0B819-212E-40BD-AB1B-9C19A21F3E8B}"/>
    <cellStyle name="Normal 11 3 2 3 2 7 2 2" xfId="40025" xr:uid="{4C12FD98-92F1-4B1A-A2D5-67CB6B7A8361}"/>
    <cellStyle name="Normal 11 3 2 3 2 7 3" xfId="40026" xr:uid="{F039CA71-E5F6-4D0E-A644-623AEBFE9AD7}"/>
    <cellStyle name="Normal 11 3 2 3 2 8" xfId="40027" xr:uid="{2D738193-CA60-41B9-922A-94BEA13CE590}"/>
    <cellStyle name="Normal 11 3 2 3 2 8 2" xfId="40028" xr:uid="{154DE888-A9D5-434A-8F5F-4821BFAAF0B2}"/>
    <cellStyle name="Normal 11 3 2 3 2 9" xfId="40029" xr:uid="{7FE6C889-7B54-4B0D-967E-CA3D2946FEB5}"/>
    <cellStyle name="Normal 11 3 2 3 3" xfId="460" xr:uid="{7FB4D798-882C-4E0E-99C3-1FE96837F243}"/>
    <cellStyle name="Normal 11 3 2 3 3 2" xfId="40031" xr:uid="{2E78B948-5CAB-479A-BAA2-CD688DA28AE2}"/>
    <cellStyle name="Normal 11 3 2 3 3 2 2" xfId="40032" xr:uid="{D1A1DA8E-1714-418F-9296-65B5FFE57BC7}"/>
    <cellStyle name="Normal 11 3 2 3 3 2 2 2" xfId="40033" xr:uid="{5AEC552C-81DF-45F2-B3AF-336F9F783F62}"/>
    <cellStyle name="Normal 11 3 2 3 3 2 2 2 2" xfId="40034" xr:uid="{F0B50095-D2F7-4205-B9A4-849FAA2864C1}"/>
    <cellStyle name="Normal 11 3 2 3 3 2 2 2 2 2" xfId="40035" xr:uid="{974B27D1-5841-41CB-A041-5586FF2F1C5D}"/>
    <cellStyle name="Normal 11 3 2 3 3 2 2 2 2 2 2" xfId="40036" xr:uid="{565C6AA8-8BCA-4C4B-B082-2660E0F8EC59}"/>
    <cellStyle name="Normal 11 3 2 3 3 2 2 2 2 2 2 2" xfId="40037" xr:uid="{1FAB97BD-97FB-4863-BF2B-811C254A2143}"/>
    <cellStyle name="Normal 11 3 2 3 3 2 2 2 2 2 3" xfId="40038" xr:uid="{09A086F2-C4F6-48BB-AD2A-7D018111E3E8}"/>
    <cellStyle name="Normal 11 3 2 3 3 2 2 2 2 3" xfId="40039" xr:uid="{4CC700B7-D652-4F2E-A234-0EAD5FD743AF}"/>
    <cellStyle name="Normal 11 3 2 3 3 2 2 2 2 3 2" xfId="40040" xr:uid="{18D23F1F-B49E-4E10-B25B-0C73E1FCD4D8}"/>
    <cellStyle name="Normal 11 3 2 3 3 2 2 2 2 4" xfId="40041" xr:uid="{EC5BE33B-5098-4271-8242-C3D165303B59}"/>
    <cellStyle name="Normal 11 3 2 3 3 2 2 2 3" xfId="40042" xr:uid="{C493D8F4-F153-4D8C-82E6-9F2A18F3A677}"/>
    <cellStyle name="Normal 11 3 2 3 3 2 2 2 3 2" xfId="40043" xr:uid="{2E803BBB-5052-445A-B5D8-D03AA0B7C180}"/>
    <cellStyle name="Normal 11 3 2 3 3 2 2 2 3 2 2" xfId="40044" xr:uid="{777ED48B-C2A6-435B-9EAB-CE359CF6446B}"/>
    <cellStyle name="Normal 11 3 2 3 3 2 2 2 3 3" xfId="40045" xr:uid="{9626CAA1-88F5-43D3-9A2B-697BF0D42D54}"/>
    <cellStyle name="Normal 11 3 2 3 3 2 2 2 4" xfId="40046" xr:uid="{867866EB-643B-4AEB-B38C-F5B699E473C1}"/>
    <cellStyle name="Normal 11 3 2 3 3 2 2 2 4 2" xfId="40047" xr:uid="{195F16E4-475E-4D2E-B40E-AB5FA45E9533}"/>
    <cellStyle name="Normal 11 3 2 3 3 2 2 2 5" xfId="40048" xr:uid="{D141CC10-85B7-4AD3-B88B-870A2AE2D5A9}"/>
    <cellStyle name="Normal 11 3 2 3 3 2 2 3" xfId="40049" xr:uid="{55279D97-83F8-4528-ABDF-84472C12AC80}"/>
    <cellStyle name="Normal 11 3 2 3 3 2 2 3 2" xfId="40050" xr:uid="{AC0016AE-86D3-48B8-854C-6B6314BCF013}"/>
    <cellStyle name="Normal 11 3 2 3 3 2 2 3 2 2" xfId="40051" xr:uid="{94B50CB7-1B09-4888-83C4-AC707E014783}"/>
    <cellStyle name="Normal 11 3 2 3 3 2 2 3 2 2 2" xfId="40052" xr:uid="{DE19252E-9BD4-4B17-9512-768C4D901FC3}"/>
    <cellStyle name="Normal 11 3 2 3 3 2 2 3 2 3" xfId="40053" xr:uid="{13780B28-25EF-420F-8253-D293565EA3F6}"/>
    <cellStyle name="Normal 11 3 2 3 3 2 2 3 3" xfId="40054" xr:uid="{BB12967A-7095-4B58-987C-9F9778EDE531}"/>
    <cellStyle name="Normal 11 3 2 3 3 2 2 3 3 2" xfId="40055" xr:uid="{88F15422-4948-4DB4-8B14-79DE6E856BF1}"/>
    <cellStyle name="Normal 11 3 2 3 3 2 2 3 4" xfId="40056" xr:uid="{3DBD5889-0AD6-4C7C-9695-4461DFA396CA}"/>
    <cellStyle name="Normal 11 3 2 3 3 2 2 4" xfId="40057" xr:uid="{49DE2FF0-C284-46CF-B356-9C93173F0D25}"/>
    <cellStyle name="Normal 11 3 2 3 3 2 2 4 2" xfId="40058" xr:uid="{57CE7850-FD31-4A42-8801-C5CA26F430A8}"/>
    <cellStyle name="Normal 11 3 2 3 3 2 2 4 2 2" xfId="40059" xr:uid="{1F68B12A-A6F0-4EAB-930D-622EA281EC6D}"/>
    <cellStyle name="Normal 11 3 2 3 3 2 2 4 3" xfId="40060" xr:uid="{4AEB0A34-42C0-4CC5-9686-8CF3FAE20024}"/>
    <cellStyle name="Normal 11 3 2 3 3 2 2 5" xfId="40061" xr:uid="{EE3EDDF6-CAF7-4EDF-AC6F-D2D2B8F76FFB}"/>
    <cellStyle name="Normal 11 3 2 3 3 2 2 5 2" xfId="40062" xr:uid="{C56F4ED2-CAF2-49F2-972E-5ED097738F15}"/>
    <cellStyle name="Normal 11 3 2 3 3 2 2 6" xfId="40063" xr:uid="{ACEBD031-ABE9-4067-887D-BFE566BB2A79}"/>
    <cellStyle name="Normal 11 3 2 3 3 2 3" xfId="40064" xr:uid="{0F409CA4-B40F-468A-BEF7-C1BC98AB33D0}"/>
    <cellStyle name="Normal 11 3 2 3 3 2 3 2" xfId="40065" xr:uid="{54BD4CA8-86E0-4DBF-ACFD-851DCF62ACCD}"/>
    <cellStyle name="Normal 11 3 2 3 3 2 3 2 2" xfId="40066" xr:uid="{88348226-0BF0-475F-8DBF-C02A992A0864}"/>
    <cellStyle name="Normal 11 3 2 3 3 2 3 2 2 2" xfId="40067" xr:uid="{03F0192E-8E41-4513-A810-9264CB7662C9}"/>
    <cellStyle name="Normal 11 3 2 3 3 2 3 2 2 2 2" xfId="40068" xr:uid="{C6A02CF3-8283-47E4-80D0-63BC70D4B88C}"/>
    <cellStyle name="Normal 11 3 2 3 3 2 3 2 2 3" xfId="40069" xr:uid="{D5E3585D-4055-4B34-98B3-FF1B026C0D5A}"/>
    <cellStyle name="Normal 11 3 2 3 3 2 3 2 3" xfId="40070" xr:uid="{BAB3CDAE-1485-446D-BC58-A96E94196CD8}"/>
    <cellStyle name="Normal 11 3 2 3 3 2 3 2 3 2" xfId="40071" xr:uid="{61B81237-28AB-4EC8-830D-79A69D156580}"/>
    <cellStyle name="Normal 11 3 2 3 3 2 3 2 4" xfId="40072" xr:uid="{554894EA-F534-46A2-BCBB-4CBA9F2E02F3}"/>
    <cellStyle name="Normal 11 3 2 3 3 2 3 3" xfId="40073" xr:uid="{5292B0B6-2726-4A4C-B3E3-1F7FE02A7E00}"/>
    <cellStyle name="Normal 11 3 2 3 3 2 3 3 2" xfId="40074" xr:uid="{763A0E27-1208-46E6-A927-C2F582F71A71}"/>
    <cellStyle name="Normal 11 3 2 3 3 2 3 3 2 2" xfId="40075" xr:uid="{7C305C73-F27C-4B4B-A7E2-690E3E3FCF72}"/>
    <cellStyle name="Normal 11 3 2 3 3 2 3 3 3" xfId="40076" xr:uid="{12286DA7-8AD5-486E-B221-24EDE4D18ADD}"/>
    <cellStyle name="Normal 11 3 2 3 3 2 3 4" xfId="40077" xr:uid="{274655EE-36C4-42DF-842F-359F270A3583}"/>
    <cellStyle name="Normal 11 3 2 3 3 2 3 4 2" xfId="40078" xr:uid="{464BAB7F-72B5-4673-B964-276CA8774F01}"/>
    <cellStyle name="Normal 11 3 2 3 3 2 3 5" xfId="40079" xr:uid="{D6AED9C3-13D3-4002-A595-F0F12AFB9D4E}"/>
    <cellStyle name="Normal 11 3 2 3 3 2 4" xfId="40080" xr:uid="{8A148DF6-A5AB-4F2F-B2E0-D0AAFB298056}"/>
    <cellStyle name="Normal 11 3 2 3 3 2 4 2" xfId="40081" xr:uid="{3A6B4C9C-DBCE-473D-B13D-F0BA8AB81C0E}"/>
    <cellStyle name="Normal 11 3 2 3 3 2 4 2 2" xfId="40082" xr:uid="{33EF7F59-AEFD-498E-8CCF-44C31F3858B0}"/>
    <cellStyle name="Normal 11 3 2 3 3 2 4 2 2 2" xfId="40083" xr:uid="{F4D95B4E-624D-47D0-BA6E-D352EE56BAC8}"/>
    <cellStyle name="Normal 11 3 2 3 3 2 4 2 3" xfId="40084" xr:uid="{01366405-9A13-4319-96BB-FDED1616262F}"/>
    <cellStyle name="Normal 11 3 2 3 3 2 4 3" xfId="40085" xr:uid="{63D757EF-B84B-45EE-B908-CF428E707B39}"/>
    <cellStyle name="Normal 11 3 2 3 3 2 4 3 2" xfId="40086" xr:uid="{0C0B32FB-881C-4408-8D90-755322DFE1C6}"/>
    <cellStyle name="Normal 11 3 2 3 3 2 4 4" xfId="40087" xr:uid="{F5FC19FA-8B78-4995-9200-99E5BD820ACF}"/>
    <cellStyle name="Normal 11 3 2 3 3 2 5" xfId="40088" xr:uid="{E2B8116A-E910-475B-BCDA-CB276BDA50D2}"/>
    <cellStyle name="Normal 11 3 2 3 3 2 5 2" xfId="40089" xr:uid="{3A3E6840-0CF7-42B7-A278-EB9107DCC9BC}"/>
    <cellStyle name="Normal 11 3 2 3 3 2 5 2 2" xfId="40090" xr:uid="{19628FFF-4796-44A6-ABA4-373701432E7E}"/>
    <cellStyle name="Normal 11 3 2 3 3 2 5 3" xfId="40091" xr:uid="{315CA040-13AA-4025-84BB-0972703194C0}"/>
    <cellStyle name="Normal 11 3 2 3 3 2 6" xfId="40092" xr:uid="{945990F8-3AB2-4383-921E-61CB402F1A70}"/>
    <cellStyle name="Normal 11 3 2 3 3 2 6 2" xfId="40093" xr:uid="{3468D79C-BDF6-44DE-84D2-8F76D707F8FF}"/>
    <cellStyle name="Normal 11 3 2 3 3 2 7" xfId="40094" xr:uid="{9EFFB58F-63CC-44E8-9773-C9F29040FA16}"/>
    <cellStyle name="Normal 11 3 2 3 3 3" xfId="40095" xr:uid="{C3CF4609-031F-441E-9C44-358A94EECA11}"/>
    <cellStyle name="Normal 11 3 2 3 3 3 2" xfId="40096" xr:uid="{DB9691A5-7FDF-4731-A12F-840DFD4DD66D}"/>
    <cellStyle name="Normal 11 3 2 3 3 3 2 2" xfId="40097" xr:uid="{1B591D54-42F9-4E89-9A8A-36443AC997B8}"/>
    <cellStyle name="Normal 11 3 2 3 3 3 2 2 2" xfId="40098" xr:uid="{A3FB3D4A-1AB6-4E60-90D9-156EB9DDE68A}"/>
    <cellStyle name="Normal 11 3 2 3 3 3 2 2 2 2" xfId="40099" xr:uid="{8C917B76-24B5-4EAC-9749-70949BE5B35F}"/>
    <cellStyle name="Normal 11 3 2 3 3 3 2 2 2 2 2" xfId="40100" xr:uid="{358143C3-541C-4074-B6B3-3CBC1E161B5E}"/>
    <cellStyle name="Normal 11 3 2 3 3 3 2 2 2 3" xfId="40101" xr:uid="{9E77DBDC-763B-4F8D-BCA5-21AC5C155A79}"/>
    <cellStyle name="Normal 11 3 2 3 3 3 2 2 3" xfId="40102" xr:uid="{6971DB62-A5B3-4EC8-AF0E-6F729520ADBC}"/>
    <cellStyle name="Normal 11 3 2 3 3 3 2 2 3 2" xfId="40103" xr:uid="{C8461C42-AB5C-4B95-8787-4893287E3DA1}"/>
    <cellStyle name="Normal 11 3 2 3 3 3 2 2 4" xfId="40104" xr:uid="{B2DF576B-905F-4B91-AC7A-895DCEC1F9B2}"/>
    <cellStyle name="Normal 11 3 2 3 3 3 2 3" xfId="40105" xr:uid="{AE7B5FDF-5150-483F-9D45-C2CC52626D67}"/>
    <cellStyle name="Normal 11 3 2 3 3 3 2 3 2" xfId="40106" xr:uid="{876FDB58-9317-405E-8548-887041377734}"/>
    <cellStyle name="Normal 11 3 2 3 3 3 2 3 2 2" xfId="40107" xr:uid="{751CCC26-C453-4290-A83B-0DE0F9828FA0}"/>
    <cellStyle name="Normal 11 3 2 3 3 3 2 3 3" xfId="40108" xr:uid="{B9655CE0-9ABA-4730-9996-176CC084D000}"/>
    <cellStyle name="Normal 11 3 2 3 3 3 2 4" xfId="40109" xr:uid="{21B324AB-50C9-432C-8BA2-DBFC6AE53303}"/>
    <cellStyle name="Normal 11 3 2 3 3 3 2 4 2" xfId="40110" xr:uid="{BDEC947F-87AD-4E0A-95D7-7FA13743590B}"/>
    <cellStyle name="Normal 11 3 2 3 3 3 2 5" xfId="40111" xr:uid="{9A2090E4-C2C8-4688-9D4E-DB62C161F7E7}"/>
    <cellStyle name="Normal 11 3 2 3 3 3 3" xfId="40112" xr:uid="{93A50486-BA4B-4DCC-A5A4-5381CD4F4816}"/>
    <cellStyle name="Normal 11 3 2 3 3 3 3 2" xfId="40113" xr:uid="{AE89F989-16D7-489A-B1CD-3687E699222A}"/>
    <cellStyle name="Normal 11 3 2 3 3 3 3 2 2" xfId="40114" xr:uid="{ABA85516-3B12-46E9-AE1D-F20AECC25AA1}"/>
    <cellStyle name="Normal 11 3 2 3 3 3 3 2 2 2" xfId="40115" xr:uid="{B1F0F182-0532-46FE-AD9B-9BC468EE2EA8}"/>
    <cellStyle name="Normal 11 3 2 3 3 3 3 2 3" xfId="40116" xr:uid="{A0744BEE-616C-4ADB-9565-4B4F5F4B0086}"/>
    <cellStyle name="Normal 11 3 2 3 3 3 3 3" xfId="40117" xr:uid="{DF21415E-06FC-463B-AD19-5FEAC100F5A9}"/>
    <cellStyle name="Normal 11 3 2 3 3 3 3 3 2" xfId="40118" xr:uid="{44332B1B-A493-4CBC-87FF-983AD901F6A7}"/>
    <cellStyle name="Normal 11 3 2 3 3 3 3 4" xfId="40119" xr:uid="{677B5F7D-E56F-4D0D-8C1C-464660BDDCC1}"/>
    <cellStyle name="Normal 11 3 2 3 3 3 4" xfId="40120" xr:uid="{34290C74-81C4-413F-9681-C0291FF1A7BA}"/>
    <cellStyle name="Normal 11 3 2 3 3 3 4 2" xfId="40121" xr:uid="{931FC610-EEB8-482C-9059-49C4394A092D}"/>
    <cellStyle name="Normal 11 3 2 3 3 3 4 2 2" xfId="40122" xr:uid="{C9CEE593-0F16-4DD3-99CA-057B4950812A}"/>
    <cellStyle name="Normal 11 3 2 3 3 3 4 3" xfId="40123" xr:uid="{CD51B350-B2EF-41C1-8281-A87FC4F8B8C3}"/>
    <cellStyle name="Normal 11 3 2 3 3 3 5" xfId="40124" xr:uid="{84C8F344-593F-4685-856B-D5ADAA5A33FE}"/>
    <cellStyle name="Normal 11 3 2 3 3 3 5 2" xfId="40125" xr:uid="{42C445F8-026D-4823-8588-E398605D3D8E}"/>
    <cellStyle name="Normal 11 3 2 3 3 3 6" xfId="40126" xr:uid="{B73BD008-1686-4FCA-96E2-2F6270575E8D}"/>
    <cellStyle name="Normal 11 3 2 3 3 4" xfId="40127" xr:uid="{53C7D3D0-2A49-45D0-B48E-F25339A73612}"/>
    <cellStyle name="Normal 11 3 2 3 3 4 2" xfId="40128" xr:uid="{5AE16BF2-A150-48C8-BEAD-24BDA35E6245}"/>
    <cellStyle name="Normal 11 3 2 3 3 4 2 2" xfId="40129" xr:uid="{80281499-2844-4480-80E0-1946EA1340D3}"/>
    <cellStyle name="Normal 11 3 2 3 3 4 2 2 2" xfId="40130" xr:uid="{CEE098FF-39EA-4093-AFE9-9E32CC29B03E}"/>
    <cellStyle name="Normal 11 3 2 3 3 4 2 2 2 2" xfId="40131" xr:uid="{645D1BC8-9726-4C42-938E-AAA833C79E7E}"/>
    <cellStyle name="Normal 11 3 2 3 3 4 2 2 3" xfId="40132" xr:uid="{C87F3CF8-20B6-47E9-B20D-9B68F7FE2B7B}"/>
    <cellStyle name="Normal 11 3 2 3 3 4 2 3" xfId="40133" xr:uid="{C2D672D4-5D22-4264-BE77-03A8D610A1A8}"/>
    <cellStyle name="Normal 11 3 2 3 3 4 2 3 2" xfId="40134" xr:uid="{8E8F9785-3534-4A5B-AE0E-5BE7A57C8B23}"/>
    <cellStyle name="Normal 11 3 2 3 3 4 2 4" xfId="40135" xr:uid="{D7B341E1-A197-4EF5-80CC-1F2092255C79}"/>
    <cellStyle name="Normal 11 3 2 3 3 4 3" xfId="40136" xr:uid="{94F14B79-226A-44FB-9F47-D21B27619B66}"/>
    <cellStyle name="Normal 11 3 2 3 3 4 3 2" xfId="40137" xr:uid="{0A6E9DEE-D0F1-4AFF-9B06-7F56E580D347}"/>
    <cellStyle name="Normal 11 3 2 3 3 4 3 2 2" xfId="40138" xr:uid="{45D3C87C-007D-4099-9358-C4F4FD164FFB}"/>
    <cellStyle name="Normal 11 3 2 3 3 4 3 3" xfId="40139" xr:uid="{8B4BC554-9EE8-4F49-9629-B2F0D8795C19}"/>
    <cellStyle name="Normal 11 3 2 3 3 4 4" xfId="40140" xr:uid="{FB967589-B4E3-4E84-9FD7-0496D155EA45}"/>
    <cellStyle name="Normal 11 3 2 3 3 4 4 2" xfId="40141" xr:uid="{AAB52687-CBAF-4454-A21D-56ADF5F1C61B}"/>
    <cellStyle name="Normal 11 3 2 3 3 4 5" xfId="40142" xr:uid="{D28BDA4D-8100-4D44-AE49-3E4A18D19A49}"/>
    <cellStyle name="Normal 11 3 2 3 3 5" xfId="40143" xr:uid="{2D5994BF-300A-4D51-957B-2B36E52EAC22}"/>
    <cellStyle name="Normal 11 3 2 3 3 5 2" xfId="40144" xr:uid="{7AA282B1-7C67-4098-883E-E4A466B2520A}"/>
    <cellStyle name="Normal 11 3 2 3 3 5 2 2" xfId="40145" xr:uid="{494F79B2-9A26-4431-AE1F-22B5F333DFFC}"/>
    <cellStyle name="Normal 11 3 2 3 3 5 2 2 2" xfId="40146" xr:uid="{3B495799-9F42-4C04-9665-613FCB8B5E9F}"/>
    <cellStyle name="Normal 11 3 2 3 3 5 2 3" xfId="40147" xr:uid="{E25CC901-A52D-407F-A29F-454F01D7601B}"/>
    <cellStyle name="Normal 11 3 2 3 3 5 3" xfId="40148" xr:uid="{D2D97002-F09D-4E88-888D-0CD5767D5E37}"/>
    <cellStyle name="Normal 11 3 2 3 3 5 3 2" xfId="40149" xr:uid="{314487DA-D396-4A03-A5BD-FC5A28CE0484}"/>
    <cellStyle name="Normal 11 3 2 3 3 5 4" xfId="40150" xr:uid="{CEA1D1FD-96D4-4A77-9FC5-D301B3A63834}"/>
    <cellStyle name="Normal 11 3 2 3 3 6" xfId="40151" xr:uid="{793E7522-B227-480A-ADB7-AFD7BFE0ED04}"/>
    <cellStyle name="Normal 11 3 2 3 3 6 2" xfId="40152" xr:uid="{E4DAE4B4-6741-496F-B722-0EA9CD572260}"/>
    <cellStyle name="Normal 11 3 2 3 3 6 2 2" xfId="40153" xr:uid="{D9A0F094-8600-42E6-BF18-679730AA0695}"/>
    <cellStyle name="Normal 11 3 2 3 3 6 3" xfId="40154" xr:uid="{7759D4F2-6B3F-493D-A6D8-B8C8D897F957}"/>
    <cellStyle name="Normal 11 3 2 3 3 7" xfId="40155" xr:uid="{795A50B6-E80D-4491-B70D-D634272A311F}"/>
    <cellStyle name="Normal 11 3 2 3 3 7 2" xfId="40156" xr:uid="{31211438-07A9-47E5-ABAD-A502BEA6B36D}"/>
    <cellStyle name="Normal 11 3 2 3 3 8" xfId="40157" xr:uid="{57111D00-B4F8-45D9-A225-243ABEE7EE36}"/>
    <cellStyle name="Normal 11 3 2 3 3 9" xfId="40030" xr:uid="{BDD03849-3461-44C3-BB2E-4E4DB1FF9BA0}"/>
    <cellStyle name="Normal 11 3 2 3 4" xfId="40158" xr:uid="{45A5992D-F73F-4786-83E1-F5C0D454DC64}"/>
    <cellStyle name="Normal 11 3 2 3 4 2" xfId="40159" xr:uid="{E4AB4FFB-4033-4246-94BA-296C7F43AD2E}"/>
    <cellStyle name="Normal 11 3 2 3 4 2 2" xfId="40160" xr:uid="{A2069B9F-B5C7-40C1-B2B7-01C902B6B899}"/>
    <cellStyle name="Normal 11 3 2 3 4 2 2 2" xfId="40161" xr:uid="{8AFA1A5A-27D8-40C2-B150-3741237D58DA}"/>
    <cellStyle name="Normal 11 3 2 3 4 2 2 2 2" xfId="40162" xr:uid="{C5A64A86-5A0D-4657-A650-3DE289B14270}"/>
    <cellStyle name="Normal 11 3 2 3 4 2 2 2 2 2" xfId="40163" xr:uid="{69E1CE09-5848-4D6A-996A-3F930CB23B9B}"/>
    <cellStyle name="Normal 11 3 2 3 4 2 2 2 2 2 2" xfId="40164" xr:uid="{018A6FE8-34E5-4F78-9B94-D6F3DF7A255F}"/>
    <cellStyle name="Normal 11 3 2 3 4 2 2 2 2 3" xfId="40165" xr:uid="{1C0A409B-DF26-4DBF-AD13-7FF3791E8CDC}"/>
    <cellStyle name="Normal 11 3 2 3 4 2 2 2 3" xfId="40166" xr:uid="{9FFDA456-F920-405C-BE04-ABA42C803B50}"/>
    <cellStyle name="Normal 11 3 2 3 4 2 2 2 3 2" xfId="40167" xr:uid="{F983B62C-3974-4FDE-A2DA-C0B51140EB20}"/>
    <cellStyle name="Normal 11 3 2 3 4 2 2 2 4" xfId="40168" xr:uid="{CD6E7798-E504-43F0-8BB1-65FA5C810182}"/>
    <cellStyle name="Normal 11 3 2 3 4 2 2 3" xfId="40169" xr:uid="{AA2F2454-C060-4713-B002-176E4C6925C4}"/>
    <cellStyle name="Normal 11 3 2 3 4 2 2 3 2" xfId="40170" xr:uid="{6021B49E-92AD-4CAD-A056-C3D9BDEEBA99}"/>
    <cellStyle name="Normal 11 3 2 3 4 2 2 3 2 2" xfId="40171" xr:uid="{EE2922AA-8F0F-4F98-962E-1E478CE1D478}"/>
    <cellStyle name="Normal 11 3 2 3 4 2 2 3 3" xfId="40172" xr:uid="{2DC77200-2F6C-4263-A489-5FC0109DB789}"/>
    <cellStyle name="Normal 11 3 2 3 4 2 2 4" xfId="40173" xr:uid="{691F250A-6CD9-47A5-93BE-9E31CFE318DE}"/>
    <cellStyle name="Normal 11 3 2 3 4 2 2 4 2" xfId="40174" xr:uid="{7D3A473F-AD26-4537-933A-171626AFFBD0}"/>
    <cellStyle name="Normal 11 3 2 3 4 2 2 5" xfId="40175" xr:uid="{21DBFBA1-FBA2-499F-AE0F-59A3FD28B143}"/>
    <cellStyle name="Normal 11 3 2 3 4 2 3" xfId="40176" xr:uid="{91C504CC-4B37-4888-99C2-E4F2CDF87BBB}"/>
    <cellStyle name="Normal 11 3 2 3 4 2 3 2" xfId="40177" xr:uid="{D12961F1-14A1-4391-B1BD-1FA07A0A7337}"/>
    <cellStyle name="Normal 11 3 2 3 4 2 3 2 2" xfId="40178" xr:uid="{0B9C1BDD-4D2F-428E-AF3B-C6F51B48269B}"/>
    <cellStyle name="Normal 11 3 2 3 4 2 3 2 2 2" xfId="40179" xr:uid="{93459319-F6F5-4811-B153-171B5E805F43}"/>
    <cellStyle name="Normal 11 3 2 3 4 2 3 2 3" xfId="40180" xr:uid="{36A3C171-85A7-4EDA-93D5-BEED7DACC39E}"/>
    <cellStyle name="Normal 11 3 2 3 4 2 3 3" xfId="40181" xr:uid="{E0413C14-C08F-4368-8780-D2B6A7220454}"/>
    <cellStyle name="Normal 11 3 2 3 4 2 3 3 2" xfId="40182" xr:uid="{F08AE5E8-255B-4BBB-A93D-5E9B52F37CA1}"/>
    <cellStyle name="Normal 11 3 2 3 4 2 3 4" xfId="40183" xr:uid="{4D51591C-5C01-4782-823F-304160569102}"/>
    <cellStyle name="Normal 11 3 2 3 4 2 4" xfId="40184" xr:uid="{03A900BB-BDA5-4E66-83B3-F1807C0E4154}"/>
    <cellStyle name="Normal 11 3 2 3 4 2 4 2" xfId="40185" xr:uid="{F8098C16-10F8-4559-B16B-3AC35ADBDE54}"/>
    <cellStyle name="Normal 11 3 2 3 4 2 4 2 2" xfId="40186" xr:uid="{A27271F1-8CE1-4DB5-93D0-D7E8F95901A9}"/>
    <cellStyle name="Normal 11 3 2 3 4 2 4 3" xfId="40187" xr:uid="{060677E2-E9D7-4558-808F-2E13DA6DC89A}"/>
    <cellStyle name="Normal 11 3 2 3 4 2 5" xfId="40188" xr:uid="{F8FC7CE4-8043-4143-A2D7-64CE21738B03}"/>
    <cellStyle name="Normal 11 3 2 3 4 2 5 2" xfId="40189" xr:uid="{416C8990-32BC-4F6F-9263-C98F7F928417}"/>
    <cellStyle name="Normal 11 3 2 3 4 2 6" xfId="40190" xr:uid="{520CAB45-9B50-43C6-924C-0C367A16FD94}"/>
    <cellStyle name="Normal 11 3 2 3 4 3" xfId="40191" xr:uid="{03693559-9824-47A3-B556-0856E5B875F8}"/>
    <cellStyle name="Normal 11 3 2 3 4 3 2" xfId="40192" xr:uid="{F99A6516-B50A-4C14-8091-57D7D9F6A0EE}"/>
    <cellStyle name="Normal 11 3 2 3 4 3 2 2" xfId="40193" xr:uid="{E00C9C01-154D-4C49-B8B3-4866151F06A7}"/>
    <cellStyle name="Normal 11 3 2 3 4 3 2 2 2" xfId="40194" xr:uid="{F971DA9F-4A31-470B-BB67-C982D2A98783}"/>
    <cellStyle name="Normal 11 3 2 3 4 3 2 2 2 2" xfId="40195" xr:uid="{6FB8EF30-224D-4B1B-AAAD-90FABD22E1BE}"/>
    <cellStyle name="Normal 11 3 2 3 4 3 2 2 3" xfId="40196" xr:uid="{B4248A9D-F25F-4518-AE72-4CD7C0FC0B13}"/>
    <cellStyle name="Normal 11 3 2 3 4 3 2 3" xfId="40197" xr:uid="{CB3094D4-E6A8-48EB-BF79-848600C4A88D}"/>
    <cellStyle name="Normal 11 3 2 3 4 3 2 3 2" xfId="40198" xr:uid="{13597666-01AA-4334-9B88-1F299764B093}"/>
    <cellStyle name="Normal 11 3 2 3 4 3 2 4" xfId="40199" xr:uid="{A3B16F13-BE39-41F7-887D-A22EB55EC1C5}"/>
    <cellStyle name="Normal 11 3 2 3 4 3 3" xfId="40200" xr:uid="{615F85E1-94B9-46EE-B349-F21C025BD910}"/>
    <cellStyle name="Normal 11 3 2 3 4 3 3 2" xfId="40201" xr:uid="{A2818CFA-523C-4DB9-9DD0-C00324183B10}"/>
    <cellStyle name="Normal 11 3 2 3 4 3 3 2 2" xfId="40202" xr:uid="{B8108090-0909-4900-A4FB-D5B0AF4F5AE8}"/>
    <cellStyle name="Normal 11 3 2 3 4 3 3 3" xfId="40203" xr:uid="{08F1E313-1A49-42FF-B993-F5A79CE2955C}"/>
    <cellStyle name="Normal 11 3 2 3 4 3 4" xfId="40204" xr:uid="{5FFFC301-1F37-4812-82C4-B383A40C824C}"/>
    <cellStyle name="Normal 11 3 2 3 4 3 4 2" xfId="40205" xr:uid="{EBDC5222-2FF4-447F-BFE2-E43EAACB0AAA}"/>
    <cellStyle name="Normal 11 3 2 3 4 3 5" xfId="40206" xr:uid="{BCBBF6DD-C3FB-43C0-83CC-A04CFD74E4E8}"/>
    <cellStyle name="Normal 11 3 2 3 4 4" xfId="40207" xr:uid="{C0AAAE6A-D5B0-4D63-ADA9-C471BF7FDA3D}"/>
    <cellStyle name="Normal 11 3 2 3 4 4 2" xfId="40208" xr:uid="{B15BFBB4-5AB4-4B1B-A722-950BB33F97FB}"/>
    <cellStyle name="Normal 11 3 2 3 4 4 2 2" xfId="40209" xr:uid="{56BD8408-4177-47C2-8A25-CED0F466DFD2}"/>
    <cellStyle name="Normal 11 3 2 3 4 4 2 2 2" xfId="40210" xr:uid="{947307A1-999A-4A20-9C0A-F3D51C6FE495}"/>
    <cellStyle name="Normal 11 3 2 3 4 4 2 3" xfId="40211" xr:uid="{023D3683-067D-4441-B7B6-73CFA74A655D}"/>
    <cellStyle name="Normal 11 3 2 3 4 4 3" xfId="40212" xr:uid="{EDF56D5F-61BA-438A-9783-1F376EE7B60C}"/>
    <cellStyle name="Normal 11 3 2 3 4 4 3 2" xfId="40213" xr:uid="{CB20EFA1-CD08-4B25-B735-122C508A9900}"/>
    <cellStyle name="Normal 11 3 2 3 4 4 4" xfId="40214" xr:uid="{71F599FD-74BC-422C-B537-DA80FFF1A6D2}"/>
    <cellStyle name="Normal 11 3 2 3 4 5" xfId="40215" xr:uid="{3E9D2ECB-CC15-4DE1-9460-769B637E3C89}"/>
    <cellStyle name="Normal 11 3 2 3 4 5 2" xfId="40216" xr:uid="{FF50DA76-F108-4D20-8727-BA7C9BC1C04B}"/>
    <cellStyle name="Normal 11 3 2 3 4 5 2 2" xfId="40217" xr:uid="{2747625D-3D39-4B2D-BC93-4F53EBB01154}"/>
    <cellStyle name="Normal 11 3 2 3 4 5 3" xfId="40218" xr:uid="{EF074A49-85CE-424E-AFF8-539636518988}"/>
    <cellStyle name="Normal 11 3 2 3 4 6" xfId="40219" xr:uid="{7C525416-1A73-41F0-96D4-FBF41ABA799A}"/>
    <cellStyle name="Normal 11 3 2 3 4 6 2" xfId="40220" xr:uid="{8256EEF3-CAAA-4563-84E8-00B068C8B29F}"/>
    <cellStyle name="Normal 11 3 2 3 4 7" xfId="40221" xr:uid="{7876E5C5-16DA-446D-A893-D7BFDF873407}"/>
    <cellStyle name="Normal 11 3 2 3 5" xfId="40222" xr:uid="{4FABE3C5-D2DA-45CD-B12A-3EAFBEF0E979}"/>
    <cellStyle name="Normal 11 3 2 3 5 2" xfId="40223" xr:uid="{9A9CEEAA-CA4F-43BF-AD20-13EA601DB7E8}"/>
    <cellStyle name="Normal 11 3 2 3 5 2 2" xfId="40224" xr:uid="{30CEA84E-C131-4D31-886D-3785F63C8335}"/>
    <cellStyle name="Normal 11 3 2 3 5 2 2 2" xfId="40225" xr:uid="{5F457680-2774-4055-AEB8-09FDA6320567}"/>
    <cellStyle name="Normal 11 3 2 3 5 2 2 2 2" xfId="40226" xr:uid="{899D52B0-A5C3-457B-B9EF-0F5E99468091}"/>
    <cellStyle name="Normal 11 3 2 3 5 2 2 2 2 2" xfId="40227" xr:uid="{3674FCD4-C265-4B84-8CC7-610851D2664A}"/>
    <cellStyle name="Normal 11 3 2 3 5 2 2 2 3" xfId="40228" xr:uid="{9BA5EAFB-CA27-46F3-94D1-D229FFEA73CD}"/>
    <cellStyle name="Normal 11 3 2 3 5 2 2 3" xfId="40229" xr:uid="{F6EC1887-1357-40DF-9E04-A486AD1B0E98}"/>
    <cellStyle name="Normal 11 3 2 3 5 2 2 3 2" xfId="40230" xr:uid="{D4F02A3D-8CD3-4F3E-BE17-84047262CA83}"/>
    <cellStyle name="Normal 11 3 2 3 5 2 2 4" xfId="40231" xr:uid="{51782AD5-39E5-4E40-830A-76F2B30FC6BA}"/>
    <cellStyle name="Normal 11 3 2 3 5 2 3" xfId="40232" xr:uid="{561BE0DF-D2E9-41C8-880B-B91CABF3AFDB}"/>
    <cellStyle name="Normal 11 3 2 3 5 2 3 2" xfId="40233" xr:uid="{C533003A-A1C4-41F6-BE66-4EDA97E904BE}"/>
    <cellStyle name="Normal 11 3 2 3 5 2 3 2 2" xfId="40234" xr:uid="{724986F8-B6E8-4FB0-AC29-7717B46253E0}"/>
    <cellStyle name="Normal 11 3 2 3 5 2 3 3" xfId="40235" xr:uid="{B31BC0E5-C4BD-44BF-8CA0-98F136A2805B}"/>
    <cellStyle name="Normal 11 3 2 3 5 2 4" xfId="40236" xr:uid="{9F2D6719-2CE4-4019-B654-B55C791C8D8D}"/>
    <cellStyle name="Normal 11 3 2 3 5 2 4 2" xfId="40237" xr:uid="{A1EFDCE2-C8DD-46C3-8FDB-A1A6ED687901}"/>
    <cellStyle name="Normal 11 3 2 3 5 2 5" xfId="40238" xr:uid="{E5E971C9-6811-4E1F-BF52-A4FB4FEA77B0}"/>
    <cellStyle name="Normal 11 3 2 3 5 3" xfId="40239" xr:uid="{7B4F2998-CA20-479A-82C0-55A9EE3BAC77}"/>
    <cellStyle name="Normal 11 3 2 3 5 3 2" xfId="40240" xr:uid="{F6EA1C88-8657-4B3C-AB77-53F7E6773730}"/>
    <cellStyle name="Normal 11 3 2 3 5 3 2 2" xfId="40241" xr:uid="{1BFB28F5-7B1D-466D-8744-67A8FDF0ECED}"/>
    <cellStyle name="Normal 11 3 2 3 5 3 2 2 2" xfId="40242" xr:uid="{BD27009A-2187-4376-A874-08968B18099E}"/>
    <cellStyle name="Normal 11 3 2 3 5 3 2 3" xfId="40243" xr:uid="{0F5DFA4A-365D-42E0-AB59-3AF60DB3404E}"/>
    <cellStyle name="Normal 11 3 2 3 5 3 3" xfId="40244" xr:uid="{02883981-5181-42D2-ADD6-0F3301B6EEA8}"/>
    <cellStyle name="Normal 11 3 2 3 5 3 3 2" xfId="40245" xr:uid="{4A5B1B49-7809-402A-821D-649BF8A71DC4}"/>
    <cellStyle name="Normal 11 3 2 3 5 3 4" xfId="40246" xr:uid="{F6841F48-3AE4-4377-B57B-B7BA1DFE9D7E}"/>
    <cellStyle name="Normal 11 3 2 3 5 4" xfId="40247" xr:uid="{21AF0BB6-4B21-4E58-B7D9-1024B8BE1C0F}"/>
    <cellStyle name="Normal 11 3 2 3 5 4 2" xfId="40248" xr:uid="{FB198A34-C419-4737-8C65-9202811ECF70}"/>
    <cellStyle name="Normal 11 3 2 3 5 4 2 2" xfId="40249" xr:uid="{3ADDEED9-AB8C-4C3C-90C2-A996AB911A62}"/>
    <cellStyle name="Normal 11 3 2 3 5 4 3" xfId="40250" xr:uid="{297AD6A2-0ED1-4F0D-B9B4-6893F19F6DDA}"/>
    <cellStyle name="Normal 11 3 2 3 5 5" xfId="40251" xr:uid="{1B69D73F-4514-4008-AE6D-73E357468440}"/>
    <cellStyle name="Normal 11 3 2 3 5 5 2" xfId="40252" xr:uid="{7E9C67CA-8D2B-4262-A412-07ADFD044D68}"/>
    <cellStyle name="Normal 11 3 2 3 5 6" xfId="40253" xr:uid="{184495B6-E961-435A-937F-0198016AA178}"/>
    <cellStyle name="Normal 11 3 2 3 6" xfId="40254" xr:uid="{B40BB43F-9512-457A-B9F2-41F25AC6EFB1}"/>
    <cellStyle name="Normal 11 3 2 3 6 2" xfId="40255" xr:uid="{5E378FE8-D355-477B-AC83-F7C28E36BEE7}"/>
    <cellStyle name="Normal 11 3 2 3 6 2 2" xfId="40256" xr:uid="{9CD8A798-3954-43C8-B4DD-37286D6B73AC}"/>
    <cellStyle name="Normal 11 3 2 3 6 2 2 2" xfId="40257" xr:uid="{0FB2EFBB-AFD1-48EB-A54A-CA3A0C79CAF1}"/>
    <cellStyle name="Normal 11 3 2 3 6 2 2 2 2" xfId="40258" xr:uid="{CD2553C8-698F-4AA0-A6E1-C6E779D28908}"/>
    <cellStyle name="Normal 11 3 2 3 6 2 2 3" xfId="40259" xr:uid="{DE4A1950-7D17-4E52-AEDA-86FAD77FCD39}"/>
    <cellStyle name="Normal 11 3 2 3 6 2 3" xfId="40260" xr:uid="{8AB06990-0AB8-45CF-A7C7-FF84DE15A65A}"/>
    <cellStyle name="Normal 11 3 2 3 6 2 3 2" xfId="40261" xr:uid="{F878AE65-EA77-4F5B-8145-095BE9C256C0}"/>
    <cellStyle name="Normal 11 3 2 3 6 2 4" xfId="40262" xr:uid="{DFA7B9A6-C93C-4529-8EF7-C8392FAC771F}"/>
    <cellStyle name="Normal 11 3 2 3 6 3" xfId="40263" xr:uid="{9C9DAC0A-F7CC-4BC3-A4AC-4D0DA4514FE1}"/>
    <cellStyle name="Normal 11 3 2 3 6 3 2" xfId="40264" xr:uid="{33960DB5-BFB1-44F7-AFC3-902D6C27202F}"/>
    <cellStyle name="Normal 11 3 2 3 6 3 2 2" xfId="40265" xr:uid="{1467BFEA-0F9E-46FD-9594-09566392D8D6}"/>
    <cellStyle name="Normal 11 3 2 3 6 3 3" xfId="40266" xr:uid="{79B25611-6084-4E10-B67C-AF7FF21AFAB9}"/>
    <cellStyle name="Normal 11 3 2 3 6 4" xfId="40267" xr:uid="{68939E5C-2AD8-49EB-A2A4-2C4CBB25F97C}"/>
    <cellStyle name="Normal 11 3 2 3 6 4 2" xfId="40268" xr:uid="{EA60925C-50F8-4AD2-A043-F8147360F05A}"/>
    <cellStyle name="Normal 11 3 2 3 6 5" xfId="40269" xr:uid="{F03D17F3-070A-4A26-B8EE-E7375060FC7B}"/>
    <cellStyle name="Normal 11 3 2 3 7" xfId="40270" xr:uid="{8EB0367C-F603-476C-B72E-2AAFCEF847B8}"/>
    <cellStyle name="Normal 11 3 2 3 7 2" xfId="40271" xr:uid="{583AF395-1648-4A96-8791-18CC31FF1798}"/>
    <cellStyle name="Normal 11 3 2 3 7 2 2" xfId="40272" xr:uid="{04B28505-FCA5-48AD-A97C-E44A006E6693}"/>
    <cellStyle name="Normal 11 3 2 3 7 2 2 2" xfId="40273" xr:uid="{5E20CA5F-27C5-419E-B93B-F4907126DAA4}"/>
    <cellStyle name="Normal 11 3 2 3 7 2 3" xfId="40274" xr:uid="{67B79BE8-8676-4954-8144-E96519F3CEA1}"/>
    <cellStyle name="Normal 11 3 2 3 7 3" xfId="40275" xr:uid="{B4D82B4E-CBF1-45A6-8286-26DA321E6B1B}"/>
    <cellStyle name="Normal 11 3 2 3 7 3 2" xfId="40276" xr:uid="{E0614184-7ADE-448D-B38E-879A6B82A602}"/>
    <cellStyle name="Normal 11 3 2 3 7 4" xfId="40277" xr:uid="{74EB3199-8316-4C22-9C50-7CC85448A2E4}"/>
    <cellStyle name="Normal 11 3 2 3 8" xfId="40278" xr:uid="{C92A52F9-EC8A-427E-A722-FBD90C760B9E}"/>
    <cellStyle name="Normal 11 3 2 3 8 2" xfId="40279" xr:uid="{C18B481A-6C4E-4CD4-94D5-58656822CE3E}"/>
    <cellStyle name="Normal 11 3 2 3 8 2 2" xfId="40280" xr:uid="{306EA49D-F50B-48D8-8E51-6869E0849CE6}"/>
    <cellStyle name="Normal 11 3 2 3 8 3" xfId="40281" xr:uid="{50D54038-F076-43E0-A1A8-FE20B451090C}"/>
    <cellStyle name="Normal 11 3 2 3 9" xfId="40282" xr:uid="{2CBA8B54-A26F-4DBF-AFB8-9347B2680AAB}"/>
    <cellStyle name="Normal 11 3 2 3 9 2" xfId="40283" xr:uid="{D46BBF78-F9DC-48FF-AC5C-7F4519058853}"/>
    <cellStyle name="Normal 11 3 2 4" xfId="241" xr:uid="{F26AAE5A-17DD-4E28-BAD6-D89872033FC4}"/>
    <cellStyle name="Normal 11 3 2 4 10" xfId="40284" xr:uid="{8F5CEACE-B46B-49D1-BCAF-02E421BE1938}"/>
    <cellStyle name="Normal 11 3 2 4 11" xfId="596" xr:uid="{EF6717A3-9529-45A4-83A3-EFD24B50C3A8}"/>
    <cellStyle name="Normal 11 3 2 4 2" xfId="378" xr:uid="{2C0AB10B-E3E3-4BE5-87C0-41C7A270D3E1}"/>
    <cellStyle name="Normal 11 3 2 4 2 10" xfId="40285" xr:uid="{E33D517C-8F68-4B66-9765-4214D31620C1}"/>
    <cellStyle name="Normal 11 3 2 4 2 2" xfId="40286" xr:uid="{BF0CD724-C8BE-4042-AF5A-46BEA750BB1F}"/>
    <cellStyle name="Normal 11 3 2 4 2 2 2" xfId="40287" xr:uid="{6746DE1A-BEF5-47AA-93AD-A77908557C2E}"/>
    <cellStyle name="Normal 11 3 2 4 2 2 2 2" xfId="40288" xr:uid="{EA76DF73-B12A-4208-B5ED-60B989500E2E}"/>
    <cellStyle name="Normal 11 3 2 4 2 2 2 2 2" xfId="40289" xr:uid="{E8BC6A36-5C84-472F-B842-542C9F5517FD}"/>
    <cellStyle name="Normal 11 3 2 4 2 2 2 2 2 2" xfId="40290" xr:uid="{1650FD7E-ED8A-40BF-8BDD-56B020D2C8AA}"/>
    <cellStyle name="Normal 11 3 2 4 2 2 2 2 2 2 2" xfId="40291" xr:uid="{F1D7D1F9-423A-4F45-AE00-C255B52ED7D3}"/>
    <cellStyle name="Normal 11 3 2 4 2 2 2 2 2 2 2 2" xfId="40292" xr:uid="{91FFAD8E-4594-4462-8243-804949DCD36B}"/>
    <cellStyle name="Normal 11 3 2 4 2 2 2 2 2 2 2 2 2" xfId="40293" xr:uid="{29FC19A3-C7D0-4C7E-A6FA-C32CD07ABB1E}"/>
    <cellStyle name="Normal 11 3 2 4 2 2 2 2 2 2 2 3" xfId="40294" xr:uid="{A943793D-8EBF-4769-B625-909B2454E427}"/>
    <cellStyle name="Normal 11 3 2 4 2 2 2 2 2 2 3" xfId="40295" xr:uid="{17D35392-2D6B-43B8-BE7C-8E02C5CEEDD4}"/>
    <cellStyle name="Normal 11 3 2 4 2 2 2 2 2 2 3 2" xfId="40296" xr:uid="{3464DFF1-C7A4-485C-9F30-902E1061E51E}"/>
    <cellStyle name="Normal 11 3 2 4 2 2 2 2 2 2 4" xfId="40297" xr:uid="{5EE621D9-B842-457D-A97B-8794310640EC}"/>
    <cellStyle name="Normal 11 3 2 4 2 2 2 2 2 3" xfId="40298" xr:uid="{0F22A085-DC74-47B9-BE9F-2600D029EAA8}"/>
    <cellStyle name="Normal 11 3 2 4 2 2 2 2 2 3 2" xfId="40299" xr:uid="{EDE9B44F-81C6-4790-8A28-7F004B995A81}"/>
    <cellStyle name="Normal 11 3 2 4 2 2 2 2 2 3 2 2" xfId="40300" xr:uid="{559C9229-B5AD-4D76-A33F-CEFC438A1B03}"/>
    <cellStyle name="Normal 11 3 2 4 2 2 2 2 2 3 3" xfId="40301" xr:uid="{E1191DBD-269D-469D-B4E4-7858B3A391A2}"/>
    <cellStyle name="Normal 11 3 2 4 2 2 2 2 2 4" xfId="40302" xr:uid="{229DD6E3-D8F9-4D7A-919C-605E5161F087}"/>
    <cellStyle name="Normal 11 3 2 4 2 2 2 2 2 4 2" xfId="40303" xr:uid="{76F4598A-FEB4-49EA-8BC8-3F1AD6494C54}"/>
    <cellStyle name="Normal 11 3 2 4 2 2 2 2 2 5" xfId="40304" xr:uid="{744D890A-DEA0-4CD3-93AB-03F367CB0793}"/>
    <cellStyle name="Normal 11 3 2 4 2 2 2 2 3" xfId="40305" xr:uid="{041EFDBA-C895-4859-9996-E044764584D7}"/>
    <cellStyle name="Normal 11 3 2 4 2 2 2 2 3 2" xfId="40306" xr:uid="{4CCB74C1-4031-46A2-B40A-10D1BAD5D7E9}"/>
    <cellStyle name="Normal 11 3 2 4 2 2 2 2 3 2 2" xfId="40307" xr:uid="{895CDF19-D743-44C2-B007-D4870C14C180}"/>
    <cellStyle name="Normal 11 3 2 4 2 2 2 2 3 2 2 2" xfId="40308" xr:uid="{6F686E97-10FA-4ADC-960C-256BF5A44E40}"/>
    <cellStyle name="Normal 11 3 2 4 2 2 2 2 3 2 3" xfId="40309" xr:uid="{1A2B0B0E-3BC4-4D8D-B2BA-827ACA17791F}"/>
    <cellStyle name="Normal 11 3 2 4 2 2 2 2 3 3" xfId="40310" xr:uid="{EA67CB76-A5A2-46DE-8BFD-C4A7A01DA4CB}"/>
    <cellStyle name="Normal 11 3 2 4 2 2 2 2 3 3 2" xfId="40311" xr:uid="{753DB975-64F8-44EA-93C7-C925CD4360E6}"/>
    <cellStyle name="Normal 11 3 2 4 2 2 2 2 3 4" xfId="40312" xr:uid="{3D1116A2-E424-4C13-BE4E-F0FB36BEFE3D}"/>
    <cellStyle name="Normal 11 3 2 4 2 2 2 2 4" xfId="40313" xr:uid="{A34645E1-A34C-472F-A50F-747253163266}"/>
    <cellStyle name="Normal 11 3 2 4 2 2 2 2 4 2" xfId="40314" xr:uid="{EF2268D2-EAC1-46BA-B82D-0377501C8EB2}"/>
    <cellStyle name="Normal 11 3 2 4 2 2 2 2 4 2 2" xfId="40315" xr:uid="{44EF352A-0B7F-4F51-B1AD-73B6F3567F57}"/>
    <cellStyle name="Normal 11 3 2 4 2 2 2 2 4 3" xfId="40316" xr:uid="{45E9B633-FEB4-4C71-A277-FC9033FBBD08}"/>
    <cellStyle name="Normal 11 3 2 4 2 2 2 2 5" xfId="40317" xr:uid="{19E20100-6DC9-4D10-86FB-D59CEBA3EE12}"/>
    <cellStyle name="Normal 11 3 2 4 2 2 2 2 5 2" xfId="40318" xr:uid="{71BF61C8-7A82-4B0C-B4DE-0BC0B71D6CF7}"/>
    <cellStyle name="Normal 11 3 2 4 2 2 2 2 6" xfId="40319" xr:uid="{8E62FC86-4E6D-493D-9E05-269B0B087C83}"/>
    <cellStyle name="Normal 11 3 2 4 2 2 2 3" xfId="40320" xr:uid="{84610EBE-D819-4DF6-8F91-3DF7F9A5E14F}"/>
    <cellStyle name="Normal 11 3 2 4 2 2 2 3 2" xfId="40321" xr:uid="{CED4F963-200E-4AE9-96D6-A60F7EB3687B}"/>
    <cellStyle name="Normal 11 3 2 4 2 2 2 3 2 2" xfId="40322" xr:uid="{1CA94407-5102-4020-97DB-3D38808AFFA5}"/>
    <cellStyle name="Normal 11 3 2 4 2 2 2 3 2 2 2" xfId="40323" xr:uid="{23CF8B16-0C33-47FF-97FD-C3247759B5A0}"/>
    <cellStyle name="Normal 11 3 2 4 2 2 2 3 2 2 2 2" xfId="40324" xr:uid="{1F2602A1-A6B1-4828-A65B-8A4271A618FB}"/>
    <cellStyle name="Normal 11 3 2 4 2 2 2 3 2 2 3" xfId="40325" xr:uid="{144EE710-5F8A-4DFA-85FC-71EE92C021FD}"/>
    <cellStyle name="Normal 11 3 2 4 2 2 2 3 2 3" xfId="40326" xr:uid="{5CD7E546-BBE0-4BB3-9EE8-AA2B23C336B1}"/>
    <cellStyle name="Normal 11 3 2 4 2 2 2 3 2 3 2" xfId="40327" xr:uid="{2D8CD5C2-4A30-4C08-98A4-747C1090DDF2}"/>
    <cellStyle name="Normal 11 3 2 4 2 2 2 3 2 4" xfId="40328" xr:uid="{7D6DBAEB-FC95-4F14-A8BD-82E4C09B9315}"/>
    <cellStyle name="Normal 11 3 2 4 2 2 2 3 3" xfId="40329" xr:uid="{465E5FF6-3BC4-4F41-B6F0-2D4415D61A1D}"/>
    <cellStyle name="Normal 11 3 2 4 2 2 2 3 3 2" xfId="40330" xr:uid="{4DB41BA1-8112-4372-B7F5-12E020605BE4}"/>
    <cellStyle name="Normal 11 3 2 4 2 2 2 3 3 2 2" xfId="40331" xr:uid="{4CAC15F0-110E-4CA8-BFD8-4F7F7F7E0768}"/>
    <cellStyle name="Normal 11 3 2 4 2 2 2 3 3 3" xfId="40332" xr:uid="{F40BD236-80DE-4155-9CFE-76CAD2B9E7A6}"/>
    <cellStyle name="Normal 11 3 2 4 2 2 2 3 4" xfId="40333" xr:uid="{9BB8A785-B723-4481-9E34-999EEFBDDFC3}"/>
    <cellStyle name="Normal 11 3 2 4 2 2 2 3 4 2" xfId="40334" xr:uid="{E97DAE89-F944-4EAE-AEB5-603D21D64E8A}"/>
    <cellStyle name="Normal 11 3 2 4 2 2 2 3 5" xfId="40335" xr:uid="{D13587FD-4D28-4321-9EC3-BE776AE5B476}"/>
    <cellStyle name="Normal 11 3 2 4 2 2 2 4" xfId="40336" xr:uid="{145755CE-CFDA-4160-AC5C-A76DD6ADA221}"/>
    <cellStyle name="Normal 11 3 2 4 2 2 2 4 2" xfId="40337" xr:uid="{B3CB4194-8705-429B-AB95-D5C323260E9D}"/>
    <cellStyle name="Normal 11 3 2 4 2 2 2 4 2 2" xfId="40338" xr:uid="{C88A58AD-1931-482F-96C1-AD4C1AE2CAA1}"/>
    <cellStyle name="Normal 11 3 2 4 2 2 2 4 2 2 2" xfId="40339" xr:uid="{1408787B-11B7-444E-9A56-23662A329D8D}"/>
    <cellStyle name="Normal 11 3 2 4 2 2 2 4 2 3" xfId="40340" xr:uid="{F1AEA342-2726-4BC9-9D9F-DCA948E43EC3}"/>
    <cellStyle name="Normal 11 3 2 4 2 2 2 4 3" xfId="40341" xr:uid="{68CD2A7E-9143-407B-9656-6B44FA9AD3B5}"/>
    <cellStyle name="Normal 11 3 2 4 2 2 2 4 3 2" xfId="40342" xr:uid="{E6083F9A-9E21-4322-A5FD-EF245D6D8AED}"/>
    <cellStyle name="Normal 11 3 2 4 2 2 2 4 4" xfId="40343" xr:uid="{98B13DE7-EBB7-459F-8EBF-5687CB70F452}"/>
    <cellStyle name="Normal 11 3 2 4 2 2 2 5" xfId="40344" xr:uid="{7E2810E6-D662-4A1E-B84F-79E9008BDA88}"/>
    <cellStyle name="Normal 11 3 2 4 2 2 2 5 2" xfId="40345" xr:uid="{31217DA9-B3BA-4445-95C9-5E889AEB71B7}"/>
    <cellStyle name="Normal 11 3 2 4 2 2 2 5 2 2" xfId="40346" xr:uid="{12BE05B5-A171-43D1-BB0C-C6B8C0C1E377}"/>
    <cellStyle name="Normal 11 3 2 4 2 2 2 5 3" xfId="40347" xr:uid="{B7E35C7D-80A3-4BFF-8B2C-A5000969B602}"/>
    <cellStyle name="Normal 11 3 2 4 2 2 2 6" xfId="40348" xr:uid="{0BAC91D1-4A94-4AE4-B6C2-751F109F3192}"/>
    <cellStyle name="Normal 11 3 2 4 2 2 2 6 2" xfId="40349" xr:uid="{20A93FF1-2218-45DC-9999-70CEF07F926E}"/>
    <cellStyle name="Normal 11 3 2 4 2 2 2 7" xfId="40350" xr:uid="{96917A40-BC4E-4A06-963C-EA884EC9A1BC}"/>
    <cellStyle name="Normal 11 3 2 4 2 2 3" xfId="40351" xr:uid="{89327091-A140-496A-A8BD-7EEAD2BB699F}"/>
    <cellStyle name="Normal 11 3 2 4 2 2 3 2" xfId="40352" xr:uid="{0F22DB70-DC4D-4E14-BBC5-BABBFBF60DFB}"/>
    <cellStyle name="Normal 11 3 2 4 2 2 3 2 2" xfId="40353" xr:uid="{443FA15F-77DF-4576-8AB1-CC6536B0F076}"/>
    <cellStyle name="Normal 11 3 2 4 2 2 3 2 2 2" xfId="40354" xr:uid="{4FF452B3-BE02-43CA-AFD7-4B6E53AADF3B}"/>
    <cellStyle name="Normal 11 3 2 4 2 2 3 2 2 2 2" xfId="40355" xr:uid="{74FF0F43-1AF8-4EEC-A1F0-A31B8F920D97}"/>
    <cellStyle name="Normal 11 3 2 4 2 2 3 2 2 2 2 2" xfId="40356" xr:uid="{704F1033-E92B-4D4C-B54A-669239AD9C41}"/>
    <cellStyle name="Normal 11 3 2 4 2 2 3 2 2 2 3" xfId="40357" xr:uid="{2B3EC5A3-DA45-4273-8C41-F8CCE06DC0D7}"/>
    <cellStyle name="Normal 11 3 2 4 2 2 3 2 2 3" xfId="40358" xr:uid="{1FF73CC6-9C85-423C-9757-B33EDDD8141E}"/>
    <cellStyle name="Normal 11 3 2 4 2 2 3 2 2 3 2" xfId="40359" xr:uid="{A006D1A1-9E05-44D6-833A-5E90155E06E9}"/>
    <cellStyle name="Normal 11 3 2 4 2 2 3 2 2 4" xfId="40360" xr:uid="{F810141B-1516-4E03-8709-303D3CDB817E}"/>
    <cellStyle name="Normal 11 3 2 4 2 2 3 2 3" xfId="40361" xr:uid="{98805937-5484-46C2-BBFB-590AC09AD4AC}"/>
    <cellStyle name="Normal 11 3 2 4 2 2 3 2 3 2" xfId="40362" xr:uid="{D3C97416-1E75-4D80-8AA5-264CFDF30702}"/>
    <cellStyle name="Normal 11 3 2 4 2 2 3 2 3 2 2" xfId="40363" xr:uid="{8E703D85-1056-4AD7-B22E-05FA8AB94766}"/>
    <cellStyle name="Normal 11 3 2 4 2 2 3 2 3 3" xfId="40364" xr:uid="{10987995-F8C3-4F73-A211-4B56A409E036}"/>
    <cellStyle name="Normal 11 3 2 4 2 2 3 2 4" xfId="40365" xr:uid="{08757142-360A-4137-BBE3-A3D74592DA98}"/>
    <cellStyle name="Normal 11 3 2 4 2 2 3 2 4 2" xfId="40366" xr:uid="{FD06C351-DD92-4137-AFEC-B7D468E88C6A}"/>
    <cellStyle name="Normal 11 3 2 4 2 2 3 2 5" xfId="40367" xr:uid="{5EA838E6-9A95-4E93-A97D-9FA3EF308C88}"/>
    <cellStyle name="Normal 11 3 2 4 2 2 3 3" xfId="40368" xr:uid="{9EEA216E-F9F4-4CD6-8B2B-75F31E0583C5}"/>
    <cellStyle name="Normal 11 3 2 4 2 2 3 3 2" xfId="40369" xr:uid="{30ABF95A-2CF4-47D5-8E9B-B246486B5D7D}"/>
    <cellStyle name="Normal 11 3 2 4 2 2 3 3 2 2" xfId="40370" xr:uid="{BBC00903-CFFA-4BAE-A358-335FA32E0D50}"/>
    <cellStyle name="Normal 11 3 2 4 2 2 3 3 2 2 2" xfId="40371" xr:uid="{237B00FD-AA8D-4CD7-9B5D-C63D944D615E}"/>
    <cellStyle name="Normal 11 3 2 4 2 2 3 3 2 3" xfId="40372" xr:uid="{440C7151-E17E-40B4-A10A-F2C33DC8EFE0}"/>
    <cellStyle name="Normal 11 3 2 4 2 2 3 3 3" xfId="40373" xr:uid="{4C646128-F36C-475F-8535-925DAB9FB931}"/>
    <cellStyle name="Normal 11 3 2 4 2 2 3 3 3 2" xfId="40374" xr:uid="{9797F0AF-85F4-4140-8E40-7983E3023700}"/>
    <cellStyle name="Normal 11 3 2 4 2 2 3 3 4" xfId="40375" xr:uid="{AB97B35A-8415-450D-AEA2-FB1259BE18C2}"/>
    <cellStyle name="Normal 11 3 2 4 2 2 3 4" xfId="40376" xr:uid="{A6B0D19C-1073-41D0-8CA9-912ABB5E96EA}"/>
    <cellStyle name="Normal 11 3 2 4 2 2 3 4 2" xfId="40377" xr:uid="{24635ED6-EA01-449E-884C-6EA00BBB8CBC}"/>
    <cellStyle name="Normal 11 3 2 4 2 2 3 4 2 2" xfId="40378" xr:uid="{DF396D32-2C3D-49D4-9A5A-3CE9978F3F59}"/>
    <cellStyle name="Normal 11 3 2 4 2 2 3 4 3" xfId="40379" xr:uid="{640A2C50-50E9-4ABB-8581-7950547C6624}"/>
    <cellStyle name="Normal 11 3 2 4 2 2 3 5" xfId="40380" xr:uid="{BFE9A95C-4104-4423-BEF6-9D643A53D9EA}"/>
    <cellStyle name="Normal 11 3 2 4 2 2 3 5 2" xfId="40381" xr:uid="{3E85857E-671D-4EF1-9E8D-B6996FAE352A}"/>
    <cellStyle name="Normal 11 3 2 4 2 2 3 6" xfId="40382" xr:uid="{31357D8A-7B48-4D0B-832D-B89B2BF009A9}"/>
    <cellStyle name="Normal 11 3 2 4 2 2 4" xfId="40383" xr:uid="{C09FA215-D100-40FD-85BB-3677C90F84A7}"/>
    <cellStyle name="Normal 11 3 2 4 2 2 4 2" xfId="40384" xr:uid="{74D7DCE3-21E8-4A39-9636-B98D71C382CC}"/>
    <cellStyle name="Normal 11 3 2 4 2 2 4 2 2" xfId="40385" xr:uid="{C218FB86-8983-452A-B6FA-885EFD9DE813}"/>
    <cellStyle name="Normal 11 3 2 4 2 2 4 2 2 2" xfId="40386" xr:uid="{39B94F42-E7A6-483E-B2BD-61C4FF9C06DB}"/>
    <cellStyle name="Normal 11 3 2 4 2 2 4 2 2 2 2" xfId="40387" xr:uid="{E8278E67-1971-4596-A6C7-74C2C3D3E8BF}"/>
    <cellStyle name="Normal 11 3 2 4 2 2 4 2 2 3" xfId="40388" xr:uid="{DEA5FC08-9D6F-41DD-A01D-245041CFDE99}"/>
    <cellStyle name="Normal 11 3 2 4 2 2 4 2 3" xfId="40389" xr:uid="{2381A6DD-251F-4139-9E9B-11B0EC8D762E}"/>
    <cellStyle name="Normal 11 3 2 4 2 2 4 2 3 2" xfId="40390" xr:uid="{AF174C9D-CD60-4F99-A1D7-74FDAACFFF7F}"/>
    <cellStyle name="Normal 11 3 2 4 2 2 4 2 4" xfId="40391" xr:uid="{0DC115C9-C970-4AFB-8AF6-9FC3250E6A1F}"/>
    <cellStyle name="Normal 11 3 2 4 2 2 4 3" xfId="40392" xr:uid="{2FDC45AD-57AF-40F6-9616-2D614197D590}"/>
    <cellStyle name="Normal 11 3 2 4 2 2 4 3 2" xfId="40393" xr:uid="{3ABC78D3-DA6A-4DB8-8C69-811CE24535E9}"/>
    <cellStyle name="Normal 11 3 2 4 2 2 4 3 2 2" xfId="40394" xr:uid="{2B449D93-214B-4974-908B-0796D93C79FF}"/>
    <cellStyle name="Normal 11 3 2 4 2 2 4 3 3" xfId="40395" xr:uid="{2DC86FB0-5049-46ED-A5DE-85AAD44C2E98}"/>
    <cellStyle name="Normal 11 3 2 4 2 2 4 4" xfId="40396" xr:uid="{61D83DD1-300E-41C6-8E14-AD58AFDBF934}"/>
    <cellStyle name="Normal 11 3 2 4 2 2 4 4 2" xfId="40397" xr:uid="{F3E2704E-B00D-4128-A64D-428A5B7CA432}"/>
    <cellStyle name="Normal 11 3 2 4 2 2 4 5" xfId="40398" xr:uid="{8B94F7D7-8D9A-4197-9839-B8E40F14C612}"/>
    <cellStyle name="Normal 11 3 2 4 2 2 5" xfId="40399" xr:uid="{3C69E2B8-E03E-4264-ADF7-BF8E761374E9}"/>
    <cellStyle name="Normal 11 3 2 4 2 2 5 2" xfId="40400" xr:uid="{E3C79381-0C90-485B-850F-C5CB55B7DEE8}"/>
    <cellStyle name="Normal 11 3 2 4 2 2 5 2 2" xfId="40401" xr:uid="{5CCCC136-C2C9-471C-87BA-165CFAE49A3F}"/>
    <cellStyle name="Normal 11 3 2 4 2 2 5 2 2 2" xfId="40402" xr:uid="{B5C26CAE-8A00-4F6C-AAE5-794DFA15EEB2}"/>
    <cellStyle name="Normal 11 3 2 4 2 2 5 2 3" xfId="40403" xr:uid="{5F66BF45-085D-46FC-99E1-7541992135CB}"/>
    <cellStyle name="Normal 11 3 2 4 2 2 5 3" xfId="40404" xr:uid="{41882F9E-17FE-4C80-91C5-F25187CC8FE0}"/>
    <cellStyle name="Normal 11 3 2 4 2 2 5 3 2" xfId="40405" xr:uid="{7E96B21E-5B70-4F8E-8034-CAC5E32C0D91}"/>
    <cellStyle name="Normal 11 3 2 4 2 2 5 4" xfId="40406" xr:uid="{2DA5CBD7-EBC8-4C19-94B5-4F55D676085F}"/>
    <cellStyle name="Normal 11 3 2 4 2 2 6" xfId="40407" xr:uid="{E994B3A4-C8FD-4F99-A596-A49386CA367E}"/>
    <cellStyle name="Normal 11 3 2 4 2 2 6 2" xfId="40408" xr:uid="{F042E6DF-A6C4-4A56-BDC8-657E2E0852DC}"/>
    <cellStyle name="Normal 11 3 2 4 2 2 6 2 2" xfId="40409" xr:uid="{07E73A71-ECBE-4551-BC80-91DC232211F7}"/>
    <cellStyle name="Normal 11 3 2 4 2 2 6 3" xfId="40410" xr:uid="{90B1D88E-4CE3-41D8-80F9-1D6DE529D7FF}"/>
    <cellStyle name="Normal 11 3 2 4 2 2 7" xfId="40411" xr:uid="{3EAFA7F5-68FD-42BF-B2ED-6FA0E86FB418}"/>
    <cellStyle name="Normal 11 3 2 4 2 2 7 2" xfId="40412" xr:uid="{4B7D766E-4217-4982-9496-CA7A4B043827}"/>
    <cellStyle name="Normal 11 3 2 4 2 2 8" xfId="40413" xr:uid="{59E9FE3B-FF45-495E-A18B-46438F312E34}"/>
    <cellStyle name="Normal 11 3 2 4 2 3" xfId="40414" xr:uid="{E0CB67B6-8B00-4273-8712-860BB14A94EA}"/>
    <cellStyle name="Normal 11 3 2 4 2 3 2" xfId="40415" xr:uid="{2BD5A748-DD7D-4B9D-BC98-DD59636CB7D3}"/>
    <cellStyle name="Normal 11 3 2 4 2 3 2 2" xfId="40416" xr:uid="{3A28E599-7F5C-47B0-8CFA-3BBB6B55053B}"/>
    <cellStyle name="Normal 11 3 2 4 2 3 2 2 2" xfId="40417" xr:uid="{DAE69CFC-22FA-4EB3-AB0E-9F9902464555}"/>
    <cellStyle name="Normal 11 3 2 4 2 3 2 2 2 2" xfId="40418" xr:uid="{4EE88B2D-16AF-4CDE-86DF-0E7A3D775BF2}"/>
    <cellStyle name="Normal 11 3 2 4 2 3 2 2 2 2 2" xfId="40419" xr:uid="{E57D7FE2-DE75-4E34-B121-833697CA4898}"/>
    <cellStyle name="Normal 11 3 2 4 2 3 2 2 2 2 2 2" xfId="40420" xr:uid="{070787D7-E721-45C3-B3B2-318D67F33860}"/>
    <cellStyle name="Normal 11 3 2 4 2 3 2 2 2 2 3" xfId="40421" xr:uid="{CB9C29A6-284C-4220-BCB8-825776C423B0}"/>
    <cellStyle name="Normal 11 3 2 4 2 3 2 2 2 3" xfId="40422" xr:uid="{5827D8E8-F565-4A64-A28C-B91A727582A1}"/>
    <cellStyle name="Normal 11 3 2 4 2 3 2 2 2 3 2" xfId="40423" xr:uid="{A1D75F5F-71AB-4B55-941C-C8588ED3B139}"/>
    <cellStyle name="Normal 11 3 2 4 2 3 2 2 2 4" xfId="40424" xr:uid="{1848757C-27DF-4E61-8F65-099848894228}"/>
    <cellStyle name="Normal 11 3 2 4 2 3 2 2 3" xfId="40425" xr:uid="{C8F3E0D2-6C69-4F7F-9B0F-97F41DB50B32}"/>
    <cellStyle name="Normal 11 3 2 4 2 3 2 2 3 2" xfId="40426" xr:uid="{C37D52D0-A10B-4510-901C-4769ADEEC43E}"/>
    <cellStyle name="Normal 11 3 2 4 2 3 2 2 3 2 2" xfId="40427" xr:uid="{FC5BC28C-273E-4BAF-B09B-6F0A05C6859C}"/>
    <cellStyle name="Normal 11 3 2 4 2 3 2 2 3 3" xfId="40428" xr:uid="{5A28E57E-1212-42FE-9055-00ECBEB2005D}"/>
    <cellStyle name="Normal 11 3 2 4 2 3 2 2 4" xfId="40429" xr:uid="{D7297F7E-22AC-4D89-B1E0-BC30A4605EF9}"/>
    <cellStyle name="Normal 11 3 2 4 2 3 2 2 4 2" xfId="40430" xr:uid="{27D2B9AD-9639-4A35-AF5F-DD23E5F9DB22}"/>
    <cellStyle name="Normal 11 3 2 4 2 3 2 2 5" xfId="40431" xr:uid="{EAEDE4F5-1CDF-41F3-B287-0CB1DCF4D984}"/>
    <cellStyle name="Normal 11 3 2 4 2 3 2 3" xfId="40432" xr:uid="{E9A91DC7-D299-4686-A48B-1C592D773E48}"/>
    <cellStyle name="Normal 11 3 2 4 2 3 2 3 2" xfId="40433" xr:uid="{1123A3E6-219F-4FED-8C1B-B95EFED08487}"/>
    <cellStyle name="Normal 11 3 2 4 2 3 2 3 2 2" xfId="40434" xr:uid="{24A1EA4E-E110-4138-BFD3-8F9ADCBEFFB3}"/>
    <cellStyle name="Normal 11 3 2 4 2 3 2 3 2 2 2" xfId="40435" xr:uid="{26CB0C1C-95CC-4148-8078-1D31EEB93D25}"/>
    <cellStyle name="Normal 11 3 2 4 2 3 2 3 2 3" xfId="40436" xr:uid="{0FA25EA2-C8E5-4F90-B3EC-7552BA76A1E8}"/>
    <cellStyle name="Normal 11 3 2 4 2 3 2 3 3" xfId="40437" xr:uid="{49DD35A3-A59B-4CA9-AF75-681947E7122F}"/>
    <cellStyle name="Normal 11 3 2 4 2 3 2 3 3 2" xfId="40438" xr:uid="{52BE9D49-F041-42B2-8FEC-FDDD9C9B3A27}"/>
    <cellStyle name="Normal 11 3 2 4 2 3 2 3 4" xfId="40439" xr:uid="{BF9BC771-C147-4F94-9689-7427E005C261}"/>
    <cellStyle name="Normal 11 3 2 4 2 3 2 4" xfId="40440" xr:uid="{39E2C17A-0412-4D9A-A833-DC7041DFC76A}"/>
    <cellStyle name="Normal 11 3 2 4 2 3 2 4 2" xfId="40441" xr:uid="{77558E9E-EEA4-49F0-91B9-06FC21978053}"/>
    <cellStyle name="Normal 11 3 2 4 2 3 2 4 2 2" xfId="40442" xr:uid="{EC0A7DFC-53DD-4152-ADEA-F8634E4B18CB}"/>
    <cellStyle name="Normal 11 3 2 4 2 3 2 4 3" xfId="40443" xr:uid="{79AB83EC-E15E-4513-8574-951240308122}"/>
    <cellStyle name="Normal 11 3 2 4 2 3 2 5" xfId="40444" xr:uid="{C8677CE1-9C20-4C20-BCDD-9A97A80DA4D1}"/>
    <cellStyle name="Normal 11 3 2 4 2 3 2 5 2" xfId="40445" xr:uid="{D7622EEA-628B-471C-BCB3-A904A2751F72}"/>
    <cellStyle name="Normal 11 3 2 4 2 3 2 6" xfId="40446" xr:uid="{20B30C9B-8D61-4CC1-828C-7EA4260A750B}"/>
    <cellStyle name="Normal 11 3 2 4 2 3 3" xfId="40447" xr:uid="{02B4DC3C-C471-49AD-9CFF-E7CCD69C0FE8}"/>
    <cellStyle name="Normal 11 3 2 4 2 3 3 2" xfId="40448" xr:uid="{CD6C09D6-F9AA-4358-A831-A0BC0B9FFADD}"/>
    <cellStyle name="Normal 11 3 2 4 2 3 3 2 2" xfId="40449" xr:uid="{FC6F0F17-D312-4719-85BC-C518DEAFF881}"/>
    <cellStyle name="Normal 11 3 2 4 2 3 3 2 2 2" xfId="40450" xr:uid="{A0C64BF9-18A6-4EE7-8B4D-8DE49D9488F3}"/>
    <cellStyle name="Normal 11 3 2 4 2 3 3 2 2 2 2" xfId="40451" xr:uid="{C2CF91DA-2781-48F9-89AB-C7B72CE847F3}"/>
    <cellStyle name="Normal 11 3 2 4 2 3 3 2 2 3" xfId="40452" xr:uid="{9AA2BD42-FEDC-42F7-91FB-5DBEFDBE234D}"/>
    <cellStyle name="Normal 11 3 2 4 2 3 3 2 3" xfId="40453" xr:uid="{4F0FD0EE-0047-45A8-A4B5-E414169B26E2}"/>
    <cellStyle name="Normal 11 3 2 4 2 3 3 2 3 2" xfId="40454" xr:uid="{EA752043-6EA6-45F6-97E9-2870AD4B3ECB}"/>
    <cellStyle name="Normal 11 3 2 4 2 3 3 2 4" xfId="40455" xr:uid="{C2BACAF4-9505-4B7B-9924-D31DA8B87981}"/>
    <cellStyle name="Normal 11 3 2 4 2 3 3 3" xfId="40456" xr:uid="{9706B50F-B216-49E5-9ACE-EEE210A88BE2}"/>
    <cellStyle name="Normal 11 3 2 4 2 3 3 3 2" xfId="40457" xr:uid="{AFF09BDC-9A8B-4BBB-9727-0BFB2677B555}"/>
    <cellStyle name="Normal 11 3 2 4 2 3 3 3 2 2" xfId="40458" xr:uid="{4829EBCB-5387-4B5A-91E6-33D904C29080}"/>
    <cellStyle name="Normal 11 3 2 4 2 3 3 3 3" xfId="40459" xr:uid="{48AEEECC-D39E-4311-9266-BB4DEC535F4A}"/>
    <cellStyle name="Normal 11 3 2 4 2 3 3 4" xfId="40460" xr:uid="{A0CD485F-89DC-4B28-983C-E94A131DF202}"/>
    <cellStyle name="Normal 11 3 2 4 2 3 3 4 2" xfId="40461" xr:uid="{ACEF99AD-66FB-4063-B246-1748CD808C95}"/>
    <cellStyle name="Normal 11 3 2 4 2 3 3 5" xfId="40462" xr:uid="{8C81399F-DE59-4935-8A48-CA60527F5507}"/>
    <cellStyle name="Normal 11 3 2 4 2 3 4" xfId="40463" xr:uid="{9F32E87E-2632-4E88-B8D0-9444D94F3060}"/>
    <cellStyle name="Normal 11 3 2 4 2 3 4 2" xfId="40464" xr:uid="{BD12AFAA-06F5-4FF5-9279-AA37C9804BCD}"/>
    <cellStyle name="Normal 11 3 2 4 2 3 4 2 2" xfId="40465" xr:uid="{D7D7A7FA-0D75-49FC-ACD3-11274FD51178}"/>
    <cellStyle name="Normal 11 3 2 4 2 3 4 2 2 2" xfId="40466" xr:uid="{C08BEBF6-DE35-4D46-B3AC-45901717C17E}"/>
    <cellStyle name="Normal 11 3 2 4 2 3 4 2 3" xfId="40467" xr:uid="{B80A58EB-F641-4F03-9D34-11F68E15FE8D}"/>
    <cellStyle name="Normal 11 3 2 4 2 3 4 3" xfId="40468" xr:uid="{6634A4C6-0233-4849-B376-FD59541841DD}"/>
    <cellStyle name="Normal 11 3 2 4 2 3 4 3 2" xfId="40469" xr:uid="{6D7B5892-B605-4181-8973-5EF1835343FB}"/>
    <cellStyle name="Normal 11 3 2 4 2 3 4 4" xfId="40470" xr:uid="{D02A58D3-35B8-40DA-AC43-14A3CAB90B5C}"/>
    <cellStyle name="Normal 11 3 2 4 2 3 5" xfId="40471" xr:uid="{A12E9018-4FF2-41E4-B8FA-F7BA42F01E8C}"/>
    <cellStyle name="Normal 11 3 2 4 2 3 5 2" xfId="40472" xr:uid="{380747E1-5DE3-421F-8D1D-DA54C07383CF}"/>
    <cellStyle name="Normal 11 3 2 4 2 3 5 2 2" xfId="40473" xr:uid="{F9888099-7652-41D1-B877-5BD153E06154}"/>
    <cellStyle name="Normal 11 3 2 4 2 3 5 3" xfId="40474" xr:uid="{8E3C58EC-9A02-4E17-A54A-AE3FFF62E16F}"/>
    <cellStyle name="Normal 11 3 2 4 2 3 6" xfId="40475" xr:uid="{5BC5D0C6-A825-4FBD-889A-436F6B722DAD}"/>
    <cellStyle name="Normal 11 3 2 4 2 3 6 2" xfId="40476" xr:uid="{9DA921C5-2391-46E0-8404-E8736C80B9BD}"/>
    <cellStyle name="Normal 11 3 2 4 2 3 7" xfId="40477" xr:uid="{543C6242-6498-4A1B-A1BC-A6B7710E57D0}"/>
    <cellStyle name="Normal 11 3 2 4 2 4" xfId="40478" xr:uid="{822A4913-B288-49D9-84A5-5CCEA5A86784}"/>
    <cellStyle name="Normal 11 3 2 4 2 4 2" xfId="40479" xr:uid="{8776F6FE-2B7E-4BB8-A791-6646ED09ACE6}"/>
    <cellStyle name="Normal 11 3 2 4 2 4 2 2" xfId="40480" xr:uid="{1C4B8D21-418F-4DC3-B50D-F7BF0C4C33DD}"/>
    <cellStyle name="Normal 11 3 2 4 2 4 2 2 2" xfId="40481" xr:uid="{E7484CA6-9460-435A-B9A3-B59EB0FDCAC7}"/>
    <cellStyle name="Normal 11 3 2 4 2 4 2 2 2 2" xfId="40482" xr:uid="{655D8CD6-C938-4B43-BA54-2BC23F9B5D35}"/>
    <cellStyle name="Normal 11 3 2 4 2 4 2 2 2 2 2" xfId="40483" xr:uid="{29E74835-6E14-431F-BE58-9050752BE504}"/>
    <cellStyle name="Normal 11 3 2 4 2 4 2 2 2 3" xfId="40484" xr:uid="{BF357968-3AF4-4F2F-A278-CE725C0B1BBC}"/>
    <cellStyle name="Normal 11 3 2 4 2 4 2 2 3" xfId="40485" xr:uid="{8E764FF7-C12D-4A7B-8F0C-BABC88EAD9F5}"/>
    <cellStyle name="Normal 11 3 2 4 2 4 2 2 3 2" xfId="40486" xr:uid="{4165FD7D-B50C-4B33-AB29-703AA922F4AD}"/>
    <cellStyle name="Normal 11 3 2 4 2 4 2 2 4" xfId="40487" xr:uid="{92C1E4F7-452B-42DD-AA48-C1C54EF8A07B}"/>
    <cellStyle name="Normal 11 3 2 4 2 4 2 3" xfId="40488" xr:uid="{4FCE096D-1315-4588-89C8-7284618D5824}"/>
    <cellStyle name="Normal 11 3 2 4 2 4 2 3 2" xfId="40489" xr:uid="{674D837E-EAC9-4997-9CDE-A87D19237879}"/>
    <cellStyle name="Normal 11 3 2 4 2 4 2 3 2 2" xfId="40490" xr:uid="{F5DB02B7-11E1-4101-82E2-36D172BCC756}"/>
    <cellStyle name="Normal 11 3 2 4 2 4 2 3 3" xfId="40491" xr:uid="{6A0A2F22-E830-49D9-A530-299996996F54}"/>
    <cellStyle name="Normal 11 3 2 4 2 4 2 4" xfId="40492" xr:uid="{64D442C7-3DD1-45B8-AC38-1CFF5D2DDC01}"/>
    <cellStyle name="Normal 11 3 2 4 2 4 2 4 2" xfId="40493" xr:uid="{4944F343-67F5-4CB9-9071-56E5F7278D5D}"/>
    <cellStyle name="Normal 11 3 2 4 2 4 2 5" xfId="40494" xr:uid="{78109CAD-9FB8-49A0-819B-F29ABFCF2495}"/>
    <cellStyle name="Normal 11 3 2 4 2 4 3" xfId="40495" xr:uid="{20D1722D-AF61-4F0C-AD81-78C84208A459}"/>
    <cellStyle name="Normal 11 3 2 4 2 4 3 2" xfId="40496" xr:uid="{73F58299-5408-4EF3-8FB9-FBA7FE976D22}"/>
    <cellStyle name="Normal 11 3 2 4 2 4 3 2 2" xfId="40497" xr:uid="{BE992A39-02F1-4883-B6B4-30A2671BD8F2}"/>
    <cellStyle name="Normal 11 3 2 4 2 4 3 2 2 2" xfId="40498" xr:uid="{8D02438C-576F-4DEB-A6B2-D81D7C55F431}"/>
    <cellStyle name="Normal 11 3 2 4 2 4 3 2 3" xfId="40499" xr:uid="{2933F531-F06B-4ECC-9AD7-ABB0E78B8708}"/>
    <cellStyle name="Normal 11 3 2 4 2 4 3 3" xfId="40500" xr:uid="{92ECC363-6E11-4006-8349-7E26441F07AC}"/>
    <cellStyle name="Normal 11 3 2 4 2 4 3 3 2" xfId="40501" xr:uid="{C88E02EA-8129-41F4-9342-E4855488F522}"/>
    <cellStyle name="Normal 11 3 2 4 2 4 3 4" xfId="40502" xr:uid="{84C05BF2-DCC4-4DAD-8FD1-DFF505BDA59A}"/>
    <cellStyle name="Normal 11 3 2 4 2 4 4" xfId="40503" xr:uid="{6A784123-0217-4E18-BABA-FE472646AE15}"/>
    <cellStyle name="Normal 11 3 2 4 2 4 4 2" xfId="40504" xr:uid="{EA6657CF-227B-4DBC-9346-0F276702FB61}"/>
    <cellStyle name="Normal 11 3 2 4 2 4 4 2 2" xfId="40505" xr:uid="{32783DD1-25B6-491B-898F-35109E64416E}"/>
    <cellStyle name="Normal 11 3 2 4 2 4 4 3" xfId="40506" xr:uid="{6B7BC60B-CB77-4298-A6E6-F4F81439E0DF}"/>
    <cellStyle name="Normal 11 3 2 4 2 4 5" xfId="40507" xr:uid="{939B963C-8A62-4520-9A4D-3A7DAAF446C8}"/>
    <cellStyle name="Normal 11 3 2 4 2 4 5 2" xfId="40508" xr:uid="{B2A9A868-4997-4587-93B5-3E9881AEC0FC}"/>
    <cellStyle name="Normal 11 3 2 4 2 4 6" xfId="40509" xr:uid="{A891DF54-C929-4579-A3D8-35186AE69B69}"/>
    <cellStyle name="Normal 11 3 2 4 2 5" xfId="40510" xr:uid="{35C48FCD-F13D-4421-B52D-1A87A27D6955}"/>
    <cellStyle name="Normal 11 3 2 4 2 5 2" xfId="40511" xr:uid="{23779992-CC89-43E3-963B-DE0ABABB9428}"/>
    <cellStyle name="Normal 11 3 2 4 2 5 2 2" xfId="40512" xr:uid="{A5CD6D7B-1745-4945-8B41-7CC7ACBD2588}"/>
    <cellStyle name="Normal 11 3 2 4 2 5 2 2 2" xfId="40513" xr:uid="{108BCB16-7CA0-4C99-842D-D19ED6EF01D7}"/>
    <cellStyle name="Normal 11 3 2 4 2 5 2 2 2 2" xfId="40514" xr:uid="{582E9CDD-46CB-4902-8CC2-E6017FBBDCFD}"/>
    <cellStyle name="Normal 11 3 2 4 2 5 2 2 3" xfId="40515" xr:uid="{36EACEE6-842B-4049-9EF3-27B930800E22}"/>
    <cellStyle name="Normal 11 3 2 4 2 5 2 3" xfId="40516" xr:uid="{65D40D03-592B-4314-A716-44C78E3D374B}"/>
    <cellStyle name="Normal 11 3 2 4 2 5 2 3 2" xfId="40517" xr:uid="{D028C77C-B896-4C58-9E6A-B921F0EE8DA0}"/>
    <cellStyle name="Normal 11 3 2 4 2 5 2 4" xfId="40518" xr:uid="{35890129-FF0E-40AA-B0C4-365D8F7B3AAD}"/>
    <cellStyle name="Normal 11 3 2 4 2 5 3" xfId="40519" xr:uid="{FE9BF82E-FCD0-441E-8B45-056D74ED8E39}"/>
    <cellStyle name="Normal 11 3 2 4 2 5 3 2" xfId="40520" xr:uid="{D32466CE-7423-40E2-9648-7B28A950708B}"/>
    <cellStyle name="Normal 11 3 2 4 2 5 3 2 2" xfId="40521" xr:uid="{790A89B2-F0E7-47E0-A4CE-8EA6A2DF41FA}"/>
    <cellStyle name="Normal 11 3 2 4 2 5 3 3" xfId="40522" xr:uid="{84EC0962-064D-42BA-8E96-6D34A45BF817}"/>
    <cellStyle name="Normal 11 3 2 4 2 5 4" xfId="40523" xr:uid="{29CC38AA-2BF0-42D3-95AD-CEB8702D65E6}"/>
    <cellStyle name="Normal 11 3 2 4 2 5 4 2" xfId="40524" xr:uid="{9194A253-607E-47F8-9BA5-8B70A7C01D97}"/>
    <cellStyle name="Normal 11 3 2 4 2 5 5" xfId="40525" xr:uid="{70CA10EC-6D39-47F9-8164-A0E6C8D914D6}"/>
    <cellStyle name="Normal 11 3 2 4 2 6" xfId="40526" xr:uid="{7B783414-FA51-422F-8BC1-92A6A5A912B6}"/>
    <cellStyle name="Normal 11 3 2 4 2 6 2" xfId="40527" xr:uid="{F73C054A-36F6-476B-8865-3B70CE6392D4}"/>
    <cellStyle name="Normal 11 3 2 4 2 6 2 2" xfId="40528" xr:uid="{4C3CF9CB-97A4-403E-900C-08C77E9723C5}"/>
    <cellStyle name="Normal 11 3 2 4 2 6 2 2 2" xfId="40529" xr:uid="{9321A55E-1946-4099-B7CB-8437080A1A30}"/>
    <cellStyle name="Normal 11 3 2 4 2 6 2 3" xfId="40530" xr:uid="{7DAA381F-4C4E-44E1-ACFE-ED8CDCFD92EF}"/>
    <cellStyle name="Normal 11 3 2 4 2 6 3" xfId="40531" xr:uid="{E923F943-CF63-4E95-BF25-04A6D090578F}"/>
    <cellStyle name="Normal 11 3 2 4 2 6 3 2" xfId="40532" xr:uid="{13D93FC0-61F1-409A-9801-ADFB151AFC5C}"/>
    <cellStyle name="Normal 11 3 2 4 2 6 4" xfId="40533" xr:uid="{D6596FF7-FE1C-4821-BB46-E28EB039BF5E}"/>
    <cellStyle name="Normal 11 3 2 4 2 7" xfId="40534" xr:uid="{550D134F-9884-4AE6-AE4B-CCDDFD13AF87}"/>
    <cellStyle name="Normal 11 3 2 4 2 7 2" xfId="40535" xr:uid="{D3980AC0-C3A2-4BCE-B795-D7A02AD81740}"/>
    <cellStyle name="Normal 11 3 2 4 2 7 2 2" xfId="40536" xr:uid="{EE6ADD12-0D91-4E7C-B58F-5E2DC4FC38BC}"/>
    <cellStyle name="Normal 11 3 2 4 2 7 3" xfId="40537" xr:uid="{045CABE5-C4B5-48E5-A5D6-BD4673BC6B4C}"/>
    <cellStyle name="Normal 11 3 2 4 2 8" xfId="40538" xr:uid="{0980D70A-B57A-4FE5-82FE-A5467BFFDE0B}"/>
    <cellStyle name="Normal 11 3 2 4 2 8 2" xfId="40539" xr:uid="{EB8846D6-EB9D-43C4-B51D-4C179C6655AF}"/>
    <cellStyle name="Normal 11 3 2 4 2 9" xfId="40540" xr:uid="{C753F120-4642-4A3F-ADD7-57F7E03B4A95}"/>
    <cellStyle name="Normal 11 3 2 4 3" xfId="476" xr:uid="{84AD7630-F963-4FCF-AA2B-D788D8D33A78}"/>
    <cellStyle name="Normal 11 3 2 4 3 2" xfId="40542" xr:uid="{4126F800-EE5D-4F83-AB51-CC74818F57C2}"/>
    <cellStyle name="Normal 11 3 2 4 3 2 2" xfId="40543" xr:uid="{4FC1035D-EF88-467B-AA93-BFA445E7183B}"/>
    <cellStyle name="Normal 11 3 2 4 3 2 2 2" xfId="40544" xr:uid="{492C3126-B000-437E-842A-ADB36B06AB0D}"/>
    <cellStyle name="Normal 11 3 2 4 3 2 2 2 2" xfId="40545" xr:uid="{2ED58A07-F15C-4937-AFC9-6FDAC23B746E}"/>
    <cellStyle name="Normal 11 3 2 4 3 2 2 2 2 2" xfId="40546" xr:uid="{BAB8705C-C27B-4D8B-8470-C40BD3E0AA44}"/>
    <cellStyle name="Normal 11 3 2 4 3 2 2 2 2 2 2" xfId="40547" xr:uid="{AEA47CDB-A639-4FB1-BF60-D8E7889891DF}"/>
    <cellStyle name="Normal 11 3 2 4 3 2 2 2 2 2 2 2" xfId="40548" xr:uid="{461367A5-7C5B-40E7-B889-F2FB4041FB6F}"/>
    <cellStyle name="Normal 11 3 2 4 3 2 2 2 2 2 3" xfId="40549" xr:uid="{9B380AFC-3A58-45F7-AFE2-B93EF18E0A91}"/>
    <cellStyle name="Normal 11 3 2 4 3 2 2 2 2 3" xfId="40550" xr:uid="{7922ACF4-E20F-4CAC-9745-3B28032CC153}"/>
    <cellStyle name="Normal 11 3 2 4 3 2 2 2 2 3 2" xfId="40551" xr:uid="{CAB93B8D-0668-4C9E-9D75-E1CAD67CFBAC}"/>
    <cellStyle name="Normal 11 3 2 4 3 2 2 2 2 4" xfId="40552" xr:uid="{10F609FD-78D7-4967-BD6C-3DCF4E1B5876}"/>
    <cellStyle name="Normal 11 3 2 4 3 2 2 2 3" xfId="40553" xr:uid="{3901A0B8-BB0F-4710-866A-C258B00CA9DB}"/>
    <cellStyle name="Normal 11 3 2 4 3 2 2 2 3 2" xfId="40554" xr:uid="{38BC7807-976F-46DC-94B6-8227236C0707}"/>
    <cellStyle name="Normal 11 3 2 4 3 2 2 2 3 2 2" xfId="40555" xr:uid="{93B50839-22F9-432D-8106-7A0B897D40EA}"/>
    <cellStyle name="Normal 11 3 2 4 3 2 2 2 3 3" xfId="40556" xr:uid="{D2FED9FC-1578-49A2-A9CB-EA3393930F63}"/>
    <cellStyle name="Normal 11 3 2 4 3 2 2 2 4" xfId="40557" xr:uid="{870DA558-D974-4BD2-AB25-3987B25A3588}"/>
    <cellStyle name="Normal 11 3 2 4 3 2 2 2 4 2" xfId="40558" xr:uid="{943AA20C-B4B7-42E9-B449-0399267B7820}"/>
    <cellStyle name="Normal 11 3 2 4 3 2 2 2 5" xfId="40559" xr:uid="{3DA402CD-0D82-4ABF-A6BC-993CF7808866}"/>
    <cellStyle name="Normal 11 3 2 4 3 2 2 3" xfId="40560" xr:uid="{EBB10777-3A29-4B52-B1CC-46FC12091DCD}"/>
    <cellStyle name="Normal 11 3 2 4 3 2 2 3 2" xfId="40561" xr:uid="{9A72A5B8-DFA5-4A97-A4D6-DC2DC6E39A31}"/>
    <cellStyle name="Normal 11 3 2 4 3 2 2 3 2 2" xfId="40562" xr:uid="{50774119-CDB9-45D3-84FB-78D44CA9191A}"/>
    <cellStyle name="Normal 11 3 2 4 3 2 2 3 2 2 2" xfId="40563" xr:uid="{B0D72DF6-66D1-4FDD-8A7F-85A8856940DE}"/>
    <cellStyle name="Normal 11 3 2 4 3 2 2 3 2 3" xfId="40564" xr:uid="{C926C88B-DF13-4218-9F43-3954DD5FBE78}"/>
    <cellStyle name="Normal 11 3 2 4 3 2 2 3 3" xfId="40565" xr:uid="{624BA920-8FE3-4F45-A29D-FAA1012042A2}"/>
    <cellStyle name="Normal 11 3 2 4 3 2 2 3 3 2" xfId="40566" xr:uid="{C26AC220-55D2-4FAD-A67D-10201D5BDDCB}"/>
    <cellStyle name="Normal 11 3 2 4 3 2 2 3 4" xfId="40567" xr:uid="{811C6E49-A4F1-4436-BACD-237E0BE73A7B}"/>
    <cellStyle name="Normal 11 3 2 4 3 2 2 4" xfId="40568" xr:uid="{FC5EC0FD-5490-4F24-A626-F2A71AA039FA}"/>
    <cellStyle name="Normal 11 3 2 4 3 2 2 4 2" xfId="40569" xr:uid="{80C11D37-4FC6-4715-8919-0CCE07494951}"/>
    <cellStyle name="Normal 11 3 2 4 3 2 2 4 2 2" xfId="40570" xr:uid="{DB90BF0E-AABB-4F35-92DE-6FBC0173CF8F}"/>
    <cellStyle name="Normal 11 3 2 4 3 2 2 4 3" xfId="40571" xr:uid="{F4AD974C-1F24-4C0D-8DFE-BCFF0AE7A5FA}"/>
    <cellStyle name="Normal 11 3 2 4 3 2 2 5" xfId="40572" xr:uid="{DA2B39A0-D8F9-4C16-9584-87DCFCA9BDC7}"/>
    <cellStyle name="Normal 11 3 2 4 3 2 2 5 2" xfId="40573" xr:uid="{4C9AF93E-EC74-4F06-9101-6730E70B0D8B}"/>
    <cellStyle name="Normal 11 3 2 4 3 2 2 6" xfId="40574" xr:uid="{ED0B1319-A76B-4ADF-B4B5-0FEA0AF732FC}"/>
    <cellStyle name="Normal 11 3 2 4 3 2 3" xfId="40575" xr:uid="{E0F3E82E-EA38-4E12-A7CA-351EF9D5EBA9}"/>
    <cellStyle name="Normal 11 3 2 4 3 2 3 2" xfId="40576" xr:uid="{4A074ECD-4BB5-47CA-A102-36C71B139CBD}"/>
    <cellStyle name="Normal 11 3 2 4 3 2 3 2 2" xfId="40577" xr:uid="{F9FF429F-E97A-4493-B44C-6CB5BA7CACD8}"/>
    <cellStyle name="Normal 11 3 2 4 3 2 3 2 2 2" xfId="40578" xr:uid="{F051B699-BE85-4722-97F1-4AC9268F99EB}"/>
    <cellStyle name="Normal 11 3 2 4 3 2 3 2 2 2 2" xfId="40579" xr:uid="{DA22FB8E-8E38-4627-BC1D-B986CB2EF91B}"/>
    <cellStyle name="Normal 11 3 2 4 3 2 3 2 2 3" xfId="40580" xr:uid="{2A6E46C7-F2E4-47FE-9F1C-E90B4D5213AF}"/>
    <cellStyle name="Normal 11 3 2 4 3 2 3 2 3" xfId="40581" xr:uid="{AE2F2807-67E3-417B-9F2F-DB617D6778A1}"/>
    <cellStyle name="Normal 11 3 2 4 3 2 3 2 3 2" xfId="40582" xr:uid="{7239D3C6-AA68-4573-A243-8617272CA04D}"/>
    <cellStyle name="Normal 11 3 2 4 3 2 3 2 4" xfId="40583" xr:uid="{51848EEB-80E5-415E-A252-80C281E19DE9}"/>
    <cellStyle name="Normal 11 3 2 4 3 2 3 3" xfId="40584" xr:uid="{AC067C40-EB5E-4BFE-8D01-D51B5E6A59BB}"/>
    <cellStyle name="Normal 11 3 2 4 3 2 3 3 2" xfId="40585" xr:uid="{F626388C-F38D-4250-959F-AAD48CB513A3}"/>
    <cellStyle name="Normal 11 3 2 4 3 2 3 3 2 2" xfId="40586" xr:uid="{4F3CCAE1-3A46-4781-B45B-10E0FFBCD168}"/>
    <cellStyle name="Normal 11 3 2 4 3 2 3 3 3" xfId="40587" xr:uid="{906A734F-385B-4E49-9ADE-814CD028D6D0}"/>
    <cellStyle name="Normal 11 3 2 4 3 2 3 4" xfId="40588" xr:uid="{B14FD6B0-336D-4422-A71A-45A16EE711E5}"/>
    <cellStyle name="Normal 11 3 2 4 3 2 3 4 2" xfId="40589" xr:uid="{DF6C231F-6E75-4B6B-8A5F-F8B5DF46ABB4}"/>
    <cellStyle name="Normal 11 3 2 4 3 2 3 5" xfId="40590" xr:uid="{18D46AED-7BC9-4FB0-99E5-37EA21370ED0}"/>
    <cellStyle name="Normal 11 3 2 4 3 2 4" xfId="40591" xr:uid="{A100296A-1388-42B7-9CB1-F8BE703C57E3}"/>
    <cellStyle name="Normal 11 3 2 4 3 2 4 2" xfId="40592" xr:uid="{38E8D82C-F7E9-434F-A157-1E32BDBCB703}"/>
    <cellStyle name="Normal 11 3 2 4 3 2 4 2 2" xfId="40593" xr:uid="{7D3184C3-A8B8-4E07-801A-C2C641B9C72C}"/>
    <cellStyle name="Normal 11 3 2 4 3 2 4 2 2 2" xfId="40594" xr:uid="{C20168F9-D600-4EAA-976A-7A36133A9187}"/>
    <cellStyle name="Normal 11 3 2 4 3 2 4 2 3" xfId="40595" xr:uid="{E2E8C4E6-421F-4FC5-B926-76108644F452}"/>
    <cellStyle name="Normal 11 3 2 4 3 2 4 3" xfId="40596" xr:uid="{89957232-7B73-41C3-9294-9A402BD03CF5}"/>
    <cellStyle name="Normal 11 3 2 4 3 2 4 3 2" xfId="40597" xr:uid="{5218D6D9-E960-4720-A9B7-31FCC3BAF216}"/>
    <cellStyle name="Normal 11 3 2 4 3 2 4 4" xfId="40598" xr:uid="{49591C10-9606-44EC-B64D-03D566040BF6}"/>
    <cellStyle name="Normal 11 3 2 4 3 2 5" xfId="40599" xr:uid="{067122D9-0CFA-4867-AFEB-2221AC4C88C0}"/>
    <cellStyle name="Normal 11 3 2 4 3 2 5 2" xfId="40600" xr:uid="{B251FF06-0479-4B5D-8BEC-4B146BB8B468}"/>
    <cellStyle name="Normal 11 3 2 4 3 2 5 2 2" xfId="40601" xr:uid="{61DE9A53-BA00-4131-BA3E-6E0AC0E12A41}"/>
    <cellStyle name="Normal 11 3 2 4 3 2 5 3" xfId="40602" xr:uid="{9F50FF2E-7360-4A0F-94EC-9BCA84638E2E}"/>
    <cellStyle name="Normal 11 3 2 4 3 2 6" xfId="40603" xr:uid="{CB52E6F6-38E4-4593-AFD3-BF54CC69FC54}"/>
    <cellStyle name="Normal 11 3 2 4 3 2 6 2" xfId="40604" xr:uid="{D2BD34FA-C829-424D-B40F-EA800D84E04F}"/>
    <cellStyle name="Normal 11 3 2 4 3 2 7" xfId="40605" xr:uid="{844B616D-AD65-44D0-80C3-080675DBA8A2}"/>
    <cellStyle name="Normal 11 3 2 4 3 3" xfId="40606" xr:uid="{6C51D6A8-9BA3-4381-B512-CA4AB5B436D8}"/>
    <cellStyle name="Normal 11 3 2 4 3 3 2" xfId="40607" xr:uid="{1BB06759-95AE-44D2-AF93-035DACFB9942}"/>
    <cellStyle name="Normal 11 3 2 4 3 3 2 2" xfId="40608" xr:uid="{A108D232-B240-42E2-AF95-607E64111FC2}"/>
    <cellStyle name="Normal 11 3 2 4 3 3 2 2 2" xfId="40609" xr:uid="{C644E832-8172-49BD-B60B-5AE2B4D6C7E4}"/>
    <cellStyle name="Normal 11 3 2 4 3 3 2 2 2 2" xfId="40610" xr:uid="{3637A73F-A0B2-49CB-AC73-D6D8E8CA8D6D}"/>
    <cellStyle name="Normal 11 3 2 4 3 3 2 2 2 2 2" xfId="40611" xr:uid="{6CEF55E0-6738-4BE7-A143-A59809A74BFA}"/>
    <cellStyle name="Normal 11 3 2 4 3 3 2 2 2 3" xfId="40612" xr:uid="{3DF38022-7301-45F7-A9F7-D9A0D8994CA1}"/>
    <cellStyle name="Normal 11 3 2 4 3 3 2 2 3" xfId="40613" xr:uid="{D8E3F223-CCE1-41C3-BCD9-62603729FBBA}"/>
    <cellStyle name="Normal 11 3 2 4 3 3 2 2 3 2" xfId="40614" xr:uid="{1F79CDBE-AE7C-4F37-84BF-0B3CA409B6CF}"/>
    <cellStyle name="Normal 11 3 2 4 3 3 2 2 4" xfId="40615" xr:uid="{8BD4D50C-0549-474F-A64E-A70803011F91}"/>
    <cellStyle name="Normal 11 3 2 4 3 3 2 3" xfId="40616" xr:uid="{7793DAAC-89F0-41FA-8B1B-283FDC024ABF}"/>
    <cellStyle name="Normal 11 3 2 4 3 3 2 3 2" xfId="40617" xr:uid="{2B5893C5-F4AB-4D16-B97A-C3FBF8D8B4B1}"/>
    <cellStyle name="Normal 11 3 2 4 3 3 2 3 2 2" xfId="40618" xr:uid="{EF880FD1-9D31-400E-89B7-C0A32FF96C09}"/>
    <cellStyle name="Normal 11 3 2 4 3 3 2 3 3" xfId="40619" xr:uid="{A3A5479C-2414-4642-85DF-8645197D1896}"/>
    <cellStyle name="Normal 11 3 2 4 3 3 2 4" xfId="40620" xr:uid="{86DFDCB2-EF39-44D7-AB06-DB6683FFEAEC}"/>
    <cellStyle name="Normal 11 3 2 4 3 3 2 4 2" xfId="40621" xr:uid="{394FA77A-FF56-4C8E-A560-762C466550E9}"/>
    <cellStyle name="Normal 11 3 2 4 3 3 2 5" xfId="40622" xr:uid="{15554952-EA42-462F-8239-34BDC6660271}"/>
    <cellStyle name="Normal 11 3 2 4 3 3 3" xfId="40623" xr:uid="{EF2BA8DC-EB90-44A0-9988-AD3D763B7D2D}"/>
    <cellStyle name="Normal 11 3 2 4 3 3 3 2" xfId="40624" xr:uid="{D9F202F1-AA9A-4426-95C7-9DF690A07840}"/>
    <cellStyle name="Normal 11 3 2 4 3 3 3 2 2" xfId="40625" xr:uid="{99F95179-D767-421D-B06F-F65582BFA7C7}"/>
    <cellStyle name="Normal 11 3 2 4 3 3 3 2 2 2" xfId="40626" xr:uid="{48E4A862-BBB7-4978-8ED9-25CDC3A91D89}"/>
    <cellStyle name="Normal 11 3 2 4 3 3 3 2 3" xfId="40627" xr:uid="{060DC3C5-CFFB-44E9-B159-024DF1E694BA}"/>
    <cellStyle name="Normal 11 3 2 4 3 3 3 3" xfId="40628" xr:uid="{53994F2E-1271-4E7A-9174-5EEE31A54BD3}"/>
    <cellStyle name="Normal 11 3 2 4 3 3 3 3 2" xfId="40629" xr:uid="{403F6617-2B46-42F1-AD24-23BCA9755CEE}"/>
    <cellStyle name="Normal 11 3 2 4 3 3 3 4" xfId="40630" xr:uid="{17006719-A7FD-4FD7-A6EA-714A881EDEEB}"/>
    <cellStyle name="Normal 11 3 2 4 3 3 4" xfId="40631" xr:uid="{3F465D39-48BF-4EAF-8AA0-EF0F88966B4A}"/>
    <cellStyle name="Normal 11 3 2 4 3 3 4 2" xfId="40632" xr:uid="{18C5D6D4-A7A7-4D70-A940-FA3A9E31CD78}"/>
    <cellStyle name="Normal 11 3 2 4 3 3 4 2 2" xfId="40633" xr:uid="{0127E5D5-A4C2-4EDF-A05D-57A9F30CDCBE}"/>
    <cellStyle name="Normal 11 3 2 4 3 3 4 3" xfId="40634" xr:uid="{971D15E7-5D0A-4028-860B-8495CC5E5812}"/>
    <cellStyle name="Normal 11 3 2 4 3 3 5" xfId="40635" xr:uid="{0FA78024-D12C-4508-8B99-3CFD85F7D3FD}"/>
    <cellStyle name="Normal 11 3 2 4 3 3 5 2" xfId="40636" xr:uid="{E1A65E0F-1DAA-4E0E-8AC8-8CADAAC366F4}"/>
    <cellStyle name="Normal 11 3 2 4 3 3 6" xfId="40637" xr:uid="{EBDBB1DC-F6A9-44AF-939A-7E6F927B669E}"/>
    <cellStyle name="Normal 11 3 2 4 3 4" xfId="40638" xr:uid="{58635B44-F240-4012-A71B-C58E5CA8E1B4}"/>
    <cellStyle name="Normal 11 3 2 4 3 4 2" xfId="40639" xr:uid="{9F19CB83-E18C-41AD-89CA-56722A92BB54}"/>
    <cellStyle name="Normal 11 3 2 4 3 4 2 2" xfId="40640" xr:uid="{C726DB71-ADFA-4C14-AF2D-6B2273C277F4}"/>
    <cellStyle name="Normal 11 3 2 4 3 4 2 2 2" xfId="40641" xr:uid="{D5D5F372-C75F-4934-9734-49B28ABDDD2B}"/>
    <cellStyle name="Normal 11 3 2 4 3 4 2 2 2 2" xfId="40642" xr:uid="{7838F1DD-A848-4D9D-8692-F12C3F2344E5}"/>
    <cellStyle name="Normal 11 3 2 4 3 4 2 2 3" xfId="40643" xr:uid="{38BB11AB-BEF6-41D7-B1A1-D4BF752BDF3D}"/>
    <cellStyle name="Normal 11 3 2 4 3 4 2 3" xfId="40644" xr:uid="{2A3EE82B-987D-45B2-8C4D-A8EFD0E17E19}"/>
    <cellStyle name="Normal 11 3 2 4 3 4 2 3 2" xfId="40645" xr:uid="{C20B00F8-97A5-428E-9642-34969DA44705}"/>
    <cellStyle name="Normal 11 3 2 4 3 4 2 4" xfId="40646" xr:uid="{E33A4B50-8361-4CF7-B9FD-7A4161A341A7}"/>
    <cellStyle name="Normal 11 3 2 4 3 4 3" xfId="40647" xr:uid="{9DB41418-FFB0-4996-B23F-215015F0CF7B}"/>
    <cellStyle name="Normal 11 3 2 4 3 4 3 2" xfId="40648" xr:uid="{E2A04B49-769C-4307-8AA2-F882B3741EF4}"/>
    <cellStyle name="Normal 11 3 2 4 3 4 3 2 2" xfId="40649" xr:uid="{5FABD072-BEFF-44AC-8F08-0D0A70752B1A}"/>
    <cellStyle name="Normal 11 3 2 4 3 4 3 3" xfId="40650" xr:uid="{BF8EDF0D-8F22-493B-9284-4EB34123E3BA}"/>
    <cellStyle name="Normal 11 3 2 4 3 4 4" xfId="40651" xr:uid="{4DF9B619-1B8A-4DF3-85EC-7577877E0F53}"/>
    <cellStyle name="Normal 11 3 2 4 3 4 4 2" xfId="40652" xr:uid="{091A9FD5-CD02-4E87-8632-307CDF925C65}"/>
    <cellStyle name="Normal 11 3 2 4 3 4 5" xfId="40653" xr:uid="{0575C514-BBFA-4114-8DC6-E85CED752528}"/>
    <cellStyle name="Normal 11 3 2 4 3 5" xfId="40654" xr:uid="{DA1406EC-15AD-4B7A-B391-35E2236CC823}"/>
    <cellStyle name="Normal 11 3 2 4 3 5 2" xfId="40655" xr:uid="{39367103-12CA-4F5A-9EFE-20C81F3C847F}"/>
    <cellStyle name="Normal 11 3 2 4 3 5 2 2" xfId="40656" xr:uid="{F123B632-33CA-4645-8878-80BD2FF7513A}"/>
    <cellStyle name="Normal 11 3 2 4 3 5 2 2 2" xfId="40657" xr:uid="{D9EDAC83-A21C-4511-8E90-59BE64AE6ABB}"/>
    <cellStyle name="Normal 11 3 2 4 3 5 2 3" xfId="40658" xr:uid="{D26669D2-1227-4111-B758-65C5FC078723}"/>
    <cellStyle name="Normal 11 3 2 4 3 5 3" xfId="40659" xr:uid="{A8D56CDC-8CDA-4662-931B-AED4ACBA854E}"/>
    <cellStyle name="Normal 11 3 2 4 3 5 3 2" xfId="40660" xr:uid="{1D029B99-B7EB-40FF-8916-5FC468AA2172}"/>
    <cellStyle name="Normal 11 3 2 4 3 5 4" xfId="40661" xr:uid="{519D2393-9AF3-48B2-9302-A6F47016721B}"/>
    <cellStyle name="Normal 11 3 2 4 3 6" xfId="40662" xr:uid="{674748D7-4497-49B4-8F4B-611DD3FC1905}"/>
    <cellStyle name="Normal 11 3 2 4 3 6 2" xfId="40663" xr:uid="{10293C59-3E28-4608-9569-B49626F9CEDD}"/>
    <cellStyle name="Normal 11 3 2 4 3 6 2 2" xfId="40664" xr:uid="{1BC84993-1AE2-46B8-8C2F-26ADB334A2F6}"/>
    <cellStyle name="Normal 11 3 2 4 3 6 3" xfId="40665" xr:uid="{87EF0DF1-3F42-46A0-9628-07A66A73D1B2}"/>
    <cellStyle name="Normal 11 3 2 4 3 7" xfId="40666" xr:uid="{E1944E6F-4818-4989-AF99-A7EFB988863D}"/>
    <cellStyle name="Normal 11 3 2 4 3 7 2" xfId="40667" xr:uid="{7FCA6C8F-A8F2-40D1-80E7-728531519769}"/>
    <cellStyle name="Normal 11 3 2 4 3 8" xfId="40668" xr:uid="{9FA97D73-E4A7-4792-A352-F2437071E438}"/>
    <cellStyle name="Normal 11 3 2 4 3 9" xfId="40541" xr:uid="{946B6CAD-3D7F-469F-890B-76A0B28A7D9D}"/>
    <cellStyle name="Normal 11 3 2 4 4" xfId="40669" xr:uid="{E3FED2A6-1FA7-458E-87D9-714E8C42AED1}"/>
    <cellStyle name="Normal 11 3 2 4 4 2" xfId="40670" xr:uid="{7A3023E9-CE38-424E-B830-084D7C3CFCFF}"/>
    <cellStyle name="Normal 11 3 2 4 4 2 2" xfId="40671" xr:uid="{93379E5D-D8C5-4994-B4AE-C7A920E37CEE}"/>
    <cellStyle name="Normal 11 3 2 4 4 2 2 2" xfId="40672" xr:uid="{2F5C2318-6626-4E8F-9FE1-EB4A3BFC950B}"/>
    <cellStyle name="Normal 11 3 2 4 4 2 2 2 2" xfId="40673" xr:uid="{831F001D-ABD4-4794-9D3A-D6A4B7C1552F}"/>
    <cellStyle name="Normal 11 3 2 4 4 2 2 2 2 2" xfId="40674" xr:uid="{03D14E4C-F8AB-440F-92C7-4C0EC11A2237}"/>
    <cellStyle name="Normal 11 3 2 4 4 2 2 2 2 2 2" xfId="40675" xr:uid="{F455ACB8-E54A-46CE-A1FB-69049D9C698E}"/>
    <cellStyle name="Normal 11 3 2 4 4 2 2 2 2 3" xfId="40676" xr:uid="{5E14EC3D-2F68-45B1-82A4-7900C530AD46}"/>
    <cellStyle name="Normal 11 3 2 4 4 2 2 2 3" xfId="40677" xr:uid="{FF20709A-2E50-4EC1-BE52-8E9675C85A7F}"/>
    <cellStyle name="Normal 11 3 2 4 4 2 2 2 3 2" xfId="40678" xr:uid="{583083C3-7EF4-4389-8E32-807CE54FC501}"/>
    <cellStyle name="Normal 11 3 2 4 4 2 2 2 4" xfId="40679" xr:uid="{85E5B204-8975-457B-9891-86A6B4D67F25}"/>
    <cellStyle name="Normal 11 3 2 4 4 2 2 3" xfId="40680" xr:uid="{413F6ED2-37C0-457B-AA6F-F470B31B114F}"/>
    <cellStyle name="Normal 11 3 2 4 4 2 2 3 2" xfId="40681" xr:uid="{F7C8F984-628F-4922-8B58-AFD3FB2756B5}"/>
    <cellStyle name="Normal 11 3 2 4 4 2 2 3 2 2" xfId="40682" xr:uid="{6F6C6D3F-3C64-46B0-87CB-D5488DBCCFC2}"/>
    <cellStyle name="Normal 11 3 2 4 4 2 2 3 3" xfId="40683" xr:uid="{21EE8BA7-E7A9-487F-86D5-4826B78D6558}"/>
    <cellStyle name="Normal 11 3 2 4 4 2 2 4" xfId="40684" xr:uid="{4DEABEE8-0277-4234-8BEC-8CDAB65932DE}"/>
    <cellStyle name="Normal 11 3 2 4 4 2 2 4 2" xfId="40685" xr:uid="{65D7D395-3FA8-4945-BCEC-BFF175FF6245}"/>
    <cellStyle name="Normal 11 3 2 4 4 2 2 5" xfId="40686" xr:uid="{5A99CCEE-5A3C-4C49-A006-24D55B9D1D24}"/>
    <cellStyle name="Normal 11 3 2 4 4 2 3" xfId="40687" xr:uid="{3F184FCF-7386-4523-B489-A9BE165A444A}"/>
    <cellStyle name="Normal 11 3 2 4 4 2 3 2" xfId="40688" xr:uid="{2A0A6BFA-81E0-41EC-96B9-774DD2904C7C}"/>
    <cellStyle name="Normal 11 3 2 4 4 2 3 2 2" xfId="40689" xr:uid="{2685254B-CDD7-43AF-8279-713882CEC45F}"/>
    <cellStyle name="Normal 11 3 2 4 4 2 3 2 2 2" xfId="40690" xr:uid="{599081FA-45BD-4E11-BD29-EBFF68F7B8AA}"/>
    <cellStyle name="Normal 11 3 2 4 4 2 3 2 3" xfId="40691" xr:uid="{AA218F0F-2096-4522-AB95-F2F7604C62AB}"/>
    <cellStyle name="Normal 11 3 2 4 4 2 3 3" xfId="40692" xr:uid="{0B4D2F38-6D3F-4D7A-BB78-8FFD1CA06990}"/>
    <cellStyle name="Normal 11 3 2 4 4 2 3 3 2" xfId="40693" xr:uid="{EB684D7F-5B5B-4410-836D-F9781006D43F}"/>
    <cellStyle name="Normal 11 3 2 4 4 2 3 4" xfId="40694" xr:uid="{B1619A4A-C60C-4925-8E89-B4C5230503AC}"/>
    <cellStyle name="Normal 11 3 2 4 4 2 4" xfId="40695" xr:uid="{018B6410-B782-4B30-AEEB-E0FC681BB65E}"/>
    <cellStyle name="Normal 11 3 2 4 4 2 4 2" xfId="40696" xr:uid="{20BA4C01-FC61-45CB-B8AD-9D2CE42D66B8}"/>
    <cellStyle name="Normal 11 3 2 4 4 2 4 2 2" xfId="40697" xr:uid="{223F5192-90EF-4ADF-A117-B7C424198AEF}"/>
    <cellStyle name="Normal 11 3 2 4 4 2 4 3" xfId="40698" xr:uid="{0B217BF5-E8B6-4FFE-9CC1-0988BA0556B2}"/>
    <cellStyle name="Normal 11 3 2 4 4 2 5" xfId="40699" xr:uid="{62F77F7C-9FC7-46CA-BBE0-B51C23547A42}"/>
    <cellStyle name="Normal 11 3 2 4 4 2 5 2" xfId="40700" xr:uid="{29CB10A7-1C2D-4A99-9061-1EB5427E0689}"/>
    <cellStyle name="Normal 11 3 2 4 4 2 6" xfId="40701" xr:uid="{E7B37003-3A73-47E0-8216-C1CB300912DC}"/>
    <cellStyle name="Normal 11 3 2 4 4 3" xfId="40702" xr:uid="{50638FAD-D986-4F8C-9F9C-19F91C12F8A2}"/>
    <cellStyle name="Normal 11 3 2 4 4 3 2" xfId="40703" xr:uid="{D4A333E1-32F7-4418-94A5-DAF37CCD20DD}"/>
    <cellStyle name="Normal 11 3 2 4 4 3 2 2" xfId="40704" xr:uid="{834C2A55-99F6-4F47-B2F6-1319B2C33931}"/>
    <cellStyle name="Normal 11 3 2 4 4 3 2 2 2" xfId="40705" xr:uid="{A85C9C3F-BE31-4FFF-B7CE-BBC41FDCC61C}"/>
    <cellStyle name="Normal 11 3 2 4 4 3 2 2 2 2" xfId="40706" xr:uid="{71AB9BCC-9491-4B07-B0CF-A4208482FAFA}"/>
    <cellStyle name="Normal 11 3 2 4 4 3 2 2 3" xfId="40707" xr:uid="{EA4BABFE-3A63-4318-AD7A-B42006CA4BAA}"/>
    <cellStyle name="Normal 11 3 2 4 4 3 2 3" xfId="40708" xr:uid="{BA46B2F7-1D2A-4E9D-83F3-C86A12A6744F}"/>
    <cellStyle name="Normal 11 3 2 4 4 3 2 3 2" xfId="40709" xr:uid="{FBD3B65B-9DD8-4000-9C3A-444DBB0345F7}"/>
    <cellStyle name="Normal 11 3 2 4 4 3 2 4" xfId="40710" xr:uid="{9AABA785-7886-432A-8A3C-C70ECA4BB57D}"/>
    <cellStyle name="Normal 11 3 2 4 4 3 3" xfId="40711" xr:uid="{D23D1322-AC10-4E1D-A97B-0D3B216277BD}"/>
    <cellStyle name="Normal 11 3 2 4 4 3 3 2" xfId="40712" xr:uid="{BDD29272-A4CF-4AA1-976C-49FC95D21562}"/>
    <cellStyle name="Normal 11 3 2 4 4 3 3 2 2" xfId="40713" xr:uid="{64BC16BE-61A7-4D69-8026-744228A8FF7B}"/>
    <cellStyle name="Normal 11 3 2 4 4 3 3 3" xfId="40714" xr:uid="{FDFA5A10-A4D8-47F4-AAC4-2E6EBBE1065D}"/>
    <cellStyle name="Normal 11 3 2 4 4 3 4" xfId="40715" xr:uid="{A48BD654-5A2C-4132-B15B-5107F3F5D6CD}"/>
    <cellStyle name="Normal 11 3 2 4 4 3 4 2" xfId="40716" xr:uid="{4485676C-6C7F-4A25-90A7-1AC5D929E038}"/>
    <cellStyle name="Normal 11 3 2 4 4 3 5" xfId="40717" xr:uid="{4B79F48F-8CD9-4005-964B-44985CBA4BB5}"/>
    <cellStyle name="Normal 11 3 2 4 4 4" xfId="40718" xr:uid="{19A5E1B2-5060-4FF7-A0A0-DCF162650575}"/>
    <cellStyle name="Normal 11 3 2 4 4 4 2" xfId="40719" xr:uid="{DB2F45B4-D48D-43F8-BE90-6640A2409E19}"/>
    <cellStyle name="Normal 11 3 2 4 4 4 2 2" xfId="40720" xr:uid="{4FE548A7-69D2-4D8D-BACB-1EF39FD0A5BF}"/>
    <cellStyle name="Normal 11 3 2 4 4 4 2 2 2" xfId="40721" xr:uid="{A8EF3AFC-3229-48FF-9C0F-300EE76A66BC}"/>
    <cellStyle name="Normal 11 3 2 4 4 4 2 3" xfId="40722" xr:uid="{C0B53021-6041-43AE-9D65-4D16621D2336}"/>
    <cellStyle name="Normal 11 3 2 4 4 4 3" xfId="40723" xr:uid="{D26ECF24-356A-4841-B7FE-C09DBC606B54}"/>
    <cellStyle name="Normal 11 3 2 4 4 4 3 2" xfId="40724" xr:uid="{1567A990-5164-4D82-ACE5-4572C8E4943E}"/>
    <cellStyle name="Normal 11 3 2 4 4 4 4" xfId="40725" xr:uid="{34B68058-44B7-45A1-913B-2C2DB276319B}"/>
    <cellStyle name="Normal 11 3 2 4 4 5" xfId="40726" xr:uid="{1B5AFCF0-052B-4FE4-9FDD-B661A2AD2126}"/>
    <cellStyle name="Normal 11 3 2 4 4 5 2" xfId="40727" xr:uid="{8C0D4B78-ADCE-4155-9C21-D642D1A3DADC}"/>
    <cellStyle name="Normal 11 3 2 4 4 5 2 2" xfId="40728" xr:uid="{D9B64DF3-F914-46D7-9845-CFA84D9652EB}"/>
    <cellStyle name="Normal 11 3 2 4 4 5 3" xfId="40729" xr:uid="{23635E63-DBCC-4719-9E62-5AB6DC03535B}"/>
    <cellStyle name="Normal 11 3 2 4 4 6" xfId="40730" xr:uid="{82EE1F61-93E6-4D54-853F-1F96B7263607}"/>
    <cellStyle name="Normal 11 3 2 4 4 6 2" xfId="40731" xr:uid="{B59D03C8-8717-4EE9-B74C-618144FE1B2A}"/>
    <cellStyle name="Normal 11 3 2 4 4 7" xfId="40732" xr:uid="{FA497E6E-C1DE-4D2D-8708-B931C0CB5D6E}"/>
    <cellStyle name="Normal 11 3 2 4 5" xfId="40733" xr:uid="{7BD63B59-2E7B-4869-9938-6F2359D3B835}"/>
    <cellStyle name="Normal 11 3 2 4 5 2" xfId="40734" xr:uid="{39333514-0B6F-4FF5-93CE-2ADD78B44965}"/>
    <cellStyle name="Normal 11 3 2 4 5 2 2" xfId="40735" xr:uid="{5B323451-C72B-4389-A09D-4BF9CB58C073}"/>
    <cellStyle name="Normal 11 3 2 4 5 2 2 2" xfId="40736" xr:uid="{EF905BFE-92D5-4694-8D02-B1A1485A81C9}"/>
    <cellStyle name="Normal 11 3 2 4 5 2 2 2 2" xfId="40737" xr:uid="{4D70FF88-8BF4-4405-9F42-43365582DB48}"/>
    <cellStyle name="Normal 11 3 2 4 5 2 2 2 2 2" xfId="40738" xr:uid="{CA986B4F-7BDA-414C-A8B7-13B8E537DFCB}"/>
    <cellStyle name="Normal 11 3 2 4 5 2 2 2 3" xfId="40739" xr:uid="{4E10DE66-916F-4ED5-95DA-6639B1BD7CE4}"/>
    <cellStyle name="Normal 11 3 2 4 5 2 2 3" xfId="40740" xr:uid="{78E4B4F9-479B-4864-8EA1-0D4E9145BE46}"/>
    <cellStyle name="Normal 11 3 2 4 5 2 2 3 2" xfId="40741" xr:uid="{2AD6B5D7-D561-4688-808E-BB97098D8044}"/>
    <cellStyle name="Normal 11 3 2 4 5 2 2 4" xfId="40742" xr:uid="{05907A42-A29A-4D83-8C3B-26A8F7EC49FE}"/>
    <cellStyle name="Normal 11 3 2 4 5 2 3" xfId="40743" xr:uid="{E44D0BB5-8029-4B35-B628-AD5939E70145}"/>
    <cellStyle name="Normal 11 3 2 4 5 2 3 2" xfId="40744" xr:uid="{D321C436-8A0F-4668-88BE-2D0C70AA0117}"/>
    <cellStyle name="Normal 11 3 2 4 5 2 3 2 2" xfId="40745" xr:uid="{522B2A86-8D48-4354-8AF4-8D3B8AE1986C}"/>
    <cellStyle name="Normal 11 3 2 4 5 2 3 3" xfId="40746" xr:uid="{647D4E42-6345-4BAD-AEBF-A86B95607C73}"/>
    <cellStyle name="Normal 11 3 2 4 5 2 4" xfId="40747" xr:uid="{E3E934F4-C81F-41C6-B58D-25226D118CEE}"/>
    <cellStyle name="Normal 11 3 2 4 5 2 4 2" xfId="40748" xr:uid="{025C490A-CD6B-499B-95AE-EC53269C9ED1}"/>
    <cellStyle name="Normal 11 3 2 4 5 2 5" xfId="40749" xr:uid="{9636CC35-F489-4343-9521-E5077C23C738}"/>
    <cellStyle name="Normal 11 3 2 4 5 3" xfId="40750" xr:uid="{EEBE448C-A259-45A6-B9A5-5B59EC6B7984}"/>
    <cellStyle name="Normal 11 3 2 4 5 3 2" xfId="40751" xr:uid="{DD172057-323B-4780-98FD-B55A6CC52A7F}"/>
    <cellStyle name="Normal 11 3 2 4 5 3 2 2" xfId="40752" xr:uid="{F965F0BF-6210-47BA-B57D-7B845A2DCC2E}"/>
    <cellStyle name="Normal 11 3 2 4 5 3 2 2 2" xfId="40753" xr:uid="{0A158BD0-05BD-48C0-83D0-6957B7B50DF1}"/>
    <cellStyle name="Normal 11 3 2 4 5 3 2 3" xfId="40754" xr:uid="{F4F8013A-4B51-4AA7-8F68-DFC6C80283D9}"/>
    <cellStyle name="Normal 11 3 2 4 5 3 3" xfId="40755" xr:uid="{BA562E62-817B-4BB2-91FF-C37216874FC8}"/>
    <cellStyle name="Normal 11 3 2 4 5 3 3 2" xfId="40756" xr:uid="{C5445FD4-E6DA-4CC3-8BAF-A76B9ABCBB29}"/>
    <cellStyle name="Normal 11 3 2 4 5 3 4" xfId="40757" xr:uid="{24A58096-25BE-49A0-875B-BC3978B4E49C}"/>
    <cellStyle name="Normal 11 3 2 4 5 4" xfId="40758" xr:uid="{F19A6E40-DD0F-4ECF-8D8E-52D6FB9CFCF0}"/>
    <cellStyle name="Normal 11 3 2 4 5 4 2" xfId="40759" xr:uid="{77D1B20F-B746-4002-8D67-11C3418F9AD0}"/>
    <cellStyle name="Normal 11 3 2 4 5 4 2 2" xfId="40760" xr:uid="{4053B3A1-2BB3-466F-B71A-92C3FDB13A76}"/>
    <cellStyle name="Normal 11 3 2 4 5 4 3" xfId="40761" xr:uid="{320FDB6D-3CEE-4077-99A3-1F384D0D23C1}"/>
    <cellStyle name="Normal 11 3 2 4 5 5" xfId="40762" xr:uid="{56C5E242-ED1B-40BD-8E48-DFD5E1D59E39}"/>
    <cellStyle name="Normal 11 3 2 4 5 5 2" xfId="40763" xr:uid="{035DBE52-8ED7-4771-8763-A00543F0E2FA}"/>
    <cellStyle name="Normal 11 3 2 4 5 6" xfId="40764" xr:uid="{0D5C055B-E6E1-493B-8761-4D29CDD9E809}"/>
    <cellStyle name="Normal 11 3 2 4 6" xfId="40765" xr:uid="{1F14AC12-D848-4032-B65B-24F1D98C7F0F}"/>
    <cellStyle name="Normal 11 3 2 4 6 2" xfId="40766" xr:uid="{52ECF1C8-9698-4829-B761-262CD2D732CF}"/>
    <cellStyle name="Normal 11 3 2 4 6 2 2" xfId="40767" xr:uid="{B8F7A23B-0DF8-4491-9C13-16A2D2C49A84}"/>
    <cellStyle name="Normal 11 3 2 4 6 2 2 2" xfId="40768" xr:uid="{04C59C65-9A55-484C-B705-AFCA638D1A12}"/>
    <cellStyle name="Normal 11 3 2 4 6 2 2 2 2" xfId="40769" xr:uid="{41DC38F6-1042-454F-80B0-3ED3200DFBAA}"/>
    <cellStyle name="Normal 11 3 2 4 6 2 2 3" xfId="40770" xr:uid="{C8B4D84E-4DB1-4118-804B-E6671FFD1C7A}"/>
    <cellStyle name="Normal 11 3 2 4 6 2 3" xfId="40771" xr:uid="{8F438E3A-0B0E-4FE1-AC3E-E02C480086D0}"/>
    <cellStyle name="Normal 11 3 2 4 6 2 3 2" xfId="40772" xr:uid="{279094AF-D77B-47D1-B2FB-CCDF39633D12}"/>
    <cellStyle name="Normal 11 3 2 4 6 2 4" xfId="40773" xr:uid="{8B1D6A61-3AA8-4915-9DE4-0F00ADD24903}"/>
    <cellStyle name="Normal 11 3 2 4 6 3" xfId="40774" xr:uid="{BCB340E5-A1C4-4B3C-9C0F-3560F4DF7969}"/>
    <cellStyle name="Normal 11 3 2 4 6 3 2" xfId="40775" xr:uid="{3EC984E0-E6ED-4D5D-83E7-F00E79C832F7}"/>
    <cellStyle name="Normal 11 3 2 4 6 3 2 2" xfId="40776" xr:uid="{C1531111-CE90-474A-BB6C-03B7B4E787BB}"/>
    <cellStyle name="Normal 11 3 2 4 6 3 3" xfId="40777" xr:uid="{5D36F23A-6CD2-46E5-9D94-31FD32F45831}"/>
    <cellStyle name="Normal 11 3 2 4 6 4" xfId="40778" xr:uid="{7C6DFE98-3A86-4BB9-AB8C-9C4E3A22794D}"/>
    <cellStyle name="Normal 11 3 2 4 6 4 2" xfId="40779" xr:uid="{1667C83C-10DC-409B-9C2C-1AC5DDF6B819}"/>
    <cellStyle name="Normal 11 3 2 4 6 5" xfId="40780" xr:uid="{FB06A934-BAFC-4B99-82EA-33998A990DB2}"/>
    <cellStyle name="Normal 11 3 2 4 7" xfId="40781" xr:uid="{957CF134-BB02-42D0-AFD7-4384F26D32D8}"/>
    <cellStyle name="Normal 11 3 2 4 7 2" xfId="40782" xr:uid="{B06A4190-D91B-40EA-A2D3-0A1B1D954730}"/>
    <cellStyle name="Normal 11 3 2 4 7 2 2" xfId="40783" xr:uid="{A47BE43A-FCE4-4293-8BDE-E03CAD9A2058}"/>
    <cellStyle name="Normal 11 3 2 4 7 2 2 2" xfId="40784" xr:uid="{645AB36C-DBBC-4475-9187-B8E65CCCBCA2}"/>
    <cellStyle name="Normal 11 3 2 4 7 2 3" xfId="40785" xr:uid="{251EAD26-9B54-45FB-A816-87AD0D5A4481}"/>
    <cellStyle name="Normal 11 3 2 4 7 3" xfId="40786" xr:uid="{1AC7AF52-B1D8-4D0C-ABA5-FA480B48009E}"/>
    <cellStyle name="Normal 11 3 2 4 7 3 2" xfId="40787" xr:uid="{7AF93CFD-69F4-4FF4-A756-47D990235DE7}"/>
    <cellStyle name="Normal 11 3 2 4 7 4" xfId="40788" xr:uid="{CD700845-6B97-46D4-9971-203B74E84274}"/>
    <cellStyle name="Normal 11 3 2 4 8" xfId="40789" xr:uid="{3BC1C7F1-F351-437D-8058-16529F6A237D}"/>
    <cellStyle name="Normal 11 3 2 4 8 2" xfId="40790" xr:uid="{E9E34647-24F6-4C38-AC0D-3AF06F94B68B}"/>
    <cellStyle name="Normal 11 3 2 4 8 2 2" xfId="40791" xr:uid="{4C17897D-865E-465C-AAAA-A6B33294BC1A}"/>
    <cellStyle name="Normal 11 3 2 4 8 3" xfId="40792" xr:uid="{E663751B-946F-444B-91BE-7A232C80C9C6}"/>
    <cellStyle name="Normal 11 3 2 4 9" xfId="40793" xr:uid="{AF8F37A6-EB76-44E8-ADE8-8BF50DB21ACF}"/>
    <cellStyle name="Normal 11 3 2 4 9 2" xfId="40794" xr:uid="{56B82950-827A-405D-8771-0257CD30F6B2}"/>
    <cellStyle name="Normal 11 3 2 5" xfId="257" xr:uid="{3B28940D-0089-4F24-88EF-4B5D8CB997E4}"/>
    <cellStyle name="Normal 11 3 2 5 10" xfId="40795" xr:uid="{83402BC3-1028-4FB2-B33B-D7C95F59DC77}"/>
    <cellStyle name="Normal 11 3 2 5 11" xfId="597" xr:uid="{531A94E1-4CA4-4AEE-9440-6CBC0DC1B41F}"/>
    <cellStyle name="Normal 11 3 2 5 2" xfId="379" xr:uid="{E1E1F987-536C-4F95-A55D-F8F6F7A131DD}"/>
    <cellStyle name="Normal 11 3 2 5 2 10" xfId="40796" xr:uid="{0937B944-77A4-43AF-B178-4E5D7819ED06}"/>
    <cellStyle name="Normal 11 3 2 5 2 2" xfId="40797" xr:uid="{5C669FB6-F7D4-4F4D-AF78-E79D5842B622}"/>
    <cellStyle name="Normal 11 3 2 5 2 2 2" xfId="40798" xr:uid="{22D09D3C-E871-4B71-9394-9761F42DE6A8}"/>
    <cellStyle name="Normal 11 3 2 5 2 2 2 2" xfId="40799" xr:uid="{3A36D24D-4EE1-4A81-84CF-B97F56BE5885}"/>
    <cellStyle name="Normal 11 3 2 5 2 2 2 2 2" xfId="40800" xr:uid="{B8FE3895-5168-41EA-A033-2DF6439CB7D3}"/>
    <cellStyle name="Normal 11 3 2 5 2 2 2 2 2 2" xfId="40801" xr:uid="{8EBFDAB4-C351-42CA-AE83-B8C5DDA3433B}"/>
    <cellStyle name="Normal 11 3 2 5 2 2 2 2 2 2 2" xfId="40802" xr:uid="{20E97F84-9A9F-458A-9B77-2D10C48502F4}"/>
    <cellStyle name="Normal 11 3 2 5 2 2 2 2 2 2 2 2" xfId="40803" xr:uid="{A9CE9D6B-947F-46C6-A2CD-6E028A35618D}"/>
    <cellStyle name="Normal 11 3 2 5 2 2 2 2 2 2 2 2 2" xfId="40804" xr:uid="{50D972B9-4D5B-4E38-BA2B-27D5D7073721}"/>
    <cellStyle name="Normal 11 3 2 5 2 2 2 2 2 2 2 3" xfId="40805" xr:uid="{013276DD-4D1C-4E7C-9EC4-2C54C2968D92}"/>
    <cellStyle name="Normal 11 3 2 5 2 2 2 2 2 2 3" xfId="40806" xr:uid="{2C8AA00C-1755-4723-9F23-0A247406A2DA}"/>
    <cellStyle name="Normal 11 3 2 5 2 2 2 2 2 2 3 2" xfId="40807" xr:uid="{3C1F84F2-CDCC-47A4-AF15-A612236687F5}"/>
    <cellStyle name="Normal 11 3 2 5 2 2 2 2 2 2 4" xfId="40808" xr:uid="{0101BBDC-F353-4329-B968-F16B08FC3386}"/>
    <cellStyle name="Normal 11 3 2 5 2 2 2 2 2 3" xfId="40809" xr:uid="{36E4F918-92E6-4B29-8A9B-6B4AB7FC81EB}"/>
    <cellStyle name="Normal 11 3 2 5 2 2 2 2 2 3 2" xfId="40810" xr:uid="{F5E150E3-2854-49F9-A332-378FC604236E}"/>
    <cellStyle name="Normal 11 3 2 5 2 2 2 2 2 3 2 2" xfId="40811" xr:uid="{D2B23FDB-80C6-4992-A5B6-B057E50C603D}"/>
    <cellStyle name="Normal 11 3 2 5 2 2 2 2 2 3 3" xfId="40812" xr:uid="{0EBA1A1D-67E8-4490-A627-239EDC294CC8}"/>
    <cellStyle name="Normal 11 3 2 5 2 2 2 2 2 4" xfId="40813" xr:uid="{A94CEBE9-9981-4A47-B91F-83A1D9370266}"/>
    <cellStyle name="Normal 11 3 2 5 2 2 2 2 2 4 2" xfId="40814" xr:uid="{DDD3CBD8-73D1-40F2-8DA8-5D7DBC4B60E1}"/>
    <cellStyle name="Normal 11 3 2 5 2 2 2 2 2 5" xfId="40815" xr:uid="{98AB87AA-B6E6-466F-BCBB-3790B536446D}"/>
    <cellStyle name="Normal 11 3 2 5 2 2 2 2 3" xfId="40816" xr:uid="{0612D1E3-CDFA-4D8F-83A3-EF6AE699962C}"/>
    <cellStyle name="Normal 11 3 2 5 2 2 2 2 3 2" xfId="40817" xr:uid="{8446999E-CDDE-4FB3-9D49-60E28EE00F8F}"/>
    <cellStyle name="Normal 11 3 2 5 2 2 2 2 3 2 2" xfId="40818" xr:uid="{63211902-EB60-40CB-A581-F8F176160FA3}"/>
    <cellStyle name="Normal 11 3 2 5 2 2 2 2 3 2 2 2" xfId="40819" xr:uid="{351BDB91-738D-4F55-89B8-4E2C696AFA92}"/>
    <cellStyle name="Normal 11 3 2 5 2 2 2 2 3 2 3" xfId="40820" xr:uid="{E4E1A4F7-1E5C-472F-91E6-2D8F9ECF2331}"/>
    <cellStyle name="Normal 11 3 2 5 2 2 2 2 3 3" xfId="40821" xr:uid="{6058803E-D6BA-4F1D-A08D-1DF86605DEF5}"/>
    <cellStyle name="Normal 11 3 2 5 2 2 2 2 3 3 2" xfId="40822" xr:uid="{D99E882B-54A3-42D1-842B-BE47BA4E6CAE}"/>
    <cellStyle name="Normal 11 3 2 5 2 2 2 2 3 4" xfId="40823" xr:uid="{CD8CDE9A-DDE6-47B3-8BC4-47237067B9A1}"/>
    <cellStyle name="Normal 11 3 2 5 2 2 2 2 4" xfId="40824" xr:uid="{05319BD6-B792-4C91-B8D3-B878EEA19CD8}"/>
    <cellStyle name="Normal 11 3 2 5 2 2 2 2 4 2" xfId="40825" xr:uid="{B95E3B36-6424-40F9-9981-77685309C3FC}"/>
    <cellStyle name="Normal 11 3 2 5 2 2 2 2 4 2 2" xfId="40826" xr:uid="{11D29DC1-0564-4DB2-BC0D-6A7C7F757D70}"/>
    <cellStyle name="Normal 11 3 2 5 2 2 2 2 4 3" xfId="40827" xr:uid="{30168FB5-48C7-42B5-9716-CF057E9C5CA0}"/>
    <cellStyle name="Normal 11 3 2 5 2 2 2 2 5" xfId="40828" xr:uid="{6192D43F-0CBA-44AF-9ECB-15CF56D5735D}"/>
    <cellStyle name="Normal 11 3 2 5 2 2 2 2 5 2" xfId="40829" xr:uid="{5FEA138D-CD83-4963-B954-F01F6CE99326}"/>
    <cellStyle name="Normal 11 3 2 5 2 2 2 2 6" xfId="40830" xr:uid="{A6D565E2-406F-4FEA-B28B-D8636B3374CE}"/>
    <cellStyle name="Normal 11 3 2 5 2 2 2 3" xfId="40831" xr:uid="{55D6C012-87B2-4A4E-8C29-0D5F6C25A31D}"/>
    <cellStyle name="Normal 11 3 2 5 2 2 2 3 2" xfId="40832" xr:uid="{1DEFAA4B-D256-4F40-89B5-0B5EDC16363D}"/>
    <cellStyle name="Normal 11 3 2 5 2 2 2 3 2 2" xfId="40833" xr:uid="{B16903E9-24C6-49FB-9F55-8739D87AF38C}"/>
    <cellStyle name="Normal 11 3 2 5 2 2 2 3 2 2 2" xfId="40834" xr:uid="{94D62463-801F-43E5-B54F-7407AD0A7E25}"/>
    <cellStyle name="Normal 11 3 2 5 2 2 2 3 2 2 2 2" xfId="40835" xr:uid="{248AE1D7-3363-491D-A48B-2962BAAB3A32}"/>
    <cellStyle name="Normal 11 3 2 5 2 2 2 3 2 2 3" xfId="40836" xr:uid="{AE206B31-76E5-4BA3-B028-CEBE659CAD3A}"/>
    <cellStyle name="Normal 11 3 2 5 2 2 2 3 2 3" xfId="40837" xr:uid="{C3C31319-DBE7-47A0-AAD5-3616E665D03C}"/>
    <cellStyle name="Normal 11 3 2 5 2 2 2 3 2 3 2" xfId="40838" xr:uid="{675C7FF9-915B-45DA-B21A-E3381EEF2CE8}"/>
    <cellStyle name="Normal 11 3 2 5 2 2 2 3 2 4" xfId="40839" xr:uid="{C7D32462-6970-4446-AFED-8AC9474D8A09}"/>
    <cellStyle name="Normal 11 3 2 5 2 2 2 3 3" xfId="40840" xr:uid="{FE924050-76A8-4C61-9A98-A5607BE781F4}"/>
    <cellStyle name="Normal 11 3 2 5 2 2 2 3 3 2" xfId="40841" xr:uid="{FEF407AF-5588-462F-92EE-7DC5599E8C9D}"/>
    <cellStyle name="Normal 11 3 2 5 2 2 2 3 3 2 2" xfId="40842" xr:uid="{7FC2EE76-ABB2-4D10-ADC4-ED7D4CEE1A5B}"/>
    <cellStyle name="Normal 11 3 2 5 2 2 2 3 3 3" xfId="40843" xr:uid="{7E1F1FE0-90FE-4883-AAC8-4C5F55AE5C19}"/>
    <cellStyle name="Normal 11 3 2 5 2 2 2 3 4" xfId="40844" xr:uid="{672B680B-DC70-4333-8982-97D509326A04}"/>
    <cellStyle name="Normal 11 3 2 5 2 2 2 3 4 2" xfId="40845" xr:uid="{4CB1A28B-DEE5-4419-917B-30A9CF57EFFB}"/>
    <cellStyle name="Normal 11 3 2 5 2 2 2 3 5" xfId="40846" xr:uid="{72A6275A-EB92-4450-BD67-A9EADE25C56D}"/>
    <cellStyle name="Normal 11 3 2 5 2 2 2 4" xfId="40847" xr:uid="{D5FD4A94-BEB6-4C43-92FB-CACD9A199566}"/>
    <cellStyle name="Normal 11 3 2 5 2 2 2 4 2" xfId="40848" xr:uid="{6E0EC2BF-31B0-4FCD-858A-F8B192A75035}"/>
    <cellStyle name="Normal 11 3 2 5 2 2 2 4 2 2" xfId="40849" xr:uid="{020B85E3-17D3-470E-A8FD-2B76CC0DBF6E}"/>
    <cellStyle name="Normal 11 3 2 5 2 2 2 4 2 2 2" xfId="40850" xr:uid="{3FF6AE2B-B1AE-460A-8B41-DD7575F1758B}"/>
    <cellStyle name="Normal 11 3 2 5 2 2 2 4 2 3" xfId="40851" xr:uid="{B0880DEE-EE17-4D1F-B1B7-E0324EE091CA}"/>
    <cellStyle name="Normal 11 3 2 5 2 2 2 4 3" xfId="40852" xr:uid="{1F6DF03E-F7A5-432F-AA0E-161CAB0A9ABB}"/>
    <cellStyle name="Normal 11 3 2 5 2 2 2 4 3 2" xfId="40853" xr:uid="{2A6A61F6-376E-4879-80CC-37F0316C2C41}"/>
    <cellStyle name="Normal 11 3 2 5 2 2 2 4 4" xfId="40854" xr:uid="{982F7665-43CE-49FA-A579-DF0D573E7EDD}"/>
    <cellStyle name="Normal 11 3 2 5 2 2 2 5" xfId="40855" xr:uid="{328C5218-7263-45A8-B256-35E8B5D15824}"/>
    <cellStyle name="Normal 11 3 2 5 2 2 2 5 2" xfId="40856" xr:uid="{5AC8B1FD-2D2D-48BF-9A0A-B1EB4E14107E}"/>
    <cellStyle name="Normal 11 3 2 5 2 2 2 5 2 2" xfId="40857" xr:uid="{8A28D41D-2547-4C1F-9D27-5473B73C77E1}"/>
    <cellStyle name="Normal 11 3 2 5 2 2 2 5 3" xfId="40858" xr:uid="{323098C7-81E1-4467-90F9-B98FF37CE673}"/>
    <cellStyle name="Normal 11 3 2 5 2 2 2 6" xfId="40859" xr:uid="{DD3D06FE-6E26-475B-916B-031B62ED4F11}"/>
    <cellStyle name="Normal 11 3 2 5 2 2 2 6 2" xfId="40860" xr:uid="{3C98CB56-2A1A-43CF-9CED-8D67453E2D15}"/>
    <cellStyle name="Normal 11 3 2 5 2 2 2 7" xfId="40861" xr:uid="{03536940-B56C-45C0-B3C7-D5125A80E953}"/>
    <cellStyle name="Normal 11 3 2 5 2 2 3" xfId="40862" xr:uid="{3E2E52E1-EC4F-48F8-8F8E-23DF7F6F957A}"/>
    <cellStyle name="Normal 11 3 2 5 2 2 3 2" xfId="40863" xr:uid="{83557BB3-8BAE-4F56-8817-14115D9D04DF}"/>
    <cellStyle name="Normal 11 3 2 5 2 2 3 2 2" xfId="40864" xr:uid="{3369AC75-4194-4B39-8DC3-AAE3B4CC142C}"/>
    <cellStyle name="Normal 11 3 2 5 2 2 3 2 2 2" xfId="40865" xr:uid="{C5DF5DE5-4C55-4ACA-A6E1-22FE130B7E1A}"/>
    <cellStyle name="Normal 11 3 2 5 2 2 3 2 2 2 2" xfId="40866" xr:uid="{ED9D50F0-AC6D-4D00-88AC-6671D05D69DB}"/>
    <cellStyle name="Normal 11 3 2 5 2 2 3 2 2 2 2 2" xfId="40867" xr:uid="{5EF54946-0BE0-41DE-8C2A-EC447D3F7684}"/>
    <cellStyle name="Normal 11 3 2 5 2 2 3 2 2 2 3" xfId="40868" xr:uid="{3C3C32CD-BB96-405A-B7D1-0456FB6F48B8}"/>
    <cellStyle name="Normal 11 3 2 5 2 2 3 2 2 3" xfId="40869" xr:uid="{2F82741B-60F2-4B1F-AF44-3AA012100826}"/>
    <cellStyle name="Normal 11 3 2 5 2 2 3 2 2 3 2" xfId="40870" xr:uid="{E0A2FFEE-3EBE-4338-B63F-12CF886A627D}"/>
    <cellStyle name="Normal 11 3 2 5 2 2 3 2 2 4" xfId="40871" xr:uid="{2791A50B-E184-4257-8086-ECF755E71641}"/>
    <cellStyle name="Normal 11 3 2 5 2 2 3 2 3" xfId="40872" xr:uid="{53CAB544-ADBC-4279-8813-5A79A2F1F643}"/>
    <cellStyle name="Normal 11 3 2 5 2 2 3 2 3 2" xfId="40873" xr:uid="{23A2A2E1-FB4B-40A1-B5AB-5EF21D13AD6C}"/>
    <cellStyle name="Normal 11 3 2 5 2 2 3 2 3 2 2" xfId="40874" xr:uid="{D84E944B-0227-4297-BEA5-1999414DCD8B}"/>
    <cellStyle name="Normal 11 3 2 5 2 2 3 2 3 3" xfId="40875" xr:uid="{ACC16663-7D9A-4C4A-A3D3-0DA1301484C8}"/>
    <cellStyle name="Normal 11 3 2 5 2 2 3 2 4" xfId="40876" xr:uid="{148B6001-2D64-47C1-8D2A-DB8DCA88F185}"/>
    <cellStyle name="Normal 11 3 2 5 2 2 3 2 4 2" xfId="40877" xr:uid="{0A5E2BE5-C7F3-4DE0-8377-8AAEDBB8D4AF}"/>
    <cellStyle name="Normal 11 3 2 5 2 2 3 2 5" xfId="40878" xr:uid="{1E6FF567-6FCF-4E2F-A7E0-67FA41C3A7D8}"/>
    <cellStyle name="Normal 11 3 2 5 2 2 3 3" xfId="40879" xr:uid="{7705E7B1-1B0C-4BAB-ADAA-991E08873CF7}"/>
    <cellStyle name="Normal 11 3 2 5 2 2 3 3 2" xfId="40880" xr:uid="{0262518E-4389-40DD-A2B9-D0258C3B3E82}"/>
    <cellStyle name="Normal 11 3 2 5 2 2 3 3 2 2" xfId="40881" xr:uid="{8201BC36-939B-4E36-A1E3-4A686D4B19D7}"/>
    <cellStyle name="Normal 11 3 2 5 2 2 3 3 2 2 2" xfId="40882" xr:uid="{2F769443-FC56-4BF7-BE8C-2583B9123AFF}"/>
    <cellStyle name="Normal 11 3 2 5 2 2 3 3 2 3" xfId="40883" xr:uid="{6DE916F1-F5DC-4850-AF10-2690E0312149}"/>
    <cellStyle name="Normal 11 3 2 5 2 2 3 3 3" xfId="40884" xr:uid="{D6F64CB4-D74D-44C0-B539-975BAB97E1E4}"/>
    <cellStyle name="Normal 11 3 2 5 2 2 3 3 3 2" xfId="40885" xr:uid="{56BD8B45-4A5F-4F19-9990-FCA4E51650D2}"/>
    <cellStyle name="Normal 11 3 2 5 2 2 3 3 4" xfId="40886" xr:uid="{344FED8B-DD7F-4B63-90EF-096F6C7D4A85}"/>
    <cellStyle name="Normal 11 3 2 5 2 2 3 4" xfId="40887" xr:uid="{60859328-7E4A-4570-B61B-495688A47CA1}"/>
    <cellStyle name="Normal 11 3 2 5 2 2 3 4 2" xfId="40888" xr:uid="{4A972A23-84E5-4A16-AFD6-C0F8DB04D8D2}"/>
    <cellStyle name="Normal 11 3 2 5 2 2 3 4 2 2" xfId="40889" xr:uid="{E0C09011-F307-4BF7-805C-449512A12B05}"/>
    <cellStyle name="Normal 11 3 2 5 2 2 3 4 3" xfId="40890" xr:uid="{7673D4AE-4DC5-4AE9-AC8B-564BD3C53938}"/>
    <cellStyle name="Normal 11 3 2 5 2 2 3 5" xfId="40891" xr:uid="{C54D6314-1270-451E-ABB1-D74E5303DDDF}"/>
    <cellStyle name="Normal 11 3 2 5 2 2 3 5 2" xfId="40892" xr:uid="{E9A10206-92F1-486E-ADBD-762F27235491}"/>
    <cellStyle name="Normal 11 3 2 5 2 2 3 6" xfId="40893" xr:uid="{1F32665E-F6F9-4E82-B7C2-C6B9AF98873F}"/>
    <cellStyle name="Normal 11 3 2 5 2 2 4" xfId="40894" xr:uid="{3644BBCD-F99C-4B6A-95A8-4B6F2CC03C13}"/>
    <cellStyle name="Normal 11 3 2 5 2 2 4 2" xfId="40895" xr:uid="{EAF763AC-D7B0-489C-9F48-E728A8AB0D0F}"/>
    <cellStyle name="Normal 11 3 2 5 2 2 4 2 2" xfId="40896" xr:uid="{DAB11223-B02F-41C9-BD88-7E4E67D77A92}"/>
    <cellStyle name="Normal 11 3 2 5 2 2 4 2 2 2" xfId="40897" xr:uid="{1F192CEB-9F8B-42CB-855E-966EC4EE3B46}"/>
    <cellStyle name="Normal 11 3 2 5 2 2 4 2 2 2 2" xfId="40898" xr:uid="{75957499-081E-4232-BF65-E7FBE944CF8E}"/>
    <cellStyle name="Normal 11 3 2 5 2 2 4 2 2 3" xfId="40899" xr:uid="{ADC70A54-1DA7-4B6B-B2E4-A89ABE17CA71}"/>
    <cellStyle name="Normal 11 3 2 5 2 2 4 2 3" xfId="40900" xr:uid="{7118C987-0C08-4C89-BB1D-408A0F387EF1}"/>
    <cellStyle name="Normal 11 3 2 5 2 2 4 2 3 2" xfId="40901" xr:uid="{1A8FDA12-37FF-4478-8ED9-ED05EFE8ACC1}"/>
    <cellStyle name="Normal 11 3 2 5 2 2 4 2 4" xfId="40902" xr:uid="{A0A25AE7-50C2-4CCD-890C-07B7EE8C2D16}"/>
    <cellStyle name="Normal 11 3 2 5 2 2 4 3" xfId="40903" xr:uid="{531AE9DF-454F-480C-8B40-6DB0CAFC97B1}"/>
    <cellStyle name="Normal 11 3 2 5 2 2 4 3 2" xfId="40904" xr:uid="{D1DD5EBA-5815-42E7-B863-614CA205792A}"/>
    <cellStyle name="Normal 11 3 2 5 2 2 4 3 2 2" xfId="40905" xr:uid="{391149CE-1703-4AB5-8B4F-6C538AAB12B6}"/>
    <cellStyle name="Normal 11 3 2 5 2 2 4 3 3" xfId="40906" xr:uid="{0D919ED4-848F-4647-A74A-2AAF9587309F}"/>
    <cellStyle name="Normal 11 3 2 5 2 2 4 4" xfId="40907" xr:uid="{5E706360-5233-408E-AC1F-B6C37F3E7B0C}"/>
    <cellStyle name="Normal 11 3 2 5 2 2 4 4 2" xfId="40908" xr:uid="{52D2AC66-2859-42B3-8DF0-699C3BC1D2A9}"/>
    <cellStyle name="Normal 11 3 2 5 2 2 4 5" xfId="40909" xr:uid="{5D27B2C5-C397-44B2-BE69-7D352E81D22D}"/>
    <cellStyle name="Normal 11 3 2 5 2 2 5" xfId="40910" xr:uid="{786C0E2B-3938-4084-B2AB-AB9C81952466}"/>
    <cellStyle name="Normal 11 3 2 5 2 2 5 2" xfId="40911" xr:uid="{C8321696-406A-4340-9172-6887AE05E4F1}"/>
    <cellStyle name="Normal 11 3 2 5 2 2 5 2 2" xfId="40912" xr:uid="{BFBD9AD2-9F33-45BA-B793-CB6E8C8264FD}"/>
    <cellStyle name="Normal 11 3 2 5 2 2 5 2 2 2" xfId="40913" xr:uid="{8848709C-42F6-474A-B7D3-4A9907E2B818}"/>
    <cellStyle name="Normal 11 3 2 5 2 2 5 2 3" xfId="40914" xr:uid="{1207A292-12D0-4E4C-A7BB-EE006B03909B}"/>
    <cellStyle name="Normal 11 3 2 5 2 2 5 3" xfId="40915" xr:uid="{EBB81695-DD48-435A-877E-94A47E8207C5}"/>
    <cellStyle name="Normal 11 3 2 5 2 2 5 3 2" xfId="40916" xr:uid="{36587DE8-C756-4CC1-983F-81333C5FA13A}"/>
    <cellStyle name="Normal 11 3 2 5 2 2 5 4" xfId="40917" xr:uid="{BA6E2E60-000D-4617-8DF5-E6ED1D843C13}"/>
    <cellStyle name="Normal 11 3 2 5 2 2 6" xfId="40918" xr:uid="{30CA378A-7D7B-41ED-9A50-007F85E1AA89}"/>
    <cellStyle name="Normal 11 3 2 5 2 2 6 2" xfId="40919" xr:uid="{CE7B98C0-4693-4F56-BED1-E878501B75C6}"/>
    <cellStyle name="Normal 11 3 2 5 2 2 6 2 2" xfId="40920" xr:uid="{8D67E59A-291C-41D4-918A-765C4DAEFE06}"/>
    <cellStyle name="Normal 11 3 2 5 2 2 6 3" xfId="40921" xr:uid="{17C32C80-033B-432A-BDF2-E798D2655196}"/>
    <cellStyle name="Normal 11 3 2 5 2 2 7" xfId="40922" xr:uid="{C6681202-3FC6-471A-9C0A-C765F8E5FC07}"/>
    <cellStyle name="Normal 11 3 2 5 2 2 7 2" xfId="40923" xr:uid="{FB97AFA1-2179-4B7E-80F6-18810A9B8131}"/>
    <cellStyle name="Normal 11 3 2 5 2 2 8" xfId="40924" xr:uid="{25EBE21B-7038-4FDA-A355-8F9730F1BDD4}"/>
    <cellStyle name="Normal 11 3 2 5 2 3" xfId="40925" xr:uid="{0EE6181B-2D6B-4D2A-8114-E7FD515CF92F}"/>
    <cellStyle name="Normal 11 3 2 5 2 3 2" xfId="40926" xr:uid="{45C985BF-5919-4C44-AEF6-CEE911338960}"/>
    <cellStyle name="Normal 11 3 2 5 2 3 2 2" xfId="40927" xr:uid="{06AAA457-55AE-434D-BADB-DBBF1CD9107E}"/>
    <cellStyle name="Normal 11 3 2 5 2 3 2 2 2" xfId="40928" xr:uid="{1DD365BB-CC28-4163-842D-8FA2AEEB5680}"/>
    <cellStyle name="Normal 11 3 2 5 2 3 2 2 2 2" xfId="40929" xr:uid="{9A144E89-FC24-4AD7-96BF-A6EC4149B258}"/>
    <cellStyle name="Normal 11 3 2 5 2 3 2 2 2 2 2" xfId="40930" xr:uid="{D8247642-AEDF-4104-831F-46BE57F7D784}"/>
    <cellStyle name="Normal 11 3 2 5 2 3 2 2 2 2 2 2" xfId="40931" xr:uid="{F18F0FAC-8BB4-47F8-9FF0-3128C455B36F}"/>
    <cellStyle name="Normal 11 3 2 5 2 3 2 2 2 2 3" xfId="40932" xr:uid="{037DB447-DF6D-4370-BC58-655CE8082F2B}"/>
    <cellStyle name="Normal 11 3 2 5 2 3 2 2 2 3" xfId="40933" xr:uid="{F70680D1-6AC6-4EFB-887C-F8240E7655FD}"/>
    <cellStyle name="Normal 11 3 2 5 2 3 2 2 2 3 2" xfId="40934" xr:uid="{A6799610-88BE-4292-9FC6-DFEB7EDDCD67}"/>
    <cellStyle name="Normal 11 3 2 5 2 3 2 2 2 4" xfId="40935" xr:uid="{55D3E2B6-05AE-4714-A542-4879822DBCF4}"/>
    <cellStyle name="Normal 11 3 2 5 2 3 2 2 3" xfId="40936" xr:uid="{4C32B5F1-F7D5-4851-9035-2308CCB57B33}"/>
    <cellStyle name="Normal 11 3 2 5 2 3 2 2 3 2" xfId="40937" xr:uid="{AA0779FA-21F3-4935-9A2C-DB0F0E95F751}"/>
    <cellStyle name="Normal 11 3 2 5 2 3 2 2 3 2 2" xfId="40938" xr:uid="{584204CD-2AA1-4273-9019-CDD537029717}"/>
    <cellStyle name="Normal 11 3 2 5 2 3 2 2 3 3" xfId="40939" xr:uid="{1CD3ED29-FDD4-422B-AD86-FE4FB0EC0E13}"/>
    <cellStyle name="Normal 11 3 2 5 2 3 2 2 4" xfId="40940" xr:uid="{814D789E-4323-4098-B7BC-0027836078A4}"/>
    <cellStyle name="Normal 11 3 2 5 2 3 2 2 4 2" xfId="40941" xr:uid="{200BCB23-DD86-41E4-B501-706B893707F3}"/>
    <cellStyle name="Normal 11 3 2 5 2 3 2 2 5" xfId="40942" xr:uid="{08D2994B-DBCE-462F-943A-41E847D84BC2}"/>
    <cellStyle name="Normal 11 3 2 5 2 3 2 3" xfId="40943" xr:uid="{D2BCC7EB-4EBA-4628-B8C0-3B26C3158F50}"/>
    <cellStyle name="Normal 11 3 2 5 2 3 2 3 2" xfId="40944" xr:uid="{7AD3568F-6778-4AF5-9311-4BC0C11A44BE}"/>
    <cellStyle name="Normal 11 3 2 5 2 3 2 3 2 2" xfId="40945" xr:uid="{E5BD3B67-990D-4CCE-B724-AD4D043F39DD}"/>
    <cellStyle name="Normal 11 3 2 5 2 3 2 3 2 2 2" xfId="40946" xr:uid="{811449B6-F53A-45C1-86A2-760BA589EAB9}"/>
    <cellStyle name="Normal 11 3 2 5 2 3 2 3 2 3" xfId="40947" xr:uid="{B7255329-A3CF-4702-85E4-BFEFFFE60738}"/>
    <cellStyle name="Normal 11 3 2 5 2 3 2 3 3" xfId="40948" xr:uid="{0FE09242-B60F-4C64-826C-1DF0E09272DD}"/>
    <cellStyle name="Normal 11 3 2 5 2 3 2 3 3 2" xfId="40949" xr:uid="{1965E538-0DEE-4D05-84F3-D112CF143441}"/>
    <cellStyle name="Normal 11 3 2 5 2 3 2 3 4" xfId="40950" xr:uid="{68755FC9-BACB-4C27-AF56-B09A04F7D08E}"/>
    <cellStyle name="Normal 11 3 2 5 2 3 2 4" xfId="40951" xr:uid="{051CF377-4B46-472D-8BDF-DCDB5FA6D074}"/>
    <cellStyle name="Normal 11 3 2 5 2 3 2 4 2" xfId="40952" xr:uid="{4363E1B9-9E77-4717-AF28-088310F38FA2}"/>
    <cellStyle name="Normal 11 3 2 5 2 3 2 4 2 2" xfId="40953" xr:uid="{951ECBAC-8508-4F62-97ED-5CF18664359B}"/>
    <cellStyle name="Normal 11 3 2 5 2 3 2 4 3" xfId="40954" xr:uid="{BD44867A-F39E-406A-AFB9-5F210B63764F}"/>
    <cellStyle name="Normal 11 3 2 5 2 3 2 5" xfId="40955" xr:uid="{37F13F44-DD80-4838-A499-A0EF2DBD1ECD}"/>
    <cellStyle name="Normal 11 3 2 5 2 3 2 5 2" xfId="40956" xr:uid="{A07CB6D4-CFDA-43F8-A63E-B1A802836CB5}"/>
    <cellStyle name="Normal 11 3 2 5 2 3 2 6" xfId="40957" xr:uid="{57555A36-280B-4441-9AE1-8EF99506FB61}"/>
    <cellStyle name="Normal 11 3 2 5 2 3 3" xfId="40958" xr:uid="{C438F06A-0D43-4CD3-9DD2-AAB455D6D25E}"/>
    <cellStyle name="Normal 11 3 2 5 2 3 3 2" xfId="40959" xr:uid="{C02024FD-D58C-410D-8268-CC9F08669ABD}"/>
    <cellStyle name="Normal 11 3 2 5 2 3 3 2 2" xfId="40960" xr:uid="{732FE04F-1037-4335-AA38-A34D5FF81C8A}"/>
    <cellStyle name="Normal 11 3 2 5 2 3 3 2 2 2" xfId="40961" xr:uid="{906FF27C-2C16-411B-B3BE-257E72521D7E}"/>
    <cellStyle name="Normal 11 3 2 5 2 3 3 2 2 2 2" xfId="40962" xr:uid="{C8DE3C25-E81E-452E-B0A6-9CB7E1A6EB84}"/>
    <cellStyle name="Normal 11 3 2 5 2 3 3 2 2 3" xfId="40963" xr:uid="{D04A8EF1-773E-4241-B1A7-0F26553FDEB4}"/>
    <cellStyle name="Normal 11 3 2 5 2 3 3 2 3" xfId="40964" xr:uid="{B89A9EDF-99D9-4671-8797-4EBA8E5A2CAD}"/>
    <cellStyle name="Normal 11 3 2 5 2 3 3 2 3 2" xfId="40965" xr:uid="{20A9F98C-623D-49B1-8EA7-06E83DB07C47}"/>
    <cellStyle name="Normal 11 3 2 5 2 3 3 2 4" xfId="40966" xr:uid="{9FB2F234-D4A7-45C5-99CA-DBED41DC9C30}"/>
    <cellStyle name="Normal 11 3 2 5 2 3 3 3" xfId="40967" xr:uid="{AC7E06FE-A91F-4A2E-A965-D69D15E91306}"/>
    <cellStyle name="Normal 11 3 2 5 2 3 3 3 2" xfId="40968" xr:uid="{D2730F40-265B-4F29-896D-F5C650FFA949}"/>
    <cellStyle name="Normal 11 3 2 5 2 3 3 3 2 2" xfId="40969" xr:uid="{F42A18EC-9515-4664-B742-EA789B4BFB75}"/>
    <cellStyle name="Normal 11 3 2 5 2 3 3 3 3" xfId="40970" xr:uid="{D853FC62-79F3-48F1-B4BF-7F4DD6B4136D}"/>
    <cellStyle name="Normal 11 3 2 5 2 3 3 4" xfId="40971" xr:uid="{31467B42-F121-42BB-A54C-310560760DF9}"/>
    <cellStyle name="Normal 11 3 2 5 2 3 3 4 2" xfId="40972" xr:uid="{DF85C517-197E-4A23-A0FD-6FFF9AE47E04}"/>
    <cellStyle name="Normal 11 3 2 5 2 3 3 5" xfId="40973" xr:uid="{93B889AD-3DB4-4BE1-BBC0-0F05A566EB24}"/>
    <cellStyle name="Normal 11 3 2 5 2 3 4" xfId="40974" xr:uid="{CA8B8EBD-B1C1-4734-A213-0957DB82CC9C}"/>
    <cellStyle name="Normal 11 3 2 5 2 3 4 2" xfId="40975" xr:uid="{C7A71C70-0F86-4479-83AA-93A23A57F7CB}"/>
    <cellStyle name="Normal 11 3 2 5 2 3 4 2 2" xfId="40976" xr:uid="{883FE4D5-8BDE-4588-8EFF-A6DEE984BBCA}"/>
    <cellStyle name="Normal 11 3 2 5 2 3 4 2 2 2" xfId="40977" xr:uid="{0ACC8928-6AB1-4636-86A4-36506E3C5126}"/>
    <cellStyle name="Normal 11 3 2 5 2 3 4 2 3" xfId="40978" xr:uid="{49215530-82E3-47C0-A3E9-C33AAC70FC6B}"/>
    <cellStyle name="Normal 11 3 2 5 2 3 4 3" xfId="40979" xr:uid="{F4D9F3BB-C839-42B0-AFF6-425B9B3603C1}"/>
    <cellStyle name="Normal 11 3 2 5 2 3 4 3 2" xfId="40980" xr:uid="{E8A4EA37-CFAD-4D5A-9AC8-1A85FC0EA40A}"/>
    <cellStyle name="Normal 11 3 2 5 2 3 4 4" xfId="40981" xr:uid="{8EBA1043-D4CA-484D-8C89-8C13374BB190}"/>
    <cellStyle name="Normal 11 3 2 5 2 3 5" xfId="40982" xr:uid="{0D989B70-018F-44EA-919B-D3272D38A2E7}"/>
    <cellStyle name="Normal 11 3 2 5 2 3 5 2" xfId="40983" xr:uid="{167A84E0-40FA-4E46-8F14-3ECFD33B840D}"/>
    <cellStyle name="Normal 11 3 2 5 2 3 5 2 2" xfId="40984" xr:uid="{913F5525-8A40-4BEA-905D-64BDD17139D7}"/>
    <cellStyle name="Normal 11 3 2 5 2 3 5 3" xfId="40985" xr:uid="{5BA9FC68-31C3-4C7D-B5F0-8B9C14556B76}"/>
    <cellStyle name="Normal 11 3 2 5 2 3 6" xfId="40986" xr:uid="{B8C65A3C-30E9-4A13-BE71-E515D4A7BD96}"/>
    <cellStyle name="Normal 11 3 2 5 2 3 6 2" xfId="40987" xr:uid="{CE1B909E-00FD-42A8-BD76-97C71D04BC73}"/>
    <cellStyle name="Normal 11 3 2 5 2 3 7" xfId="40988" xr:uid="{E29E58EC-7679-43D0-B64B-390EFD2479D7}"/>
    <cellStyle name="Normal 11 3 2 5 2 4" xfId="40989" xr:uid="{152B766B-2C2E-4757-92E0-2B9B4ADC7AB2}"/>
    <cellStyle name="Normal 11 3 2 5 2 4 2" xfId="40990" xr:uid="{E5C2E010-3600-47A6-A6B5-6F6B26EE42AC}"/>
    <cellStyle name="Normal 11 3 2 5 2 4 2 2" xfId="40991" xr:uid="{A0E9A353-57D8-4621-86B3-BB71F2209E23}"/>
    <cellStyle name="Normal 11 3 2 5 2 4 2 2 2" xfId="40992" xr:uid="{BC93D860-2148-4DD0-8D4E-D4A2AF65C88F}"/>
    <cellStyle name="Normal 11 3 2 5 2 4 2 2 2 2" xfId="40993" xr:uid="{BCB82D7B-F9D4-40FE-957D-11C08C06B0E3}"/>
    <cellStyle name="Normal 11 3 2 5 2 4 2 2 2 2 2" xfId="40994" xr:uid="{B36AD18C-E946-467E-B77B-418CBC6F9747}"/>
    <cellStyle name="Normal 11 3 2 5 2 4 2 2 2 3" xfId="40995" xr:uid="{FA5AADB7-D675-4184-9316-D82D0CEA96BA}"/>
    <cellStyle name="Normal 11 3 2 5 2 4 2 2 3" xfId="40996" xr:uid="{EA9ED546-70CA-4A9F-8BE7-D20467C225BF}"/>
    <cellStyle name="Normal 11 3 2 5 2 4 2 2 3 2" xfId="40997" xr:uid="{3CF4C16D-39AF-4D95-AEB7-E5379035AD28}"/>
    <cellStyle name="Normal 11 3 2 5 2 4 2 2 4" xfId="40998" xr:uid="{742D49C7-1D3C-433E-B1C6-DB1B314E2597}"/>
    <cellStyle name="Normal 11 3 2 5 2 4 2 3" xfId="40999" xr:uid="{D4EB9D0F-2EAE-4AAB-8ED4-9310846A0C2A}"/>
    <cellStyle name="Normal 11 3 2 5 2 4 2 3 2" xfId="41000" xr:uid="{19F67D18-89F0-4B5F-AB0E-5EB72F358434}"/>
    <cellStyle name="Normal 11 3 2 5 2 4 2 3 2 2" xfId="41001" xr:uid="{E7E9B507-11FE-4D46-981A-DCB86B72BD94}"/>
    <cellStyle name="Normal 11 3 2 5 2 4 2 3 3" xfId="41002" xr:uid="{E10CC3A1-AC06-4667-A263-116337A2D141}"/>
    <cellStyle name="Normal 11 3 2 5 2 4 2 4" xfId="41003" xr:uid="{AB847CA9-1491-402D-AE3A-0AF01FC14D40}"/>
    <cellStyle name="Normal 11 3 2 5 2 4 2 4 2" xfId="41004" xr:uid="{61D76175-8496-4DD7-A6C6-D1EF77485247}"/>
    <cellStyle name="Normal 11 3 2 5 2 4 2 5" xfId="41005" xr:uid="{1DB11532-D101-43F6-BB81-D013639913AF}"/>
    <cellStyle name="Normal 11 3 2 5 2 4 3" xfId="41006" xr:uid="{3FCD0E30-7136-4228-BD0B-FEFB14558653}"/>
    <cellStyle name="Normal 11 3 2 5 2 4 3 2" xfId="41007" xr:uid="{4FE54EDD-9D26-4D9B-9C22-C718C0DE35BA}"/>
    <cellStyle name="Normal 11 3 2 5 2 4 3 2 2" xfId="41008" xr:uid="{844EFD86-BAF0-405D-8865-AB39DE948320}"/>
    <cellStyle name="Normal 11 3 2 5 2 4 3 2 2 2" xfId="41009" xr:uid="{A44B28BF-93C5-4625-B601-EEFE949B116F}"/>
    <cellStyle name="Normal 11 3 2 5 2 4 3 2 3" xfId="41010" xr:uid="{C44FC0DD-BBE9-494E-95AD-3D9DC3A83329}"/>
    <cellStyle name="Normal 11 3 2 5 2 4 3 3" xfId="41011" xr:uid="{69BE3565-4749-4689-B1FA-6E6DEE3563E6}"/>
    <cellStyle name="Normal 11 3 2 5 2 4 3 3 2" xfId="41012" xr:uid="{DFE6A08F-DCF3-4692-8EF3-DA6866F2C0BD}"/>
    <cellStyle name="Normal 11 3 2 5 2 4 3 4" xfId="41013" xr:uid="{6128E670-764E-4986-8507-E076FB0A17D8}"/>
    <cellStyle name="Normal 11 3 2 5 2 4 4" xfId="41014" xr:uid="{E3691E4D-6FE9-4BEF-BB1B-213B9FA2E36C}"/>
    <cellStyle name="Normal 11 3 2 5 2 4 4 2" xfId="41015" xr:uid="{A31C5A69-5A85-4D44-B969-DED14BA38E3A}"/>
    <cellStyle name="Normal 11 3 2 5 2 4 4 2 2" xfId="41016" xr:uid="{C7FA1D4C-7CF7-4540-A8D9-F6B265092FF3}"/>
    <cellStyle name="Normal 11 3 2 5 2 4 4 3" xfId="41017" xr:uid="{B4BCAE14-3EE8-4A2F-BED9-442CBB12D3B4}"/>
    <cellStyle name="Normal 11 3 2 5 2 4 5" xfId="41018" xr:uid="{716BDB66-0B34-4336-AACA-260AB97D83C9}"/>
    <cellStyle name="Normal 11 3 2 5 2 4 5 2" xfId="41019" xr:uid="{E5AB23BA-1A9A-47CC-B7C5-CCA23D65BD10}"/>
    <cellStyle name="Normal 11 3 2 5 2 4 6" xfId="41020" xr:uid="{D47CCD5A-1066-483F-81F0-8CE699987B15}"/>
    <cellStyle name="Normal 11 3 2 5 2 5" xfId="41021" xr:uid="{DFA94E6A-132A-467F-9476-7AE7AB4AC78C}"/>
    <cellStyle name="Normal 11 3 2 5 2 5 2" xfId="41022" xr:uid="{2351CBED-74DD-4689-8C38-5A61151CFFB4}"/>
    <cellStyle name="Normal 11 3 2 5 2 5 2 2" xfId="41023" xr:uid="{69E8E97F-F226-4F66-B0FB-2230C28532D0}"/>
    <cellStyle name="Normal 11 3 2 5 2 5 2 2 2" xfId="41024" xr:uid="{21E04E0E-1D14-4463-8A9A-B53F5183E9B5}"/>
    <cellStyle name="Normal 11 3 2 5 2 5 2 2 2 2" xfId="41025" xr:uid="{9D94A554-40AA-4346-9FC9-0AC7438F153C}"/>
    <cellStyle name="Normal 11 3 2 5 2 5 2 2 3" xfId="41026" xr:uid="{8289CBED-52CA-4E6D-BB08-82119D9B72C4}"/>
    <cellStyle name="Normal 11 3 2 5 2 5 2 3" xfId="41027" xr:uid="{380587F3-0297-482E-B882-1E792E1C8098}"/>
    <cellStyle name="Normal 11 3 2 5 2 5 2 3 2" xfId="41028" xr:uid="{FB1EFB66-47BF-449D-B88D-6A6FC9966476}"/>
    <cellStyle name="Normal 11 3 2 5 2 5 2 4" xfId="41029" xr:uid="{D247D627-08E3-4F6C-BEE4-A1AA61266563}"/>
    <cellStyle name="Normal 11 3 2 5 2 5 3" xfId="41030" xr:uid="{EFA655A7-7180-459C-BCCB-D534DDF08A30}"/>
    <cellStyle name="Normal 11 3 2 5 2 5 3 2" xfId="41031" xr:uid="{65F13989-BF6E-495F-B8C0-4C608D50D43D}"/>
    <cellStyle name="Normal 11 3 2 5 2 5 3 2 2" xfId="41032" xr:uid="{8AAD5FA3-92EE-47D1-8940-E9BB844A6BE4}"/>
    <cellStyle name="Normal 11 3 2 5 2 5 3 3" xfId="41033" xr:uid="{8FEA7FD3-3C47-4179-8953-890ADACEE924}"/>
    <cellStyle name="Normal 11 3 2 5 2 5 4" xfId="41034" xr:uid="{1860A1B2-D410-4E84-9CC3-32D2BCC70D21}"/>
    <cellStyle name="Normal 11 3 2 5 2 5 4 2" xfId="41035" xr:uid="{2087E39D-FD70-4535-8E4A-4C0C1FCFDB88}"/>
    <cellStyle name="Normal 11 3 2 5 2 5 5" xfId="41036" xr:uid="{04A7C08A-98C8-47C9-97C2-61AA8EAE75C5}"/>
    <cellStyle name="Normal 11 3 2 5 2 6" xfId="41037" xr:uid="{34F730AD-7D53-4B43-97A8-F9CDF793FB02}"/>
    <cellStyle name="Normal 11 3 2 5 2 6 2" xfId="41038" xr:uid="{8B1F4F51-4EAF-4BA5-B61C-EFAE971DDC1A}"/>
    <cellStyle name="Normal 11 3 2 5 2 6 2 2" xfId="41039" xr:uid="{D5C95749-71A1-4774-AC29-CDD5C9E823E8}"/>
    <cellStyle name="Normal 11 3 2 5 2 6 2 2 2" xfId="41040" xr:uid="{E99FC2EF-34AA-47C0-85F9-4998B718832F}"/>
    <cellStyle name="Normal 11 3 2 5 2 6 2 3" xfId="41041" xr:uid="{6C54F05F-61B8-44E1-A536-D72F8B5F95B1}"/>
    <cellStyle name="Normal 11 3 2 5 2 6 3" xfId="41042" xr:uid="{B96E5E28-9EB8-4CD4-A5BA-F7D75C7D43C5}"/>
    <cellStyle name="Normal 11 3 2 5 2 6 3 2" xfId="41043" xr:uid="{C0C7F0F5-B833-48A0-87A7-7C6D17E5475C}"/>
    <cellStyle name="Normal 11 3 2 5 2 6 4" xfId="41044" xr:uid="{0F551B7D-D86C-48F6-9180-96434CC6B1A8}"/>
    <cellStyle name="Normal 11 3 2 5 2 7" xfId="41045" xr:uid="{2138F3AB-DA3F-46A0-B951-40E9CB91DB11}"/>
    <cellStyle name="Normal 11 3 2 5 2 7 2" xfId="41046" xr:uid="{AD908F95-832A-4C1F-BBEA-CDFB1DF45CAD}"/>
    <cellStyle name="Normal 11 3 2 5 2 7 2 2" xfId="41047" xr:uid="{479DE4BB-24CD-439E-A02F-E29A421FD663}"/>
    <cellStyle name="Normal 11 3 2 5 2 7 3" xfId="41048" xr:uid="{17FFE8D4-C262-4086-8C92-830AA36BBE01}"/>
    <cellStyle name="Normal 11 3 2 5 2 8" xfId="41049" xr:uid="{32922EB4-15C3-4504-A3CF-0AC7F9E7D711}"/>
    <cellStyle name="Normal 11 3 2 5 2 8 2" xfId="41050" xr:uid="{FEEB7041-4EC0-48AD-9BE6-943A8BD1A4A9}"/>
    <cellStyle name="Normal 11 3 2 5 2 9" xfId="41051" xr:uid="{97548315-C119-417F-BE9C-8ABF7C8E502F}"/>
    <cellStyle name="Normal 11 3 2 5 3" xfId="492" xr:uid="{3ACCDC40-32F8-40E9-AA3B-AEDB352DF68A}"/>
    <cellStyle name="Normal 11 3 2 5 3 2" xfId="41053" xr:uid="{53CCE098-F547-44C6-A51E-E45C863A9FA4}"/>
    <cellStyle name="Normal 11 3 2 5 3 2 2" xfId="41054" xr:uid="{B64F3CD6-D2AE-483C-95A7-BDCEE722AD78}"/>
    <cellStyle name="Normal 11 3 2 5 3 2 2 2" xfId="41055" xr:uid="{49D1DE18-4653-4BC4-BE95-484C7B38D6A1}"/>
    <cellStyle name="Normal 11 3 2 5 3 2 2 2 2" xfId="41056" xr:uid="{0EBDC310-D68D-419D-AF38-BCAE50A1DD97}"/>
    <cellStyle name="Normal 11 3 2 5 3 2 2 2 2 2" xfId="41057" xr:uid="{695D5DB1-1DF5-44BD-9136-A578F4558743}"/>
    <cellStyle name="Normal 11 3 2 5 3 2 2 2 2 2 2" xfId="41058" xr:uid="{37A23277-43D8-48DE-8522-1AAE7AD025EC}"/>
    <cellStyle name="Normal 11 3 2 5 3 2 2 2 2 2 2 2" xfId="41059" xr:uid="{441C1954-85DF-41AE-9B17-A6A926A76FF3}"/>
    <cellStyle name="Normal 11 3 2 5 3 2 2 2 2 2 3" xfId="41060" xr:uid="{53468290-9F27-4D1D-9B62-43FDB7E977BD}"/>
    <cellStyle name="Normal 11 3 2 5 3 2 2 2 2 3" xfId="41061" xr:uid="{3317E2B4-7CEF-4B25-94DA-175736A30C57}"/>
    <cellStyle name="Normal 11 3 2 5 3 2 2 2 2 3 2" xfId="41062" xr:uid="{85824E2D-88B7-4EE9-A9DC-F39AE14679FF}"/>
    <cellStyle name="Normal 11 3 2 5 3 2 2 2 2 4" xfId="41063" xr:uid="{87A3CCF7-48CF-4B91-9CF0-12BA31C90DE1}"/>
    <cellStyle name="Normal 11 3 2 5 3 2 2 2 3" xfId="41064" xr:uid="{9D71AFCA-63E5-46A5-B680-8400F8E91CD1}"/>
    <cellStyle name="Normal 11 3 2 5 3 2 2 2 3 2" xfId="41065" xr:uid="{8BF2D93D-60E3-4920-91E9-FE5043A358B8}"/>
    <cellStyle name="Normal 11 3 2 5 3 2 2 2 3 2 2" xfId="41066" xr:uid="{9734F419-9A99-4638-8307-99606373A37F}"/>
    <cellStyle name="Normal 11 3 2 5 3 2 2 2 3 3" xfId="41067" xr:uid="{CF285F95-7D9E-4B98-86A6-586466346AE9}"/>
    <cellStyle name="Normal 11 3 2 5 3 2 2 2 4" xfId="41068" xr:uid="{EC8CE708-682A-4B72-8E82-EDCAFE7B7F0C}"/>
    <cellStyle name="Normal 11 3 2 5 3 2 2 2 4 2" xfId="41069" xr:uid="{0A46E636-7358-46C2-81F5-6B8BE7FADE2D}"/>
    <cellStyle name="Normal 11 3 2 5 3 2 2 2 5" xfId="41070" xr:uid="{5B96C067-F693-4225-9178-B669384B19D5}"/>
    <cellStyle name="Normal 11 3 2 5 3 2 2 3" xfId="41071" xr:uid="{BF98DD7A-583A-4B84-B63B-0E02C35965D8}"/>
    <cellStyle name="Normal 11 3 2 5 3 2 2 3 2" xfId="41072" xr:uid="{1AF52E42-3ABC-4B06-A4A5-B29882985D75}"/>
    <cellStyle name="Normal 11 3 2 5 3 2 2 3 2 2" xfId="41073" xr:uid="{A192E410-413B-408D-8CDF-24B77E740923}"/>
    <cellStyle name="Normal 11 3 2 5 3 2 2 3 2 2 2" xfId="41074" xr:uid="{84A2B48B-2571-452F-A8CF-3739B1962B9A}"/>
    <cellStyle name="Normal 11 3 2 5 3 2 2 3 2 3" xfId="41075" xr:uid="{712316C0-1AC2-4B2F-ACDC-CB643688B75B}"/>
    <cellStyle name="Normal 11 3 2 5 3 2 2 3 3" xfId="41076" xr:uid="{E30C24A8-3B54-418A-A7DA-C6C844DD7280}"/>
    <cellStyle name="Normal 11 3 2 5 3 2 2 3 3 2" xfId="41077" xr:uid="{2EBC6038-6362-4737-B673-E1FA80F416EE}"/>
    <cellStyle name="Normal 11 3 2 5 3 2 2 3 4" xfId="41078" xr:uid="{B8CD4656-39FD-4820-A9B3-B414C29395A4}"/>
    <cellStyle name="Normal 11 3 2 5 3 2 2 4" xfId="41079" xr:uid="{E981C2CE-656B-44AA-A3A9-BA0D134A8470}"/>
    <cellStyle name="Normal 11 3 2 5 3 2 2 4 2" xfId="41080" xr:uid="{43B9D1D0-A748-4020-9BFD-419672CF57C6}"/>
    <cellStyle name="Normal 11 3 2 5 3 2 2 4 2 2" xfId="41081" xr:uid="{2E48EFA0-2A1A-4BC3-8B16-50CD6546B3D0}"/>
    <cellStyle name="Normal 11 3 2 5 3 2 2 4 3" xfId="41082" xr:uid="{16850378-636C-48B9-8FE6-10258BED0171}"/>
    <cellStyle name="Normal 11 3 2 5 3 2 2 5" xfId="41083" xr:uid="{5EB64C38-3376-4266-8A26-B57D9B620BC7}"/>
    <cellStyle name="Normal 11 3 2 5 3 2 2 5 2" xfId="41084" xr:uid="{3B89025E-637D-492A-B102-9B5101CE8C99}"/>
    <cellStyle name="Normal 11 3 2 5 3 2 2 6" xfId="41085" xr:uid="{1E28437D-5153-45A0-B3E6-BDE589E1FED0}"/>
    <cellStyle name="Normal 11 3 2 5 3 2 3" xfId="41086" xr:uid="{528ECA4B-9E69-4999-AF34-425CF3E30733}"/>
    <cellStyle name="Normal 11 3 2 5 3 2 3 2" xfId="41087" xr:uid="{6255837A-AFB8-4637-AB2B-AE4A09366591}"/>
    <cellStyle name="Normal 11 3 2 5 3 2 3 2 2" xfId="41088" xr:uid="{5D758E21-F7F7-42C6-B73A-8BFE2CCD28D0}"/>
    <cellStyle name="Normal 11 3 2 5 3 2 3 2 2 2" xfId="41089" xr:uid="{41A6EB91-2F33-4082-8157-C79DAC60315D}"/>
    <cellStyle name="Normal 11 3 2 5 3 2 3 2 2 2 2" xfId="41090" xr:uid="{3E276515-452E-41FC-827A-6896D4F99AF9}"/>
    <cellStyle name="Normal 11 3 2 5 3 2 3 2 2 3" xfId="41091" xr:uid="{39ACFB24-BA33-4A3A-949D-82E23A25007A}"/>
    <cellStyle name="Normal 11 3 2 5 3 2 3 2 3" xfId="41092" xr:uid="{C56A9718-E9F2-4E63-BA91-6E81163E1F36}"/>
    <cellStyle name="Normal 11 3 2 5 3 2 3 2 3 2" xfId="41093" xr:uid="{DC556BE7-17BB-4C86-BD71-7D14CE7FFA3B}"/>
    <cellStyle name="Normal 11 3 2 5 3 2 3 2 4" xfId="41094" xr:uid="{AAEA0355-A738-4FE6-970B-FA2CBB561535}"/>
    <cellStyle name="Normal 11 3 2 5 3 2 3 3" xfId="41095" xr:uid="{CA43393D-B2AD-4911-B0B6-61808EAAA78E}"/>
    <cellStyle name="Normal 11 3 2 5 3 2 3 3 2" xfId="41096" xr:uid="{AAE25D02-DD03-438D-A7ED-170AFE341B8C}"/>
    <cellStyle name="Normal 11 3 2 5 3 2 3 3 2 2" xfId="41097" xr:uid="{309A82E5-B46F-4DDC-AC78-764972D676B4}"/>
    <cellStyle name="Normal 11 3 2 5 3 2 3 3 3" xfId="41098" xr:uid="{29B04DBA-B2AF-492D-8DB9-43E9455182B6}"/>
    <cellStyle name="Normal 11 3 2 5 3 2 3 4" xfId="41099" xr:uid="{24631FC7-3165-40B9-970A-099E4AED041F}"/>
    <cellStyle name="Normal 11 3 2 5 3 2 3 4 2" xfId="41100" xr:uid="{7BBDD433-98B7-443F-B3D7-87F5931CF288}"/>
    <cellStyle name="Normal 11 3 2 5 3 2 3 5" xfId="41101" xr:uid="{FB0D57A8-5394-45BC-9A8D-EEB7AFCBA68C}"/>
    <cellStyle name="Normal 11 3 2 5 3 2 4" xfId="41102" xr:uid="{EC6C149D-0A2C-4DD0-A0AA-95989357F078}"/>
    <cellStyle name="Normal 11 3 2 5 3 2 4 2" xfId="41103" xr:uid="{23018693-CCD5-4DFF-87FF-DA838D02E2BB}"/>
    <cellStyle name="Normal 11 3 2 5 3 2 4 2 2" xfId="41104" xr:uid="{DB46E258-9EC2-497E-A9E1-4759AD4CDAF6}"/>
    <cellStyle name="Normal 11 3 2 5 3 2 4 2 2 2" xfId="41105" xr:uid="{9E4D8136-93F0-4F02-8DC1-C87C2523E3DA}"/>
    <cellStyle name="Normal 11 3 2 5 3 2 4 2 3" xfId="41106" xr:uid="{B0CF8193-589E-42EC-9DB7-9F5FFD538ABF}"/>
    <cellStyle name="Normal 11 3 2 5 3 2 4 3" xfId="41107" xr:uid="{A9105718-490F-4F33-AF17-629836EF421B}"/>
    <cellStyle name="Normal 11 3 2 5 3 2 4 3 2" xfId="41108" xr:uid="{29C7452D-30A3-4EC4-97B9-B40B1B42DE29}"/>
    <cellStyle name="Normal 11 3 2 5 3 2 4 4" xfId="41109" xr:uid="{555908CB-72FD-4973-B4A2-6AB127C35C67}"/>
    <cellStyle name="Normal 11 3 2 5 3 2 5" xfId="41110" xr:uid="{A92019B4-8D80-4E10-B1CD-1E3DD3B501A5}"/>
    <cellStyle name="Normal 11 3 2 5 3 2 5 2" xfId="41111" xr:uid="{A762D437-FD96-442D-8ECF-59530442DF43}"/>
    <cellStyle name="Normal 11 3 2 5 3 2 5 2 2" xfId="41112" xr:uid="{9785C16F-1E94-4AD8-93DF-17BAE60C7013}"/>
    <cellStyle name="Normal 11 3 2 5 3 2 5 3" xfId="41113" xr:uid="{EE596B8E-0C16-4696-9F42-C125A8824164}"/>
    <cellStyle name="Normal 11 3 2 5 3 2 6" xfId="41114" xr:uid="{123D0297-74E2-42F7-B7BB-8ED6238C8A23}"/>
    <cellStyle name="Normal 11 3 2 5 3 2 6 2" xfId="41115" xr:uid="{9AA02B00-9BD6-4157-B3B7-E25AC28FB3E9}"/>
    <cellStyle name="Normal 11 3 2 5 3 2 7" xfId="41116" xr:uid="{B09DC6E2-9A8D-408D-8A1A-8E144A75242B}"/>
    <cellStyle name="Normal 11 3 2 5 3 3" xfId="41117" xr:uid="{96211AAF-780D-49AE-8A19-DF52D016B4E2}"/>
    <cellStyle name="Normal 11 3 2 5 3 3 2" xfId="41118" xr:uid="{6D799C44-6533-4DAC-BBAA-422F2D254A8C}"/>
    <cellStyle name="Normal 11 3 2 5 3 3 2 2" xfId="41119" xr:uid="{54F438AE-0186-41B5-8E59-1A816E0DBCFC}"/>
    <cellStyle name="Normal 11 3 2 5 3 3 2 2 2" xfId="41120" xr:uid="{3C047243-5610-4ABA-8C6C-12AA2EDBB8D9}"/>
    <cellStyle name="Normal 11 3 2 5 3 3 2 2 2 2" xfId="41121" xr:uid="{28094741-0DA3-4E64-A678-F4CCF5F4398F}"/>
    <cellStyle name="Normal 11 3 2 5 3 3 2 2 2 2 2" xfId="41122" xr:uid="{1730922B-C6DF-478D-9DD9-FD37C7DA7457}"/>
    <cellStyle name="Normal 11 3 2 5 3 3 2 2 2 3" xfId="41123" xr:uid="{700874C3-CB6C-4F58-A5EA-FE814E092801}"/>
    <cellStyle name="Normal 11 3 2 5 3 3 2 2 3" xfId="41124" xr:uid="{50305D7D-DF84-4BDE-A707-F7F675ABD2D1}"/>
    <cellStyle name="Normal 11 3 2 5 3 3 2 2 3 2" xfId="41125" xr:uid="{CE805E4B-8198-4570-A3B2-906744E6AAF2}"/>
    <cellStyle name="Normal 11 3 2 5 3 3 2 2 4" xfId="41126" xr:uid="{819ED3A6-0BB5-46A0-8CE2-5B4AA1E64757}"/>
    <cellStyle name="Normal 11 3 2 5 3 3 2 3" xfId="41127" xr:uid="{BF6379D2-43B3-403B-896A-A33F77CFCFC0}"/>
    <cellStyle name="Normal 11 3 2 5 3 3 2 3 2" xfId="41128" xr:uid="{481C1786-2994-4472-944F-DB61E2C8E476}"/>
    <cellStyle name="Normal 11 3 2 5 3 3 2 3 2 2" xfId="41129" xr:uid="{34BE5CBE-D221-41D0-AB92-84316EF89468}"/>
    <cellStyle name="Normal 11 3 2 5 3 3 2 3 3" xfId="41130" xr:uid="{A131B310-CF56-4DBD-A5C7-15707BB2C22F}"/>
    <cellStyle name="Normal 11 3 2 5 3 3 2 4" xfId="41131" xr:uid="{AE6BFA3F-76CC-4BD3-A05C-5A0F146DAEA0}"/>
    <cellStyle name="Normal 11 3 2 5 3 3 2 4 2" xfId="41132" xr:uid="{A6B181A7-44C3-4E1E-A727-E9CD7CD27DC9}"/>
    <cellStyle name="Normal 11 3 2 5 3 3 2 5" xfId="41133" xr:uid="{86D7DD71-F9AF-4353-8715-69048459158B}"/>
    <cellStyle name="Normal 11 3 2 5 3 3 3" xfId="41134" xr:uid="{8111BB1F-264D-4754-8B20-FBAFC09F29F9}"/>
    <cellStyle name="Normal 11 3 2 5 3 3 3 2" xfId="41135" xr:uid="{2BC3A693-5A5C-4521-B05C-0CE180F7D11F}"/>
    <cellStyle name="Normal 11 3 2 5 3 3 3 2 2" xfId="41136" xr:uid="{5F5199B1-F2A2-4464-8F6E-04648CFB3D59}"/>
    <cellStyle name="Normal 11 3 2 5 3 3 3 2 2 2" xfId="41137" xr:uid="{8363A193-319A-44C4-812A-DADFF4ED3B63}"/>
    <cellStyle name="Normal 11 3 2 5 3 3 3 2 3" xfId="41138" xr:uid="{D908E6CB-7AC5-484F-A7FF-54106389EFE4}"/>
    <cellStyle name="Normal 11 3 2 5 3 3 3 3" xfId="41139" xr:uid="{FD90BA78-138C-4F6E-889E-0B290DBC2221}"/>
    <cellStyle name="Normal 11 3 2 5 3 3 3 3 2" xfId="41140" xr:uid="{CA462D6B-715D-470B-9208-2AB96CEF3A55}"/>
    <cellStyle name="Normal 11 3 2 5 3 3 3 4" xfId="41141" xr:uid="{595A3FBB-D582-46EB-AAAF-5D70C4EE3405}"/>
    <cellStyle name="Normal 11 3 2 5 3 3 4" xfId="41142" xr:uid="{D2FE5042-A279-4C9B-A4C2-37889420AB3E}"/>
    <cellStyle name="Normal 11 3 2 5 3 3 4 2" xfId="41143" xr:uid="{D322A653-F1A5-4392-BDF4-891FAD3F4E1C}"/>
    <cellStyle name="Normal 11 3 2 5 3 3 4 2 2" xfId="41144" xr:uid="{972293F9-CA67-46A5-8653-D4EA0CB747FE}"/>
    <cellStyle name="Normal 11 3 2 5 3 3 4 3" xfId="41145" xr:uid="{7005C9FA-4793-4F1A-B272-02BC878D0DF6}"/>
    <cellStyle name="Normal 11 3 2 5 3 3 5" xfId="41146" xr:uid="{D02A1855-1906-4EE8-BDBF-B1A011AA041E}"/>
    <cellStyle name="Normal 11 3 2 5 3 3 5 2" xfId="41147" xr:uid="{8ECE3A6A-915E-4ABB-8543-DB7CA10AFB5E}"/>
    <cellStyle name="Normal 11 3 2 5 3 3 6" xfId="41148" xr:uid="{E6C7A1B8-B7F8-493A-B7C0-DEECAB88912F}"/>
    <cellStyle name="Normal 11 3 2 5 3 4" xfId="41149" xr:uid="{C8EC6AAB-FA0C-4CC3-AFF9-1DF701C9E766}"/>
    <cellStyle name="Normal 11 3 2 5 3 4 2" xfId="41150" xr:uid="{7D157400-F3E9-43C2-8DD1-502E68AAC131}"/>
    <cellStyle name="Normal 11 3 2 5 3 4 2 2" xfId="41151" xr:uid="{C59F51FE-83D4-4CCC-B5A6-7E56230BDB05}"/>
    <cellStyle name="Normal 11 3 2 5 3 4 2 2 2" xfId="41152" xr:uid="{CE640947-2F65-4C06-AF63-15CCCE83103B}"/>
    <cellStyle name="Normal 11 3 2 5 3 4 2 2 2 2" xfId="41153" xr:uid="{F6783D87-8BC3-4902-85F6-CAC7E1891808}"/>
    <cellStyle name="Normal 11 3 2 5 3 4 2 2 3" xfId="41154" xr:uid="{85EE4151-D363-47E7-8A9D-F7F5A1FF0822}"/>
    <cellStyle name="Normal 11 3 2 5 3 4 2 3" xfId="41155" xr:uid="{D3A701F0-E5D1-4D23-B26A-C7581422767D}"/>
    <cellStyle name="Normal 11 3 2 5 3 4 2 3 2" xfId="41156" xr:uid="{D9E9091F-DDB6-43FF-A64C-721F6B797A82}"/>
    <cellStyle name="Normal 11 3 2 5 3 4 2 4" xfId="41157" xr:uid="{59EB5FDA-2D57-4AD9-9DA9-30431F73A616}"/>
    <cellStyle name="Normal 11 3 2 5 3 4 3" xfId="41158" xr:uid="{9EA4FFCA-A716-4D74-90E6-8B543CBA4564}"/>
    <cellStyle name="Normal 11 3 2 5 3 4 3 2" xfId="41159" xr:uid="{01021FA3-62CC-4553-BCF6-25FD9357D646}"/>
    <cellStyle name="Normal 11 3 2 5 3 4 3 2 2" xfId="41160" xr:uid="{D4FCB7B9-A4CC-425A-9A4A-67E5715B9E05}"/>
    <cellStyle name="Normal 11 3 2 5 3 4 3 3" xfId="41161" xr:uid="{5D12689C-AFE0-4E3F-A8C2-2B253411AF9F}"/>
    <cellStyle name="Normal 11 3 2 5 3 4 4" xfId="41162" xr:uid="{6360D62F-5031-46A6-A0C2-C1C95DDBACDC}"/>
    <cellStyle name="Normal 11 3 2 5 3 4 4 2" xfId="41163" xr:uid="{84BACB89-E9F1-4E4F-895A-229390FCB869}"/>
    <cellStyle name="Normal 11 3 2 5 3 4 5" xfId="41164" xr:uid="{057B623C-2110-4FAE-9766-EC04DF744F64}"/>
    <cellStyle name="Normal 11 3 2 5 3 5" xfId="41165" xr:uid="{A9297D92-0BD6-4E94-8767-2824D99EC29E}"/>
    <cellStyle name="Normal 11 3 2 5 3 5 2" xfId="41166" xr:uid="{DCCB4A47-8912-4407-BCE1-55AEF524100E}"/>
    <cellStyle name="Normal 11 3 2 5 3 5 2 2" xfId="41167" xr:uid="{E6007F28-7475-4386-B0D6-8B7272B70393}"/>
    <cellStyle name="Normal 11 3 2 5 3 5 2 2 2" xfId="41168" xr:uid="{B0AEBF68-B3AA-42DF-A37A-8698753C7577}"/>
    <cellStyle name="Normal 11 3 2 5 3 5 2 3" xfId="41169" xr:uid="{042A4DB4-2E52-4755-9A51-C3FFD9C0C30F}"/>
    <cellStyle name="Normal 11 3 2 5 3 5 3" xfId="41170" xr:uid="{1F75CFA4-E761-4F57-A072-54841B36FA5A}"/>
    <cellStyle name="Normal 11 3 2 5 3 5 3 2" xfId="41171" xr:uid="{B4AC9E4C-0B93-4B92-A622-6F37857033C2}"/>
    <cellStyle name="Normal 11 3 2 5 3 5 4" xfId="41172" xr:uid="{9CDD9AB7-4A3A-4EF1-8714-6FC88AF26C9A}"/>
    <cellStyle name="Normal 11 3 2 5 3 6" xfId="41173" xr:uid="{3E2B25E1-2BDE-48E3-86A2-B99C7CBF07A8}"/>
    <cellStyle name="Normal 11 3 2 5 3 6 2" xfId="41174" xr:uid="{6C7C540A-76D3-4137-8DFA-F605F9830E47}"/>
    <cellStyle name="Normal 11 3 2 5 3 6 2 2" xfId="41175" xr:uid="{77A3F958-B313-4AD8-9084-F52135FD508B}"/>
    <cellStyle name="Normal 11 3 2 5 3 6 3" xfId="41176" xr:uid="{D62614A3-A523-4CAA-902D-DD6A75BC4D3B}"/>
    <cellStyle name="Normal 11 3 2 5 3 7" xfId="41177" xr:uid="{B5E0C8F8-7FC3-497F-AC09-EA6D87FB8F6F}"/>
    <cellStyle name="Normal 11 3 2 5 3 7 2" xfId="41178" xr:uid="{B9ED0CB8-6519-4388-AD1B-6E0CF2C1FCA6}"/>
    <cellStyle name="Normal 11 3 2 5 3 8" xfId="41179" xr:uid="{D487CCF2-9CAE-4837-A170-6F1166D91E78}"/>
    <cellStyle name="Normal 11 3 2 5 3 9" xfId="41052" xr:uid="{91439BD3-9AA1-40A1-B270-8AA76BA7980E}"/>
    <cellStyle name="Normal 11 3 2 5 4" xfId="41180" xr:uid="{6E35808D-17C2-4C64-86ED-CFF00AE151F3}"/>
    <cellStyle name="Normal 11 3 2 5 4 2" xfId="41181" xr:uid="{BDB36465-6EEC-42E5-8CA7-42B3331E9D70}"/>
    <cellStyle name="Normal 11 3 2 5 4 2 2" xfId="41182" xr:uid="{20E68CCE-E0A6-465C-943F-FAEE6459168C}"/>
    <cellStyle name="Normal 11 3 2 5 4 2 2 2" xfId="41183" xr:uid="{5705CF9E-33C9-4DAA-8475-5C370CA50581}"/>
    <cellStyle name="Normal 11 3 2 5 4 2 2 2 2" xfId="41184" xr:uid="{0DD99FB0-606A-408D-890E-4C1A8A0CDC72}"/>
    <cellStyle name="Normal 11 3 2 5 4 2 2 2 2 2" xfId="41185" xr:uid="{4C6D26AC-6D4B-4126-9C12-36CE95B9C606}"/>
    <cellStyle name="Normal 11 3 2 5 4 2 2 2 2 2 2" xfId="41186" xr:uid="{48BBC966-13C6-46E3-8990-04315EB66414}"/>
    <cellStyle name="Normal 11 3 2 5 4 2 2 2 2 3" xfId="41187" xr:uid="{F53D71A6-F9BF-4A69-A17B-D6107B17EA59}"/>
    <cellStyle name="Normal 11 3 2 5 4 2 2 2 3" xfId="41188" xr:uid="{C905E663-C4CD-4F18-8D30-52C0C319DAD9}"/>
    <cellStyle name="Normal 11 3 2 5 4 2 2 2 3 2" xfId="41189" xr:uid="{CC7E50D1-BEB8-41DB-94A2-E6E0B9B894E3}"/>
    <cellStyle name="Normal 11 3 2 5 4 2 2 2 4" xfId="41190" xr:uid="{BC839A71-E7E6-46CC-8FE2-CB64E0459165}"/>
    <cellStyle name="Normal 11 3 2 5 4 2 2 3" xfId="41191" xr:uid="{C1CAF7F8-9537-4E64-8572-CDCFE97A7DA1}"/>
    <cellStyle name="Normal 11 3 2 5 4 2 2 3 2" xfId="41192" xr:uid="{46E349E6-A55C-4D0F-B6F4-05E8653E5E5A}"/>
    <cellStyle name="Normal 11 3 2 5 4 2 2 3 2 2" xfId="41193" xr:uid="{DCA640ED-10A0-4FE8-AE31-C0F8A7B5FD0C}"/>
    <cellStyle name="Normal 11 3 2 5 4 2 2 3 3" xfId="41194" xr:uid="{BFF05DA4-40D0-49F1-BD96-62D96AC169EB}"/>
    <cellStyle name="Normal 11 3 2 5 4 2 2 4" xfId="41195" xr:uid="{26E98F25-33E8-4DCA-90A9-AD9A7619DE21}"/>
    <cellStyle name="Normal 11 3 2 5 4 2 2 4 2" xfId="41196" xr:uid="{B3B20F49-E650-48B3-BED2-ACC42C3DC8D2}"/>
    <cellStyle name="Normal 11 3 2 5 4 2 2 5" xfId="41197" xr:uid="{D955F96E-E847-4024-A149-02C6A4CD6DC9}"/>
    <cellStyle name="Normal 11 3 2 5 4 2 3" xfId="41198" xr:uid="{AD9B8A3F-F617-4343-972F-CF262803D0FE}"/>
    <cellStyle name="Normal 11 3 2 5 4 2 3 2" xfId="41199" xr:uid="{C5776618-8A5E-4932-AADE-9A9CF72EA55C}"/>
    <cellStyle name="Normal 11 3 2 5 4 2 3 2 2" xfId="41200" xr:uid="{42A09700-6D11-431A-8094-F16AE9B8C7D2}"/>
    <cellStyle name="Normal 11 3 2 5 4 2 3 2 2 2" xfId="41201" xr:uid="{1CB9A5D6-F01B-4028-8973-3941B3A4B5CD}"/>
    <cellStyle name="Normal 11 3 2 5 4 2 3 2 3" xfId="41202" xr:uid="{EDBB0AF9-7D87-4221-B1C6-199690088F3A}"/>
    <cellStyle name="Normal 11 3 2 5 4 2 3 3" xfId="41203" xr:uid="{24F2B2C8-0854-4CC2-903A-3C23336F49BE}"/>
    <cellStyle name="Normal 11 3 2 5 4 2 3 3 2" xfId="41204" xr:uid="{D650873F-2317-429D-B246-DA30E85188DE}"/>
    <cellStyle name="Normal 11 3 2 5 4 2 3 4" xfId="41205" xr:uid="{5F0B78A9-4709-4931-9674-0E84956CFDEB}"/>
    <cellStyle name="Normal 11 3 2 5 4 2 4" xfId="41206" xr:uid="{33885647-B5E7-4EE3-89D1-719D5FE91ECA}"/>
    <cellStyle name="Normal 11 3 2 5 4 2 4 2" xfId="41207" xr:uid="{FD27562C-941F-4C46-9877-960E5E6DF031}"/>
    <cellStyle name="Normal 11 3 2 5 4 2 4 2 2" xfId="41208" xr:uid="{43523509-E8DC-4292-A5F7-6D75A38CC8A8}"/>
    <cellStyle name="Normal 11 3 2 5 4 2 4 3" xfId="41209" xr:uid="{31F568DE-C096-4642-AE6D-F29DB208B512}"/>
    <cellStyle name="Normal 11 3 2 5 4 2 5" xfId="41210" xr:uid="{2437F26E-E249-46B1-8EB6-D4396E1D7396}"/>
    <cellStyle name="Normal 11 3 2 5 4 2 5 2" xfId="41211" xr:uid="{4D1905FC-AE1F-41B3-9726-62AB9319FBC5}"/>
    <cellStyle name="Normal 11 3 2 5 4 2 6" xfId="41212" xr:uid="{0268366E-43B8-48C7-8023-5DE321D5428F}"/>
    <cellStyle name="Normal 11 3 2 5 4 3" xfId="41213" xr:uid="{12EFFA4F-02A0-4B46-9C55-E39CD3373E4C}"/>
    <cellStyle name="Normal 11 3 2 5 4 3 2" xfId="41214" xr:uid="{B248A048-3404-4DC0-A1BA-E171CA5E565D}"/>
    <cellStyle name="Normal 11 3 2 5 4 3 2 2" xfId="41215" xr:uid="{AD808B7E-A399-4E89-9147-60BB057CF1AC}"/>
    <cellStyle name="Normal 11 3 2 5 4 3 2 2 2" xfId="41216" xr:uid="{34D337F4-5BD0-4786-9063-AA68AC08FE04}"/>
    <cellStyle name="Normal 11 3 2 5 4 3 2 2 2 2" xfId="41217" xr:uid="{319200C0-2C8B-4C4E-9CBA-15B8A4B76957}"/>
    <cellStyle name="Normal 11 3 2 5 4 3 2 2 3" xfId="41218" xr:uid="{7C5F55F4-D5F9-4444-885B-0B7CCF2A46D6}"/>
    <cellStyle name="Normal 11 3 2 5 4 3 2 3" xfId="41219" xr:uid="{B0F471BD-2C5E-4607-BFAB-872B723EB7BC}"/>
    <cellStyle name="Normal 11 3 2 5 4 3 2 3 2" xfId="41220" xr:uid="{26E3886F-E434-438C-B893-E20F23CC0341}"/>
    <cellStyle name="Normal 11 3 2 5 4 3 2 4" xfId="41221" xr:uid="{AEED2A86-9431-4565-A5BC-470939128CAA}"/>
    <cellStyle name="Normal 11 3 2 5 4 3 3" xfId="41222" xr:uid="{5C6215A5-BA1E-4570-937B-D0D249D5C8DA}"/>
    <cellStyle name="Normal 11 3 2 5 4 3 3 2" xfId="41223" xr:uid="{C3CB4963-0CBE-4180-9FCF-7E0079170E4D}"/>
    <cellStyle name="Normal 11 3 2 5 4 3 3 2 2" xfId="41224" xr:uid="{099F2687-F3B7-4124-89CF-9DE9D5233C45}"/>
    <cellStyle name="Normal 11 3 2 5 4 3 3 3" xfId="41225" xr:uid="{AF06FCCC-EDE1-4537-AC0D-04932784F586}"/>
    <cellStyle name="Normal 11 3 2 5 4 3 4" xfId="41226" xr:uid="{85B1B6FD-561E-4224-956D-D6A08941E953}"/>
    <cellStyle name="Normal 11 3 2 5 4 3 4 2" xfId="41227" xr:uid="{940142EB-920F-48D6-A9E4-E578D6BCD9FB}"/>
    <cellStyle name="Normal 11 3 2 5 4 3 5" xfId="41228" xr:uid="{64013FF3-CD0E-4079-8EB7-11BED3FC98F6}"/>
    <cellStyle name="Normal 11 3 2 5 4 4" xfId="41229" xr:uid="{3E575BEB-BD21-409F-99A5-9315A44A0AB6}"/>
    <cellStyle name="Normal 11 3 2 5 4 4 2" xfId="41230" xr:uid="{371A0D7C-71FC-4222-A35E-332389A6D13B}"/>
    <cellStyle name="Normal 11 3 2 5 4 4 2 2" xfId="41231" xr:uid="{5349AC08-4E45-4781-BBA8-5F7CA2705A6C}"/>
    <cellStyle name="Normal 11 3 2 5 4 4 2 2 2" xfId="41232" xr:uid="{547218C7-4B20-42E2-B67F-598086A8634A}"/>
    <cellStyle name="Normal 11 3 2 5 4 4 2 3" xfId="41233" xr:uid="{FCAFB511-D7D0-4A36-9CD1-5BB759949AC7}"/>
    <cellStyle name="Normal 11 3 2 5 4 4 3" xfId="41234" xr:uid="{8AD520BC-B571-44A8-9971-7BBC3A9A9953}"/>
    <cellStyle name="Normal 11 3 2 5 4 4 3 2" xfId="41235" xr:uid="{528BFE27-1C3A-4842-BDA0-FC8CA0C2AE5A}"/>
    <cellStyle name="Normal 11 3 2 5 4 4 4" xfId="41236" xr:uid="{40C025E5-806A-44A0-A699-027418EF98AB}"/>
    <cellStyle name="Normal 11 3 2 5 4 5" xfId="41237" xr:uid="{F9AD58CC-0EDC-4AD7-967F-8D398BF269C2}"/>
    <cellStyle name="Normal 11 3 2 5 4 5 2" xfId="41238" xr:uid="{5E7C6ABB-9211-453A-AF8E-9C0C1A87438A}"/>
    <cellStyle name="Normal 11 3 2 5 4 5 2 2" xfId="41239" xr:uid="{5C801932-651F-41F7-A7A7-4143BE65D7D7}"/>
    <cellStyle name="Normal 11 3 2 5 4 5 3" xfId="41240" xr:uid="{C624E0F5-1861-42DA-934A-9AA6CDC0D0DF}"/>
    <cellStyle name="Normal 11 3 2 5 4 6" xfId="41241" xr:uid="{65077253-A2D4-454B-BEF4-7DB242CF1686}"/>
    <cellStyle name="Normal 11 3 2 5 4 6 2" xfId="41242" xr:uid="{1381D32C-0208-4CF6-97B3-5E457CB22605}"/>
    <cellStyle name="Normal 11 3 2 5 4 7" xfId="41243" xr:uid="{2310CC92-369B-4FE0-9DEB-111BFAC5DD71}"/>
    <cellStyle name="Normal 11 3 2 5 5" xfId="41244" xr:uid="{D22C9631-76B8-4B77-B41D-2E4C817A0CDF}"/>
    <cellStyle name="Normal 11 3 2 5 5 2" xfId="41245" xr:uid="{BC3CFE7F-727C-47A7-B76B-893230C09B8F}"/>
    <cellStyle name="Normal 11 3 2 5 5 2 2" xfId="41246" xr:uid="{05EA8513-A53F-4011-83E2-D7915B7CE412}"/>
    <cellStyle name="Normal 11 3 2 5 5 2 2 2" xfId="41247" xr:uid="{0E2BCAA0-887B-4231-8D08-6C82857A159B}"/>
    <cellStyle name="Normal 11 3 2 5 5 2 2 2 2" xfId="41248" xr:uid="{E1EC2578-A499-431C-BFFF-01A84E494F53}"/>
    <cellStyle name="Normal 11 3 2 5 5 2 2 2 2 2" xfId="41249" xr:uid="{672E924C-9033-4744-B38A-29DC1CE90D1E}"/>
    <cellStyle name="Normal 11 3 2 5 5 2 2 2 3" xfId="41250" xr:uid="{170926A4-2659-406E-BFB4-5EAC0F7A07C0}"/>
    <cellStyle name="Normal 11 3 2 5 5 2 2 3" xfId="41251" xr:uid="{84D5532C-02C3-4834-8463-791B8B5A9F92}"/>
    <cellStyle name="Normal 11 3 2 5 5 2 2 3 2" xfId="41252" xr:uid="{739D2334-7A45-4057-B850-46249002F71E}"/>
    <cellStyle name="Normal 11 3 2 5 5 2 2 4" xfId="41253" xr:uid="{F7E197E3-C16B-4D0F-80A5-5986FD438CCB}"/>
    <cellStyle name="Normal 11 3 2 5 5 2 3" xfId="41254" xr:uid="{D3A9FE25-6F2D-45EE-AF21-ECEE0ADB4E0D}"/>
    <cellStyle name="Normal 11 3 2 5 5 2 3 2" xfId="41255" xr:uid="{81735C4D-9BF3-4FEA-855D-AC4A4BBD29FC}"/>
    <cellStyle name="Normal 11 3 2 5 5 2 3 2 2" xfId="41256" xr:uid="{E040B475-B5E5-43F6-BC56-98CE255DAA42}"/>
    <cellStyle name="Normal 11 3 2 5 5 2 3 3" xfId="41257" xr:uid="{900C4B77-87F3-43DD-AEB2-7C49FE9E6CDC}"/>
    <cellStyle name="Normal 11 3 2 5 5 2 4" xfId="41258" xr:uid="{19D6A01A-D1B1-4689-84F8-634AF294B80E}"/>
    <cellStyle name="Normal 11 3 2 5 5 2 4 2" xfId="41259" xr:uid="{48D7B4F8-FACB-4EE2-94B2-7DD104121C43}"/>
    <cellStyle name="Normal 11 3 2 5 5 2 5" xfId="41260" xr:uid="{826A71C6-DE7B-46C2-A642-FEA029FD3708}"/>
    <cellStyle name="Normal 11 3 2 5 5 3" xfId="41261" xr:uid="{B4CD677C-C472-401E-825E-0CCD47CFBF10}"/>
    <cellStyle name="Normal 11 3 2 5 5 3 2" xfId="41262" xr:uid="{086D6912-08C4-4585-B2A8-B2CB50D9EBB8}"/>
    <cellStyle name="Normal 11 3 2 5 5 3 2 2" xfId="41263" xr:uid="{73B4C58B-2D1E-46A6-AC1D-E58D3A42AF18}"/>
    <cellStyle name="Normal 11 3 2 5 5 3 2 2 2" xfId="41264" xr:uid="{7439632F-82EE-47DA-8450-FF8893C1ABA6}"/>
    <cellStyle name="Normal 11 3 2 5 5 3 2 3" xfId="41265" xr:uid="{4A9BFE9F-D287-4564-9A54-EBB56231AE70}"/>
    <cellStyle name="Normal 11 3 2 5 5 3 3" xfId="41266" xr:uid="{2E071DEE-9862-4184-9919-67474B5B171D}"/>
    <cellStyle name="Normal 11 3 2 5 5 3 3 2" xfId="41267" xr:uid="{8C2BEA99-04B1-437B-BF11-7E76723FD906}"/>
    <cellStyle name="Normal 11 3 2 5 5 3 4" xfId="41268" xr:uid="{9AC71030-C8D7-4C45-A5BD-23F36E2D7AE5}"/>
    <cellStyle name="Normal 11 3 2 5 5 4" xfId="41269" xr:uid="{853976C0-F1C8-4D5A-A428-34ADF02124D3}"/>
    <cellStyle name="Normal 11 3 2 5 5 4 2" xfId="41270" xr:uid="{A13AD566-26D8-440E-9224-431C5873D441}"/>
    <cellStyle name="Normal 11 3 2 5 5 4 2 2" xfId="41271" xr:uid="{62189F4E-2634-4B3B-B182-330A71DDF1C3}"/>
    <cellStyle name="Normal 11 3 2 5 5 4 3" xfId="41272" xr:uid="{06E931B6-90BD-4680-95B9-AEE87E5E847C}"/>
    <cellStyle name="Normal 11 3 2 5 5 5" xfId="41273" xr:uid="{6FD5CE77-8D0F-49F1-A13B-864377928C71}"/>
    <cellStyle name="Normal 11 3 2 5 5 5 2" xfId="41274" xr:uid="{9EB84379-0F99-4295-8A82-75ED3C5BED64}"/>
    <cellStyle name="Normal 11 3 2 5 5 6" xfId="41275" xr:uid="{19CB65FD-5E8F-4A4C-8BE6-F148B6323B84}"/>
    <cellStyle name="Normal 11 3 2 5 6" xfId="41276" xr:uid="{1D28583A-4C6C-41A9-B7CC-49DD020CB6FE}"/>
    <cellStyle name="Normal 11 3 2 5 6 2" xfId="41277" xr:uid="{4C4028A2-A33F-42A9-9A14-6A5B864CD026}"/>
    <cellStyle name="Normal 11 3 2 5 6 2 2" xfId="41278" xr:uid="{87818746-6199-4844-B0BC-57EECC657B0F}"/>
    <cellStyle name="Normal 11 3 2 5 6 2 2 2" xfId="41279" xr:uid="{1523B2E5-883F-4988-9B45-B404B8D6735D}"/>
    <cellStyle name="Normal 11 3 2 5 6 2 2 2 2" xfId="41280" xr:uid="{31FC687A-D4FA-4CE6-8D22-45B6643C911A}"/>
    <cellStyle name="Normal 11 3 2 5 6 2 2 3" xfId="41281" xr:uid="{F87C5B1F-2E4C-4369-BA32-8FD21FB15A4A}"/>
    <cellStyle name="Normal 11 3 2 5 6 2 3" xfId="41282" xr:uid="{CA2D796C-4453-4F88-AF2E-A51AA1634A74}"/>
    <cellStyle name="Normal 11 3 2 5 6 2 3 2" xfId="41283" xr:uid="{9BB76497-AF4C-4C24-946B-BA7D65EEF68D}"/>
    <cellStyle name="Normal 11 3 2 5 6 2 4" xfId="41284" xr:uid="{4EDFD013-20DE-4E6E-9DD1-D2FCB4BE2954}"/>
    <cellStyle name="Normal 11 3 2 5 6 3" xfId="41285" xr:uid="{5CFB5EE4-1F21-40DB-B04C-33C91D606085}"/>
    <cellStyle name="Normal 11 3 2 5 6 3 2" xfId="41286" xr:uid="{0CD882F3-7BC6-4E88-BBA9-E28ED2C7F1EC}"/>
    <cellStyle name="Normal 11 3 2 5 6 3 2 2" xfId="41287" xr:uid="{668F37E6-1038-4021-97CA-0646F546FD30}"/>
    <cellStyle name="Normal 11 3 2 5 6 3 3" xfId="41288" xr:uid="{5FAFB1A4-73DD-45A0-B08A-6D0B0E8722A2}"/>
    <cellStyle name="Normal 11 3 2 5 6 4" xfId="41289" xr:uid="{04C7B6DF-8161-4B66-9ECC-EA59777E702D}"/>
    <cellStyle name="Normal 11 3 2 5 6 4 2" xfId="41290" xr:uid="{909691DC-9244-43D6-9EDF-BDF8ADFDD48C}"/>
    <cellStyle name="Normal 11 3 2 5 6 5" xfId="41291" xr:uid="{E11EB387-5DE6-4A80-B169-1DD804BE5BD5}"/>
    <cellStyle name="Normal 11 3 2 5 7" xfId="41292" xr:uid="{1AEF81AA-6591-43FA-8BE4-9CE5DA964997}"/>
    <cellStyle name="Normal 11 3 2 5 7 2" xfId="41293" xr:uid="{A66AF0CD-1171-4B14-839A-908AC44A4568}"/>
    <cellStyle name="Normal 11 3 2 5 7 2 2" xfId="41294" xr:uid="{81081F5D-DCF3-4263-9947-A77543FC67BA}"/>
    <cellStyle name="Normal 11 3 2 5 7 2 2 2" xfId="41295" xr:uid="{FE655A1E-184B-43E0-B3F3-C3E798248F91}"/>
    <cellStyle name="Normal 11 3 2 5 7 2 3" xfId="41296" xr:uid="{97F276DB-E3DB-4C7E-A523-153D8056D805}"/>
    <cellStyle name="Normal 11 3 2 5 7 3" xfId="41297" xr:uid="{E87DB274-D132-4145-A997-8F827715ACFE}"/>
    <cellStyle name="Normal 11 3 2 5 7 3 2" xfId="41298" xr:uid="{CB52C3C8-9281-4867-9F72-C38430403F54}"/>
    <cellStyle name="Normal 11 3 2 5 7 4" xfId="41299" xr:uid="{B5BCB305-7EFC-4680-AA0E-C864D5F30214}"/>
    <cellStyle name="Normal 11 3 2 5 8" xfId="41300" xr:uid="{38E1C417-9FAE-4AB1-89D3-CD29DBFE3DDD}"/>
    <cellStyle name="Normal 11 3 2 5 8 2" xfId="41301" xr:uid="{2A92B520-2AE9-4B2B-9C5D-3CEE5237A03B}"/>
    <cellStyle name="Normal 11 3 2 5 8 2 2" xfId="41302" xr:uid="{1E098791-605E-4A71-902D-7FB3A5403B27}"/>
    <cellStyle name="Normal 11 3 2 5 8 3" xfId="41303" xr:uid="{6AE10349-DC6E-4333-8A05-FC730FEBD8A9}"/>
    <cellStyle name="Normal 11 3 2 5 9" xfId="41304" xr:uid="{3FEF2C0D-657A-4D10-B322-7039B2DE2AA9}"/>
    <cellStyle name="Normal 11 3 2 5 9 2" xfId="41305" xr:uid="{B13DE8A6-86AE-42FF-ABA5-0B70E2CDED16}"/>
    <cellStyle name="Normal 11 3 2 6" xfId="273" xr:uid="{F2EAA5CE-006C-4CC9-A99D-C520D42D8ADF}"/>
    <cellStyle name="Normal 11 3 2 6 10" xfId="41306" xr:uid="{7C7869F8-7924-48FF-9DCD-E95C97A3E32B}"/>
    <cellStyle name="Normal 11 3 2 6 11" xfId="598" xr:uid="{C7F5F844-4904-47CF-B402-989A71F9527D}"/>
    <cellStyle name="Normal 11 3 2 6 2" xfId="380" xr:uid="{4EFD8F65-FEAF-4C92-851D-AEFBA5C241B3}"/>
    <cellStyle name="Normal 11 3 2 6 2 10" xfId="41307" xr:uid="{5BDFE31F-32EA-49CC-9CAF-780D8CE679A3}"/>
    <cellStyle name="Normal 11 3 2 6 2 2" xfId="41308" xr:uid="{B0883A03-1F43-4C73-B833-3BEC13A91362}"/>
    <cellStyle name="Normal 11 3 2 6 2 2 2" xfId="41309" xr:uid="{027E3CAE-C107-41FF-83D6-F27F34673E05}"/>
    <cellStyle name="Normal 11 3 2 6 2 2 2 2" xfId="41310" xr:uid="{9412FC52-46E4-4D41-9E39-1A533BC7F4EB}"/>
    <cellStyle name="Normal 11 3 2 6 2 2 2 2 2" xfId="41311" xr:uid="{FE0AEAA3-695E-4277-87CA-B85D645BC1B1}"/>
    <cellStyle name="Normal 11 3 2 6 2 2 2 2 2 2" xfId="41312" xr:uid="{C4B0DF78-F945-4F1E-AA54-A65FE8B6865F}"/>
    <cellStyle name="Normal 11 3 2 6 2 2 2 2 2 2 2" xfId="41313" xr:uid="{BC9A6A4A-60E4-4531-9FC9-8C4E44A8EEC9}"/>
    <cellStyle name="Normal 11 3 2 6 2 2 2 2 2 2 2 2" xfId="41314" xr:uid="{C10929CC-2369-4F13-B4F5-6CA0D9F172FD}"/>
    <cellStyle name="Normal 11 3 2 6 2 2 2 2 2 2 2 2 2" xfId="41315" xr:uid="{A3BFBDC3-4B4A-493E-A0D6-99CBD380B1B3}"/>
    <cellStyle name="Normal 11 3 2 6 2 2 2 2 2 2 2 3" xfId="41316" xr:uid="{7832C6E1-8639-4818-8CCE-1597CFB01782}"/>
    <cellStyle name="Normal 11 3 2 6 2 2 2 2 2 2 3" xfId="41317" xr:uid="{7C555831-214E-4EE3-94A5-6CE3AB2D6E60}"/>
    <cellStyle name="Normal 11 3 2 6 2 2 2 2 2 2 3 2" xfId="41318" xr:uid="{2BA19D49-7499-4FE1-B535-81A2EA2FFAB9}"/>
    <cellStyle name="Normal 11 3 2 6 2 2 2 2 2 2 4" xfId="41319" xr:uid="{5BFCDDB6-4EE4-4564-B9D8-257440B3031E}"/>
    <cellStyle name="Normal 11 3 2 6 2 2 2 2 2 3" xfId="41320" xr:uid="{9A7EDA20-E153-4E16-82BE-767014E997A5}"/>
    <cellStyle name="Normal 11 3 2 6 2 2 2 2 2 3 2" xfId="41321" xr:uid="{951063A9-F2E5-47DD-8F47-2FB08703C31B}"/>
    <cellStyle name="Normal 11 3 2 6 2 2 2 2 2 3 2 2" xfId="41322" xr:uid="{27D5BE3C-D57C-4DEB-AB0E-FEC3F4908995}"/>
    <cellStyle name="Normal 11 3 2 6 2 2 2 2 2 3 3" xfId="41323" xr:uid="{A08F9A0C-A798-4F44-8326-6C8D7C7FA633}"/>
    <cellStyle name="Normal 11 3 2 6 2 2 2 2 2 4" xfId="41324" xr:uid="{C855BBCA-D42E-4063-AE4A-BDE1345151A9}"/>
    <cellStyle name="Normal 11 3 2 6 2 2 2 2 2 4 2" xfId="41325" xr:uid="{63200252-A1ED-47A4-94D3-4DDCBBE2D69C}"/>
    <cellStyle name="Normal 11 3 2 6 2 2 2 2 2 5" xfId="41326" xr:uid="{24BC59D8-E649-49BF-9B31-27585B4D2D2D}"/>
    <cellStyle name="Normal 11 3 2 6 2 2 2 2 3" xfId="41327" xr:uid="{B89C6159-0E1A-452B-A197-8DE0212C66A0}"/>
    <cellStyle name="Normal 11 3 2 6 2 2 2 2 3 2" xfId="41328" xr:uid="{99BDEED4-D0EB-4FEF-AF9E-9A12FA452174}"/>
    <cellStyle name="Normal 11 3 2 6 2 2 2 2 3 2 2" xfId="41329" xr:uid="{84902ADA-ECEC-4C17-BF9E-EAFC2A5B3B64}"/>
    <cellStyle name="Normal 11 3 2 6 2 2 2 2 3 2 2 2" xfId="41330" xr:uid="{AF497DF7-4ACC-413A-AD39-0D7A6B09FE86}"/>
    <cellStyle name="Normal 11 3 2 6 2 2 2 2 3 2 3" xfId="41331" xr:uid="{3E8972E8-5653-47DA-9C07-506B9311C34C}"/>
    <cellStyle name="Normal 11 3 2 6 2 2 2 2 3 3" xfId="41332" xr:uid="{3004930B-3602-45D1-9CE7-CA8F790E9C76}"/>
    <cellStyle name="Normal 11 3 2 6 2 2 2 2 3 3 2" xfId="41333" xr:uid="{C6EE4403-D577-485C-89EA-28E514B241DF}"/>
    <cellStyle name="Normal 11 3 2 6 2 2 2 2 3 4" xfId="41334" xr:uid="{0147312A-0C94-441D-B09C-008B7003F93F}"/>
    <cellStyle name="Normal 11 3 2 6 2 2 2 2 4" xfId="41335" xr:uid="{E20620DD-B5BA-4B3A-AD1E-7FE0119F2E72}"/>
    <cellStyle name="Normal 11 3 2 6 2 2 2 2 4 2" xfId="41336" xr:uid="{2DA7F997-36BD-41E7-93F3-9FCF41A891B6}"/>
    <cellStyle name="Normal 11 3 2 6 2 2 2 2 4 2 2" xfId="41337" xr:uid="{E3552E85-5F6D-44A9-AC61-E9BE9D9D1A7D}"/>
    <cellStyle name="Normal 11 3 2 6 2 2 2 2 4 3" xfId="41338" xr:uid="{E6EC6C00-6B47-4A20-A9CB-6D4A8ECDCD30}"/>
    <cellStyle name="Normal 11 3 2 6 2 2 2 2 5" xfId="41339" xr:uid="{ACD67E7A-605D-4D60-9984-29A9D4E0BD81}"/>
    <cellStyle name="Normal 11 3 2 6 2 2 2 2 5 2" xfId="41340" xr:uid="{75DD7D26-EDBF-47CC-BEAC-FFA49E443D84}"/>
    <cellStyle name="Normal 11 3 2 6 2 2 2 2 6" xfId="41341" xr:uid="{4E86A67D-6977-478B-9839-90D8D4400E92}"/>
    <cellStyle name="Normal 11 3 2 6 2 2 2 3" xfId="41342" xr:uid="{920260CF-6025-4AAB-8E86-E4B5EF10CCE1}"/>
    <cellStyle name="Normal 11 3 2 6 2 2 2 3 2" xfId="41343" xr:uid="{B4671577-D8DC-4666-8C9A-1DA021B36F20}"/>
    <cellStyle name="Normal 11 3 2 6 2 2 2 3 2 2" xfId="41344" xr:uid="{109D3BAE-11C5-43DF-B325-071347D823DA}"/>
    <cellStyle name="Normal 11 3 2 6 2 2 2 3 2 2 2" xfId="41345" xr:uid="{57BCD636-4601-4D46-832F-BCA70074D7B3}"/>
    <cellStyle name="Normal 11 3 2 6 2 2 2 3 2 2 2 2" xfId="41346" xr:uid="{00709FAA-02E0-4BC9-8F9C-E16D9B407B1C}"/>
    <cellStyle name="Normal 11 3 2 6 2 2 2 3 2 2 3" xfId="41347" xr:uid="{3CFD756C-B29A-476A-84F4-4645F414E351}"/>
    <cellStyle name="Normal 11 3 2 6 2 2 2 3 2 3" xfId="41348" xr:uid="{65895C94-A479-46C8-ACAF-964A224D6374}"/>
    <cellStyle name="Normal 11 3 2 6 2 2 2 3 2 3 2" xfId="41349" xr:uid="{660EBBFE-667B-4CE0-BD60-5A6D72FA8BF4}"/>
    <cellStyle name="Normal 11 3 2 6 2 2 2 3 2 4" xfId="41350" xr:uid="{CA35E82B-2989-4A81-9A44-52B7F94620F9}"/>
    <cellStyle name="Normal 11 3 2 6 2 2 2 3 3" xfId="41351" xr:uid="{43961483-955D-4B01-A1F1-C54C6042A8B1}"/>
    <cellStyle name="Normal 11 3 2 6 2 2 2 3 3 2" xfId="41352" xr:uid="{87429575-632D-4EBE-BF1E-057D8D71C229}"/>
    <cellStyle name="Normal 11 3 2 6 2 2 2 3 3 2 2" xfId="41353" xr:uid="{A9D55487-AB52-4620-93A7-C1987DC405B4}"/>
    <cellStyle name="Normal 11 3 2 6 2 2 2 3 3 3" xfId="41354" xr:uid="{DC93D330-2C1F-4E33-8004-4AF3D92429F3}"/>
    <cellStyle name="Normal 11 3 2 6 2 2 2 3 4" xfId="41355" xr:uid="{820CDFAC-1B3B-45B1-BB5D-D63774C822A5}"/>
    <cellStyle name="Normal 11 3 2 6 2 2 2 3 4 2" xfId="41356" xr:uid="{90E496E6-51D6-4B5E-AEB3-4BAB169EA190}"/>
    <cellStyle name="Normal 11 3 2 6 2 2 2 3 5" xfId="41357" xr:uid="{B9C376DD-8639-40D4-89DC-533A6E69012F}"/>
    <cellStyle name="Normal 11 3 2 6 2 2 2 4" xfId="41358" xr:uid="{C9FF488E-D86A-4804-9147-B54945DEFD9F}"/>
    <cellStyle name="Normal 11 3 2 6 2 2 2 4 2" xfId="41359" xr:uid="{894EF305-7F25-4283-AACF-099946ABB8E4}"/>
    <cellStyle name="Normal 11 3 2 6 2 2 2 4 2 2" xfId="41360" xr:uid="{EC68CE9B-56BB-4723-9F41-DAB369EB3061}"/>
    <cellStyle name="Normal 11 3 2 6 2 2 2 4 2 2 2" xfId="41361" xr:uid="{514D07CF-CCE7-4DB9-86F1-B235B98F0C13}"/>
    <cellStyle name="Normal 11 3 2 6 2 2 2 4 2 3" xfId="41362" xr:uid="{CF5A830E-2CE4-48DD-BAF0-804837FACD91}"/>
    <cellStyle name="Normal 11 3 2 6 2 2 2 4 3" xfId="41363" xr:uid="{0BD518E0-547D-4821-AA18-6875F4C53E7E}"/>
    <cellStyle name="Normal 11 3 2 6 2 2 2 4 3 2" xfId="41364" xr:uid="{4345F4EF-6AA6-4695-8D3B-295A603A8FB4}"/>
    <cellStyle name="Normal 11 3 2 6 2 2 2 4 4" xfId="41365" xr:uid="{0D89EB04-6541-42A1-85C1-641436DA2813}"/>
    <cellStyle name="Normal 11 3 2 6 2 2 2 5" xfId="41366" xr:uid="{3C46344E-E964-423E-B52B-7DD57F18B770}"/>
    <cellStyle name="Normal 11 3 2 6 2 2 2 5 2" xfId="41367" xr:uid="{15B341B8-B175-4CC5-BA9A-7202118909FB}"/>
    <cellStyle name="Normal 11 3 2 6 2 2 2 5 2 2" xfId="41368" xr:uid="{4F29703B-D9F0-46DD-941A-52A84AC2D62F}"/>
    <cellStyle name="Normal 11 3 2 6 2 2 2 5 3" xfId="41369" xr:uid="{2D2E10E4-625D-4ED3-89DA-ACA1F46A1C2D}"/>
    <cellStyle name="Normal 11 3 2 6 2 2 2 6" xfId="41370" xr:uid="{96CFDF96-8452-4235-BE44-B38E96867839}"/>
    <cellStyle name="Normal 11 3 2 6 2 2 2 6 2" xfId="41371" xr:uid="{B116871E-A5DB-47FE-B9C4-1456D6DBBD09}"/>
    <cellStyle name="Normal 11 3 2 6 2 2 2 7" xfId="41372" xr:uid="{7892940D-EB00-47AB-8A1C-1D1404D53307}"/>
    <cellStyle name="Normal 11 3 2 6 2 2 3" xfId="41373" xr:uid="{FEDCEADA-DFE6-4C6E-A8FA-696B1EFC38C2}"/>
    <cellStyle name="Normal 11 3 2 6 2 2 3 2" xfId="41374" xr:uid="{8BA494AF-5422-4A3A-82A1-1CFE1F3915E0}"/>
    <cellStyle name="Normal 11 3 2 6 2 2 3 2 2" xfId="41375" xr:uid="{33FB527E-635D-4A99-AA3A-98A76DEA5401}"/>
    <cellStyle name="Normal 11 3 2 6 2 2 3 2 2 2" xfId="41376" xr:uid="{9709CCE8-DCFC-4D89-A234-884E9C752787}"/>
    <cellStyle name="Normal 11 3 2 6 2 2 3 2 2 2 2" xfId="41377" xr:uid="{A9E97C49-1EE7-4141-8006-CE2049FC57FD}"/>
    <cellStyle name="Normal 11 3 2 6 2 2 3 2 2 2 2 2" xfId="41378" xr:uid="{C579B005-D833-4911-90B5-A3D2E8CBDDCF}"/>
    <cellStyle name="Normal 11 3 2 6 2 2 3 2 2 2 3" xfId="41379" xr:uid="{B3084612-551E-4B70-B3F2-AEEB1377E770}"/>
    <cellStyle name="Normal 11 3 2 6 2 2 3 2 2 3" xfId="41380" xr:uid="{143C0B8D-7DAB-4801-B5DC-69E4AA498B74}"/>
    <cellStyle name="Normal 11 3 2 6 2 2 3 2 2 3 2" xfId="41381" xr:uid="{95C877C0-F6C6-48C9-84B1-90AE2976F74D}"/>
    <cellStyle name="Normal 11 3 2 6 2 2 3 2 2 4" xfId="41382" xr:uid="{276B7546-E032-48E5-B329-F038BAB23297}"/>
    <cellStyle name="Normal 11 3 2 6 2 2 3 2 3" xfId="41383" xr:uid="{D4159FB1-8FED-4646-BF36-59B15E6AA719}"/>
    <cellStyle name="Normal 11 3 2 6 2 2 3 2 3 2" xfId="41384" xr:uid="{FD9E1BD5-EFAE-4B18-802E-B0CE799FF05D}"/>
    <cellStyle name="Normal 11 3 2 6 2 2 3 2 3 2 2" xfId="41385" xr:uid="{45F9E8B3-3A90-46A2-B95D-79ED9323FAF6}"/>
    <cellStyle name="Normal 11 3 2 6 2 2 3 2 3 3" xfId="41386" xr:uid="{C91ECBAA-5914-44D5-A2A7-3A63947F623B}"/>
    <cellStyle name="Normal 11 3 2 6 2 2 3 2 4" xfId="41387" xr:uid="{3CCCED3C-3613-4AA7-9BD6-583428CBF730}"/>
    <cellStyle name="Normal 11 3 2 6 2 2 3 2 4 2" xfId="41388" xr:uid="{8F107FA2-2B4C-4A7A-B44C-DFDDEA350876}"/>
    <cellStyle name="Normal 11 3 2 6 2 2 3 2 5" xfId="41389" xr:uid="{3231A831-20C8-4182-BD9F-63EC9E62F685}"/>
    <cellStyle name="Normal 11 3 2 6 2 2 3 3" xfId="41390" xr:uid="{AEB2A9AA-F589-422D-A6BD-FD152A42974E}"/>
    <cellStyle name="Normal 11 3 2 6 2 2 3 3 2" xfId="41391" xr:uid="{3EEEE88D-2C4F-4207-9037-0BE58B5A8C45}"/>
    <cellStyle name="Normal 11 3 2 6 2 2 3 3 2 2" xfId="41392" xr:uid="{B75B7E4F-9DDE-477D-9ECD-D358BD1BF150}"/>
    <cellStyle name="Normal 11 3 2 6 2 2 3 3 2 2 2" xfId="41393" xr:uid="{0E7E4940-5D80-4672-B94A-3E66CEB51E5A}"/>
    <cellStyle name="Normal 11 3 2 6 2 2 3 3 2 3" xfId="41394" xr:uid="{662D1002-A8A1-4312-99BF-DA1F4954F726}"/>
    <cellStyle name="Normal 11 3 2 6 2 2 3 3 3" xfId="41395" xr:uid="{F6959BA1-666F-4094-9113-B4532094359F}"/>
    <cellStyle name="Normal 11 3 2 6 2 2 3 3 3 2" xfId="41396" xr:uid="{DC0EDAC3-2545-4966-80FC-A352FFB1483C}"/>
    <cellStyle name="Normal 11 3 2 6 2 2 3 3 4" xfId="41397" xr:uid="{A9854403-92D6-47B7-9559-798234B56FE6}"/>
    <cellStyle name="Normal 11 3 2 6 2 2 3 4" xfId="41398" xr:uid="{8E4BAD7F-AF2C-498E-8B73-1F992461B1E5}"/>
    <cellStyle name="Normal 11 3 2 6 2 2 3 4 2" xfId="41399" xr:uid="{6741A6C2-3FEA-43E3-85C6-53A12CE36F22}"/>
    <cellStyle name="Normal 11 3 2 6 2 2 3 4 2 2" xfId="41400" xr:uid="{B04AB0C0-47BB-49D8-BA62-0B8ACD296BAF}"/>
    <cellStyle name="Normal 11 3 2 6 2 2 3 4 3" xfId="41401" xr:uid="{63844097-3670-4B7F-AD5A-356B5342B4C8}"/>
    <cellStyle name="Normal 11 3 2 6 2 2 3 5" xfId="41402" xr:uid="{A1E4B341-2544-4350-8F81-90C66C51B492}"/>
    <cellStyle name="Normal 11 3 2 6 2 2 3 5 2" xfId="41403" xr:uid="{2F66303A-C4DE-4E8F-956E-ACD39E8E0BDB}"/>
    <cellStyle name="Normal 11 3 2 6 2 2 3 6" xfId="41404" xr:uid="{D9709210-D371-4A7D-8895-CA19B8F6602E}"/>
    <cellStyle name="Normal 11 3 2 6 2 2 4" xfId="41405" xr:uid="{49323A1F-0757-44C2-A375-C24A301BEB4A}"/>
    <cellStyle name="Normal 11 3 2 6 2 2 4 2" xfId="41406" xr:uid="{32A8E78B-A512-4207-B1B1-4A027E1617BF}"/>
    <cellStyle name="Normal 11 3 2 6 2 2 4 2 2" xfId="41407" xr:uid="{48BD8A42-0FCB-45E5-B1BA-8A84773B302A}"/>
    <cellStyle name="Normal 11 3 2 6 2 2 4 2 2 2" xfId="41408" xr:uid="{5E91823B-94BB-44B9-9FC7-0EC9C369B2E2}"/>
    <cellStyle name="Normal 11 3 2 6 2 2 4 2 2 2 2" xfId="41409" xr:uid="{F3AE0D56-1251-4A30-AA16-A28D1E45D0BB}"/>
    <cellStyle name="Normal 11 3 2 6 2 2 4 2 2 3" xfId="41410" xr:uid="{C6F189FB-F393-4BDF-9348-3DD9B5EB79C6}"/>
    <cellStyle name="Normal 11 3 2 6 2 2 4 2 3" xfId="41411" xr:uid="{8EB3E3D9-3E1B-4D88-8385-6F5799A97C91}"/>
    <cellStyle name="Normal 11 3 2 6 2 2 4 2 3 2" xfId="41412" xr:uid="{82177F3B-F9ED-438E-8DEC-132C6863494F}"/>
    <cellStyle name="Normal 11 3 2 6 2 2 4 2 4" xfId="41413" xr:uid="{7B6400DB-D4BE-46E3-8992-133086CB7385}"/>
    <cellStyle name="Normal 11 3 2 6 2 2 4 3" xfId="41414" xr:uid="{7B9745B7-F0A9-49C4-A2CB-F03E45251B20}"/>
    <cellStyle name="Normal 11 3 2 6 2 2 4 3 2" xfId="41415" xr:uid="{AA01F592-2F12-4AC0-AE60-822CE8AAC653}"/>
    <cellStyle name="Normal 11 3 2 6 2 2 4 3 2 2" xfId="41416" xr:uid="{97BF0882-492F-4F37-833D-A893E7511736}"/>
    <cellStyle name="Normal 11 3 2 6 2 2 4 3 3" xfId="41417" xr:uid="{EEA4A933-D4C5-44A8-A4EB-F51AD791A5BF}"/>
    <cellStyle name="Normal 11 3 2 6 2 2 4 4" xfId="41418" xr:uid="{677C7DA1-5B49-4871-AE06-97CE65A1533D}"/>
    <cellStyle name="Normal 11 3 2 6 2 2 4 4 2" xfId="41419" xr:uid="{F1289588-575D-438F-9C91-F9E268383A40}"/>
    <cellStyle name="Normal 11 3 2 6 2 2 4 5" xfId="41420" xr:uid="{D8DAE43A-1BA3-4E39-81B0-426BD7AA140D}"/>
    <cellStyle name="Normal 11 3 2 6 2 2 5" xfId="41421" xr:uid="{F5D4AAE2-9168-4080-8FF5-0841F9732458}"/>
    <cellStyle name="Normal 11 3 2 6 2 2 5 2" xfId="41422" xr:uid="{7AAF4553-8CA0-49A3-9527-835CC27E0AEB}"/>
    <cellStyle name="Normal 11 3 2 6 2 2 5 2 2" xfId="41423" xr:uid="{9174C731-C7E2-4D29-A70B-2EA2F5936FCF}"/>
    <cellStyle name="Normal 11 3 2 6 2 2 5 2 2 2" xfId="41424" xr:uid="{4E661A4B-8BD0-4E63-AC85-17BECCAC5A4B}"/>
    <cellStyle name="Normal 11 3 2 6 2 2 5 2 3" xfId="41425" xr:uid="{33DA33A6-D90F-4F44-8F3D-269272B2D77B}"/>
    <cellStyle name="Normal 11 3 2 6 2 2 5 3" xfId="41426" xr:uid="{E9E65824-2825-49BA-B132-8B6A7801E67F}"/>
    <cellStyle name="Normal 11 3 2 6 2 2 5 3 2" xfId="41427" xr:uid="{0361FFCF-3F89-4811-97DA-38B7A4B6B109}"/>
    <cellStyle name="Normal 11 3 2 6 2 2 5 4" xfId="41428" xr:uid="{705C695A-1C04-4640-8E95-6F9C03C46296}"/>
    <cellStyle name="Normal 11 3 2 6 2 2 6" xfId="41429" xr:uid="{26180C93-1F05-460A-B370-A72156C7D5E9}"/>
    <cellStyle name="Normal 11 3 2 6 2 2 6 2" xfId="41430" xr:uid="{CF76664B-1D05-4C4D-88BF-0CBB56884D35}"/>
    <cellStyle name="Normal 11 3 2 6 2 2 6 2 2" xfId="41431" xr:uid="{D5980DE5-0544-407D-BCE7-01BAB6F03CF6}"/>
    <cellStyle name="Normal 11 3 2 6 2 2 6 3" xfId="41432" xr:uid="{5AB47B0E-AEAE-44AC-8764-10BCFEE57B82}"/>
    <cellStyle name="Normal 11 3 2 6 2 2 7" xfId="41433" xr:uid="{C0AB9CF5-F34E-4F8E-8C2B-8B1D612B25DE}"/>
    <cellStyle name="Normal 11 3 2 6 2 2 7 2" xfId="41434" xr:uid="{12D2405F-CC05-4BBF-B8FE-B25A6401E301}"/>
    <cellStyle name="Normal 11 3 2 6 2 2 8" xfId="41435" xr:uid="{CAD7894F-4D1F-4398-B930-94AE141B744A}"/>
    <cellStyle name="Normal 11 3 2 6 2 3" xfId="41436" xr:uid="{714CB023-32A8-43D6-9D29-D309D7B55368}"/>
    <cellStyle name="Normal 11 3 2 6 2 3 2" xfId="41437" xr:uid="{CC4C63E2-C00D-4FA0-B350-697094A189DA}"/>
    <cellStyle name="Normal 11 3 2 6 2 3 2 2" xfId="41438" xr:uid="{8AEB96F7-DD22-4D14-9DD2-F1A2F846AD8D}"/>
    <cellStyle name="Normal 11 3 2 6 2 3 2 2 2" xfId="41439" xr:uid="{FD13FD9E-0DA4-47D0-9C54-477A3DE9A68E}"/>
    <cellStyle name="Normal 11 3 2 6 2 3 2 2 2 2" xfId="41440" xr:uid="{5B7A41D2-4A82-4FE0-8FC7-9BBA48ABC28F}"/>
    <cellStyle name="Normal 11 3 2 6 2 3 2 2 2 2 2" xfId="41441" xr:uid="{D81D1A7F-9899-45F2-BF53-9C7ECDCDC75D}"/>
    <cellStyle name="Normal 11 3 2 6 2 3 2 2 2 2 2 2" xfId="41442" xr:uid="{A46CB383-11DD-4F2E-BA3A-01D0594FC8F5}"/>
    <cellStyle name="Normal 11 3 2 6 2 3 2 2 2 2 3" xfId="41443" xr:uid="{C5B96C00-57F2-4DF1-8F90-03B8629DFE67}"/>
    <cellStyle name="Normal 11 3 2 6 2 3 2 2 2 3" xfId="41444" xr:uid="{A448598C-B3B5-42E6-8C57-530AD1C39FB7}"/>
    <cellStyle name="Normal 11 3 2 6 2 3 2 2 2 3 2" xfId="41445" xr:uid="{D472E830-0834-4988-BDA1-7A63B1BAF080}"/>
    <cellStyle name="Normal 11 3 2 6 2 3 2 2 2 4" xfId="41446" xr:uid="{78238B9D-F865-4BC2-81C5-91696A4A608F}"/>
    <cellStyle name="Normal 11 3 2 6 2 3 2 2 3" xfId="41447" xr:uid="{F182C7B5-6A16-4DE8-96C0-3BD3869AD213}"/>
    <cellStyle name="Normal 11 3 2 6 2 3 2 2 3 2" xfId="41448" xr:uid="{257BEAD8-9EBD-4ACA-823D-59BFAC5F3A5A}"/>
    <cellStyle name="Normal 11 3 2 6 2 3 2 2 3 2 2" xfId="41449" xr:uid="{A2C80FED-F9D9-49CB-BCA1-1A07EB1363C3}"/>
    <cellStyle name="Normal 11 3 2 6 2 3 2 2 3 3" xfId="41450" xr:uid="{6975156E-3B97-4F20-B97F-38CEBC74E450}"/>
    <cellStyle name="Normal 11 3 2 6 2 3 2 2 4" xfId="41451" xr:uid="{8FB1DD5B-07FD-44A1-B817-36E29D6B7533}"/>
    <cellStyle name="Normal 11 3 2 6 2 3 2 2 4 2" xfId="41452" xr:uid="{ECCD767F-FAD5-4D2A-893E-260B5307652B}"/>
    <cellStyle name="Normal 11 3 2 6 2 3 2 2 5" xfId="41453" xr:uid="{26AF841B-2F5A-42E1-B4BC-9CB853838EC5}"/>
    <cellStyle name="Normal 11 3 2 6 2 3 2 3" xfId="41454" xr:uid="{BEE42303-3374-46E1-A4A9-507EA642D01D}"/>
    <cellStyle name="Normal 11 3 2 6 2 3 2 3 2" xfId="41455" xr:uid="{E8EF9985-FD7C-4423-B15C-8E4712EDC1F2}"/>
    <cellStyle name="Normal 11 3 2 6 2 3 2 3 2 2" xfId="41456" xr:uid="{9264CD24-1558-4000-B214-EA6124521F21}"/>
    <cellStyle name="Normal 11 3 2 6 2 3 2 3 2 2 2" xfId="41457" xr:uid="{AFE50C4D-BDBE-467A-A061-93C0369AD8DB}"/>
    <cellStyle name="Normal 11 3 2 6 2 3 2 3 2 3" xfId="41458" xr:uid="{75B469DD-1F00-46D9-B91D-C57DC20AAB40}"/>
    <cellStyle name="Normal 11 3 2 6 2 3 2 3 3" xfId="41459" xr:uid="{E55DEE85-7A53-4490-AE10-5494F2611CF2}"/>
    <cellStyle name="Normal 11 3 2 6 2 3 2 3 3 2" xfId="41460" xr:uid="{61548109-78BA-454E-82B0-6240C1A783A8}"/>
    <cellStyle name="Normal 11 3 2 6 2 3 2 3 4" xfId="41461" xr:uid="{8CE30062-BC2A-4FDC-8483-C15DE257FC67}"/>
    <cellStyle name="Normal 11 3 2 6 2 3 2 4" xfId="41462" xr:uid="{39692632-9E0E-4062-A05A-3FDFAD793A9D}"/>
    <cellStyle name="Normal 11 3 2 6 2 3 2 4 2" xfId="41463" xr:uid="{3E3DD4D4-6C56-4E7B-83B0-1E1FF8AA06A2}"/>
    <cellStyle name="Normal 11 3 2 6 2 3 2 4 2 2" xfId="41464" xr:uid="{CCD8D992-6439-4449-800C-82F2A5123F37}"/>
    <cellStyle name="Normal 11 3 2 6 2 3 2 4 3" xfId="41465" xr:uid="{195E3FF9-4ECC-41D6-BD3A-36EECDE6C3D6}"/>
    <cellStyle name="Normal 11 3 2 6 2 3 2 5" xfId="41466" xr:uid="{948FB88D-9A82-4B36-A679-FE7004951F48}"/>
    <cellStyle name="Normal 11 3 2 6 2 3 2 5 2" xfId="41467" xr:uid="{67D2D83C-6BA6-4717-9460-5B285276D202}"/>
    <cellStyle name="Normal 11 3 2 6 2 3 2 6" xfId="41468" xr:uid="{45594F11-AC45-4159-A723-EF60CE6F72B5}"/>
    <cellStyle name="Normal 11 3 2 6 2 3 3" xfId="41469" xr:uid="{ECA25B2C-93C0-4984-8B39-CF2AC43C9284}"/>
    <cellStyle name="Normal 11 3 2 6 2 3 3 2" xfId="41470" xr:uid="{14368365-D405-4FF2-9E07-B050EABE6B91}"/>
    <cellStyle name="Normal 11 3 2 6 2 3 3 2 2" xfId="41471" xr:uid="{5C2A0D9D-D57D-415C-8165-84686961AA2E}"/>
    <cellStyle name="Normal 11 3 2 6 2 3 3 2 2 2" xfId="41472" xr:uid="{3BE4170D-742D-438E-A147-EA97219E4C23}"/>
    <cellStyle name="Normal 11 3 2 6 2 3 3 2 2 2 2" xfId="41473" xr:uid="{F4E219ED-0DA7-47F7-9887-9BA9F2134CBF}"/>
    <cellStyle name="Normal 11 3 2 6 2 3 3 2 2 3" xfId="41474" xr:uid="{0536B080-9C0E-45B7-B5A5-F31BF28B608D}"/>
    <cellStyle name="Normal 11 3 2 6 2 3 3 2 3" xfId="41475" xr:uid="{AFD8540A-9F65-41E3-95EE-00364DF99C70}"/>
    <cellStyle name="Normal 11 3 2 6 2 3 3 2 3 2" xfId="41476" xr:uid="{0FB19A84-42E1-47F4-9906-FBBF565334A4}"/>
    <cellStyle name="Normal 11 3 2 6 2 3 3 2 4" xfId="41477" xr:uid="{BED39CBF-9302-41EF-A43D-03B991DCC99C}"/>
    <cellStyle name="Normal 11 3 2 6 2 3 3 3" xfId="41478" xr:uid="{C279A0D0-D009-4477-9778-F31F77C824FA}"/>
    <cellStyle name="Normal 11 3 2 6 2 3 3 3 2" xfId="41479" xr:uid="{9163E6B8-F082-4DF2-93F1-DF8771873402}"/>
    <cellStyle name="Normal 11 3 2 6 2 3 3 3 2 2" xfId="41480" xr:uid="{AA7AC10B-0D76-47C1-98AB-863035E4B7B0}"/>
    <cellStyle name="Normal 11 3 2 6 2 3 3 3 3" xfId="41481" xr:uid="{E823598F-968F-4042-8AEE-DF199E4DBB24}"/>
    <cellStyle name="Normal 11 3 2 6 2 3 3 4" xfId="41482" xr:uid="{F15F2C82-D55C-4C85-AFB8-A34E799E907A}"/>
    <cellStyle name="Normal 11 3 2 6 2 3 3 4 2" xfId="41483" xr:uid="{739D90CF-62A6-4C90-9704-49696D5F1368}"/>
    <cellStyle name="Normal 11 3 2 6 2 3 3 5" xfId="41484" xr:uid="{DE938E90-7A79-46BC-9BCE-2996FFEF27EF}"/>
    <cellStyle name="Normal 11 3 2 6 2 3 4" xfId="41485" xr:uid="{06C31C32-8481-4DDE-BCD0-49CA67BBF3F4}"/>
    <cellStyle name="Normal 11 3 2 6 2 3 4 2" xfId="41486" xr:uid="{BDCFD389-7AE3-4474-A9D5-3AA59D56A06C}"/>
    <cellStyle name="Normal 11 3 2 6 2 3 4 2 2" xfId="41487" xr:uid="{7FE67C18-1ADB-4B9E-A43C-FE0279CB4B9C}"/>
    <cellStyle name="Normal 11 3 2 6 2 3 4 2 2 2" xfId="41488" xr:uid="{FBE6563D-58D0-4929-83D3-2244903D019A}"/>
    <cellStyle name="Normal 11 3 2 6 2 3 4 2 3" xfId="41489" xr:uid="{E97C4F5C-2997-4F40-AC46-95141E62FC8E}"/>
    <cellStyle name="Normal 11 3 2 6 2 3 4 3" xfId="41490" xr:uid="{7E1E1D56-2E05-462F-9BE4-73DB546FC145}"/>
    <cellStyle name="Normal 11 3 2 6 2 3 4 3 2" xfId="41491" xr:uid="{DB0A5170-832C-4569-8B3D-05176CEA2F0C}"/>
    <cellStyle name="Normal 11 3 2 6 2 3 4 4" xfId="41492" xr:uid="{C0E14F09-7459-4ABF-B390-47048649C39B}"/>
    <cellStyle name="Normal 11 3 2 6 2 3 5" xfId="41493" xr:uid="{1E8B9752-1995-4B0C-B668-CD2EDF369FAC}"/>
    <cellStyle name="Normal 11 3 2 6 2 3 5 2" xfId="41494" xr:uid="{88B52EB6-80EE-4EC2-B877-02435F395518}"/>
    <cellStyle name="Normal 11 3 2 6 2 3 5 2 2" xfId="41495" xr:uid="{97A29D10-D393-489E-BB99-277CD5952BC8}"/>
    <cellStyle name="Normal 11 3 2 6 2 3 5 3" xfId="41496" xr:uid="{60201301-65E3-467B-9BAB-6FE2C0805390}"/>
    <cellStyle name="Normal 11 3 2 6 2 3 6" xfId="41497" xr:uid="{19A7C673-AAC9-41D9-BCE4-801872025440}"/>
    <cellStyle name="Normal 11 3 2 6 2 3 6 2" xfId="41498" xr:uid="{3E6D9457-7D00-46CA-87BF-2D2DB4997E0C}"/>
    <cellStyle name="Normal 11 3 2 6 2 3 7" xfId="41499" xr:uid="{2A5DD926-DD23-46E5-9489-9A71845E89D1}"/>
    <cellStyle name="Normal 11 3 2 6 2 4" xfId="41500" xr:uid="{74EE59AF-2AA7-4B57-8EC9-CB0E68944126}"/>
    <cellStyle name="Normal 11 3 2 6 2 4 2" xfId="41501" xr:uid="{EC96EB24-212D-402D-AC80-F7B05B8E466E}"/>
    <cellStyle name="Normal 11 3 2 6 2 4 2 2" xfId="41502" xr:uid="{DEFA209F-F6B9-4A17-8CF3-A2C763A853A2}"/>
    <cellStyle name="Normal 11 3 2 6 2 4 2 2 2" xfId="41503" xr:uid="{06D79CAC-E759-4A85-8132-1B066B33C87C}"/>
    <cellStyle name="Normal 11 3 2 6 2 4 2 2 2 2" xfId="41504" xr:uid="{7534D786-3820-4DA2-ACD3-3EFA085B5BB7}"/>
    <cellStyle name="Normal 11 3 2 6 2 4 2 2 2 2 2" xfId="41505" xr:uid="{FE373274-1EB5-4309-B536-AF1E07B0B4CB}"/>
    <cellStyle name="Normal 11 3 2 6 2 4 2 2 2 3" xfId="41506" xr:uid="{AEDA1D61-5BB9-4E8F-B837-1E10CDABA32C}"/>
    <cellStyle name="Normal 11 3 2 6 2 4 2 2 3" xfId="41507" xr:uid="{FF551C0E-FAB2-4058-BA2C-86B407195C71}"/>
    <cellStyle name="Normal 11 3 2 6 2 4 2 2 3 2" xfId="41508" xr:uid="{27FE5AF1-F45A-439A-8AA6-AD0ED0CF4C1F}"/>
    <cellStyle name="Normal 11 3 2 6 2 4 2 2 4" xfId="41509" xr:uid="{790AA8E4-F78C-4A2B-A0C8-EE6B0F2DFCA2}"/>
    <cellStyle name="Normal 11 3 2 6 2 4 2 3" xfId="41510" xr:uid="{048BC4B1-0BC9-4232-B081-59D49FEE6963}"/>
    <cellStyle name="Normal 11 3 2 6 2 4 2 3 2" xfId="41511" xr:uid="{45F7CFA6-9A48-4F51-95CA-8C8233DF4E13}"/>
    <cellStyle name="Normal 11 3 2 6 2 4 2 3 2 2" xfId="41512" xr:uid="{7BFF9D38-40FB-4B8D-A4C9-E9B3CBD29191}"/>
    <cellStyle name="Normal 11 3 2 6 2 4 2 3 3" xfId="41513" xr:uid="{6208C73B-FBFB-4F9C-95BC-A326DA0D613F}"/>
    <cellStyle name="Normal 11 3 2 6 2 4 2 4" xfId="41514" xr:uid="{585A3096-051A-417A-800E-27F1F34B2864}"/>
    <cellStyle name="Normal 11 3 2 6 2 4 2 4 2" xfId="41515" xr:uid="{AA38C5C0-D060-4DC6-80D6-A02E21C978B6}"/>
    <cellStyle name="Normal 11 3 2 6 2 4 2 5" xfId="41516" xr:uid="{F4B1A1DA-0AAC-4497-A474-4782D39893B4}"/>
    <cellStyle name="Normal 11 3 2 6 2 4 3" xfId="41517" xr:uid="{7FAD5B73-A1F9-47C7-B64A-36EE3EACACE4}"/>
    <cellStyle name="Normal 11 3 2 6 2 4 3 2" xfId="41518" xr:uid="{93E7B4D8-4893-4E4A-9A16-A97AB3E1EF74}"/>
    <cellStyle name="Normal 11 3 2 6 2 4 3 2 2" xfId="41519" xr:uid="{C40E17A6-35D1-468E-AA8F-B72AEC442C0F}"/>
    <cellStyle name="Normal 11 3 2 6 2 4 3 2 2 2" xfId="41520" xr:uid="{43D33AE8-DBCD-4D50-829D-747A8A12BA02}"/>
    <cellStyle name="Normal 11 3 2 6 2 4 3 2 3" xfId="41521" xr:uid="{4D7CB563-F275-41FA-AD2D-5BF45CC3935A}"/>
    <cellStyle name="Normal 11 3 2 6 2 4 3 3" xfId="41522" xr:uid="{45019FFD-FD7F-4E4A-B106-57D90CB52AE0}"/>
    <cellStyle name="Normal 11 3 2 6 2 4 3 3 2" xfId="41523" xr:uid="{55F4FA7C-CE81-45C0-B380-421D2302CBDC}"/>
    <cellStyle name="Normal 11 3 2 6 2 4 3 4" xfId="41524" xr:uid="{7E0F7F31-2BCE-4CA0-9CCF-EED1DA3219D3}"/>
    <cellStyle name="Normal 11 3 2 6 2 4 4" xfId="41525" xr:uid="{C4DF51B2-CF27-460F-AD64-610890B33833}"/>
    <cellStyle name="Normal 11 3 2 6 2 4 4 2" xfId="41526" xr:uid="{C0E8EAC6-E578-4F83-97D3-5797C8A941A2}"/>
    <cellStyle name="Normal 11 3 2 6 2 4 4 2 2" xfId="41527" xr:uid="{35D728C4-06D2-44BD-95BF-EAABFB64E8ED}"/>
    <cellStyle name="Normal 11 3 2 6 2 4 4 3" xfId="41528" xr:uid="{3305655A-EBB1-4FF8-9CFA-97B573FA50B1}"/>
    <cellStyle name="Normal 11 3 2 6 2 4 5" xfId="41529" xr:uid="{15C3F8A9-018A-4EA8-8042-D73EFA2803D5}"/>
    <cellStyle name="Normal 11 3 2 6 2 4 5 2" xfId="41530" xr:uid="{F6790EF2-1BAA-4977-AFDE-A798C64026A7}"/>
    <cellStyle name="Normal 11 3 2 6 2 4 6" xfId="41531" xr:uid="{329D4724-D31D-457B-A72E-35D8143E7E31}"/>
    <cellStyle name="Normal 11 3 2 6 2 5" xfId="41532" xr:uid="{328FA2B8-0F10-4DAF-A9CF-0836B7050A38}"/>
    <cellStyle name="Normal 11 3 2 6 2 5 2" xfId="41533" xr:uid="{E753C6D9-E8F9-46E1-B5D9-8AC115F9CBAD}"/>
    <cellStyle name="Normal 11 3 2 6 2 5 2 2" xfId="41534" xr:uid="{2124B134-46CD-4FBE-8D92-563BBC839F25}"/>
    <cellStyle name="Normal 11 3 2 6 2 5 2 2 2" xfId="41535" xr:uid="{4E75F137-04E8-4873-B031-768E6EEEE0FA}"/>
    <cellStyle name="Normal 11 3 2 6 2 5 2 2 2 2" xfId="41536" xr:uid="{16FB8966-6C2D-4903-B0A6-A42D9B568531}"/>
    <cellStyle name="Normal 11 3 2 6 2 5 2 2 3" xfId="41537" xr:uid="{63A54993-8E61-4954-BAAD-1E99EEF9C2E3}"/>
    <cellStyle name="Normal 11 3 2 6 2 5 2 3" xfId="41538" xr:uid="{71CF4564-6C7D-49E1-91DB-B5C339D81674}"/>
    <cellStyle name="Normal 11 3 2 6 2 5 2 3 2" xfId="41539" xr:uid="{8906DA22-25DC-455C-8990-3D1B95179E4E}"/>
    <cellStyle name="Normal 11 3 2 6 2 5 2 4" xfId="41540" xr:uid="{1DA57EA1-6594-4F33-B61D-A6B9BBF14747}"/>
    <cellStyle name="Normal 11 3 2 6 2 5 3" xfId="41541" xr:uid="{55912623-2890-4351-93EA-113737F7E320}"/>
    <cellStyle name="Normal 11 3 2 6 2 5 3 2" xfId="41542" xr:uid="{DC15C78D-DB5A-4537-9EBA-94C6B3E2D8A2}"/>
    <cellStyle name="Normal 11 3 2 6 2 5 3 2 2" xfId="41543" xr:uid="{918C061E-CB2D-4D76-B564-EE617DE5D3D5}"/>
    <cellStyle name="Normal 11 3 2 6 2 5 3 3" xfId="41544" xr:uid="{C37AF786-20AD-409B-9353-8465C27CB4BF}"/>
    <cellStyle name="Normal 11 3 2 6 2 5 4" xfId="41545" xr:uid="{94A7913C-1D8F-47DB-89BF-F687F043AE26}"/>
    <cellStyle name="Normal 11 3 2 6 2 5 4 2" xfId="41546" xr:uid="{634220F6-8CA5-453D-A1BE-A09FB2995041}"/>
    <cellStyle name="Normal 11 3 2 6 2 5 5" xfId="41547" xr:uid="{E075E3B3-A579-4FF0-9C10-050A88FBAE66}"/>
    <cellStyle name="Normal 11 3 2 6 2 6" xfId="41548" xr:uid="{63B7EDEC-EAC0-4050-9E3C-A2D40F8F50E8}"/>
    <cellStyle name="Normal 11 3 2 6 2 6 2" xfId="41549" xr:uid="{C43471B9-FB62-476E-BDA8-00368624376C}"/>
    <cellStyle name="Normal 11 3 2 6 2 6 2 2" xfId="41550" xr:uid="{51A64605-2FA2-48D0-8C43-26C05996113E}"/>
    <cellStyle name="Normal 11 3 2 6 2 6 2 2 2" xfId="41551" xr:uid="{F063441D-3827-4A8C-9FC8-33F0BA2800EE}"/>
    <cellStyle name="Normal 11 3 2 6 2 6 2 3" xfId="41552" xr:uid="{DB27E5FE-0D3E-4CE3-B646-63B56B7C5615}"/>
    <cellStyle name="Normal 11 3 2 6 2 6 3" xfId="41553" xr:uid="{643616CB-8AFD-4C6D-9E41-9B2B372FBD06}"/>
    <cellStyle name="Normal 11 3 2 6 2 6 3 2" xfId="41554" xr:uid="{D39ECF8F-A8CC-492B-9EF7-287773D13276}"/>
    <cellStyle name="Normal 11 3 2 6 2 6 4" xfId="41555" xr:uid="{B201EE2C-73DA-4A69-B43A-45271149EFAE}"/>
    <cellStyle name="Normal 11 3 2 6 2 7" xfId="41556" xr:uid="{B91DF4FF-9B7D-4454-B679-7E9FB69A32C1}"/>
    <cellStyle name="Normal 11 3 2 6 2 7 2" xfId="41557" xr:uid="{30C5E4D0-A6FF-4D1B-ADCB-A5A170990C5E}"/>
    <cellStyle name="Normal 11 3 2 6 2 7 2 2" xfId="41558" xr:uid="{294E17F8-5321-4670-BA3B-15A3D224D630}"/>
    <cellStyle name="Normal 11 3 2 6 2 7 3" xfId="41559" xr:uid="{0EF135DC-BB54-4BD2-8083-AA142FE07AFD}"/>
    <cellStyle name="Normal 11 3 2 6 2 8" xfId="41560" xr:uid="{575816C1-A78D-4393-9437-05F7A7EE44D7}"/>
    <cellStyle name="Normal 11 3 2 6 2 8 2" xfId="41561" xr:uid="{911EFA9D-E0E0-49BA-9E33-2D109DC3DFA1}"/>
    <cellStyle name="Normal 11 3 2 6 2 9" xfId="41562" xr:uid="{FB7E7092-5A57-417B-A082-62FE192DC8D4}"/>
    <cellStyle name="Normal 11 3 2 6 3" xfId="508" xr:uid="{B2F4E6E8-A10F-495F-8E3E-0E9F255B39A5}"/>
    <cellStyle name="Normal 11 3 2 6 3 2" xfId="41564" xr:uid="{6E51B4F5-DE4F-4F71-BFD9-378794750B3A}"/>
    <cellStyle name="Normal 11 3 2 6 3 2 2" xfId="41565" xr:uid="{7AF1D370-CE7F-40E8-ADDC-5C0D5A5B0AD3}"/>
    <cellStyle name="Normal 11 3 2 6 3 2 2 2" xfId="41566" xr:uid="{CB6F1486-802F-4574-BAF8-58C3B7184DF6}"/>
    <cellStyle name="Normal 11 3 2 6 3 2 2 2 2" xfId="41567" xr:uid="{FEEE9CE5-AD17-46AE-84C0-046AFDDBABE8}"/>
    <cellStyle name="Normal 11 3 2 6 3 2 2 2 2 2" xfId="41568" xr:uid="{1B702D95-AB83-4F37-9C95-A482C974651E}"/>
    <cellStyle name="Normal 11 3 2 6 3 2 2 2 2 2 2" xfId="41569" xr:uid="{69B87062-8549-457D-8D21-15F6A08A359B}"/>
    <cellStyle name="Normal 11 3 2 6 3 2 2 2 2 2 2 2" xfId="41570" xr:uid="{089B5B28-1B94-4199-8816-CF2B69E92A3E}"/>
    <cellStyle name="Normal 11 3 2 6 3 2 2 2 2 2 3" xfId="41571" xr:uid="{C21504BD-4CD9-46A3-B732-711C98E27140}"/>
    <cellStyle name="Normal 11 3 2 6 3 2 2 2 2 3" xfId="41572" xr:uid="{5B2E9E72-DDE3-44C9-9A9E-F2A015BBDF05}"/>
    <cellStyle name="Normal 11 3 2 6 3 2 2 2 2 3 2" xfId="41573" xr:uid="{D562614D-56B3-4067-96E1-3DD84890274A}"/>
    <cellStyle name="Normal 11 3 2 6 3 2 2 2 2 4" xfId="41574" xr:uid="{6C2C96B9-158F-4AA5-8859-5543FF4F5CCF}"/>
    <cellStyle name="Normal 11 3 2 6 3 2 2 2 3" xfId="41575" xr:uid="{0B9388B4-EF2B-45BC-A700-3DA2EE68ABA6}"/>
    <cellStyle name="Normal 11 3 2 6 3 2 2 2 3 2" xfId="41576" xr:uid="{5C493282-B589-41F2-BEA7-8EFD83E18CDC}"/>
    <cellStyle name="Normal 11 3 2 6 3 2 2 2 3 2 2" xfId="41577" xr:uid="{BAE29DD6-6804-4248-960B-2EFE6E84DDA6}"/>
    <cellStyle name="Normal 11 3 2 6 3 2 2 2 3 3" xfId="41578" xr:uid="{E4C5296B-7704-4145-9942-716617525CB3}"/>
    <cellStyle name="Normal 11 3 2 6 3 2 2 2 4" xfId="41579" xr:uid="{CFDBAE5A-189E-43B9-82FD-A7EDBBF32CA8}"/>
    <cellStyle name="Normal 11 3 2 6 3 2 2 2 4 2" xfId="41580" xr:uid="{B529932F-F238-4D61-A4D7-05EDFAED0D32}"/>
    <cellStyle name="Normal 11 3 2 6 3 2 2 2 5" xfId="41581" xr:uid="{61052D81-358B-4458-8912-B03EA6B5D5E5}"/>
    <cellStyle name="Normal 11 3 2 6 3 2 2 3" xfId="41582" xr:uid="{33D823FF-EBCC-43CA-A3BA-6BAB729E227F}"/>
    <cellStyle name="Normal 11 3 2 6 3 2 2 3 2" xfId="41583" xr:uid="{FD637F24-9811-4C8F-99B8-7B5760462946}"/>
    <cellStyle name="Normal 11 3 2 6 3 2 2 3 2 2" xfId="41584" xr:uid="{089FBAB6-4338-4155-A7D6-9210D2E6E3E1}"/>
    <cellStyle name="Normal 11 3 2 6 3 2 2 3 2 2 2" xfId="41585" xr:uid="{001E55A7-6D09-4C4E-B0C1-085B52EA64F0}"/>
    <cellStyle name="Normal 11 3 2 6 3 2 2 3 2 3" xfId="41586" xr:uid="{E8E16A05-F3E1-4063-B48A-0A4399DA0E8A}"/>
    <cellStyle name="Normal 11 3 2 6 3 2 2 3 3" xfId="41587" xr:uid="{2FB88055-CB6A-4F37-BDB5-65E56953DD45}"/>
    <cellStyle name="Normal 11 3 2 6 3 2 2 3 3 2" xfId="41588" xr:uid="{EC832811-5F02-4465-AEF3-CA1538677471}"/>
    <cellStyle name="Normal 11 3 2 6 3 2 2 3 4" xfId="41589" xr:uid="{4107C9B2-8F35-4B15-BEB1-68F76E7D9329}"/>
    <cellStyle name="Normal 11 3 2 6 3 2 2 4" xfId="41590" xr:uid="{2AF3C54F-1517-4E97-8DE8-5FAA8C9901A8}"/>
    <cellStyle name="Normal 11 3 2 6 3 2 2 4 2" xfId="41591" xr:uid="{D5048157-4185-4CBB-91E4-ABB2A760DDF4}"/>
    <cellStyle name="Normal 11 3 2 6 3 2 2 4 2 2" xfId="41592" xr:uid="{E8152784-4670-46DF-8229-F1C55EFB1202}"/>
    <cellStyle name="Normal 11 3 2 6 3 2 2 4 3" xfId="41593" xr:uid="{7A5F8723-97CA-49C0-809E-1C9BA43904F7}"/>
    <cellStyle name="Normal 11 3 2 6 3 2 2 5" xfId="41594" xr:uid="{1388FC08-EA80-4892-B5E5-9CEEC3601B15}"/>
    <cellStyle name="Normal 11 3 2 6 3 2 2 5 2" xfId="41595" xr:uid="{6684FD52-27C1-4752-A7B8-F3BEFCDCBBCE}"/>
    <cellStyle name="Normal 11 3 2 6 3 2 2 6" xfId="41596" xr:uid="{6BA9F11C-5C0C-4088-91C0-49A1922A2E4F}"/>
    <cellStyle name="Normal 11 3 2 6 3 2 3" xfId="41597" xr:uid="{46633DED-595E-47BE-9963-6C7206BB71CD}"/>
    <cellStyle name="Normal 11 3 2 6 3 2 3 2" xfId="41598" xr:uid="{F6E06AF8-4B2E-47BB-A971-339CDAB59223}"/>
    <cellStyle name="Normal 11 3 2 6 3 2 3 2 2" xfId="41599" xr:uid="{8A92DD69-C453-4C90-824F-CC3CD7BB08DB}"/>
    <cellStyle name="Normal 11 3 2 6 3 2 3 2 2 2" xfId="41600" xr:uid="{06DF4157-8FBC-4AD8-9405-8DD6A3216AE0}"/>
    <cellStyle name="Normal 11 3 2 6 3 2 3 2 2 2 2" xfId="41601" xr:uid="{C80A5077-DE98-4A5B-958C-FA6890C82807}"/>
    <cellStyle name="Normal 11 3 2 6 3 2 3 2 2 3" xfId="41602" xr:uid="{E9F2A285-7BDD-462F-99AA-BF669D366944}"/>
    <cellStyle name="Normal 11 3 2 6 3 2 3 2 3" xfId="41603" xr:uid="{1D760504-F84D-433E-AED8-A2BCA28595A9}"/>
    <cellStyle name="Normal 11 3 2 6 3 2 3 2 3 2" xfId="41604" xr:uid="{F4D8FD21-CCB6-476B-94CF-DD5A5D8F1A9B}"/>
    <cellStyle name="Normal 11 3 2 6 3 2 3 2 4" xfId="41605" xr:uid="{B2AD1F73-5EFE-4EAE-9E04-ED2741B8294E}"/>
    <cellStyle name="Normal 11 3 2 6 3 2 3 3" xfId="41606" xr:uid="{01DC062D-B544-40D4-BACD-F32934FC35BA}"/>
    <cellStyle name="Normal 11 3 2 6 3 2 3 3 2" xfId="41607" xr:uid="{C4C75B48-77E3-45D1-B53C-FA7C794E250E}"/>
    <cellStyle name="Normal 11 3 2 6 3 2 3 3 2 2" xfId="41608" xr:uid="{E2BAFBBB-0639-484E-A744-E211948D08DE}"/>
    <cellStyle name="Normal 11 3 2 6 3 2 3 3 3" xfId="41609" xr:uid="{0E212175-7BAE-4506-96CB-839EE31C6D96}"/>
    <cellStyle name="Normal 11 3 2 6 3 2 3 4" xfId="41610" xr:uid="{61031B91-9900-4855-8140-141DF2083441}"/>
    <cellStyle name="Normal 11 3 2 6 3 2 3 4 2" xfId="41611" xr:uid="{C30EB842-CF6F-4AFE-B24D-400196F4BF0B}"/>
    <cellStyle name="Normal 11 3 2 6 3 2 3 5" xfId="41612" xr:uid="{09F4CB9C-91B1-46C3-955D-3DF879DD2AB4}"/>
    <cellStyle name="Normal 11 3 2 6 3 2 4" xfId="41613" xr:uid="{577F43D9-8038-4A88-ABAA-769410DEF00A}"/>
    <cellStyle name="Normal 11 3 2 6 3 2 4 2" xfId="41614" xr:uid="{97D1ED2C-95BF-4E7C-8982-471A53D33287}"/>
    <cellStyle name="Normal 11 3 2 6 3 2 4 2 2" xfId="41615" xr:uid="{187798F7-2D5D-4765-AEAB-A99C1E45D8BB}"/>
    <cellStyle name="Normal 11 3 2 6 3 2 4 2 2 2" xfId="41616" xr:uid="{CABFCCFC-C746-4561-BBAD-EBCED735DE2E}"/>
    <cellStyle name="Normal 11 3 2 6 3 2 4 2 3" xfId="41617" xr:uid="{D863684D-C6D4-4257-8ED1-FF8D0A1B2EAE}"/>
    <cellStyle name="Normal 11 3 2 6 3 2 4 3" xfId="41618" xr:uid="{2D554B6D-D0B4-46C9-9BFD-6893798CB126}"/>
    <cellStyle name="Normal 11 3 2 6 3 2 4 3 2" xfId="41619" xr:uid="{CC78AF1F-F6CB-493A-B7A1-0E372A537112}"/>
    <cellStyle name="Normal 11 3 2 6 3 2 4 4" xfId="41620" xr:uid="{62404CF8-EDC4-49C2-99F3-C108446A9B7D}"/>
    <cellStyle name="Normal 11 3 2 6 3 2 5" xfId="41621" xr:uid="{66E7603B-44E8-4201-8BC3-AF9DA4C6CDCD}"/>
    <cellStyle name="Normal 11 3 2 6 3 2 5 2" xfId="41622" xr:uid="{B08D31E9-3D90-41BD-A060-E68BD9344060}"/>
    <cellStyle name="Normal 11 3 2 6 3 2 5 2 2" xfId="41623" xr:uid="{3C66BFC2-12EA-4E16-8943-EAAE38DE7AD1}"/>
    <cellStyle name="Normal 11 3 2 6 3 2 5 3" xfId="41624" xr:uid="{0A0771C1-5D89-441B-B776-43E40F569561}"/>
    <cellStyle name="Normal 11 3 2 6 3 2 6" xfId="41625" xr:uid="{81B7F858-FBEC-4F38-98D7-48F2A0DAE223}"/>
    <cellStyle name="Normal 11 3 2 6 3 2 6 2" xfId="41626" xr:uid="{37774084-EE71-4F54-B0C9-A6BBC1791660}"/>
    <cellStyle name="Normal 11 3 2 6 3 2 7" xfId="41627" xr:uid="{3EA2C703-DEFB-4458-ABBC-DA78D3208B2D}"/>
    <cellStyle name="Normal 11 3 2 6 3 3" xfId="41628" xr:uid="{B315B849-6380-459F-ACCD-2C49DC175EDE}"/>
    <cellStyle name="Normal 11 3 2 6 3 3 2" xfId="41629" xr:uid="{1C8210F0-AD79-412F-8675-6D1EC7574CEE}"/>
    <cellStyle name="Normal 11 3 2 6 3 3 2 2" xfId="41630" xr:uid="{3DD3C3DF-BFD0-4518-A267-59ED346BA2A6}"/>
    <cellStyle name="Normal 11 3 2 6 3 3 2 2 2" xfId="41631" xr:uid="{B9657F86-C070-4F9D-B7E2-26D5687E1B3A}"/>
    <cellStyle name="Normal 11 3 2 6 3 3 2 2 2 2" xfId="41632" xr:uid="{01488A50-2486-4965-AFDF-4A0360072DD7}"/>
    <cellStyle name="Normal 11 3 2 6 3 3 2 2 2 2 2" xfId="41633" xr:uid="{02ACF41E-294F-4D60-BAFD-088BF015A7F2}"/>
    <cellStyle name="Normal 11 3 2 6 3 3 2 2 2 3" xfId="41634" xr:uid="{854079B3-723F-40AB-89C2-FE5BF3CD23F2}"/>
    <cellStyle name="Normal 11 3 2 6 3 3 2 2 3" xfId="41635" xr:uid="{580204E6-E8A5-4474-AC04-0186AB7DBDE7}"/>
    <cellStyle name="Normal 11 3 2 6 3 3 2 2 3 2" xfId="41636" xr:uid="{7F95ACE7-A4AA-441A-B346-B385918ECDB3}"/>
    <cellStyle name="Normal 11 3 2 6 3 3 2 2 4" xfId="41637" xr:uid="{54405F1E-F4F8-441E-91AF-504EF59E5B01}"/>
    <cellStyle name="Normal 11 3 2 6 3 3 2 3" xfId="41638" xr:uid="{89419F6C-D616-44DD-B64D-B5F04BCCB571}"/>
    <cellStyle name="Normal 11 3 2 6 3 3 2 3 2" xfId="41639" xr:uid="{C5EB8D42-6B5E-4EC5-8A21-887506F72DEE}"/>
    <cellStyle name="Normal 11 3 2 6 3 3 2 3 2 2" xfId="41640" xr:uid="{3055A762-BD63-486B-92EA-0633726A69A8}"/>
    <cellStyle name="Normal 11 3 2 6 3 3 2 3 3" xfId="41641" xr:uid="{93C0AEBD-83E9-4AE5-A895-F8615B502A58}"/>
    <cellStyle name="Normal 11 3 2 6 3 3 2 4" xfId="41642" xr:uid="{625620F9-1853-42EE-A33E-8024FA01A7D0}"/>
    <cellStyle name="Normal 11 3 2 6 3 3 2 4 2" xfId="41643" xr:uid="{F93E5A15-BE03-4F06-8C94-AC327403BEC8}"/>
    <cellStyle name="Normal 11 3 2 6 3 3 2 5" xfId="41644" xr:uid="{4DBDFFE2-0D80-43B4-8041-48B6BF13E08F}"/>
    <cellStyle name="Normal 11 3 2 6 3 3 3" xfId="41645" xr:uid="{E81F1C81-9F6F-4765-A0F4-3AB90C777A6B}"/>
    <cellStyle name="Normal 11 3 2 6 3 3 3 2" xfId="41646" xr:uid="{C1EB1E73-791B-4110-8D53-96DBBEFA16A5}"/>
    <cellStyle name="Normal 11 3 2 6 3 3 3 2 2" xfId="41647" xr:uid="{5BFBE456-1332-4016-80FE-87CF0D648FEB}"/>
    <cellStyle name="Normal 11 3 2 6 3 3 3 2 2 2" xfId="41648" xr:uid="{950064AE-71CC-4265-B580-757F7F1ED549}"/>
    <cellStyle name="Normal 11 3 2 6 3 3 3 2 3" xfId="41649" xr:uid="{A6E47A20-D4F2-4572-BAEC-2E972C0F6544}"/>
    <cellStyle name="Normal 11 3 2 6 3 3 3 3" xfId="41650" xr:uid="{E3B1F76C-834D-4CA7-9991-FEBAE4B8823D}"/>
    <cellStyle name="Normal 11 3 2 6 3 3 3 3 2" xfId="41651" xr:uid="{4A86C508-E3C4-4544-82C3-43A0B26AB756}"/>
    <cellStyle name="Normal 11 3 2 6 3 3 3 4" xfId="41652" xr:uid="{6119222A-8FB9-4FFE-9881-1F42B02232D7}"/>
    <cellStyle name="Normal 11 3 2 6 3 3 4" xfId="41653" xr:uid="{D8B0CD1A-D336-4DF3-A8FA-DA11043428DF}"/>
    <cellStyle name="Normal 11 3 2 6 3 3 4 2" xfId="41654" xr:uid="{F0E6020D-146F-4306-90A4-314BAFF99945}"/>
    <cellStyle name="Normal 11 3 2 6 3 3 4 2 2" xfId="41655" xr:uid="{F4C0D99D-B8CE-4EFF-9BFA-BFC44DA2FB3F}"/>
    <cellStyle name="Normal 11 3 2 6 3 3 4 3" xfId="41656" xr:uid="{18FB3A51-327E-4518-A77C-8A5265A25477}"/>
    <cellStyle name="Normal 11 3 2 6 3 3 5" xfId="41657" xr:uid="{70028705-121F-4DF5-B4E4-EECED5112FB7}"/>
    <cellStyle name="Normal 11 3 2 6 3 3 5 2" xfId="41658" xr:uid="{14ED70DD-2492-41D2-BBA3-BC36E2B259D2}"/>
    <cellStyle name="Normal 11 3 2 6 3 3 6" xfId="41659" xr:uid="{83AEE96C-1DB0-48F8-9335-07F6A0665508}"/>
    <cellStyle name="Normal 11 3 2 6 3 4" xfId="41660" xr:uid="{AF336CFF-7A8C-471A-8503-E4FA2625A8A2}"/>
    <cellStyle name="Normal 11 3 2 6 3 4 2" xfId="41661" xr:uid="{98EAE1D0-492F-48FB-A0BF-3F3E6D05195B}"/>
    <cellStyle name="Normal 11 3 2 6 3 4 2 2" xfId="41662" xr:uid="{9BED33AA-D349-4C5C-93F2-F6E9F9482EA2}"/>
    <cellStyle name="Normal 11 3 2 6 3 4 2 2 2" xfId="41663" xr:uid="{D77EA5C5-2FD1-4E75-B7E8-B635902DD052}"/>
    <cellStyle name="Normal 11 3 2 6 3 4 2 2 2 2" xfId="41664" xr:uid="{62739925-E3A9-47AC-A95D-9B24155C551A}"/>
    <cellStyle name="Normal 11 3 2 6 3 4 2 2 3" xfId="41665" xr:uid="{02AA23F9-687D-4BE1-8964-9A3A158672B3}"/>
    <cellStyle name="Normal 11 3 2 6 3 4 2 3" xfId="41666" xr:uid="{36BDE969-151B-4099-800C-425093537CEE}"/>
    <cellStyle name="Normal 11 3 2 6 3 4 2 3 2" xfId="41667" xr:uid="{55BCFDFA-4BA1-42CC-A226-C1EC3308D574}"/>
    <cellStyle name="Normal 11 3 2 6 3 4 2 4" xfId="41668" xr:uid="{BE905EFA-0853-44C6-A76F-63CB50FD8811}"/>
    <cellStyle name="Normal 11 3 2 6 3 4 3" xfId="41669" xr:uid="{5DD5153A-9D7D-4802-9D78-15DB07FB5529}"/>
    <cellStyle name="Normal 11 3 2 6 3 4 3 2" xfId="41670" xr:uid="{FC726C9C-873F-4B61-874E-CA2DC7FD7744}"/>
    <cellStyle name="Normal 11 3 2 6 3 4 3 2 2" xfId="41671" xr:uid="{D75D7C7F-7473-4FE7-8318-5671517DC986}"/>
    <cellStyle name="Normal 11 3 2 6 3 4 3 3" xfId="41672" xr:uid="{93392DEF-ADFC-4E8E-9743-B0574B748EC0}"/>
    <cellStyle name="Normal 11 3 2 6 3 4 4" xfId="41673" xr:uid="{CEB6C8F1-C20D-4A65-851F-B498E4BEE957}"/>
    <cellStyle name="Normal 11 3 2 6 3 4 4 2" xfId="41674" xr:uid="{C3C9C402-B565-4629-8754-80F775F06DAB}"/>
    <cellStyle name="Normal 11 3 2 6 3 4 5" xfId="41675" xr:uid="{388D8569-E229-4C55-97D8-BE595B614E25}"/>
    <cellStyle name="Normal 11 3 2 6 3 5" xfId="41676" xr:uid="{8A24BA17-BE9F-4C86-9A81-C0A4D3394AC9}"/>
    <cellStyle name="Normal 11 3 2 6 3 5 2" xfId="41677" xr:uid="{7A5DD5C7-8C29-4ED8-A15F-BD4AB4F4D8D1}"/>
    <cellStyle name="Normal 11 3 2 6 3 5 2 2" xfId="41678" xr:uid="{1BD3FE61-57DB-402B-86B0-6B837BD04A11}"/>
    <cellStyle name="Normal 11 3 2 6 3 5 2 2 2" xfId="41679" xr:uid="{175C3E98-5C5B-41C0-A044-E395D4507A17}"/>
    <cellStyle name="Normal 11 3 2 6 3 5 2 3" xfId="41680" xr:uid="{CEE54EC9-E16F-43E3-9BA9-39EE2D990728}"/>
    <cellStyle name="Normal 11 3 2 6 3 5 3" xfId="41681" xr:uid="{FF25979A-95B3-4745-829E-4444D873E201}"/>
    <cellStyle name="Normal 11 3 2 6 3 5 3 2" xfId="41682" xr:uid="{F807653A-25D7-4A51-8024-8D96A0D34E74}"/>
    <cellStyle name="Normal 11 3 2 6 3 5 4" xfId="41683" xr:uid="{176A02BB-CCA9-4999-846C-B6EFBF4F8001}"/>
    <cellStyle name="Normal 11 3 2 6 3 6" xfId="41684" xr:uid="{A1582BED-60A8-4425-9DDC-DCC88B4940F8}"/>
    <cellStyle name="Normal 11 3 2 6 3 6 2" xfId="41685" xr:uid="{44485538-6CFC-4EA9-A7B6-49BD9320AD02}"/>
    <cellStyle name="Normal 11 3 2 6 3 6 2 2" xfId="41686" xr:uid="{339F728C-6679-4663-A6BD-7084487437A3}"/>
    <cellStyle name="Normal 11 3 2 6 3 6 3" xfId="41687" xr:uid="{0079467A-B141-47BE-A00F-AD7024074FA0}"/>
    <cellStyle name="Normal 11 3 2 6 3 7" xfId="41688" xr:uid="{61619B66-2E74-4D91-957B-24E3A9EA98EA}"/>
    <cellStyle name="Normal 11 3 2 6 3 7 2" xfId="41689" xr:uid="{3820CB2B-945E-4069-89CC-15A7EE08E134}"/>
    <cellStyle name="Normal 11 3 2 6 3 8" xfId="41690" xr:uid="{D4CE3E0E-B127-4BA2-B52E-3E92E81CB2D9}"/>
    <cellStyle name="Normal 11 3 2 6 3 9" xfId="41563" xr:uid="{17CFAC26-0175-4FDD-9D2B-F05AD9ABFFD0}"/>
    <cellStyle name="Normal 11 3 2 6 4" xfId="41691" xr:uid="{995C9B82-75BB-41AE-A7D2-6EA4F2E57784}"/>
    <cellStyle name="Normal 11 3 2 6 4 2" xfId="41692" xr:uid="{71C7F3DE-3319-4D93-AD6A-224613C05583}"/>
    <cellStyle name="Normal 11 3 2 6 4 2 2" xfId="41693" xr:uid="{A87C6CFC-F54C-4F07-8992-D6D30821BFB1}"/>
    <cellStyle name="Normal 11 3 2 6 4 2 2 2" xfId="41694" xr:uid="{3037D285-7EE3-44B5-99EB-2D5185A12DA6}"/>
    <cellStyle name="Normal 11 3 2 6 4 2 2 2 2" xfId="41695" xr:uid="{CB80D7C1-A2E8-41BC-8765-3E32F7B94A89}"/>
    <cellStyle name="Normal 11 3 2 6 4 2 2 2 2 2" xfId="41696" xr:uid="{C9544FFE-7191-4877-AFD3-83604DA3482F}"/>
    <cellStyle name="Normal 11 3 2 6 4 2 2 2 2 2 2" xfId="41697" xr:uid="{DF3CF8F4-AD3F-44E2-A8FF-056712C58E0E}"/>
    <cellStyle name="Normal 11 3 2 6 4 2 2 2 2 3" xfId="41698" xr:uid="{6E240BCB-9A45-472C-BCF0-FA6BC94D5A0A}"/>
    <cellStyle name="Normal 11 3 2 6 4 2 2 2 3" xfId="41699" xr:uid="{60A95862-9D23-4CE6-8E1F-A8FC55DC837B}"/>
    <cellStyle name="Normal 11 3 2 6 4 2 2 2 3 2" xfId="41700" xr:uid="{9D7C1628-4B5F-457E-A61D-07078BD236B2}"/>
    <cellStyle name="Normal 11 3 2 6 4 2 2 2 4" xfId="41701" xr:uid="{F13C2AAE-5ADF-4925-BD70-6F6596E6B390}"/>
    <cellStyle name="Normal 11 3 2 6 4 2 2 3" xfId="41702" xr:uid="{CC374F1F-5072-4AFF-AD70-F480A27F8991}"/>
    <cellStyle name="Normal 11 3 2 6 4 2 2 3 2" xfId="41703" xr:uid="{D8877A29-C845-4F90-B7AE-1F277FA64B77}"/>
    <cellStyle name="Normal 11 3 2 6 4 2 2 3 2 2" xfId="41704" xr:uid="{A0B99863-7F98-47A0-B0A4-E4F7481017F7}"/>
    <cellStyle name="Normal 11 3 2 6 4 2 2 3 3" xfId="41705" xr:uid="{2093A156-022B-47BA-85D5-0B41F2495FDE}"/>
    <cellStyle name="Normal 11 3 2 6 4 2 2 4" xfId="41706" xr:uid="{EED758E4-7747-47C8-96F5-845163F12A4D}"/>
    <cellStyle name="Normal 11 3 2 6 4 2 2 4 2" xfId="41707" xr:uid="{BE1E8D14-1E79-4B93-B52B-2BC6D5847DDE}"/>
    <cellStyle name="Normal 11 3 2 6 4 2 2 5" xfId="41708" xr:uid="{B779A4D3-70E2-4963-A5AD-8CEE03D5273A}"/>
    <cellStyle name="Normal 11 3 2 6 4 2 3" xfId="41709" xr:uid="{7CC1E0EA-13FF-4641-940D-BA273B4E4C91}"/>
    <cellStyle name="Normal 11 3 2 6 4 2 3 2" xfId="41710" xr:uid="{18E9A50E-D7C5-4ECE-ADDB-858C231430BD}"/>
    <cellStyle name="Normal 11 3 2 6 4 2 3 2 2" xfId="41711" xr:uid="{C424C114-F791-42C0-AE86-E641361C84A2}"/>
    <cellStyle name="Normal 11 3 2 6 4 2 3 2 2 2" xfId="41712" xr:uid="{0ACC06B5-BC74-450F-B0F3-5DE8D5866D6D}"/>
    <cellStyle name="Normal 11 3 2 6 4 2 3 2 3" xfId="41713" xr:uid="{D680F1A5-1FE8-4485-A1DE-A11DD6C2DC15}"/>
    <cellStyle name="Normal 11 3 2 6 4 2 3 3" xfId="41714" xr:uid="{3C2A1D4A-5572-4A2A-A133-944EFD90834F}"/>
    <cellStyle name="Normal 11 3 2 6 4 2 3 3 2" xfId="41715" xr:uid="{E87B80CB-907A-49E2-9C95-EE94ECAB6633}"/>
    <cellStyle name="Normal 11 3 2 6 4 2 3 4" xfId="41716" xr:uid="{512B6083-8CBB-44DE-9140-06FDC3E2AD60}"/>
    <cellStyle name="Normal 11 3 2 6 4 2 4" xfId="41717" xr:uid="{EE165179-EAFD-4A2E-A6FF-D9172EC3AEB9}"/>
    <cellStyle name="Normal 11 3 2 6 4 2 4 2" xfId="41718" xr:uid="{3F12B0B4-B50A-4739-94A4-8BA469B49E99}"/>
    <cellStyle name="Normal 11 3 2 6 4 2 4 2 2" xfId="41719" xr:uid="{01EB0FB1-6F6C-4BB3-98AF-F7A2013A0C68}"/>
    <cellStyle name="Normal 11 3 2 6 4 2 4 3" xfId="41720" xr:uid="{05F77834-D1CD-4690-ACEB-CA321C5E8CE9}"/>
    <cellStyle name="Normal 11 3 2 6 4 2 5" xfId="41721" xr:uid="{9B19B2BC-E5E4-45BA-B619-518ABF28A016}"/>
    <cellStyle name="Normal 11 3 2 6 4 2 5 2" xfId="41722" xr:uid="{BAEF3971-4C6F-4F05-8B6F-602E3C55D8ED}"/>
    <cellStyle name="Normal 11 3 2 6 4 2 6" xfId="41723" xr:uid="{8AA072F5-37A4-4EFC-BB11-88C5534B0248}"/>
    <cellStyle name="Normal 11 3 2 6 4 3" xfId="41724" xr:uid="{BD12D27C-F83F-4469-9C9A-48EEBF34565C}"/>
    <cellStyle name="Normal 11 3 2 6 4 3 2" xfId="41725" xr:uid="{2D529124-7A85-467A-BE99-E996CD0D6923}"/>
    <cellStyle name="Normal 11 3 2 6 4 3 2 2" xfId="41726" xr:uid="{DDDBB958-173A-444A-828A-BD906691D1CE}"/>
    <cellStyle name="Normal 11 3 2 6 4 3 2 2 2" xfId="41727" xr:uid="{4FFC72BF-AA9D-4E02-BFC4-01AAE17F7497}"/>
    <cellStyle name="Normal 11 3 2 6 4 3 2 2 2 2" xfId="41728" xr:uid="{E3313ABD-6E21-46E4-BD5A-43A37BD8A0CD}"/>
    <cellStyle name="Normal 11 3 2 6 4 3 2 2 3" xfId="41729" xr:uid="{A77A6DF9-AA46-475F-97B4-87CB6B1F43B8}"/>
    <cellStyle name="Normal 11 3 2 6 4 3 2 3" xfId="41730" xr:uid="{A3BD71FF-CD6F-49F5-805A-E2D172C7D68B}"/>
    <cellStyle name="Normal 11 3 2 6 4 3 2 3 2" xfId="41731" xr:uid="{285C6B31-F0EB-460F-98E8-2486DF4CA414}"/>
    <cellStyle name="Normal 11 3 2 6 4 3 2 4" xfId="41732" xr:uid="{FA81569D-1545-4B4F-9AAD-BF19E2B4622C}"/>
    <cellStyle name="Normal 11 3 2 6 4 3 3" xfId="41733" xr:uid="{B077C663-4DBC-435B-96C9-22557543697B}"/>
    <cellStyle name="Normal 11 3 2 6 4 3 3 2" xfId="41734" xr:uid="{C2961AF8-AF5E-432A-BE69-2F0FDD9E3F0D}"/>
    <cellStyle name="Normal 11 3 2 6 4 3 3 2 2" xfId="41735" xr:uid="{646442C5-49AC-419A-9B7D-DB9CB575ED49}"/>
    <cellStyle name="Normal 11 3 2 6 4 3 3 3" xfId="41736" xr:uid="{11E27265-AB0F-4A21-A72D-77D7ABC6D907}"/>
    <cellStyle name="Normal 11 3 2 6 4 3 4" xfId="41737" xr:uid="{4F8AFF99-1EB1-4930-B1C2-DCE4BB0BF9FE}"/>
    <cellStyle name="Normal 11 3 2 6 4 3 4 2" xfId="41738" xr:uid="{C1D46B14-E44C-4F39-B585-327E6AC789DD}"/>
    <cellStyle name="Normal 11 3 2 6 4 3 5" xfId="41739" xr:uid="{A5A66291-5A8D-4D3E-8F22-05D0C39FBB6F}"/>
    <cellStyle name="Normal 11 3 2 6 4 4" xfId="41740" xr:uid="{E008077A-DE8B-499E-9474-8D2C328AE1E0}"/>
    <cellStyle name="Normal 11 3 2 6 4 4 2" xfId="41741" xr:uid="{DD9752C7-E51C-4FA5-9F5B-A143EA383621}"/>
    <cellStyle name="Normal 11 3 2 6 4 4 2 2" xfId="41742" xr:uid="{95CFB66F-1804-45DA-94B0-2C2735A850F7}"/>
    <cellStyle name="Normal 11 3 2 6 4 4 2 2 2" xfId="41743" xr:uid="{69ABAEF6-3C6D-42D2-B70E-2F6EB4C7B731}"/>
    <cellStyle name="Normal 11 3 2 6 4 4 2 3" xfId="41744" xr:uid="{23AB617F-66B4-40F1-BFF0-94CE4CB977C4}"/>
    <cellStyle name="Normal 11 3 2 6 4 4 3" xfId="41745" xr:uid="{4958A59C-C8B2-4DC3-9027-7E6341EDF6E7}"/>
    <cellStyle name="Normal 11 3 2 6 4 4 3 2" xfId="41746" xr:uid="{8706290A-432D-45E9-878E-A76796FC58C7}"/>
    <cellStyle name="Normal 11 3 2 6 4 4 4" xfId="41747" xr:uid="{8A86AA29-CAFE-489A-93DF-5DFAA0080AB1}"/>
    <cellStyle name="Normal 11 3 2 6 4 5" xfId="41748" xr:uid="{2D04544C-BF02-455F-B77B-3E12D55E56E1}"/>
    <cellStyle name="Normal 11 3 2 6 4 5 2" xfId="41749" xr:uid="{08EDB1B3-57D4-4559-8D80-2CB1D9E509CD}"/>
    <cellStyle name="Normal 11 3 2 6 4 5 2 2" xfId="41750" xr:uid="{8B5BBAF9-7067-459D-B167-E64716DBD02F}"/>
    <cellStyle name="Normal 11 3 2 6 4 5 3" xfId="41751" xr:uid="{1256E206-91C9-4F98-9219-0FBB221D46DD}"/>
    <cellStyle name="Normal 11 3 2 6 4 6" xfId="41752" xr:uid="{6599D3F8-5DC8-4AA0-8931-38352CC430B6}"/>
    <cellStyle name="Normal 11 3 2 6 4 6 2" xfId="41753" xr:uid="{E79748F0-02EC-4685-BA43-67D210D75FD4}"/>
    <cellStyle name="Normal 11 3 2 6 4 7" xfId="41754" xr:uid="{D48221A1-846B-4088-9C5D-755D19281D5E}"/>
    <cellStyle name="Normal 11 3 2 6 5" xfId="41755" xr:uid="{8935BDB2-A60C-4FDB-8A05-DA677E2E939D}"/>
    <cellStyle name="Normal 11 3 2 6 5 2" xfId="41756" xr:uid="{3AEFCB5B-DAC5-4C2A-BCF6-50F910944A80}"/>
    <cellStyle name="Normal 11 3 2 6 5 2 2" xfId="41757" xr:uid="{9160597D-6987-43B9-B058-15B68AE3F31C}"/>
    <cellStyle name="Normal 11 3 2 6 5 2 2 2" xfId="41758" xr:uid="{E8065671-C21F-43DD-A653-F1A4518B7D52}"/>
    <cellStyle name="Normal 11 3 2 6 5 2 2 2 2" xfId="41759" xr:uid="{76BED6C2-A582-46B1-A89E-C1624817B7CE}"/>
    <cellStyle name="Normal 11 3 2 6 5 2 2 2 2 2" xfId="41760" xr:uid="{CC812522-0709-4124-B2FC-FAD5A673D4EF}"/>
    <cellStyle name="Normal 11 3 2 6 5 2 2 2 3" xfId="41761" xr:uid="{3D3F20A4-20B0-45D0-90BF-D03F3E65007D}"/>
    <cellStyle name="Normal 11 3 2 6 5 2 2 3" xfId="41762" xr:uid="{62670CF4-9077-45D6-9302-3D6515CD6719}"/>
    <cellStyle name="Normal 11 3 2 6 5 2 2 3 2" xfId="41763" xr:uid="{50B237EE-147E-4BAF-BFF2-496E9BFEDAA8}"/>
    <cellStyle name="Normal 11 3 2 6 5 2 2 4" xfId="41764" xr:uid="{2B994C26-1DD7-437E-BD5B-08B16970205E}"/>
    <cellStyle name="Normal 11 3 2 6 5 2 3" xfId="41765" xr:uid="{86B303BF-883F-46EA-BBD0-B0BDA6AF19F0}"/>
    <cellStyle name="Normal 11 3 2 6 5 2 3 2" xfId="41766" xr:uid="{09E9E9C0-8134-4247-9FA9-F3006FF69755}"/>
    <cellStyle name="Normal 11 3 2 6 5 2 3 2 2" xfId="41767" xr:uid="{7392B6C7-B7CA-43B7-B56F-295581543D2B}"/>
    <cellStyle name="Normal 11 3 2 6 5 2 3 3" xfId="41768" xr:uid="{CB35C27B-5F7C-4587-BC6E-1CD02CAD2A0D}"/>
    <cellStyle name="Normal 11 3 2 6 5 2 4" xfId="41769" xr:uid="{1D0D1EB5-BD62-489E-87A1-E3BFA3BA5612}"/>
    <cellStyle name="Normal 11 3 2 6 5 2 4 2" xfId="41770" xr:uid="{6C7657D5-CD52-48D2-BFAB-6E84844370A5}"/>
    <cellStyle name="Normal 11 3 2 6 5 2 5" xfId="41771" xr:uid="{129DB621-E703-44E1-A311-C9AA22EB74AD}"/>
    <cellStyle name="Normal 11 3 2 6 5 3" xfId="41772" xr:uid="{669B7077-D348-451D-867A-EEAC8BB56A12}"/>
    <cellStyle name="Normal 11 3 2 6 5 3 2" xfId="41773" xr:uid="{BFD8F405-7AB0-4E00-A1F4-849897E50DC9}"/>
    <cellStyle name="Normal 11 3 2 6 5 3 2 2" xfId="41774" xr:uid="{110C41C3-DBA2-403A-9DE6-A585BF714125}"/>
    <cellStyle name="Normal 11 3 2 6 5 3 2 2 2" xfId="41775" xr:uid="{68DBE4E6-6F82-438F-AE8B-141720EFCB21}"/>
    <cellStyle name="Normal 11 3 2 6 5 3 2 3" xfId="41776" xr:uid="{EAA58E96-2A1F-4F98-ACD0-4A40B39100C7}"/>
    <cellStyle name="Normal 11 3 2 6 5 3 3" xfId="41777" xr:uid="{D6067164-2C24-489C-A223-02113E1BB8C3}"/>
    <cellStyle name="Normal 11 3 2 6 5 3 3 2" xfId="41778" xr:uid="{2A740E05-5AF5-4255-96DB-F2E9B19ABFE8}"/>
    <cellStyle name="Normal 11 3 2 6 5 3 4" xfId="41779" xr:uid="{FCC07C3A-72D8-407C-BFC6-B98BA46D130D}"/>
    <cellStyle name="Normal 11 3 2 6 5 4" xfId="41780" xr:uid="{DD76099E-A2CC-4A2A-97BC-6DA1C22EBD78}"/>
    <cellStyle name="Normal 11 3 2 6 5 4 2" xfId="41781" xr:uid="{50BDA1EF-1543-491B-B313-A1A69895E5C1}"/>
    <cellStyle name="Normal 11 3 2 6 5 4 2 2" xfId="41782" xr:uid="{2B3CB128-191C-4C67-B27D-3C3578035A81}"/>
    <cellStyle name="Normal 11 3 2 6 5 4 3" xfId="41783" xr:uid="{3BE306C3-B76D-4981-8D71-A35BCDFF1F4C}"/>
    <cellStyle name="Normal 11 3 2 6 5 5" xfId="41784" xr:uid="{035FC5E1-5961-4D94-8E2C-8C5F0D72B5EA}"/>
    <cellStyle name="Normal 11 3 2 6 5 5 2" xfId="41785" xr:uid="{C7D95625-D082-40E2-AA89-103D14F0A581}"/>
    <cellStyle name="Normal 11 3 2 6 5 6" xfId="41786" xr:uid="{1BDD7289-17B1-4FAD-A177-2D46AAB352BE}"/>
    <cellStyle name="Normal 11 3 2 6 6" xfId="41787" xr:uid="{43156645-2923-42A6-8EBB-6C16877EA376}"/>
    <cellStyle name="Normal 11 3 2 6 6 2" xfId="41788" xr:uid="{B6CCBEC7-0F00-4EB4-98C6-214D213F7E7A}"/>
    <cellStyle name="Normal 11 3 2 6 6 2 2" xfId="41789" xr:uid="{5641E550-CF6B-4968-851D-9F8CE95DABF5}"/>
    <cellStyle name="Normal 11 3 2 6 6 2 2 2" xfId="41790" xr:uid="{E4377F8B-56FC-4632-95B1-01074674384C}"/>
    <cellStyle name="Normal 11 3 2 6 6 2 2 2 2" xfId="41791" xr:uid="{6EBEA5F2-411A-4047-BE28-5EB0AF61E620}"/>
    <cellStyle name="Normal 11 3 2 6 6 2 2 3" xfId="41792" xr:uid="{DB404811-2ACA-43B4-8D49-9763D578CEBF}"/>
    <cellStyle name="Normal 11 3 2 6 6 2 3" xfId="41793" xr:uid="{EC95AFC1-C057-41D8-BF29-A244EBF12F22}"/>
    <cellStyle name="Normal 11 3 2 6 6 2 3 2" xfId="41794" xr:uid="{306F6CA4-88F1-4C3F-8C23-A04FA7B55517}"/>
    <cellStyle name="Normal 11 3 2 6 6 2 4" xfId="41795" xr:uid="{B4C0119C-BD48-43C0-928D-39A0B58CADEB}"/>
    <cellStyle name="Normal 11 3 2 6 6 3" xfId="41796" xr:uid="{211C13B3-DB43-43CE-AB8C-21BB6EB61D37}"/>
    <cellStyle name="Normal 11 3 2 6 6 3 2" xfId="41797" xr:uid="{507F5A2D-D73F-40F4-88ED-E4719D2D4A18}"/>
    <cellStyle name="Normal 11 3 2 6 6 3 2 2" xfId="41798" xr:uid="{67113340-9A19-4CFD-8A1F-CF794BBC1239}"/>
    <cellStyle name="Normal 11 3 2 6 6 3 3" xfId="41799" xr:uid="{5EA209BA-536C-4C6C-942B-A256FFD4D634}"/>
    <cellStyle name="Normal 11 3 2 6 6 4" xfId="41800" xr:uid="{1672F282-83AD-4760-9AA5-A0CCBE2B0EE4}"/>
    <cellStyle name="Normal 11 3 2 6 6 4 2" xfId="41801" xr:uid="{94DA9B2B-1E9D-4FA7-9415-D6FC46CE1E18}"/>
    <cellStyle name="Normal 11 3 2 6 6 5" xfId="41802" xr:uid="{F07A88B1-9D42-4F53-A2B3-86E6FC584121}"/>
    <cellStyle name="Normal 11 3 2 6 7" xfId="41803" xr:uid="{7A5697DD-CA86-4E5C-8A25-38700F1141A4}"/>
    <cellStyle name="Normal 11 3 2 6 7 2" xfId="41804" xr:uid="{9AA128FF-B56C-40BC-8AEC-C2D208AEEB83}"/>
    <cellStyle name="Normal 11 3 2 6 7 2 2" xfId="41805" xr:uid="{7760896D-A845-4A87-BD38-44BB99F996D0}"/>
    <cellStyle name="Normal 11 3 2 6 7 2 2 2" xfId="41806" xr:uid="{F808EB2A-67C1-4BAE-BD83-B1AD66156E13}"/>
    <cellStyle name="Normal 11 3 2 6 7 2 3" xfId="41807" xr:uid="{3AB31465-5E3F-4C85-A9BB-A7769327C46F}"/>
    <cellStyle name="Normal 11 3 2 6 7 3" xfId="41808" xr:uid="{88F4A57A-DE4A-4F8C-993C-FB12C3E1E242}"/>
    <cellStyle name="Normal 11 3 2 6 7 3 2" xfId="41809" xr:uid="{5E0539A9-328E-4B89-A490-D51F2A1A69DB}"/>
    <cellStyle name="Normal 11 3 2 6 7 4" xfId="41810" xr:uid="{44E4624D-BD58-42C2-A1C3-F8910F93DFD9}"/>
    <cellStyle name="Normal 11 3 2 6 8" xfId="41811" xr:uid="{B3861F46-7FE9-40D2-A2E6-077D061DBE69}"/>
    <cellStyle name="Normal 11 3 2 6 8 2" xfId="41812" xr:uid="{70191843-447E-456F-80F6-942ED243B665}"/>
    <cellStyle name="Normal 11 3 2 6 8 2 2" xfId="41813" xr:uid="{E78901DD-95C6-48BA-9005-953F3C15E335}"/>
    <cellStyle name="Normal 11 3 2 6 8 3" xfId="41814" xr:uid="{EE2EED26-A401-4ACA-B100-60940E28FF19}"/>
    <cellStyle name="Normal 11 3 2 6 9" xfId="41815" xr:uid="{FA563995-653A-438A-8A3F-E440CEFE24E4}"/>
    <cellStyle name="Normal 11 3 2 6 9 2" xfId="41816" xr:uid="{85D464DF-BAC9-4477-ADF7-7603EA9ED1D6}"/>
    <cellStyle name="Normal 11 3 2 7" xfId="371" xr:uid="{D56C2CA7-C6CE-498F-A304-48ECD7463688}"/>
    <cellStyle name="Normal 11 3 2 7 10" xfId="41817" xr:uid="{5D0F4AFE-13A9-444E-A392-A6C5237ABED6}"/>
    <cellStyle name="Normal 11 3 2 7 2" xfId="41818" xr:uid="{707C4E40-78BE-4C65-866C-2263036C73C8}"/>
    <cellStyle name="Normal 11 3 2 7 2 2" xfId="41819" xr:uid="{99FF5D0D-5310-4CC5-9226-B88B59F3E596}"/>
    <cellStyle name="Normal 11 3 2 7 2 2 2" xfId="41820" xr:uid="{5483AC42-03E0-4342-A292-83D967345E35}"/>
    <cellStyle name="Normal 11 3 2 7 2 2 2 2" xfId="41821" xr:uid="{FBEED169-828F-4D05-90CA-7E9AC01D6BAA}"/>
    <cellStyle name="Normal 11 3 2 7 2 2 2 2 2" xfId="41822" xr:uid="{2FF2A4C7-5684-4BF1-BF71-EEDBEB791455}"/>
    <cellStyle name="Normal 11 3 2 7 2 2 2 2 2 2" xfId="41823" xr:uid="{3AAEF416-24C3-4DC5-94D3-DF10D74918C1}"/>
    <cellStyle name="Normal 11 3 2 7 2 2 2 2 2 2 2" xfId="41824" xr:uid="{B1218C91-3507-4B11-A9B4-F7268733EBBE}"/>
    <cellStyle name="Normal 11 3 2 7 2 2 2 2 2 2 2 2" xfId="41825" xr:uid="{6CAA900D-55C7-44D7-AD16-7BDDA6B50BDE}"/>
    <cellStyle name="Normal 11 3 2 7 2 2 2 2 2 2 3" xfId="41826" xr:uid="{157ED8C5-3E8E-4331-92CE-6ADB109DB180}"/>
    <cellStyle name="Normal 11 3 2 7 2 2 2 2 2 3" xfId="41827" xr:uid="{6AAC346C-42FB-43A3-ADE4-40DD4705C19A}"/>
    <cellStyle name="Normal 11 3 2 7 2 2 2 2 2 3 2" xfId="41828" xr:uid="{A71F6C12-37D3-443C-A886-F0E2F6205F32}"/>
    <cellStyle name="Normal 11 3 2 7 2 2 2 2 2 4" xfId="41829" xr:uid="{67C5077F-5712-4B5A-B5C5-8226BFA6168F}"/>
    <cellStyle name="Normal 11 3 2 7 2 2 2 2 3" xfId="41830" xr:uid="{386370DA-3F99-40C8-AD47-B1809B4907CC}"/>
    <cellStyle name="Normal 11 3 2 7 2 2 2 2 3 2" xfId="41831" xr:uid="{B82CEBC8-93E8-45B1-A985-72E328E45FF4}"/>
    <cellStyle name="Normal 11 3 2 7 2 2 2 2 3 2 2" xfId="41832" xr:uid="{6B933DAA-F558-4884-A3DD-F4DB74D5D2C7}"/>
    <cellStyle name="Normal 11 3 2 7 2 2 2 2 3 3" xfId="41833" xr:uid="{BE07CCCE-BD05-4F22-8BCD-9F32590E03EE}"/>
    <cellStyle name="Normal 11 3 2 7 2 2 2 2 4" xfId="41834" xr:uid="{63FD0990-93F2-46E2-866F-38E3110C44A1}"/>
    <cellStyle name="Normal 11 3 2 7 2 2 2 2 4 2" xfId="41835" xr:uid="{D141D591-A44F-4353-ACBE-F9F4CF3CB71E}"/>
    <cellStyle name="Normal 11 3 2 7 2 2 2 2 5" xfId="41836" xr:uid="{0F4C72E4-B9FF-41CF-87AD-D41FA32FBEC1}"/>
    <cellStyle name="Normal 11 3 2 7 2 2 2 3" xfId="41837" xr:uid="{7F146D41-79C8-489B-AD7B-82E540B460F7}"/>
    <cellStyle name="Normal 11 3 2 7 2 2 2 3 2" xfId="41838" xr:uid="{9FB8801D-8848-4B0B-87BC-5457B5110236}"/>
    <cellStyle name="Normal 11 3 2 7 2 2 2 3 2 2" xfId="41839" xr:uid="{F8290847-A2D3-4640-B23A-8251D6699ABC}"/>
    <cellStyle name="Normal 11 3 2 7 2 2 2 3 2 2 2" xfId="41840" xr:uid="{FAD8D129-E11C-4851-876C-69EEC06E01D0}"/>
    <cellStyle name="Normal 11 3 2 7 2 2 2 3 2 3" xfId="41841" xr:uid="{8A4A54C2-EC67-439A-A5BE-D3D0B6F96D07}"/>
    <cellStyle name="Normal 11 3 2 7 2 2 2 3 3" xfId="41842" xr:uid="{B3E05ED7-86F8-4A35-9D3F-5C39A4481578}"/>
    <cellStyle name="Normal 11 3 2 7 2 2 2 3 3 2" xfId="41843" xr:uid="{FD22526F-7B7C-405B-9A27-2A30BC9C24B6}"/>
    <cellStyle name="Normal 11 3 2 7 2 2 2 3 4" xfId="41844" xr:uid="{EC9DBD47-53EA-4E50-96D8-156E65E22036}"/>
    <cellStyle name="Normal 11 3 2 7 2 2 2 4" xfId="41845" xr:uid="{F4D1AD02-F3EF-4C95-B85D-8E666323815C}"/>
    <cellStyle name="Normal 11 3 2 7 2 2 2 4 2" xfId="41846" xr:uid="{DAA75C70-7A3F-472D-8279-3C1D70FC539D}"/>
    <cellStyle name="Normal 11 3 2 7 2 2 2 4 2 2" xfId="41847" xr:uid="{420F9FBC-F52B-4629-B8B8-C2391C0ADF82}"/>
    <cellStyle name="Normal 11 3 2 7 2 2 2 4 3" xfId="41848" xr:uid="{DC0FD8BA-0D46-4EF5-A230-DDB0A63A925B}"/>
    <cellStyle name="Normal 11 3 2 7 2 2 2 5" xfId="41849" xr:uid="{917C7647-32BC-4D38-9361-99AD7A06CD58}"/>
    <cellStyle name="Normal 11 3 2 7 2 2 2 5 2" xfId="41850" xr:uid="{B851CA95-566E-4524-94E4-9DB3B0006E86}"/>
    <cellStyle name="Normal 11 3 2 7 2 2 2 6" xfId="41851" xr:uid="{3105C1F7-3E25-40AE-A057-5EDA39CCD3DE}"/>
    <cellStyle name="Normal 11 3 2 7 2 2 3" xfId="41852" xr:uid="{3BC6E022-3A62-4E34-8909-75EBB984B0CF}"/>
    <cellStyle name="Normal 11 3 2 7 2 2 3 2" xfId="41853" xr:uid="{269691FF-FF65-4A5E-A7C6-D92F9E283EDD}"/>
    <cellStyle name="Normal 11 3 2 7 2 2 3 2 2" xfId="41854" xr:uid="{874E19D4-51B0-4E0E-9B5C-3C2193FEB65D}"/>
    <cellStyle name="Normal 11 3 2 7 2 2 3 2 2 2" xfId="41855" xr:uid="{00E936B0-53BD-4B87-A8C5-2711B07EAE2B}"/>
    <cellStyle name="Normal 11 3 2 7 2 2 3 2 2 2 2" xfId="41856" xr:uid="{5BEC3FD6-2BCE-4DC3-BF19-323628F93A21}"/>
    <cellStyle name="Normal 11 3 2 7 2 2 3 2 2 3" xfId="41857" xr:uid="{8B7978A1-286A-4DCA-9A1B-7E5F0DCC22D8}"/>
    <cellStyle name="Normal 11 3 2 7 2 2 3 2 3" xfId="41858" xr:uid="{BF41FD24-8D7A-4A1E-B6C9-A82BA4DE1B01}"/>
    <cellStyle name="Normal 11 3 2 7 2 2 3 2 3 2" xfId="41859" xr:uid="{5BF01629-6750-4554-A5E0-B7C8C7FA8206}"/>
    <cellStyle name="Normal 11 3 2 7 2 2 3 2 4" xfId="41860" xr:uid="{F2AC3AF1-54F7-46FF-A9CB-BD3EF21BBC5A}"/>
    <cellStyle name="Normal 11 3 2 7 2 2 3 3" xfId="41861" xr:uid="{F36BF150-562E-49F9-9539-B05F27E2430A}"/>
    <cellStyle name="Normal 11 3 2 7 2 2 3 3 2" xfId="41862" xr:uid="{5B4D21EE-AE14-42B7-9515-53709FCEB10C}"/>
    <cellStyle name="Normal 11 3 2 7 2 2 3 3 2 2" xfId="41863" xr:uid="{4C228D24-1B8F-4CAB-9990-61CFFC79EBC7}"/>
    <cellStyle name="Normal 11 3 2 7 2 2 3 3 3" xfId="41864" xr:uid="{1C72C6B3-6B01-442E-80EC-DEF9F325DDB5}"/>
    <cellStyle name="Normal 11 3 2 7 2 2 3 4" xfId="41865" xr:uid="{26125FC8-E137-4C1F-B14B-F64899C0FFCC}"/>
    <cellStyle name="Normal 11 3 2 7 2 2 3 4 2" xfId="41866" xr:uid="{1792FC19-3A14-48D2-AD7E-BCED4CC337B0}"/>
    <cellStyle name="Normal 11 3 2 7 2 2 3 5" xfId="41867" xr:uid="{72C94C06-8521-4821-A74A-BC2C51C0E79A}"/>
    <cellStyle name="Normal 11 3 2 7 2 2 4" xfId="41868" xr:uid="{29F04230-47AC-4A62-AA4D-3417F32BA010}"/>
    <cellStyle name="Normal 11 3 2 7 2 2 4 2" xfId="41869" xr:uid="{56F8C4EE-0E44-4D17-BEF6-DDCFD9505AC8}"/>
    <cellStyle name="Normal 11 3 2 7 2 2 4 2 2" xfId="41870" xr:uid="{2BE7552F-AF68-4A15-AB16-656368033737}"/>
    <cellStyle name="Normal 11 3 2 7 2 2 4 2 2 2" xfId="41871" xr:uid="{6B802DC2-AA13-445A-9062-8E217AD2BC87}"/>
    <cellStyle name="Normal 11 3 2 7 2 2 4 2 3" xfId="41872" xr:uid="{81389EE0-EA9E-4FF2-BCAF-14A594765E05}"/>
    <cellStyle name="Normal 11 3 2 7 2 2 4 3" xfId="41873" xr:uid="{2072EF7E-604B-419C-8A5F-02FA550AFFFD}"/>
    <cellStyle name="Normal 11 3 2 7 2 2 4 3 2" xfId="41874" xr:uid="{79A06E0D-0C4F-4499-8389-3993A5780F91}"/>
    <cellStyle name="Normal 11 3 2 7 2 2 4 4" xfId="41875" xr:uid="{3B14DA5F-67E3-4852-8C82-19F8E3CF7090}"/>
    <cellStyle name="Normal 11 3 2 7 2 2 5" xfId="41876" xr:uid="{E539C0D1-54B7-4F69-ADD8-0C001A87E78D}"/>
    <cellStyle name="Normal 11 3 2 7 2 2 5 2" xfId="41877" xr:uid="{D774ECCF-C760-4333-AB72-3BAE23F4F101}"/>
    <cellStyle name="Normal 11 3 2 7 2 2 5 2 2" xfId="41878" xr:uid="{2FC346F3-E845-4A8C-A070-51A2E680D240}"/>
    <cellStyle name="Normal 11 3 2 7 2 2 5 3" xfId="41879" xr:uid="{F2668306-D29E-496E-A0D9-8EC4B22CC7F4}"/>
    <cellStyle name="Normal 11 3 2 7 2 2 6" xfId="41880" xr:uid="{9CE7FDE0-9049-4267-8302-CF837E442C7E}"/>
    <cellStyle name="Normal 11 3 2 7 2 2 6 2" xfId="41881" xr:uid="{DFA15084-9091-40A7-88BC-A9DB351447DA}"/>
    <cellStyle name="Normal 11 3 2 7 2 2 7" xfId="41882" xr:uid="{0F0E44D0-D25F-435A-BB25-550A51328F34}"/>
    <cellStyle name="Normal 11 3 2 7 2 3" xfId="41883" xr:uid="{884592CA-2D95-4DBE-B780-1245D6AB123B}"/>
    <cellStyle name="Normal 11 3 2 7 2 3 2" xfId="41884" xr:uid="{504FB224-C114-4FBE-9F01-28460D22A39F}"/>
    <cellStyle name="Normal 11 3 2 7 2 3 2 2" xfId="41885" xr:uid="{5E44E1FD-534A-4735-BC61-B58D8855B3B4}"/>
    <cellStyle name="Normal 11 3 2 7 2 3 2 2 2" xfId="41886" xr:uid="{C0060118-D600-4EAB-878B-75AB1D15541E}"/>
    <cellStyle name="Normal 11 3 2 7 2 3 2 2 2 2" xfId="41887" xr:uid="{7219CE4C-60C6-4B41-BDAF-1DC856F53999}"/>
    <cellStyle name="Normal 11 3 2 7 2 3 2 2 2 2 2" xfId="41888" xr:uid="{FBA4A668-149B-4826-BF61-D7492709CA5E}"/>
    <cellStyle name="Normal 11 3 2 7 2 3 2 2 2 3" xfId="41889" xr:uid="{FB9D2AAF-8D8D-4EE5-9A09-07AED90D0EB3}"/>
    <cellStyle name="Normal 11 3 2 7 2 3 2 2 3" xfId="41890" xr:uid="{41CAB385-F9A0-4C19-A51B-21353BC2B6EA}"/>
    <cellStyle name="Normal 11 3 2 7 2 3 2 2 3 2" xfId="41891" xr:uid="{149406EB-1D6A-4B66-9B40-3AFFB38AC9FE}"/>
    <cellStyle name="Normal 11 3 2 7 2 3 2 2 4" xfId="41892" xr:uid="{D85DAEE1-FBE9-4207-B12D-E2DFEC342C08}"/>
    <cellStyle name="Normal 11 3 2 7 2 3 2 3" xfId="41893" xr:uid="{FA96317A-0440-47F6-89DE-724A520E3935}"/>
    <cellStyle name="Normal 11 3 2 7 2 3 2 3 2" xfId="41894" xr:uid="{B8BCAA86-7444-4A80-8EEA-0DD6ABB956DF}"/>
    <cellStyle name="Normal 11 3 2 7 2 3 2 3 2 2" xfId="41895" xr:uid="{7396AC5A-2B98-4636-BD94-C3C91EE08E49}"/>
    <cellStyle name="Normal 11 3 2 7 2 3 2 3 3" xfId="41896" xr:uid="{ED0B48FF-E5B4-4583-A014-5687451EC202}"/>
    <cellStyle name="Normal 11 3 2 7 2 3 2 4" xfId="41897" xr:uid="{CC72B2C1-9F63-4831-9140-1C0872B3612E}"/>
    <cellStyle name="Normal 11 3 2 7 2 3 2 4 2" xfId="41898" xr:uid="{D2BF4FA8-787D-4DD7-9459-385672E85402}"/>
    <cellStyle name="Normal 11 3 2 7 2 3 2 5" xfId="41899" xr:uid="{82BAAF1D-60F4-44D4-836C-F4817ACADF78}"/>
    <cellStyle name="Normal 11 3 2 7 2 3 3" xfId="41900" xr:uid="{B7AA041D-7921-4F02-BC9C-268088DF1CAD}"/>
    <cellStyle name="Normal 11 3 2 7 2 3 3 2" xfId="41901" xr:uid="{2C457206-7CD5-47C6-A170-3E25939C23CD}"/>
    <cellStyle name="Normal 11 3 2 7 2 3 3 2 2" xfId="41902" xr:uid="{B74670A2-42BA-4EB5-9F45-3D05DA0DBCFB}"/>
    <cellStyle name="Normal 11 3 2 7 2 3 3 2 2 2" xfId="41903" xr:uid="{215A1BDD-8A8E-4884-B1A1-EA4E6D7B4B5B}"/>
    <cellStyle name="Normal 11 3 2 7 2 3 3 2 3" xfId="41904" xr:uid="{9944E733-0F18-4FFC-B780-ED63BFE1B12F}"/>
    <cellStyle name="Normal 11 3 2 7 2 3 3 3" xfId="41905" xr:uid="{7121F244-45C4-4D4D-BA78-4D515C2DC357}"/>
    <cellStyle name="Normal 11 3 2 7 2 3 3 3 2" xfId="41906" xr:uid="{102359B6-E163-4FD1-B6C0-A000472DD718}"/>
    <cellStyle name="Normal 11 3 2 7 2 3 3 4" xfId="41907" xr:uid="{2C7561A9-5AA5-47E7-9BD3-1F0139CE992D}"/>
    <cellStyle name="Normal 11 3 2 7 2 3 4" xfId="41908" xr:uid="{B75BA634-F802-4851-9840-F43C0E23F3DE}"/>
    <cellStyle name="Normal 11 3 2 7 2 3 4 2" xfId="41909" xr:uid="{F1200801-9BB1-4699-9529-43E88F1A0701}"/>
    <cellStyle name="Normal 11 3 2 7 2 3 4 2 2" xfId="41910" xr:uid="{B9F5834B-9A2D-4ADB-B602-EEBBC930DC09}"/>
    <cellStyle name="Normal 11 3 2 7 2 3 4 3" xfId="41911" xr:uid="{D1A34E4A-E45D-48C1-88D3-10014E1B0EC3}"/>
    <cellStyle name="Normal 11 3 2 7 2 3 5" xfId="41912" xr:uid="{144FAD6C-204A-4BD5-A4D3-148EFF3D8AE1}"/>
    <cellStyle name="Normal 11 3 2 7 2 3 5 2" xfId="41913" xr:uid="{32F15414-F55C-4A97-9829-D1CDA1FE3D2D}"/>
    <cellStyle name="Normal 11 3 2 7 2 3 6" xfId="41914" xr:uid="{49CA1B4B-D040-4F7C-8712-8E8EFC73231C}"/>
    <cellStyle name="Normal 11 3 2 7 2 4" xfId="41915" xr:uid="{D2910196-5B1C-4733-A6DD-3B36DBFF3285}"/>
    <cellStyle name="Normal 11 3 2 7 2 4 2" xfId="41916" xr:uid="{F15EA152-636C-41DB-8FA3-2207BEE6871E}"/>
    <cellStyle name="Normal 11 3 2 7 2 4 2 2" xfId="41917" xr:uid="{2900C141-5148-4191-A8E6-94C4C25FD1DE}"/>
    <cellStyle name="Normal 11 3 2 7 2 4 2 2 2" xfId="41918" xr:uid="{CF36B59D-33DE-4AF0-A231-4BFC250EB990}"/>
    <cellStyle name="Normal 11 3 2 7 2 4 2 2 2 2" xfId="41919" xr:uid="{F1D7166F-EF6F-4120-B389-B95D4B2E657B}"/>
    <cellStyle name="Normal 11 3 2 7 2 4 2 2 3" xfId="41920" xr:uid="{2B6C1C64-462E-4BD9-99D9-8940FE1BECDE}"/>
    <cellStyle name="Normal 11 3 2 7 2 4 2 3" xfId="41921" xr:uid="{886776B2-282D-4BBC-BEB2-FA13249E0D3F}"/>
    <cellStyle name="Normal 11 3 2 7 2 4 2 3 2" xfId="41922" xr:uid="{8D7C2D35-A6D5-4E82-8203-2B29FCDE6D99}"/>
    <cellStyle name="Normal 11 3 2 7 2 4 2 4" xfId="41923" xr:uid="{F804794D-1771-4C4C-A3AA-99F4D0216FE1}"/>
    <cellStyle name="Normal 11 3 2 7 2 4 3" xfId="41924" xr:uid="{9422E37D-C569-4253-B0EE-24D01A81C7E4}"/>
    <cellStyle name="Normal 11 3 2 7 2 4 3 2" xfId="41925" xr:uid="{F58A5CC2-FD75-4799-82F9-018CD69B425D}"/>
    <cellStyle name="Normal 11 3 2 7 2 4 3 2 2" xfId="41926" xr:uid="{77316B7C-4A6A-4329-9991-C465405C3B90}"/>
    <cellStyle name="Normal 11 3 2 7 2 4 3 3" xfId="41927" xr:uid="{30C455F4-DA67-4859-8E28-A2CE6915F12F}"/>
    <cellStyle name="Normal 11 3 2 7 2 4 4" xfId="41928" xr:uid="{851244A3-F785-4B08-B96F-2DB8512C75A9}"/>
    <cellStyle name="Normal 11 3 2 7 2 4 4 2" xfId="41929" xr:uid="{4DA32473-94AB-4A0A-A90A-D6ACDE2FEE5D}"/>
    <cellStyle name="Normal 11 3 2 7 2 4 5" xfId="41930" xr:uid="{D36F1593-923E-459B-88A3-9CEC265DF3DB}"/>
    <cellStyle name="Normal 11 3 2 7 2 5" xfId="41931" xr:uid="{CB0E7338-5785-4CD9-9BB9-CF2D44183C72}"/>
    <cellStyle name="Normal 11 3 2 7 2 5 2" xfId="41932" xr:uid="{70E72838-3057-478F-85A2-37567F195259}"/>
    <cellStyle name="Normal 11 3 2 7 2 5 2 2" xfId="41933" xr:uid="{ADF6B546-9D32-4D7D-A327-5EC27CCB0CE6}"/>
    <cellStyle name="Normal 11 3 2 7 2 5 2 2 2" xfId="41934" xr:uid="{B904F27E-0A38-482B-A1A9-91C31747FDE6}"/>
    <cellStyle name="Normal 11 3 2 7 2 5 2 3" xfId="41935" xr:uid="{08AC55A2-BC8B-48D3-8F6D-D6148865CDC2}"/>
    <cellStyle name="Normal 11 3 2 7 2 5 3" xfId="41936" xr:uid="{9198FB29-91FF-4DA7-8DF0-B57609FF48F2}"/>
    <cellStyle name="Normal 11 3 2 7 2 5 3 2" xfId="41937" xr:uid="{23A801BA-A27F-456F-9F7A-B3DF8AB5F90B}"/>
    <cellStyle name="Normal 11 3 2 7 2 5 4" xfId="41938" xr:uid="{0FA67DBB-9117-4B7F-A10C-B288CF9AF99A}"/>
    <cellStyle name="Normal 11 3 2 7 2 6" xfId="41939" xr:uid="{653A2F65-A413-4E35-B187-A7ED25F4FCDE}"/>
    <cellStyle name="Normal 11 3 2 7 2 6 2" xfId="41940" xr:uid="{AF848B24-76DF-4587-B095-34AF6DFC9427}"/>
    <cellStyle name="Normal 11 3 2 7 2 6 2 2" xfId="41941" xr:uid="{222C6ABC-774B-4380-9465-58AF286C73D2}"/>
    <cellStyle name="Normal 11 3 2 7 2 6 3" xfId="41942" xr:uid="{F8D3947D-F1D9-4DBF-81B5-8D248E8B9D16}"/>
    <cellStyle name="Normal 11 3 2 7 2 7" xfId="41943" xr:uid="{8EB1D544-6F31-4969-B870-63783842154C}"/>
    <cellStyle name="Normal 11 3 2 7 2 7 2" xfId="41944" xr:uid="{0A80C8CD-8838-4EE7-8252-7A497BD1F084}"/>
    <cellStyle name="Normal 11 3 2 7 2 8" xfId="41945" xr:uid="{A39408EE-FE22-4FDF-8B69-BEE00BC9CCD8}"/>
    <cellStyle name="Normal 11 3 2 7 3" xfId="41946" xr:uid="{F024222C-05C4-4490-90F1-E3E868681694}"/>
    <cellStyle name="Normal 11 3 2 7 3 2" xfId="41947" xr:uid="{14B9CBDD-2770-4AC8-AFDE-644BD7939F78}"/>
    <cellStyle name="Normal 11 3 2 7 3 2 2" xfId="41948" xr:uid="{95B1E8F6-388F-4256-B6B4-D6FE9B705C21}"/>
    <cellStyle name="Normal 11 3 2 7 3 2 2 2" xfId="41949" xr:uid="{F05C5BD6-D2EF-4525-9AF6-D95BE308D392}"/>
    <cellStyle name="Normal 11 3 2 7 3 2 2 2 2" xfId="41950" xr:uid="{060F436C-8F89-4E85-9A36-C2E42291EA69}"/>
    <cellStyle name="Normal 11 3 2 7 3 2 2 2 2 2" xfId="41951" xr:uid="{063D32F3-E665-415D-9F8D-0416234FA623}"/>
    <cellStyle name="Normal 11 3 2 7 3 2 2 2 2 2 2" xfId="41952" xr:uid="{DA584F90-1924-4999-A1C3-8C2D91AD9339}"/>
    <cellStyle name="Normal 11 3 2 7 3 2 2 2 2 3" xfId="41953" xr:uid="{A669D388-8DA1-4FF3-ACCD-418AA3807544}"/>
    <cellStyle name="Normal 11 3 2 7 3 2 2 2 3" xfId="41954" xr:uid="{F4DDAC39-9044-4C59-BF93-D88C63C47D10}"/>
    <cellStyle name="Normal 11 3 2 7 3 2 2 2 3 2" xfId="41955" xr:uid="{8C29FFE9-9EF6-4F43-BFF3-E5BEAB321CA4}"/>
    <cellStyle name="Normal 11 3 2 7 3 2 2 2 4" xfId="41956" xr:uid="{5DE65D17-01F2-4BB2-A124-681D525DF4AB}"/>
    <cellStyle name="Normal 11 3 2 7 3 2 2 3" xfId="41957" xr:uid="{BCAE240B-5D18-4BA4-8894-E623E4E71980}"/>
    <cellStyle name="Normal 11 3 2 7 3 2 2 3 2" xfId="41958" xr:uid="{08CDAB94-6B36-4773-90AD-D357CFE89691}"/>
    <cellStyle name="Normal 11 3 2 7 3 2 2 3 2 2" xfId="41959" xr:uid="{08BB897A-6D8E-4AB9-BF05-D056AEFB3A35}"/>
    <cellStyle name="Normal 11 3 2 7 3 2 2 3 3" xfId="41960" xr:uid="{35C8B0CF-5367-4592-A5F5-F91131C4F3B4}"/>
    <cellStyle name="Normal 11 3 2 7 3 2 2 4" xfId="41961" xr:uid="{627A4760-A5CE-41E9-8F67-70DAE0170938}"/>
    <cellStyle name="Normal 11 3 2 7 3 2 2 4 2" xfId="41962" xr:uid="{12537FBF-9FBC-454D-88D5-277C82C1ACF8}"/>
    <cellStyle name="Normal 11 3 2 7 3 2 2 5" xfId="41963" xr:uid="{55D39374-87B1-4567-A892-5FBEA29B27B4}"/>
    <cellStyle name="Normal 11 3 2 7 3 2 3" xfId="41964" xr:uid="{0BAD7A50-0DAA-464E-9544-42A8A7D16EFC}"/>
    <cellStyle name="Normal 11 3 2 7 3 2 3 2" xfId="41965" xr:uid="{B100E1CE-1AF9-43B0-B464-40C8B2937E11}"/>
    <cellStyle name="Normal 11 3 2 7 3 2 3 2 2" xfId="41966" xr:uid="{7C8D0327-8704-4DFB-9D6D-4B86049534A6}"/>
    <cellStyle name="Normal 11 3 2 7 3 2 3 2 2 2" xfId="41967" xr:uid="{13B7D1E4-EC66-4BCC-ABCD-52FB3C7F3F07}"/>
    <cellStyle name="Normal 11 3 2 7 3 2 3 2 3" xfId="41968" xr:uid="{617D0834-DEBE-45FB-9997-91749483A390}"/>
    <cellStyle name="Normal 11 3 2 7 3 2 3 3" xfId="41969" xr:uid="{A915C730-5670-4098-B11C-4891AD4F2A4B}"/>
    <cellStyle name="Normal 11 3 2 7 3 2 3 3 2" xfId="41970" xr:uid="{937D340E-5AA9-4166-81C6-127CA12BB867}"/>
    <cellStyle name="Normal 11 3 2 7 3 2 3 4" xfId="41971" xr:uid="{B617EBCA-1E19-4397-BBD7-691D339F30AF}"/>
    <cellStyle name="Normal 11 3 2 7 3 2 4" xfId="41972" xr:uid="{3F69E0BC-A720-4744-B556-C43F4F4DFEA6}"/>
    <cellStyle name="Normal 11 3 2 7 3 2 4 2" xfId="41973" xr:uid="{EF5A4FDC-C224-45D8-AF4D-3C6DB93A63DA}"/>
    <cellStyle name="Normal 11 3 2 7 3 2 4 2 2" xfId="41974" xr:uid="{EEDDD0C4-7430-4BD4-8B5C-9B942C024692}"/>
    <cellStyle name="Normal 11 3 2 7 3 2 4 3" xfId="41975" xr:uid="{A05425A0-C3E3-40D1-976B-F7657158E0D6}"/>
    <cellStyle name="Normal 11 3 2 7 3 2 5" xfId="41976" xr:uid="{C4AA0676-8357-41B2-83DE-8271150D4221}"/>
    <cellStyle name="Normal 11 3 2 7 3 2 5 2" xfId="41977" xr:uid="{05BB7BA3-E361-4FCB-893F-AC62000633C6}"/>
    <cellStyle name="Normal 11 3 2 7 3 2 6" xfId="41978" xr:uid="{50824B45-CBC0-4BFC-A756-9BA5A94D47CE}"/>
    <cellStyle name="Normal 11 3 2 7 3 3" xfId="41979" xr:uid="{F721C050-535C-4D29-B20E-FCCA0EA21FA2}"/>
    <cellStyle name="Normal 11 3 2 7 3 3 2" xfId="41980" xr:uid="{D85D9247-08E9-46B3-99E8-45558F0FB2CE}"/>
    <cellStyle name="Normal 11 3 2 7 3 3 2 2" xfId="41981" xr:uid="{25D16043-10F0-4103-ABFA-90BC624E550A}"/>
    <cellStyle name="Normal 11 3 2 7 3 3 2 2 2" xfId="41982" xr:uid="{1EBF150A-72D9-4C67-A559-1CF402E5C907}"/>
    <cellStyle name="Normal 11 3 2 7 3 3 2 2 2 2" xfId="41983" xr:uid="{D2D7D70B-0EAE-43F8-A1F8-5A3E453A130F}"/>
    <cellStyle name="Normal 11 3 2 7 3 3 2 2 3" xfId="41984" xr:uid="{572A539A-3832-4C7D-9227-4EC1A86DB153}"/>
    <cellStyle name="Normal 11 3 2 7 3 3 2 3" xfId="41985" xr:uid="{25863396-9AA9-4A2B-A45F-8BB2134EB2C3}"/>
    <cellStyle name="Normal 11 3 2 7 3 3 2 3 2" xfId="41986" xr:uid="{DDCBD3BF-ECE2-47FB-BBB2-8A2AA85037C9}"/>
    <cellStyle name="Normal 11 3 2 7 3 3 2 4" xfId="41987" xr:uid="{541E5146-E7F9-45C4-9946-DA9AD71AB818}"/>
    <cellStyle name="Normal 11 3 2 7 3 3 3" xfId="41988" xr:uid="{9FC1789B-66EE-406B-8A47-D63D6197E48A}"/>
    <cellStyle name="Normal 11 3 2 7 3 3 3 2" xfId="41989" xr:uid="{5E451156-6D42-4685-BB00-AC2CE4747481}"/>
    <cellStyle name="Normal 11 3 2 7 3 3 3 2 2" xfId="41990" xr:uid="{215E11A2-B174-4DC3-ACA1-5D9C17B19233}"/>
    <cellStyle name="Normal 11 3 2 7 3 3 3 3" xfId="41991" xr:uid="{A0E47203-9683-4DF6-9B22-B58AC1CADF3E}"/>
    <cellStyle name="Normal 11 3 2 7 3 3 4" xfId="41992" xr:uid="{591E620C-65DF-43A7-AE6E-A2291A7A279E}"/>
    <cellStyle name="Normal 11 3 2 7 3 3 4 2" xfId="41993" xr:uid="{06FC0359-830B-4DFB-B61C-138565CD71F4}"/>
    <cellStyle name="Normal 11 3 2 7 3 3 5" xfId="41994" xr:uid="{AF972CF9-37C7-41DA-A3F7-C98EC72EE3B1}"/>
    <cellStyle name="Normal 11 3 2 7 3 4" xfId="41995" xr:uid="{524D8210-6065-465E-8B02-0CC1BC51BFAB}"/>
    <cellStyle name="Normal 11 3 2 7 3 4 2" xfId="41996" xr:uid="{638AF966-9D8C-43D9-A31A-FD76F20E670D}"/>
    <cellStyle name="Normal 11 3 2 7 3 4 2 2" xfId="41997" xr:uid="{FBBEF09B-50F5-4B72-B708-37A2139DEA8A}"/>
    <cellStyle name="Normal 11 3 2 7 3 4 2 2 2" xfId="41998" xr:uid="{A62A39F1-42D9-4AF5-BADD-FB18AA558DB2}"/>
    <cellStyle name="Normal 11 3 2 7 3 4 2 3" xfId="41999" xr:uid="{0B52803F-4EE8-4DFB-A661-5F382DE4E8A6}"/>
    <cellStyle name="Normal 11 3 2 7 3 4 3" xfId="42000" xr:uid="{57183561-9342-4E08-8295-3D2031EBE17A}"/>
    <cellStyle name="Normal 11 3 2 7 3 4 3 2" xfId="42001" xr:uid="{6BDE0CC8-A741-49CF-8D55-E5F4BA489B9D}"/>
    <cellStyle name="Normal 11 3 2 7 3 4 4" xfId="42002" xr:uid="{FEFCCB22-9AC9-4476-A09B-410167AEC8F0}"/>
    <cellStyle name="Normal 11 3 2 7 3 5" xfId="42003" xr:uid="{3CC4B4BB-8385-4C6F-A207-EE89EFAEB56A}"/>
    <cellStyle name="Normal 11 3 2 7 3 5 2" xfId="42004" xr:uid="{5F61294E-C182-4B5D-9D5A-CD13F12DDEFB}"/>
    <cellStyle name="Normal 11 3 2 7 3 5 2 2" xfId="42005" xr:uid="{89F775F9-7AC2-4C1F-8AFC-7C610ECEC529}"/>
    <cellStyle name="Normal 11 3 2 7 3 5 3" xfId="42006" xr:uid="{231D98EA-B5B2-4001-AD8E-1CC22E9CEBB6}"/>
    <cellStyle name="Normal 11 3 2 7 3 6" xfId="42007" xr:uid="{7C67E86A-BBE2-4A32-8E33-D726192F1817}"/>
    <cellStyle name="Normal 11 3 2 7 3 6 2" xfId="42008" xr:uid="{3949D58F-98B5-40CD-B437-9AD641C95569}"/>
    <cellStyle name="Normal 11 3 2 7 3 7" xfId="42009" xr:uid="{6B2C6ABD-9DD4-4393-AD04-A0F44074E2EF}"/>
    <cellStyle name="Normal 11 3 2 7 4" xfId="42010" xr:uid="{CCEDA2B3-10EE-4124-9F19-66CF075939EF}"/>
    <cellStyle name="Normal 11 3 2 7 4 2" xfId="42011" xr:uid="{54C3894E-89DF-45F1-A64E-4F0754320373}"/>
    <cellStyle name="Normal 11 3 2 7 4 2 2" xfId="42012" xr:uid="{7B4D7B8B-F477-479E-9AC2-005C45369AC0}"/>
    <cellStyle name="Normal 11 3 2 7 4 2 2 2" xfId="42013" xr:uid="{107CC560-B776-4381-8004-5DCA149BD1A8}"/>
    <cellStyle name="Normal 11 3 2 7 4 2 2 2 2" xfId="42014" xr:uid="{BBFF1B7C-42A2-476E-9FC0-4E10186B6412}"/>
    <cellStyle name="Normal 11 3 2 7 4 2 2 2 2 2" xfId="42015" xr:uid="{56BACB99-14EF-4D48-BB35-2EF62FCAF222}"/>
    <cellStyle name="Normal 11 3 2 7 4 2 2 2 3" xfId="42016" xr:uid="{32ECFA54-77C6-4DB5-9562-8B43A242BFE9}"/>
    <cellStyle name="Normal 11 3 2 7 4 2 2 3" xfId="42017" xr:uid="{57F02B32-9361-4FFB-A311-B046B6A8F009}"/>
    <cellStyle name="Normal 11 3 2 7 4 2 2 3 2" xfId="42018" xr:uid="{007B0FC3-BFE3-45DF-9D9D-9C95DCEFFDCB}"/>
    <cellStyle name="Normal 11 3 2 7 4 2 2 4" xfId="42019" xr:uid="{4AAE268D-8A81-4AC1-92A4-6CC1219C39F1}"/>
    <cellStyle name="Normal 11 3 2 7 4 2 3" xfId="42020" xr:uid="{FC64B0A8-5A61-4ED6-B616-8230E3414158}"/>
    <cellStyle name="Normal 11 3 2 7 4 2 3 2" xfId="42021" xr:uid="{10A20AB4-8626-4760-8C4A-DA74E8EF2DAE}"/>
    <cellStyle name="Normal 11 3 2 7 4 2 3 2 2" xfId="42022" xr:uid="{9710A689-FC52-4203-91F1-EF21CDBDC606}"/>
    <cellStyle name="Normal 11 3 2 7 4 2 3 3" xfId="42023" xr:uid="{2BE2C0E5-610E-47B6-83DD-CEF6F36C1DCE}"/>
    <cellStyle name="Normal 11 3 2 7 4 2 4" xfId="42024" xr:uid="{A767E5E8-45D9-4D55-93C6-162EB86EBA84}"/>
    <cellStyle name="Normal 11 3 2 7 4 2 4 2" xfId="42025" xr:uid="{67DF17E1-DAD4-4E70-BD71-88FA4307DA2F}"/>
    <cellStyle name="Normal 11 3 2 7 4 2 5" xfId="42026" xr:uid="{9A1A4656-3FD4-4DC0-B5AB-00821998EAE2}"/>
    <cellStyle name="Normal 11 3 2 7 4 3" xfId="42027" xr:uid="{E37E4FC7-EFBA-40EA-98FF-722476BDDF90}"/>
    <cellStyle name="Normal 11 3 2 7 4 3 2" xfId="42028" xr:uid="{74D98B36-9ED0-48C7-B564-B9686B743FE0}"/>
    <cellStyle name="Normal 11 3 2 7 4 3 2 2" xfId="42029" xr:uid="{1B4566E7-361D-44B3-9E10-13AD7F6E0223}"/>
    <cellStyle name="Normal 11 3 2 7 4 3 2 2 2" xfId="42030" xr:uid="{C3DC5504-C430-4C67-9A1D-96673807FCF4}"/>
    <cellStyle name="Normal 11 3 2 7 4 3 2 3" xfId="42031" xr:uid="{6446FC5B-5495-4B87-9CD8-2E8233A05816}"/>
    <cellStyle name="Normal 11 3 2 7 4 3 3" xfId="42032" xr:uid="{68B4B3AF-5110-40DD-A2E7-7AE2A10E7704}"/>
    <cellStyle name="Normal 11 3 2 7 4 3 3 2" xfId="42033" xr:uid="{0CB96245-9A92-4E2C-B5F4-A8A4A06DFF68}"/>
    <cellStyle name="Normal 11 3 2 7 4 3 4" xfId="42034" xr:uid="{24882693-391C-45CF-9353-2666FF1479DF}"/>
    <cellStyle name="Normal 11 3 2 7 4 4" xfId="42035" xr:uid="{9D032DFD-2D8E-4FB9-883D-C61585F05D00}"/>
    <cellStyle name="Normal 11 3 2 7 4 4 2" xfId="42036" xr:uid="{80292545-DC74-4A12-ADDF-95A8CAE2AC45}"/>
    <cellStyle name="Normal 11 3 2 7 4 4 2 2" xfId="42037" xr:uid="{56C30161-53B2-4A20-BAE1-BA208B2093F7}"/>
    <cellStyle name="Normal 11 3 2 7 4 4 3" xfId="42038" xr:uid="{5F847924-7B36-45D5-88FA-E2BC43DFF9E0}"/>
    <cellStyle name="Normal 11 3 2 7 4 5" xfId="42039" xr:uid="{D793D9FE-045B-4C12-B243-31D0F724B779}"/>
    <cellStyle name="Normal 11 3 2 7 4 5 2" xfId="42040" xr:uid="{C2D89AD4-12D3-4DFC-8749-6608732A2C1F}"/>
    <cellStyle name="Normal 11 3 2 7 4 6" xfId="42041" xr:uid="{2F0CFD64-6C18-4581-A7B3-A8A44035AE6B}"/>
    <cellStyle name="Normal 11 3 2 7 5" xfId="42042" xr:uid="{F098AB98-9611-4138-8A5D-7449BCB001A3}"/>
    <cellStyle name="Normal 11 3 2 7 5 2" xfId="42043" xr:uid="{7D070DE2-6D69-45A3-8CF2-2ED67F04143D}"/>
    <cellStyle name="Normal 11 3 2 7 5 2 2" xfId="42044" xr:uid="{7F78E126-C533-4D94-9041-80B209172185}"/>
    <cellStyle name="Normal 11 3 2 7 5 2 2 2" xfId="42045" xr:uid="{68BD4EA6-95DE-4304-A74B-026573B3ECE8}"/>
    <cellStyle name="Normal 11 3 2 7 5 2 2 2 2" xfId="42046" xr:uid="{4A5C2A72-9CDD-49F9-9139-C0DAB99C608E}"/>
    <cellStyle name="Normal 11 3 2 7 5 2 2 3" xfId="42047" xr:uid="{ADF9F06C-5684-4779-9EF7-F3E85710C6A0}"/>
    <cellStyle name="Normal 11 3 2 7 5 2 3" xfId="42048" xr:uid="{F9F6B863-2E0F-4329-92D9-A4AB65CD4563}"/>
    <cellStyle name="Normal 11 3 2 7 5 2 3 2" xfId="42049" xr:uid="{DD873B93-145B-4014-A44B-7370A2F19ED6}"/>
    <cellStyle name="Normal 11 3 2 7 5 2 4" xfId="42050" xr:uid="{F8AA4196-F33B-4C06-B733-0DFF71D53655}"/>
    <cellStyle name="Normal 11 3 2 7 5 3" xfId="42051" xr:uid="{D0619DD9-91FC-4410-B62E-107CCD989723}"/>
    <cellStyle name="Normal 11 3 2 7 5 3 2" xfId="42052" xr:uid="{0C84F080-64A0-4624-8C6B-F1158A37B879}"/>
    <cellStyle name="Normal 11 3 2 7 5 3 2 2" xfId="42053" xr:uid="{4B53673B-480D-491C-9FDD-8A9EBBF16B0B}"/>
    <cellStyle name="Normal 11 3 2 7 5 3 3" xfId="42054" xr:uid="{1F4EC8FE-0060-41DC-8A51-C3890F6F3CE5}"/>
    <cellStyle name="Normal 11 3 2 7 5 4" xfId="42055" xr:uid="{E65F5AA5-E20C-4AAD-8FB0-BBC5EAA72837}"/>
    <cellStyle name="Normal 11 3 2 7 5 4 2" xfId="42056" xr:uid="{E43C12EF-3908-415E-BA09-E0895027DDB4}"/>
    <cellStyle name="Normal 11 3 2 7 5 5" xfId="42057" xr:uid="{44B6C2EA-1186-436A-BA4B-9DB43BC76203}"/>
    <cellStyle name="Normal 11 3 2 7 6" xfId="42058" xr:uid="{E71251A7-8F6D-4199-A8C8-DBE4E206CC42}"/>
    <cellStyle name="Normal 11 3 2 7 6 2" xfId="42059" xr:uid="{9209CB19-D707-4560-B787-F4AF61A949BF}"/>
    <cellStyle name="Normal 11 3 2 7 6 2 2" xfId="42060" xr:uid="{B7C03B9D-E39C-493D-B9FA-2A45C896A907}"/>
    <cellStyle name="Normal 11 3 2 7 6 2 2 2" xfId="42061" xr:uid="{D330C3EB-A985-4465-841E-BAA7D87F4CF8}"/>
    <cellStyle name="Normal 11 3 2 7 6 2 3" xfId="42062" xr:uid="{9B2277A4-EF79-437A-922C-5872EC45DC56}"/>
    <cellStyle name="Normal 11 3 2 7 6 3" xfId="42063" xr:uid="{891312B3-7735-4083-838F-44FEB7108A8C}"/>
    <cellStyle name="Normal 11 3 2 7 6 3 2" xfId="42064" xr:uid="{D774496B-2790-40F2-90A5-0B29DACCDA7E}"/>
    <cellStyle name="Normal 11 3 2 7 6 4" xfId="42065" xr:uid="{96AD99F5-7E70-4DF2-97D5-749E7968C89C}"/>
    <cellStyle name="Normal 11 3 2 7 7" xfId="42066" xr:uid="{6423349D-DFFF-475B-9E79-722A3A7CBD42}"/>
    <cellStyle name="Normal 11 3 2 7 7 2" xfId="42067" xr:uid="{FEA9CA06-CD63-43C1-9506-C58F4C06D299}"/>
    <cellStyle name="Normal 11 3 2 7 7 2 2" xfId="42068" xr:uid="{CDD3B06B-CBBB-448D-9E81-89643C25EE44}"/>
    <cellStyle name="Normal 11 3 2 7 7 3" xfId="42069" xr:uid="{69CCBEC8-2D3C-4ECF-B604-908A28871F84}"/>
    <cellStyle name="Normal 11 3 2 7 8" xfId="42070" xr:uid="{7AA917F6-5858-4E54-BB16-37BD73BB51CC}"/>
    <cellStyle name="Normal 11 3 2 7 8 2" xfId="42071" xr:uid="{CBE398BC-52F9-4AC2-817A-792618C11A9A}"/>
    <cellStyle name="Normal 11 3 2 7 9" xfId="42072" xr:uid="{4BECBD83-D9EB-42C5-91A7-DA9517D9916F}"/>
    <cellStyle name="Normal 11 3 2 8" xfId="444" xr:uid="{515ADDA4-B43C-46EF-8D05-D1643E690063}"/>
    <cellStyle name="Normal 11 3 2 8 2" xfId="42074" xr:uid="{A41AE3F2-4DB3-46C1-9911-885BF6566C00}"/>
    <cellStyle name="Normal 11 3 2 8 2 2" xfId="42075" xr:uid="{2E998802-DE18-4A80-92B7-E61BB0030D8A}"/>
    <cellStyle name="Normal 11 3 2 8 2 2 2" xfId="42076" xr:uid="{6412E901-04CB-4A24-9AE4-C70C40F51B28}"/>
    <cellStyle name="Normal 11 3 2 8 2 2 2 2" xfId="42077" xr:uid="{680C7406-BC3F-485F-9026-8591301C2CC7}"/>
    <cellStyle name="Normal 11 3 2 8 2 2 2 2 2" xfId="42078" xr:uid="{0A13AAFD-2E83-4EFF-98B3-AC42A887FBEA}"/>
    <cellStyle name="Normal 11 3 2 8 2 2 2 2 2 2" xfId="42079" xr:uid="{80E9333B-DE91-42CD-A17C-D8FDB917C244}"/>
    <cellStyle name="Normal 11 3 2 8 2 2 2 2 2 2 2" xfId="42080" xr:uid="{CCDC1FB8-903C-4C7B-8499-9A1D7E8B624A}"/>
    <cellStyle name="Normal 11 3 2 8 2 2 2 2 2 3" xfId="42081" xr:uid="{5E9B2A56-E080-4FC1-8D4B-D307AC7B369A}"/>
    <cellStyle name="Normal 11 3 2 8 2 2 2 2 3" xfId="42082" xr:uid="{BBAE6CA5-077A-4956-AEF0-DE73D512ACB2}"/>
    <cellStyle name="Normal 11 3 2 8 2 2 2 2 3 2" xfId="42083" xr:uid="{E564A54B-F85D-414A-B66E-12680BF52917}"/>
    <cellStyle name="Normal 11 3 2 8 2 2 2 2 4" xfId="42084" xr:uid="{03B98887-63BD-4B90-8C2D-9EE5F029E803}"/>
    <cellStyle name="Normal 11 3 2 8 2 2 2 3" xfId="42085" xr:uid="{518BA928-FD54-46B5-9A5F-EBDFA7589F60}"/>
    <cellStyle name="Normal 11 3 2 8 2 2 2 3 2" xfId="42086" xr:uid="{5E3A3DDB-6530-40CC-BB5D-E1D74CBB57BC}"/>
    <cellStyle name="Normal 11 3 2 8 2 2 2 3 2 2" xfId="42087" xr:uid="{C56CDD6C-075F-4142-9099-AC906568A245}"/>
    <cellStyle name="Normal 11 3 2 8 2 2 2 3 3" xfId="42088" xr:uid="{937BBE41-353C-449E-8FD7-2E973CA6D5DC}"/>
    <cellStyle name="Normal 11 3 2 8 2 2 2 4" xfId="42089" xr:uid="{E5600755-5389-425B-815F-0B017617CC28}"/>
    <cellStyle name="Normal 11 3 2 8 2 2 2 4 2" xfId="42090" xr:uid="{427322EA-75E4-4464-9D31-A6D3784DC3C9}"/>
    <cellStyle name="Normal 11 3 2 8 2 2 2 5" xfId="42091" xr:uid="{9843D012-F3D3-4BE3-A878-5CDE1A296EFE}"/>
    <cellStyle name="Normal 11 3 2 8 2 2 3" xfId="42092" xr:uid="{F9157B24-336B-4EB0-91E2-32D7E9E54C53}"/>
    <cellStyle name="Normal 11 3 2 8 2 2 3 2" xfId="42093" xr:uid="{43AB3F8D-83CB-4171-AACE-9B56071446E6}"/>
    <cellStyle name="Normal 11 3 2 8 2 2 3 2 2" xfId="42094" xr:uid="{A5BDD774-9244-4633-90BA-AFDF71DE6BD3}"/>
    <cellStyle name="Normal 11 3 2 8 2 2 3 2 2 2" xfId="42095" xr:uid="{C2A01B3D-83AC-4811-8682-C8E3B152A520}"/>
    <cellStyle name="Normal 11 3 2 8 2 2 3 2 3" xfId="42096" xr:uid="{A590711E-0FFB-4F0F-8B3D-0B710A115B65}"/>
    <cellStyle name="Normal 11 3 2 8 2 2 3 3" xfId="42097" xr:uid="{95D4ADC9-BE25-4D8E-8774-07CA38B60F9D}"/>
    <cellStyle name="Normal 11 3 2 8 2 2 3 3 2" xfId="42098" xr:uid="{EF3D04C5-51C8-4D61-BF80-B1857CEE9C9C}"/>
    <cellStyle name="Normal 11 3 2 8 2 2 3 4" xfId="42099" xr:uid="{9595B1AF-390C-42BF-ADC6-0B934A5E4FA6}"/>
    <cellStyle name="Normal 11 3 2 8 2 2 4" xfId="42100" xr:uid="{FA40988D-873D-4E72-AE21-FBE7CF3FA1C8}"/>
    <cellStyle name="Normal 11 3 2 8 2 2 4 2" xfId="42101" xr:uid="{518CB2FB-7FAF-4FB1-9F77-24DD64B6D607}"/>
    <cellStyle name="Normal 11 3 2 8 2 2 4 2 2" xfId="42102" xr:uid="{78F54CC6-4C2D-4A9E-A363-EEFB460557BA}"/>
    <cellStyle name="Normal 11 3 2 8 2 2 4 3" xfId="42103" xr:uid="{6F451857-3FAF-4B06-9B02-1C31FC010FB3}"/>
    <cellStyle name="Normal 11 3 2 8 2 2 5" xfId="42104" xr:uid="{34C7A271-8204-4938-A76F-C6D8A04D629E}"/>
    <cellStyle name="Normal 11 3 2 8 2 2 5 2" xfId="42105" xr:uid="{3E935235-A239-4A1D-87FB-D554D83FDBFA}"/>
    <cellStyle name="Normal 11 3 2 8 2 2 6" xfId="42106" xr:uid="{6AB4D839-D69E-4F69-991A-428D93E02A22}"/>
    <cellStyle name="Normal 11 3 2 8 2 3" xfId="42107" xr:uid="{199EEF3A-53E4-4A5A-8927-8581B3E8EB9B}"/>
    <cellStyle name="Normal 11 3 2 8 2 3 2" xfId="42108" xr:uid="{D69FEA90-AF61-4B52-8CF8-33C3439E97D1}"/>
    <cellStyle name="Normal 11 3 2 8 2 3 2 2" xfId="42109" xr:uid="{1613D12A-23B0-4FE6-9C6D-D52081FBD685}"/>
    <cellStyle name="Normal 11 3 2 8 2 3 2 2 2" xfId="42110" xr:uid="{949776E4-3CB7-4211-82DA-69CA94E7E151}"/>
    <cellStyle name="Normal 11 3 2 8 2 3 2 2 2 2" xfId="42111" xr:uid="{DBAB57E7-8F2C-42A8-878E-240C984559D0}"/>
    <cellStyle name="Normal 11 3 2 8 2 3 2 2 3" xfId="42112" xr:uid="{B7EBF71B-7DCA-4311-B794-C3402817E15F}"/>
    <cellStyle name="Normal 11 3 2 8 2 3 2 3" xfId="42113" xr:uid="{41960B31-3240-49A7-BD91-085DCB652792}"/>
    <cellStyle name="Normal 11 3 2 8 2 3 2 3 2" xfId="42114" xr:uid="{60596A0F-0036-4138-B123-33B273993428}"/>
    <cellStyle name="Normal 11 3 2 8 2 3 2 4" xfId="42115" xr:uid="{D9572A9B-4E03-43B1-8C72-9B41367627B0}"/>
    <cellStyle name="Normal 11 3 2 8 2 3 3" xfId="42116" xr:uid="{1B25F9E1-ED58-46B1-AE68-65C7DC6E2E3D}"/>
    <cellStyle name="Normal 11 3 2 8 2 3 3 2" xfId="42117" xr:uid="{4F16F030-60B4-4264-A025-C2A36F8C4A40}"/>
    <cellStyle name="Normal 11 3 2 8 2 3 3 2 2" xfId="42118" xr:uid="{98C5E5C0-1B9F-43AD-913B-EF629D97E191}"/>
    <cellStyle name="Normal 11 3 2 8 2 3 3 3" xfId="42119" xr:uid="{4F6B00FA-7AE0-4A36-8FA8-07838B3CB53E}"/>
    <cellStyle name="Normal 11 3 2 8 2 3 4" xfId="42120" xr:uid="{A51900C5-EEBC-4675-BC8F-FE3313DC85F4}"/>
    <cellStyle name="Normal 11 3 2 8 2 3 4 2" xfId="42121" xr:uid="{DEC75508-FC95-412A-8D96-F70C08117E56}"/>
    <cellStyle name="Normal 11 3 2 8 2 3 5" xfId="42122" xr:uid="{2A09138B-21CC-4478-8938-17CD660A9798}"/>
    <cellStyle name="Normal 11 3 2 8 2 4" xfId="42123" xr:uid="{FF1745E9-D9C8-451F-AA1C-F576F838EBCA}"/>
    <cellStyle name="Normal 11 3 2 8 2 4 2" xfId="42124" xr:uid="{A76027FB-474B-4E00-AE4F-DA4ACB2224BE}"/>
    <cellStyle name="Normal 11 3 2 8 2 4 2 2" xfId="42125" xr:uid="{486ABBEE-91F8-4034-8F1E-4EDC49222EC1}"/>
    <cellStyle name="Normal 11 3 2 8 2 4 2 2 2" xfId="42126" xr:uid="{A3BF3716-A682-48CA-A5DE-F1323EE8F093}"/>
    <cellStyle name="Normal 11 3 2 8 2 4 2 3" xfId="42127" xr:uid="{2EFE8168-193E-4948-B343-7C1DDFAFEA3A}"/>
    <cellStyle name="Normal 11 3 2 8 2 4 3" xfId="42128" xr:uid="{230EA277-2666-47EA-917F-7F4A4F35C8A7}"/>
    <cellStyle name="Normal 11 3 2 8 2 4 3 2" xfId="42129" xr:uid="{76397B56-07AD-46BB-84DB-60C474EDDBF1}"/>
    <cellStyle name="Normal 11 3 2 8 2 4 4" xfId="42130" xr:uid="{122D921E-141E-48AB-A0DC-7F87A0E8F9F6}"/>
    <cellStyle name="Normal 11 3 2 8 2 5" xfId="42131" xr:uid="{ECE6BF85-C963-4645-BC20-B2A36D071515}"/>
    <cellStyle name="Normal 11 3 2 8 2 5 2" xfId="42132" xr:uid="{AB687C83-7EE4-4007-B67F-0202919658B0}"/>
    <cellStyle name="Normal 11 3 2 8 2 5 2 2" xfId="42133" xr:uid="{54075781-DA7E-4F03-9DF9-FAAB0DA8F344}"/>
    <cellStyle name="Normal 11 3 2 8 2 5 3" xfId="42134" xr:uid="{69C57D4E-858C-47A8-A15B-19215433C60B}"/>
    <cellStyle name="Normal 11 3 2 8 2 6" xfId="42135" xr:uid="{208E4B52-88A2-440E-9F99-4CD470EDA091}"/>
    <cellStyle name="Normal 11 3 2 8 2 6 2" xfId="42136" xr:uid="{BDC49795-F409-48CD-B315-BB14509AF3EC}"/>
    <cellStyle name="Normal 11 3 2 8 2 7" xfId="42137" xr:uid="{5850C249-F2A6-474F-AC7C-7A313AD66637}"/>
    <cellStyle name="Normal 11 3 2 8 3" xfId="42138" xr:uid="{2349853A-EFE7-472B-BEB5-940DF75E01E0}"/>
    <cellStyle name="Normal 11 3 2 8 3 2" xfId="42139" xr:uid="{82D03BFC-A3F3-46F7-AEFB-D50390C8B2B1}"/>
    <cellStyle name="Normal 11 3 2 8 3 2 2" xfId="42140" xr:uid="{EB6EB247-508D-4B1B-96EB-EDBA441A7100}"/>
    <cellStyle name="Normal 11 3 2 8 3 2 2 2" xfId="42141" xr:uid="{F6077E36-C071-4E97-8A84-A3FB1FE3319C}"/>
    <cellStyle name="Normal 11 3 2 8 3 2 2 2 2" xfId="42142" xr:uid="{5943B21C-D459-4591-8836-22DFC516C1DA}"/>
    <cellStyle name="Normal 11 3 2 8 3 2 2 2 2 2" xfId="42143" xr:uid="{02DAEF43-EDD8-4D48-90C8-464D50959307}"/>
    <cellStyle name="Normal 11 3 2 8 3 2 2 2 3" xfId="42144" xr:uid="{78C8F731-4E98-4714-AD54-C10EA5C36BDC}"/>
    <cellStyle name="Normal 11 3 2 8 3 2 2 3" xfId="42145" xr:uid="{874476AA-1320-4B6C-9724-D934878F7164}"/>
    <cellStyle name="Normal 11 3 2 8 3 2 2 3 2" xfId="42146" xr:uid="{E4C774BC-DA5A-4745-A1C4-2A1DB37D7DC4}"/>
    <cellStyle name="Normal 11 3 2 8 3 2 2 4" xfId="42147" xr:uid="{901E17E1-43E3-4BF9-9A44-C374E790CE3A}"/>
    <cellStyle name="Normal 11 3 2 8 3 2 3" xfId="42148" xr:uid="{7D47203A-6292-4414-9741-9AB2BC809C10}"/>
    <cellStyle name="Normal 11 3 2 8 3 2 3 2" xfId="42149" xr:uid="{BD093974-F589-492F-87FF-A6698AE8A67B}"/>
    <cellStyle name="Normal 11 3 2 8 3 2 3 2 2" xfId="42150" xr:uid="{3518157E-F37E-4A28-B407-2C533D516CC9}"/>
    <cellStyle name="Normal 11 3 2 8 3 2 3 3" xfId="42151" xr:uid="{B2826B98-EF6A-415E-B48F-839F10D8BE69}"/>
    <cellStyle name="Normal 11 3 2 8 3 2 4" xfId="42152" xr:uid="{D66CCBA8-FE16-4CFA-9960-48860EF2129A}"/>
    <cellStyle name="Normal 11 3 2 8 3 2 4 2" xfId="42153" xr:uid="{4D2511EF-D0EC-44B7-9A0E-C37FFC815F8F}"/>
    <cellStyle name="Normal 11 3 2 8 3 2 5" xfId="42154" xr:uid="{D59CB294-84F1-482E-9A2D-5FA40FA3D4C5}"/>
    <cellStyle name="Normal 11 3 2 8 3 3" xfId="42155" xr:uid="{74A23270-EC14-4587-BF87-ABB97A92DC0D}"/>
    <cellStyle name="Normal 11 3 2 8 3 3 2" xfId="42156" xr:uid="{E5BD0AA6-7756-4ED4-B57A-C0925E2AE3CF}"/>
    <cellStyle name="Normal 11 3 2 8 3 3 2 2" xfId="42157" xr:uid="{668EAE00-D11E-4B9D-82A2-67A90429C15A}"/>
    <cellStyle name="Normal 11 3 2 8 3 3 2 2 2" xfId="42158" xr:uid="{AEA0DA91-3C1F-4B73-B8BE-D0F3442648FB}"/>
    <cellStyle name="Normal 11 3 2 8 3 3 2 3" xfId="42159" xr:uid="{8FDC58E0-9311-47DF-A042-9D09A5BBE373}"/>
    <cellStyle name="Normal 11 3 2 8 3 3 3" xfId="42160" xr:uid="{2B787ACE-C155-4F39-A821-13ECC1A452B0}"/>
    <cellStyle name="Normal 11 3 2 8 3 3 3 2" xfId="42161" xr:uid="{3ADB87C8-F81A-4540-86A7-48F7216A08FD}"/>
    <cellStyle name="Normal 11 3 2 8 3 3 4" xfId="42162" xr:uid="{56B58A2F-5F9F-411F-B16A-CA9FA5A3F112}"/>
    <cellStyle name="Normal 11 3 2 8 3 4" xfId="42163" xr:uid="{D6E2E9A6-673C-4FD4-89A8-0B94459F2CB0}"/>
    <cellStyle name="Normal 11 3 2 8 3 4 2" xfId="42164" xr:uid="{497E9197-E358-4AEA-8519-25648BB5EF55}"/>
    <cellStyle name="Normal 11 3 2 8 3 4 2 2" xfId="42165" xr:uid="{B9D0E90F-DA58-4EAA-A646-75549C85C4D2}"/>
    <cellStyle name="Normal 11 3 2 8 3 4 3" xfId="42166" xr:uid="{6B7EC14F-6CC8-4A5D-8E75-17B0A801BB6E}"/>
    <cellStyle name="Normal 11 3 2 8 3 5" xfId="42167" xr:uid="{5F93BCD8-AC81-4981-AE98-6B3F54AE880B}"/>
    <cellStyle name="Normal 11 3 2 8 3 5 2" xfId="42168" xr:uid="{7BABF1A8-0AA4-46E3-B902-33B3129AD344}"/>
    <cellStyle name="Normal 11 3 2 8 3 6" xfId="42169" xr:uid="{F3127BE3-F9AF-46DE-9E65-E6632E4EEA90}"/>
    <cellStyle name="Normal 11 3 2 8 4" xfId="42170" xr:uid="{4624801A-2C88-48EE-9CBB-20425BFEE0FF}"/>
    <cellStyle name="Normal 11 3 2 8 4 2" xfId="42171" xr:uid="{88F9A69E-07CC-43C6-B4CA-7689935B9061}"/>
    <cellStyle name="Normal 11 3 2 8 4 2 2" xfId="42172" xr:uid="{9E218CC5-1C27-4D5F-8DBB-191BEE95D7B1}"/>
    <cellStyle name="Normal 11 3 2 8 4 2 2 2" xfId="42173" xr:uid="{3B15C8E6-8BA3-446F-821D-1680F99393A5}"/>
    <cellStyle name="Normal 11 3 2 8 4 2 2 2 2" xfId="42174" xr:uid="{4DEDAECD-CEA9-472F-BE9A-950D319A0158}"/>
    <cellStyle name="Normal 11 3 2 8 4 2 2 3" xfId="42175" xr:uid="{2B77C863-0880-44F6-B61E-88C9382F2F24}"/>
    <cellStyle name="Normal 11 3 2 8 4 2 3" xfId="42176" xr:uid="{C206937F-7A60-407E-ACF3-DD2A0A54D937}"/>
    <cellStyle name="Normal 11 3 2 8 4 2 3 2" xfId="42177" xr:uid="{A54619B2-7586-407B-8FAA-EB246F0833BE}"/>
    <cellStyle name="Normal 11 3 2 8 4 2 4" xfId="42178" xr:uid="{0C8560E8-E246-49B0-B456-D2AE16E167E1}"/>
    <cellStyle name="Normal 11 3 2 8 4 3" xfId="42179" xr:uid="{4EA54D0A-0C71-4C03-8D98-25571E736909}"/>
    <cellStyle name="Normal 11 3 2 8 4 3 2" xfId="42180" xr:uid="{39B548CC-2D12-4FDE-8F0E-4617A4CC2D6D}"/>
    <cellStyle name="Normal 11 3 2 8 4 3 2 2" xfId="42181" xr:uid="{2B65E1C7-106F-4776-9C6B-EE3238E97FB7}"/>
    <cellStyle name="Normal 11 3 2 8 4 3 3" xfId="42182" xr:uid="{51234CF4-90D5-4F9C-9962-9E62E169169D}"/>
    <cellStyle name="Normal 11 3 2 8 4 4" xfId="42183" xr:uid="{08904D55-828D-47E9-BB21-75328DC963F7}"/>
    <cellStyle name="Normal 11 3 2 8 4 4 2" xfId="42184" xr:uid="{F461AB5E-B7BE-4FD8-94F3-7A5D4D85B895}"/>
    <cellStyle name="Normal 11 3 2 8 4 5" xfId="42185" xr:uid="{D4B64AA1-AB85-4F56-B08F-E7C86CBA472D}"/>
    <cellStyle name="Normal 11 3 2 8 5" xfId="42186" xr:uid="{486084F5-F02D-46D1-B1E7-B67048116389}"/>
    <cellStyle name="Normal 11 3 2 8 5 2" xfId="42187" xr:uid="{39E9D512-0A51-47E5-A955-F65AD08C84A5}"/>
    <cellStyle name="Normal 11 3 2 8 5 2 2" xfId="42188" xr:uid="{8CCF3349-2444-4A66-BDB5-F5C371C6C38B}"/>
    <cellStyle name="Normal 11 3 2 8 5 2 2 2" xfId="42189" xr:uid="{C4A930F8-193A-42CC-B7DF-6E0C2F1F2574}"/>
    <cellStyle name="Normal 11 3 2 8 5 2 3" xfId="42190" xr:uid="{6C296CF1-13BA-426C-AF43-CD49EEAA1C74}"/>
    <cellStyle name="Normal 11 3 2 8 5 3" xfId="42191" xr:uid="{20424E35-3515-492A-8BFF-11BAC90014CE}"/>
    <cellStyle name="Normal 11 3 2 8 5 3 2" xfId="42192" xr:uid="{0EACD893-45A6-4422-A7C3-262D60138329}"/>
    <cellStyle name="Normal 11 3 2 8 5 4" xfId="42193" xr:uid="{F3480EBB-20C3-41B9-9BAF-48B4574A04A6}"/>
    <cellStyle name="Normal 11 3 2 8 6" xfId="42194" xr:uid="{47E1C1BD-FA68-43AE-A98F-802F0B392BBC}"/>
    <cellStyle name="Normal 11 3 2 8 6 2" xfId="42195" xr:uid="{C8442BDE-6D24-452E-A1EE-657129D9D90A}"/>
    <cellStyle name="Normal 11 3 2 8 6 2 2" xfId="42196" xr:uid="{EEE9EC26-FC84-44DF-BC66-7B268BA80325}"/>
    <cellStyle name="Normal 11 3 2 8 6 3" xfId="42197" xr:uid="{5727EA8B-8314-43AB-8AD3-F99815CCE964}"/>
    <cellStyle name="Normal 11 3 2 8 7" xfId="42198" xr:uid="{8A5B8B9E-8E5A-4B41-8F14-AE9526691C5C}"/>
    <cellStyle name="Normal 11 3 2 8 7 2" xfId="42199" xr:uid="{17B3B608-AE5F-42FE-9742-D15C97350BCA}"/>
    <cellStyle name="Normal 11 3 2 8 8" xfId="42200" xr:uid="{5E972149-E1C2-4DD1-8015-A5E0D1C808F2}"/>
    <cellStyle name="Normal 11 3 2 8 9" xfId="42073" xr:uid="{83D75A4F-C28A-4682-BAB9-87823DC2FC44}"/>
    <cellStyle name="Normal 11 3 2 9" xfId="42201" xr:uid="{ABADAD56-BE14-427C-A635-6FF4393A0A23}"/>
    <cellStyle name="Normal 11 3 2 9 2" xfId="42202" xr:uid="{C9D139EC-9D57-4A37-B25C-7B986F1FD172}"/>
    <cellStyle name="Normal 11 3 2 9 2 2" xfId="42203" xr:uid="{3C9C5947-2AEB-40D6-9138-993BA45DBB30}"/>
    <cellStyle name="Normal 11 3 2 9 2 2 2" xfId="42204" xr:uid="{2C48756D-5AC0-4D04-8B5A-323E42C56300}"/>
    <cellStyle name="Normal 11 3 2 9 2 2 2 2" xfId="42205" xr:uid="{108D0C32-C6A7-40AE-9DAE-DC3D8FD33702}"/>
    <cellStyle name="Normal 11 3 2 9 2 2 2 2 2" xfId="42206" xr:uid="{AF3A2E00-4AFA-4C6F-A487-1B05856C6E2C}"/>
    <cellStyle name="Normal 11 3 2 9 2 2 2 2 2 2" xfId="42207" xr:uid="{92465B88-FDE1-4653-9CC4-75A59128B385}"/>
    <cellStyle name="Normal 11 3 2 9 2 2 2 2 3" xfId="42208" xr:uid="{96159230-FB3D-4DB2-8B80-51964A7AB9BA}"/>
    <cellStyle name="Normal 11 3 2 9 2 2 2 3" xfId="42209" xr:uid="{F8208890-D651-4892-9700-38F012446AC6}"/>
    <cellStyle name="Normal 11 3 2 9 2 2 2 3 2" xfId="42210" xr:uid="{9E3D7A9A-BB3D-46AA-A912-DCB32BF67BB5}"/>
    <cellStyle name="Normal 11 3 2 9 2 2 2 4" xfId="42211" xr:uid="{EA64F57B-DF2D-46CB-AC64-98E20A71772A}"/>
    <cellStyle name="Normal 11 3 2 9 2 2 3" xfId="42212" xr:uid="{F00FAEB7-478C-40EE-B4D0-EF67D673E110}"/>
    <cellStyle name="Normal 11 3 2 9 2 2 3 2" xfId="42213" xr:uid="{D2DE831F-7FD9-40E6-B19E-341ECCF172C4}"/>
    <cellStyle name="Normal 11 3 2 9 2 2 3 2 2" xfId="42214" xr:uid="{03AC9644-8BE6-48C2-AB16-0410243BE9AF}"/>
    <cellStyle name="Normal 11 3 2 9 2 2 3 3" xfId="42215" xr:uid="{F5B02637-455F-4DD8-B120-80447596AF24}"/>
    <cellStyle name="Normal 11 3 2 9 2 2 4" xfId="42216" xr:uid="{A271B45E-6358-4D2D-8086-B66F266E03A5}"/>
    <cellStyle name="Normal 11 3 2 9 2 2 4 2" xfId="42217" xr:uid="{7ECF1756-07D7-46C0-9147-113F37F2952A}"/>
    <cellStyle name="Normal 11 3 2 9 2 2 5" xfId="42218" xr:uid="{DE20302F-E680-4F32-82DC-9B38344D9F92}"/>
    <cellStyle name="Normal 11 3 2 9 2 3" xfId="42219" xr:uid="{9C070869-80E2-48F9-AB72-7CD53CFC4B21}"/>
    <cellStyle name="Normal 11 3 2 9 2 3 2" xfId="42220" xr:uid="{99661033-FAE6-4FAF-95EF-F1963BFE6578}"/>
    <cellStyle name="Normal 11 3 2 9 2 3 2 2" xfId="42221" xr:uid="{FFC7707A-C187-4D00-A807-091736535A13}"/>
    <cellStyle name="Normal 11 3 2 9 2 3 2 2 2" xfId="42222" xr:uid="{8C2B0F5A-8298-4342-A2ED-FE158A4EEEB6}"/>
    <cellStyle name="Normal 11 3 2 9 2 3 2 3" xfId="42223" xr:uid="{177D9C69-72CC-42A2-937A-FC0C1CBA0868}"/>
    <cellStyle name="Normal 11 3 2 9 2 3 3" xfId="42224" xr:uid="{559BF77D-6689-4C75-95E4-CD451575CBA7}"/>
    <cellStyle name="Normal 11 3 2 9 2 3 3 2" xfId="42225" xr:uid="{FEBB532E-8206-450D-88C7-A1761407BF46}"/>
    <cellStyle name="Normal 11 3 2 9 2 3 4" xfId="42226" xr:uid="{58EA108F-0B44-42CF-B9E7-A1EDC028B9CD}"/>
    <cellStyle name="Normal 11 3 2 9 2 4" xfId="42227" xr:uid="{70F6F258-190B-4DE2-937E-F1D0F870652B}"/>
    <cellStyle name="Normal 11 3 2 9 2 4 2" xfId="42228" xr:uid="{BC7A9908-0840-4F4E-BA13-704E7806B52C}"/>
    <cellStyle name="Normal 11 3 2 9 2 4 2 2" xfId="42229" xr:uid="{8CE3D841-2D14-4000-93E6-6E3A14BF8E74}"/>
    <cellStyle name="Normal 11 3 2 9 2 4 3" xfId="42230" xr:uid="{7DF500CF-83D8-4C6C-A8EF-76EED5F433B9}"/>
    <cellStyle name="Normal 11 3 2 9 2 5" xfId="42231" xr:uid="{510BC253-1846-425D-AEEC-F34AB9C4984D}"/>
    <cellStyle name="Normal 11 3 2 9 2 5 2" xfId="42232" xr:uid="{88681BD3-619D-4097-A76D-24FD4CF2C528}"/>
    <cellStyle name="Normal 11 3 2 9 2 6" xfId="42233" xr:uid="{EA6679B1-67F4-413C-AF39-10601F625CFB}"/>
    <cellStyle name="Normal 11 3 2 9 3" xfId="42234" xr:uid="{1339460F-BE1E-4B5B-A97B-DB7EB8DE4C9E}"/>
    <cellStyle name="Normal 11 3 2 9 3 2" xfId="42235" xr:uid="{68DD7565-2A6F-4A8D-8FB4-00F5DBE4989F}"/>
    <cellStyle name="Normal 11 3 2 9 3 2 2" xfId="42236" xr:uid="{E45D3B9A-975B-4304-AA3E-34132F16EA74}"/>
    <cellStyle name="Normal 11 3 2 9 3 2 2 2" xfId="42237" xr:uid="{30AC8478-CA42-4072-8454-37156259ED3E}"/>
    <cellStyle name="Normal 11 3 2 9 3 2 2 2 2" xfId="42238" xr:uid="{33175E8A-CCF6-4147-BD8D-71CCE1E19455}"/>
    <cellStyle name="Normal 11 3 2 9 3 2 2 3" xfId="42239" xr:uid="{7FEEB7E0-028C-4C46-8121-C94951F54C89}"/>
    <cellStyle name="Normal 11 3 2 9 3 2 3" xfId="42240" xr:uid="{D8214491-8786-457A-BF72-9AEA0BB7CF3B}"/>
    <cellStyle name="Normal 11 3 2 9 3 2 3 2" xfId="42241" xr:uid="{D90A5BD6-CC5C-460F-AD9D-77EF589DCE37}"/>
    <cellStyle name="Normal 11 3 2 9 3 2 4" xfId="42242" xr:uid="{C1E69A94-2154-46CB-8255-4B2850F9E5E1}"/>
    <cellStyle name="Normal 11 3 2 9 3 3" xfId="42243" xr:uid="{3933B120-D821-41F6-A29C-55E5448807A6}"/>
    <cellStyle name="Normal 11 3 2 9 3 3 2" xfId="42244" xr:uid="{797C5812-A35B-408F-AE5D-5CEF80B8E92F}"/>
    <cellStyle name="Normal 11 3 2 9 3 3 2 2" xfId="42245" xr:uid="{C65CDD33-692A-4149-9F92-6D55345FD268}"/>
    <cellStyle name="Normal 11 3 2 9 3 3 3" xfId="42246" xr:uid="{8C4305CF-50D0-4622-A904-BCD3B6A13360}"/>
    <cellStyle name="Normal 11 3 2 9 3 4" xfId="42247" xr:uid="{FA5A5D3A-156A-4505-82A7-AE1AB5CCCFCA}"/>
    <cellStyle name="Normal 11 3 2 9 3 4 2" xfId="42248" xr:uid="{5CE0B3DA-6609-42E6-B512-70E3B429A9DC}"/>
    <cellStyle name="Normal 11 3 2 9 3 5" xfId="42249" xr:uid="{2E3E38CF-E439-4980-B4B7-1F030FBBAAB5}"/>
    <cellStyle name="Normal 11 3 2 9 4" xfId="42250" xr:uid="{5AA6DD62-D0B7-4146-834F-BCC0088659E1}"/>
    <cellStyle name="Normal 11 3 2 9 4 2" xfId="42251" xr:uid="{B204166E-D946-4B3A-8C0F-EA63DA6FF24C}"/>
    <cellStyle name="Normal 11 3 2 9 4 2 2" xfId="42252" xr:uid="{DA82D5A9-2627-4605-80A3-1AB6274857F1}"/>
    <cellStyle name="Normal 11 3 2 9 4 2 2 2" xfId="42253" xr:uid="{AF65EE26-F57D-4F31-A60D-95C1398D89A4}"/>
    <cellStyle name="Normal 11 3 2 9 4 2 3" xfId="42254" xr:uid="{6A801CF9-898A-4706-88AB-C4FEC332607C}"/>
    <cellStyle name="Normal 11 3 2 9 4 3" xfId="42255" xr:uid="{D69860D7-DE69-47E8-B803-6D72ECC5CDE0}"/>
    <cellStyle name="Normal 11 3 2 9 4 3 2" xfId="42256" xr:uid="{73209CCB-FB6A-4FB7-B6E7-0C930A86D9B5}"/>
    <cellStyle name="Normal 11 3 2 9 4 4" xfId="42257" xr:uid="{A9171A53-798E-49FF-BAB8-D27E48D5E45E}"/>
    <cellStyle name="Normal 11 3 2 9 5" xfId="42258" xr:uid="{138B8819-0B81-438F-A576-7195B30891F7}"/>
    <cellStyle name="Normal 11 3 2 9 5 2" xfId="42259" xr:uid="{DFDB98D0-1D78-48E2-A3F6-5D853BE52532}"/>
    <cellStyle name="Normal 11 3 2 9 5 2 2" xfId="42260" xr:uid="{AF1DC62E-AEED-4279-BBE5-FF5E1737DC20}"/>
    <cellStyle name="Normal 11 3 2 9 5 3" xfId="42261" xr:uid="{0CEA5CE1-ADD0-44D5-8853-CC287D575010}"/>
    <cellStyle name="Normal 11 3 2 9 6" xfId="42262" xr:uid="{E020366C-AE25-47B3-877D-924EFBC186ED}"/>
    <cellStyle name="Normal 11 3 2 9 6 2" xfId="42263" xr:uid="{893D4AB3-1E0B-4236-956F-9538379A3043}"/>
    <cellStyle name="Normal 11 3 2 9 7" xfId="42264" xr:uid="{43D3DD3D-1B81-4AE5-B1A6-E7D6CBD5F8D9}"/>
    <cellStyle name="Normal 11 3 3" xfId="212" xr:uid="{88A2A233-440D-4AEA-8FE4-ADF07C4B1CE9}"/>
    <cellStyle name="Normal 11 3 3 10" xfId="42265" xr:uid="{A427E3E9-B538-46E8-B768-65D2FFEB1A66}"/>
    <cellStyle name="Normal 11 3 3 10 2" xfId="42266" xr:uid="{140FA1AD-2B20-49E8-9F95-0DE4C6985E01}"/>
    <cellStyle name="Normal 11 3 3 10 2 2" xfId="42267" xr:uid="{74A8BB55-380F-47F3-8B6D-3AAB80AF88AE}"/>
    <cellStyle name="Normal 11 3 3 10 2 2 2" xfId="42268" xr:uid="{BDFE2BC2-F456-4B35-98A8-BD2626204D68}"/>
    <cellStyle name="Normal 11 3 3 10 2 2 2 2" xfId="42269" xr:uid="{EDF962F2-F861-44D8-BF0A-4B1966F4FAE2}"/>
    <cellStyle name="Normal 11 3 3 10 2 2 3" xfId="42270" xr:uid="{7CC4331E-610A-4EB7-BDDC-775753B33711}"/>
    <cellStyle name="Normal 11 3 3 10 2 3" xfId="42271" xr:uid="{46AAC651-91ED-4826-904F-F25D70A07E4A}"/>
    <cellStyle name="Normal 11 3 3 10 2 3 2" xfId="42272" xr:uid="{6FEE9D1E-8E39-413B-989C-351A12520F17}"/>
    <cellStyle name="Normal 11 3 3 10 2 4" xfId="42273" xr:uid="{2F3C3968-FCAE-493F-9618-893B72F8F0CC}"/>
    <cellStyle name="Normal 11 3 3 10 3" xfId="42274" xr:uid="{EFD55264-7C14-423C-A01F-0C9D3EBE33FE}"/>
    <cellStyle name="Normal 11 3 3 10 3 2" xfId="42275" xr:uid="{FA6708C3-88A9-496D-835E-824663E90BA5}"/>
    <cellStyle name="Normal 11 3 3 10 3 2 2" xfId="42276" xr:uid="{D182809D-3141-481E-AC6F-9F9C94F91E06}"/>
    <cellStyle name="Normal 11 3 3 10 3 3" xfId="42277" xr:uid="{59C9DF2F-DE07-467F-AA02-7EF5F74A91B4}"/>
    <cellStyle name="Normal 11 3 3 10 4" xfId="42278" xr:uid="{C0CB75B5-6E74-4DFC-9418-B92B2514048D}"/>
    <cellStyle name="Normal 11 3 3 10 4 2" xfId="42279" xr:uid="{660FE2C2-7597-47E2-8775-714141090280}"/>
    <cellStyle name="Normal 11 3 3 10 5" xfId="42280" xr:uid="{3A148465-030F-46A0-8420-1ABE11C6B3F9}"/>
    <cellStyle name="Normal 11 3 3 11" xfId="42281" xr:uid="{BF73E1FA-DE99-4095-BBDF-B26273805AFC}"/>
    <cellStyle name="Normal 11 3 3 11 2" xfId="42282" xr:uid="{B3213E05-43E6-48CB-8126-3B47E9ACA5F4}"/>
    <cellStyle name="Normal 11 3 3 11 2 2" xfId="42283" xr:uid="{8D873F62-DC14-417F-A6F1-9FA7FF1A8AE9}"/>
    <cellStyle name="Normal 11 3 3 11 2 2 2" xfId="42284" xr:uid="{53C41470-666E-420F-8834-BDD6206E8ADE}"/>
    <cellStyle name="Normal 11 3 3 11 2 3" xfId="42285" xr:uid="{611068BA-46B4-4A57-BCA2-DF1ADF4821AA}"/>
    <cellStyle name="Normal 11 3 3 11 3" xfId="42286" xr:uid="{28088AB2-635B-40DA-A1DC-67A0F25157DC}"/>
    <cellStyle name="Normal 11 3 3 11 3 2" xfId="42287" xr:uid="{47BF0669-CF02-423F-891E-AE9A7DD3C77A}"/>
    <cellStyle name="Normal 11 3 3 11 4" xfId="42288" xr:uid="{FCBBB5BE-BE5E-40E9-84E2-9D560FE426A0}"/>
    <cellStyle name="Normal 11 3 3 12" xfId="42289" xr:uid="{685D7C3F-C432-4590-B76C-BA2FC7331789}"/>
    <cellStyle name="Normal 11 3 3 12 2" xfId="42290" xr:uid="{F17244E2-BCF0-4516-AB19-8642CA22D8EB}"/>
    <cellStyle name="Normal 11 3 3 12 2 2" xfId="42291" xr:uid="{FE56CE99-1589-4FDA-816C-3339AB8EEE67}"/>
    <cellStyle name="Normal 11 3 3 12 3" xfId="42292" xr:uid="{08419D8C-24E4-4961-A8FE-B0AA1E133D84}"/>
    <cellStyle name="Normal 11 3 3 13" xfId="42293" xr:uid="{F2D4054A-AA43-4859-9FEA-D5D869BFB829}"/>
    <cellStyle name="Normal 11 3 3 13 2" xfId="42294" xr:uid="{850BF7CD-E23D-43A3-A4FE-6B2A69202793}"/>
    <cellStyle name="Normal 11 3 3 14" xfId="42295" xr:uid="{A6567B80-1BAA-45D8-9728-E99AAC62BFC8}"/>
    <cellStyle name="Normal 11 3 3 15" xfId="536" xr:uid="{1358F06E-A208-4940-8792-0F9121D8A5F8}"/>
    <cellStyle name="Normal 11 3 3 2" xfId="229" xr:uid="{A563AE7D-394E-4C93-8412-44DFAA693C6B}"/>
    <cellStyle name="Normal 11 3 3 2 10" xfId="42296" xr:uid="{3C5E1FCD-2449-4963-A7B0-FAAFA14C456E}"/>
    <cellStyle name="Normal 11 3 3 2 11" xfId="599" xr:uid="{ED40E8BA-DBAB-4A5A-A218-33148732BCF1}"/>
    <cellStyle name="Normal 11 3 3 2 2" xfId="382" xr:uid="{4BC664DE-BDB9-43BF-B4D2-72ADD2302230}"/>
    <cellStyle name="Normal 11 3 3 2 2 10" xfId="42297" xr:uid="{5B267930-8EFE-48B7-AD04-3E74E9C51D5A}"/>
    <cellStyle name="Normal 11 3 3 2 2 2" xfId="42298" xr:uid="{F53BB557-D110-468B-BA61-41A4D19AF39D}"/>
    <cellStyle name="Normal 11 3 3 2 2 2 2" xfId="42299" xr:uid="{F24F079A-7B7B-4CF5-87F0-7C561DFFD31B}"/>
    <cellStyle name="Normal 11 3 3 2 2 2 2 2" xfId="42300" xr:uid="{D52DDB39-FA4D-44A7-97D2-C68D6115637B}"/>
    <cellStyle name="Normal 11 3 3 2 2 2 2 2 2" xfId="42301" xr:uid="{CCF85EF6-0048-4D4E-9866-6E3EC32859A9}"/>
    <cellStyle name="Normal 11 3 3 2 2 2 2 2 2 2" xfId="42302" xr:uid="{0A192A0A-83CD-4431-B7BA-F9137DF45624}"/>
    <cellStyle name="Normal 11 3 3 2 2 2 2 2 2 2 2" xfId="42303" xr:uid="{3FE02857-42EB-4A98-A30F-98569C03A8AF}"/>
    <cellStyle name="Normal 11 3 3 2 2 2 2 2 2 2 2 2" xfId="42304" xr:uid="{73FAA3DF-5B9C-42D0-9EDA-1CD26E02AB4E}"/>
    <cellStyle name="Normal 11 3 3 2 2 2 2 2 2 2 2 2 2" xfId="42305" xr:uid="{F58EF4DC-7928-4E25-B4F6-EA6F3DD50908}"/>
    <cellStyle name="Normal 11 3 3 2 2 2 2 2 2 2 2 3" xfId="42306" xr:uid="{7F4A1FB3-C6B1-4C27-AEF7-4618B280A239}"/>
    <cellStyle name="Normal 11 3 3 2 2 2 2 2 2 2 3" xfId="42307" xr:uid="{2E6A9C13-1FE6-4032-A5A3-C6392ACF8DD6}"/>
    <cellStyle name="Normal 11 3 3 2 2 2 2 2 2 2 3 2" xfId="42308" xr:uid="{1B5E21D0-3F29-43B7-ACE0-AD9F955CB72F}"/>
    <cellStyle name="Normal 11 3 3 2 2 2 2 2 2 2 4" xfId="42309" xr:uid="{2A048832-7378-4E93-BDAC-A8D6A33BD091}"/>
    <cellStyle name="Normal 11 3 3 2 2 2 2 2 2 3" xfId="42310" xr:uid="{49E8F67F-3EA7-4F60-A9F5-F9FCAEDB575A}"/>
    <cellStyle name="Normal 11 3 3 2 2 2 2 2 2 3 2" xfId="42311" xr:uid="{BD425536-57DC-4C1B-9502-1689EF7F2D8B}"/>
    <cellStyle name="Normal 11 3 3 2 2 2 2 2 2 3 2 2" xfId="42312" xr:uid="{81293918-F709-4FE2-B4D9-37AE08680EDB}"/>
    <cellStyle name="Normal 11 3 3 2 2 2 2 2 2 3 3" xfId="42313" xr:uid="{1A445811-FAA5-4F28-866E-7C87C237CEB7}"/>
    <cellStyle name="Normal 11 3 3 2 2 2 2 2 2 4" xfId="42314" xr:uid="{A6BEB36B-E812-4799-AE56-7B7293D1A7F5}"/>
    <cellStyle name="Normal 11 3 3 2 2 2 2 2 2 4 2" xfId="42315" xr:uid="{1842D312-B78D-4104-8879-4C4472DF2E07}"/>
    <cellStyle name="Normal 11 3 3 2 2 2 2 2 2 5" xfId="42316" xr:uid="{6BAEDB80-530E-4278-9B2A-8C044A3626BA}"/>
    <cellStyle name="Normal 11 3 3 2 2 2 2 2 3" xfId="42317" xr:uid="{E37C735B-60F2-4B94-AF7F-D3A3A504C71D}"/>
    <cellStyle name="Normal 11 3 3 2 2 2 2 2 3 2" xfId="42318" xr:uid="{5AB08B39-FA49-48ED-BCEA-EE33CFDE4DD9}"/>
    <cellStyle name="Normal 11 3 3 2 2 2 2 2 3 2 2" xfId="42319" xr:uid="{1CAEE9CB-52EA-46A7-96D2-AF95590AEF46}"/>
    <cellStyle name="Normal 11 3 3 2 2 2 2 2 3 2 2 2" xfId="42320" xr:uid="{70ADD457-D62C-4F28-94EC-7D8559D4149A}"/>
    <cellStyle name="Normal 11 3 3 2 2 2 2 2 3 2 3" xfId="42321" xr:uid="{2C65CA29-8B6D-43CD-A324-14718C96F851}"/>
    <cellStyle name="Normal 11 3 3 2 2 2 2 2 3 3" xfId="42322" xr:uid="{35288205-2D4E-404C-96B6-93A03667DCB2}"/>
    <cellStyle name="Normal 11 3 3 2 2 2 2 2 3 3 2" xfId="42323" xr:uid="{6476DAD4-ACDA-49E7-A6A9-2D8A971F67E2}"/>
    <cellStyle name="Normal 11 3 3 2 2 2 2 2 3 4" xfId="42324" xr:uid="{2E539D0A-9EF9-449C-95C0-20B8009213AC}"/>
    <cellStyle name="Normal 11 3 3 2 2 2 2 2 4" xfId="42325" xr:uid="{6E13986B-3170-412F-9C75-292308E2824B}"/>
    <cellStyle name="Normal 11 3 3 2 2 2 2 2 4 2" xfId="42326" xr:uid="{0E44C7FB-1076-4200-88F1-084E69D654C3}"/>
    <cellStyle name="Normal 11 3 3 2 2 2 2 2 4 2 2" xfId="42327" xr:uid="{8EDB75A8-D57E-4FE7-BF60-89D8C6ABFF08}"/>
    <cellStyle name="Normal 11 3 3 2 2 2 2 2 4 3" xfId="42328" xr:uid="{79EA4D76-94DF-40B0-A6CA-2AC883DA942D}"/>
    <cellStyle name="Normal 11 3 3 2 2 2 2 2 5" xfId="42329" xr:uid="{F268AA97-4923-45A2-BA87-AF6BAFD997F1}"/>
    <cellStyle name="Normal 11 3 3 2 2 2 2 2 5 2" xfId="42330" xr:uid="{6C5EC609-CC9F-4C4A-92B8-1352F97BE998}"/>
    <cellStyle name="Normal 11 3 3 2 2 2 2 2 6" xfId="42331" xr:uid="{FE9DD327-833A-4631-AEB4-9074035A7376}"/>
    <cellStyle name="Normal 11 3 3 2 2 2 2 3" xfId="42332" xr:uid="{8A06A593-F66F-48EA-862D-543DA0B467E1}"/>
    <cellStyle name="Normal 11 3 3 2 2 2 2 3 2" xfId="42333" xr:uid="{6DDC48FA-CC6C-438E-A7E1-3FC912333173}"/>
    <cellStyle name="Normal 11 3 3 2 2 2 2 3 2 2" xfId="42334" xr:uid="{A4B099FC-BE5F-497B-AF7E-AE64F7B7DE65}"/>
    <cellStyle name="Normal 11 3 3 2 2 2 2 3 2 2 2" xfId="42335" xr:uid="{65929AC1-7B64-4C60-86D8-947B1190EC30}"/>
    <cellStyle name="Normal 11 3 3 2 2 2 2 3 2 2 2 2" xfId="42336" xr:uid="{80C211FF-E73A-4907-A6AC-09C6EBE63B62}"/>
    <cellStyle name="Normal 11 3 3 2 2 2 2 3 2 2 3" xfId="42337" xr:uid="{5E5A38DE-BFB7-4813-903C-BF9190C51553}"/>
    <cellStyle name="Normal 11 3 3 2 2 2 2 3 2 3" xfId="42338" xr:uid="{EB2B0503-3170-401D-8EF2-7470C47F498C}"/>
    <cellStyle name="Normal 11 3 3 2 2 2 2 3 2 3 2" xfId="42339" xr:uid="{244A667C-3EC2-4493-8D45-B4385BB72E19}"/>
    <cellStyle name="Normal 11 3 3 2 2 2 2 3 2 4" xfId="42340" xr:uid="{059DC1CA-1706-4483-8684-3384F2CB9B78}"/>
    <cellStyle name="Normal 11 3 3 2 2 2 2 3 3" xfId="42341" xr:uid="{06803A13-B6E8-443E-BEE9-70A094B33DAC}"/>
    <cellStyle name="Normal 11 3 3 2 2 2 2 3 3 2" xfId="42342" xr:uid="{9F28F73B-FF24-4719-89A9-CB5AAD4C2B90}"/>
    <cellStyle name="Normal 11 3 3 2 2 2 2 3 3 2 2" xfId="42343" xr:uid="{39CB0011-87B6-4BF1-87EC-A950F5396DB1}"/>
    <cellStyle name="Normal 11 3 3 2 2 2 2 3 3 3" xfId="42344" xr:uid="{20B5F05A-FBF9-4A83-BF50-A64AB8FDDCFD}"/>
    <cellStyle name="Normal 11 3 3 2 2 2 2 3 4" xfId="42345" xr:uid="{E1B79706-8D6F-480F-A958-398CD71F6AE6}"/>
    <cellStyle name="Normal 11 3 3 2 2 2 2 3 4 2" xfId="42346" xr:uid="{6C442FD3-8CF0-4DAF-AFC2-63985379B1A7}"/>
    <cellStyle name="Normal 11 3 3 2 2 2 2 3 5" xfId="42347" xr:uid="{E9332563-A794-47BC-AB04-FC897AF76A54}"/>
    <cellStyle name="Normal 11 3 3 2 2 2 2 4" xfId="42348" xr:uid="{EB0F2246-27B0-48A1-8BFB-C96FC33987CC}"/>
    <cellStyle name="Normal 11 3 3 2 2 2 2 4 2" xfId="42349" xr:uid="{DEDB47DA-1027-466F-9C13-05F3DC81DD0C}"/>
    <cellStyle name="Normal 11 3 3 2 2 2 2 4 2 2" xfId="42350" xr:uid="{48772AFF-99CA-4458-A73B-70306A74F585}"/>
    <cellStyle name="Normal 11 3 3 2 2 2 2 4 2 2 2" xfId="42351" xr:uid="{C6BFF945-9AC9-4B16-A2F3-4FA70CBB7AC0}"/>
    <cellStyle name="Normal 11 3 3 2 2 2 2 4 2 3" xfId="42352" xr:uid="{4A3D9078-7BA6-433C-BE33-1374F231CCBB}"/>
    <cellStyle name="Normal 11 3 3 2 2 2 2 4 3" xfId="42353" xr:uid="{5444C041-FAEE-4CF9-ACBC-E47737848476}"/>
    <cellStyle name="Normal 11 3 3 2 2 2 2 4 3 2" xfId="42354" xr:uid="{E2AA0299-F7E0-4E8D-96C8-5862BA543049}"/>
    <cellStyle name="Normal 11 3 3 2 2 2 2 4 4" xfId="42355" xr:uid="{E03CC539-B0C4-4CA0-B447-2C2A6268909A}"/>
    <cellStyle name="Normal 11 3 3 2 2 2 2 5" xfId="42356" xr:uid="{D64A36DE-4616-41D0-B847-2BB9786FF2C7}"/>
    <cellStyle name="Normal 11 3 3 2 2 2 2 5 2" xfId="42357" xr:uid="{2AF95394-3828-4467-AF1D-BA94D2E8EAEB}"/>
    <cellStyle name="Normal 11 3 3 2 2 2 2 5 2 2" xfId="42358" xr:uid="{F3771146-5399-477D-B9C8-B5EC0DEB0809}"/>
    <cellStyle name="Normal 11 3 3 2 2 2 2 5 3" xfId="42359" xr:uid="{623C1ADC-B2DB-43AA-B906-44808DD84EC8}"/>
    <cellStyle name="Normal 11 3 3 2 2 2 2 6" xfId="42360" xr:uid="{F4E8C5A9-DADF-4EF8-94D5-30178D9553F7}"/>
    <cellStyle name="Normal 11 3 3 2 2 2 2 6 2" xfId="42361" xr:uid="{F53ECFCB-7566-4011-B0CA-4DE4C9B495E8}"/>
    <cellStyle name="Normal 11 3 3 2 2 2 2 7" xfId="42362" xr:uid="{9BC5BA55-5DD5-41EB-9F80-16517632032B}"/>
    <cellStyle name="Normal 11 3 3 2 2 2 3" xfId="42363" xr:uid="{275C180F-8A14-420A-84E5-02ACB5260DA4}"/>
    <cellStyle name="Normal 11 3 3 2 2 2 3 2" xfId="42364" xr:uid="{F31B6544-8B2C-4E24-BF99-0370481167DC}"/>
    <cellStyle name="Normal 11 3 3 2 2 2 3 2 2" xfId="42365" xr:uid="{4F71568D-0186-4EAE-A306-3A35DFC97A24}"/>
    <cellStyle name="Normal 11 3 3 2 2 2 3 2 2 2" xfId="42366" xr:uid="{8216C3C3-ED78-4D2F-BABE-3BE622C22983}"/>
    <cellStyle name="Normal 11 3 3 2 2 2 3 2 2 2 2" xfId="42367" xr:uid="{1FBCB4D5-9A1C-4097-85BF-F97715FD2E85}"/>
    <cellStyle name="Normal 11 3 3 2 2 2 3 2 2 2 2 2" xfId="42368" xr:uid="{0AFF870B-0961-40EF-A625-E72A2FB7AA14}"/>
    <cellStyle name="Normal 11 3 3 2 2 2 3 2 2 2 3" xfId="42369" xr:uid="{FE599B48-0468-4FA9-96BC-C52C4F88D730}"/>
    <cellStyle name="Normal 11 3 3 2 2 2 3 2 2 3" xfId="42370" xr:uid="{22B70A18-8E59-4AAD-A318-F89D16AA7CAE}"/>
    <cellStyle name="Normal 11 3 3 2 2 2 3 2 2 3 2" xfId="42371" xr:uid="{C837DADC-926E-498F-AC96-BA0603B98DAA}"/>
    <cellStyle name="Normal 11 3 3 2 2 2 3 2 2 4" xfId="42372" xr:uid="{AE5700C5-DBDB-4D0E-AC9A-1429FB767C66}"/>
    <cellStyle name="Normal 11 3 3 2 2 2 3 2 3" xfId="42373" xr:uid="{72DDC018-171B-4A8A-B649-9E59D2FD587C}"/>
    <cellStyle name="Normal 11 3 3 2 2 2 3 2 3 2" xfId="42374" xr:uid="{8E4FE109-FB9F-4466-AD46-F12AE35A5C5B}"/>
    <cellStyle name="Normal 11 3 3 2 2 2 3 2 3 2 2" xfId="42375" xr:uid="{7C0E77FF-B646-4B9E-BE3F-BDC74E6630C3}"/>
    <cellStyle name="Normal 11 3 3 2 2 2 3 2 3 3" xfId="42376" xr:uid="{164EDE3E-15D7-464E-8697-09ADA5B07C86}"/>
    <cellStyle name="Normal 11 3 3 2 2 2 3 2 4" xfId="42377" xr:uid="{D0DF0F4D-99DC-4312-974A-042D122F86BF}"/>
    <cellStyle name="Normal 11 3 3 2 2 2 3 2 4 2" xfId="42378" xr:uid="{F5A4ED18-2201-4E59-8EEB-A707D71DAD7A}"/>
    <cellStyle name="Normal 11 3 3 2 2 2 3 2 5" xfId="42379" xr:uid="{08B13427-C425-4C4B-B179-18FF020EA6B0}"/>
    <cellStyle name="Normal 11 3 3 2 2 2 3 3" xfId="42380" xr:uid="{DB9CBDF6-C678-4B09-B0CE-898818A387F5}"/>
    <cellStyle name="Normal 11 3 3 2 2 2 3 3 2" xfId="42381" xr:uid="{D1964612-3613-4EC7-9788-49F886DE9333}"/>
    <cellStyle name="Normal 11 3 3 2 2 2 3 3 2 2" xfId="42382" xr:uid="{EE120631-D15E-4DBF-96D9-E670A175D5CD}"/>
    <cellStyle name="Normal 11 3 3 2 2 2 3 3 2 2 2" xfId="42383" xr:uid="{BF81D2B4-89BB-4641-8419-1E2CC3D4E1E4}"/>
    <cellStyle name="Normal 11 3 3 2 2 2 3 3 2 3" xfId="42384" xr:uid="{516B7B2C-4F1D-4157-8643-E98332065BCB}"/>
    <cellStyle name="Normal 11 3 3 2 2 2 3 3 3" xfId="42385" xr:uid="{9CA208E2-FE4E-45B1-A8B8-AA9A3E09282C}"/>
    <cellStyle name="Normal 11 3 3 2 2 2 3 3 3 2" xfId="42386" xr:uid="{F44E5317-2D53-420E-9A7B-799E05412D39}"/>
    <cellStyle name="Normal 11 3 3 2 2 2 3 3 4" xfId="42387" xr:uid="{C4DABEB1-E931-419F-AFCF-F244D9C828E7}"/>
    <cellStyle name="Normal 11 3 3 2 2 2 3 4" xfId="42388" xr:uid="{30578FDD-72BC-4278-85C6-5D30FB6AD26A}"/>
    <cellStyle name="Normal 11 3 3 2 2 2 3 4 2" xfId="42389" xr:uid="{718360A7-8F78-4985-B027-6BB8D6B16C5F}"/>
    <cellStyle name="Normal 11 3 3 2 2 2 3 4 2 2" xfId="42390" xr:uid="{BB7D05C8-E16C-4287-95B7-46C5CA55D95E}"/>
    <cellStyle name="Normal 11 3 3 2 2 2 3 4 3" xfId="42391" xr:uid="{80B3C0DD-5429-4128-8C81-9242D250DA82}"/>
    <cellStyle name="Normal 11 3 3 2 2 2 3 5" xfId="42392" xr:uid="{5EEB9400-7535-4D6F-B536-5C2E4545E435}"/>
    <cellStyle name="Normal 11 3 3 2 2 2 3 5 2" xfId="42393" xr:uid="{98F8D3B5-66D5-453F-BC55-B8250AA1602F}"/>
    <cellStyle name="Normal 11 3 3 2 2 2 3 6" xfId="42394" xr:uid="{FF525EA7-AD99-410B-BF47-2B9B6815E4A1}"/>
    <cellStyle name="Normal 11 3 3 2 2 2 4" xfId="42395" xr:uid="{92F64919-F288-4A39-8FD0-9C435416FC92}"/>
    <cellStyle name="Normal 11 3 3 2 2 2 4 2" xfId="42396" xr:uid="{31160EC1-BC0E-4D20-92ED-571D1B863984}"/>
    <cellStyle name="Normal 11 3 3 2 2 2 4 2 2" xfId="42397" xr:uid="{DF2D0B3F-2D41-4F61-8E6F-F61886AF74BC}"/>
    <cellStyle name="Normal 11 3 3 2 2 2 4 2 2 2" xfId="42398" xr:uid="{2D193CB1-B393-4BF6-912A-4125A92F3C4F}"/>
    <cellStyle name="Normal 11 3 3 2 2 2 4 2 2 2 2" xfId="42399" xr:uid="{38594CAF-333B-466B-A88B-A3CA53407BAE}"/>
    <cellStyle name="Normal 11 3 3 2 2 2 4 2 2 3" xfId="42400" xr:uid="{C0C3F1FE-E4F1-4612-9107-1313C5E5DC66}"/>
    <cellStyle name="Normal 11 3 3 2 2 2 4 2 3" xfId="42401" xr:uid="{AB78837B-66CE-4D6E-98B8-4AC02B1D55E7}"/>
    <cellStyle name="Normal 11 3 3 2 2 2 4 2 3 2" xfId="42402" xr:uid="{AE3B1FDB-7FF8-414E-8B27-7A2FC64C352D}"/>
    <cellStyle name="Normal 11 3 3 2 2 2 4 2 4" xfId="42403" xr:uid="{C433D211-4FC3-4FCC-9930-67907B4E64A7}"/>
    <cellStyle name="Normal 11 3 3 2 2 2 4 3" xfId="42404" xr:uid="{5DB6621C-AFC4-4FB8-95B7-19FABD48BB53}"/>
    <cellStyle name="Normal 11 3 3 2 2 2 4 3 2" xfId="42405" xr:uid="{309494BE-BC9A-4446-8DAC-294B3F956480}"/>
    <cellStyle name="Normal 11 3 3 2 2 2 4 3 2 2" xfId="42406" xr:uid="{6CFEFFC7-BBFD-4738-ABEF-E15200059124}"/>
    <cellStyle name="Normal 11 3 3 2 2 2 4 3 3" xfId="42407" xr:uid="{1FB5486C-0BDE-4309-90BF-3AE13E594655}"/>
    <cellStyle name="Normal 11 3 3 2 2 2 4 4" xfId="42408" xr:uid="{D5658889-F60A-47FA-A7A0-52B8DEC13DE7}"/>
    <cellStyle name="Normal 11 3 3 2 2 2 4 4 2" xfId="42409" xr:uid="{A481EC38-8B59-45F8-B331-55DBAAC03034}"/>
    <cellStyle name="Normal 11 3 3 2 2 2 4 5" xfId="42410" xr:uid="{13365810-6537-4126-AA07-8F8EF17CD6B9}"/>
    <cellStyle name="Normal 11 3 3 2 2 2 5" xfId="42411" xr:uid="{AD0BE2BB-82DE-4AE6-BF38-6B7794BF3AF1}"/>
    <cellStyle name="Normal 11 3 3 2 2 2 5 2" xfId="42412" xr:uid="{1BAD5BAB-B38A-4432-8955-B72CC67B3868}"/>
    <cellStyle name="Normal 11 3 3 2 2 2 5 2 2" xfId="42413" xr:uid="{38B615B8-38FD-4D5A-B726-AF6C09895855}"/>
    <cellStyle name="Normal 11 3 3 2 2 2 5 2 2 2" xfId="42414" xr:uid="{F01885C4-FB43-4B03-BE50-78BFB45A6095}"/>
    <cellStyle name="Normal 11 3 3 2 2 2 5 2 3" xfId="42415" xr:uid="{86602658-B812-41A6-8001-9F71A22729C1}"/>
    <cellStyle name="Normal 11 3 3 2 2 2 5 3" xfId="42416" xr:uid="{0DE78123-FE2C-4929-AED3-387EB7409386}"/>
    <cellStyle name="Normal 11 3 3 2 2 2 5 3 2" xfId="42417" xr:uid="{454FD1F9-BE78-48EE-A72A-37E44B8B0674}"/>
    <cellStyle name="Normal 11 3 3 2 2 2 5 4" xfId="42418" xr:uid="{BFE4EF73-F107-4D0E-9143-48AB9F8A0C62}"/>
    <cellStyle name="Normal 11 3 3 2 2 2 6" xfId="42419" xr:uid="{81978F16-4865-4CC6-B0C3-A5E106AC60D3}"/>
    <cellStyle name="Normal 11 3 3 2 2 2 6 2" xfId="42420" xr:uid="{DEFFE3E9-94B2-4481-B59B-06D7FC88D89E}"/>
    <cellStyle name="Normal 11 3 3 2 2 2 6 2 2" xfId="42421" xr:uid="{C6C97500-4EE5-4E22-8978-6CFD10F6645D}"/>
    <cellStyle name="Normal 11 3 3 2 2 2 6 3" xfId="42422" xr:uid="{FD690596-D011-45D4-8B96-AF5EF53F722C}"/>
    <cellStyle name="Normal 11 3 3 2 2 2 7" xfId="42423" xr:uid="{914903AE-91CF-4900-87F3-5B90A25DF532}"/>
    <cellStyle name="Normal 11 3 3 2 2 2 7 2" xfId="42424" xr:uid="{15BBDE0E-273B-4A76-95A7-BC83A7D18A81}"/>
    <cellStyle name="Normal 11 3 3 2 2 2 8" xfId="42425" xr:uid="{CDC72F36-BC89-489F-A767-1B5780929DB6}"/>
    <cellStyle name="Normal 11 3 3 2 2 3" xfId="42426" xr:uid="{D866FA6F-A7B6-4711-A534-2816F29FCF78}"/>
    <cellStyle name="Normal 11 3 3 2 2 3 2" xfId="42427" xr:uid="{BF212632-231B-4CE6-B352-1714FDB5CAD7}"/>
    <cellStyle name="Normal 11 3 3 2 2 3 2 2" xfId="42428" xr:uid="{A4D83CEC-BAE8-4073-A038-63D03E3F543F}"/>
    <cellStyle name="Normal 11 3 3 2 2 3 2 2 2" xfId="42429" xr:uid="{FE64A092-C6BF-41EA-BFC3-D5DBDAE60680}"/>
    <cellStyle name="Normal 11 3 3 2 2 3 2 2 2 2" xfId="42430" xr:uid="{184C2C80-FAFC-4059-ADE8-0FD5CA187EAF}"/>
    <cellStyle name="Normal 11 3 3 2 2 3 2 2 2 2 2" xfId="42431" xr:uid="{5C181159-8900-4682-A47C-B013A9DE4B95}"/>
    <cellStyle name="Normal 11 3 3 2 2 3 2 2 2 2 2 2" xfId="42432" xr:uid="{7DBA5EE4-6D15-4B83-8890-927816653494}"/>
    <cellStyle name="Normal 11 3 3 2 2 3 2 2 2 2 3" xfId="42433" xr:uid="{FE4FCE6B-9C2E-42F1-B44F-F6CD5FBCB0D8}"/>
    <cellStyle name="Normal 11 3 3 2 2 3 2 2 2 3" xfId="42434" xr:uid="{DE2BF960-D06B-425E-B9B2-7B5760856A43}"/>
    <cellStyle name="Normal 11 3 3 2 2 3 2 2 2 3 2" xfId="42435" xr:uid="{D54EB744-3B73-4DB5-BDD8-5AE03FEB5313}"/>
    <cellStyle name="Normal 11 3 3 2 2 3 2 2 2 4" xfId="42436" xr:uid="{599409A6-767C-43CF-83E6-3AFC7FCABB10}"/>
    <cellStyle name="Normal 11 3 3 2 2 3 2 2 3" xfId="42437" xr:uid="{3BD5491C-D3F9-42C2-9E45-2040F8F99848}"/>
    <cellStyle name="Normal 11 3 3 2 2 3 2 2 3 2" xfId="42438" xr:uid="{98B2C2BB-276F-429F-A065-ADF01FBBD908}"/>
    <cellStyle name="Normal 11 3 3 2 2 3 2 2 3 2 2" xfId="42439" xr:uid="{DBE6A33F-6FDA-4054-8C1A-958F2B821C76}"/>
    <cellStyle name="Normal 11 3 3 2 2 3 2 2 3 3" xfId="42440" xr:uid="{5077528A-49F6-4C21-93D3-3C481E996FB9}"/>
    <cellStyle name="Normal 11 3 3 2 2 3 2 2 4" xfId="42441" xr:uid="{10A3E524-CE06-49B4-ADFC-C500CD14D3A1}"/>
    <cellStyle name="Normal 11 3 3 2 2 3 2 2 4 2" xfId="42442" xr:uid="{1214BEB5-2A04-400D-B6F0-8A2FDD04F452}"/>
    <cellStyle name="Normal 11 3 3 2 2 3 2 2 5" xfId="42443" xr:uid="{0B5845F3-80DF-4D94-8CD0-86773E48B3CB}"/>
    <cellStyle name="Normal 11 3 3 2 2 3 2 3" xfId="42444" xr:uid="{6A97D435-3D51-4711-AF03-B76C81315020}"/>
    <cellStyle name="Normal 11 3 3 2 2 3 2 3 2" xfId="42445" xr:uid="{CB2F4AAC-52DC-4013-A09F-0FF60D740A0C}"/>
    <cellStyle name="Normal 11 3 3 2 2 3 2 3 2 2" xfId="42446" xr:uid="{ED2EDC4E-61C8-48F8-A761-AA822D0E0D76}"/>
    <cellStyle name="Normal 11 3 3 2 2 3 2 3 2 2 2" xfId="42447" xr:uid="{5DF0BA2C-B919-474D-B10B-41BA4C7ED4D4}"/>
    <cellStyle name="Normal 11 3 3 2 2 3 2 3 2 3" xfId="42448" xr:uid="{D3F4CFE9-256D-4A58-9B5F-F8B549AC0827}"/>
    <cellStyle name="Normal 11 3 3 2 2 3 2 3 3" xfId="42449" xr:uid="{D454D59A-B3F6-4A4D-A628-C1CEFA3ABB28}"/>
    <cellStyle name="Normal 11 3 3 2 2 3 2 3 3 2" xfId="42450" xr:uid="{DFFE33AB-E4B1-461F-9B7C-3D240AFF2B23}"/>
    <cellStyle name="Normal 11 3 3 2 2 3 2 3 4" xfId="42451" xr:uid="{68BF558F-0C20-4425-83DF-65921C741039}"/>
    <cellStyle name="Normal 11 3 3 2 2 3 2 4" xfId="42452" xr:uid="{EC721A71-B7DC-4042-A9D1-08CA18367CE1}"/>
    <cellStyle name="Normal 11 3 3 2 2 3 2 4 2" xfId="42453" xr:uid="{71BB2A21-9C13-40E3-94AB-FF02271B6B2B}"/>
    <cellStyle name="Normal 11 3 3 2 2 3 2 4 2 2" xfId="42454" xr:uid="{1F89281C-6691-44A0-91DB-7C7700366310}"/>
    <cellStyle name="Normal 11 3 3 2 2 3 2 4 3" xfId="42455" xr:uid="{59390556-68C0-4801-91F3-E6ABD55E5B09}"/>
    <cellStyle name="Normal 11 3 3 2 2 3 2 5" xfId="42456" xr:uid="{DB66F64A-A6F7-4201-AE6D-30ECEF5B4F9E}"/>
    <cellStyle name="Normal 11 3 3 2 2 3 2 5 2" xfId="42457" xr:uid="{BF19690F-6717-4303-9140-B129AE063883}"/>
    <cellStyle name="Normal 11 3 3 2 2 3 2 6" xfId="42458" xr:uid="{F459369D-4C0C-4176-AD30-5FDAFFCC0B4A}"/>
    <cellStyle name="Normal 11 3 3 2 2 3 3" xfId="42459" xr:uid="{CBA41C3C-22B5-463E-B47F-D7A17575C60E}"/>
    <cellStyle name="Normal 11 3 3 2 2 3 3 2" xfId="42460" xr:uid="{ECAA1437-9796-408E-98F2-4B8A74920DFE}"/>
    <cellStyle name="Normal 11 3 3 2 2 3 3 2 2" xfId="42461" xr:uid="{4CEA8095-7D83-49ED-9B20-6D96B0049084}"/>
    <cellStyle name="Normal 11 3 3 2 2 3 3 2 2 2" xfId="42462" xr:uid="{78DBFE01-D00B-4EB6-A84B-252BBF3D8FF8}"/>
    <cellStyle name="Normal 11 3 3 2 2 3 3 2 2 2 2" xfId="42463" xr:uid="{F6B64036-7059-4208-96BF-A7830D7544A1}"/>
    <cellStyle name="Normal 11 3 3 2 2 3 3 2 2 3" xfId="42464" xr:uid="{922BE5DE-5D38-4E8F-82E1-A3B2667438A0}"/>
    <cellStyle name="Normal 11 3 3 2 2 3 3 2 3" xfId="42465" xr:uid="{AE84A47B-F9A9-4B04-9141-7D6EECAE114D}"/>
    <cellStyle name="Normal 11 3 3 2 2 3 3 2 3 2" xfId="42466" xr:uid="{4B91187D-F47F-4D70-8510-9682623FFFFB}"/>
    <cellStyle name="Normal 11 3 3 2 2 3 3 2 4" xfId="42467" xr:uid="{78AFD6D9-321D-4F08-8784-33101CF83C34}"/>
    <cellStyle name="Normal 11 3 3 2 2 3 3 3" xfId="42468" xr:uid="{8D1DE9DA-74F5-40E5-96C2-78071E42CAD7}"/>
    <cellStyle name="Normal 11 3 3 2 2 3 3 3 2" xfId="42469" xr:uid="{09D9A7F5-DBBD-4F83-9197-8F1CC701224F}"/>
    <cellStyle name="Normal 11 3 3 2 2 3 3 3 2 2" xfId="42470" xr:uid="{4312D09E-1741-4123-8E9C-0055C8236A4A}"/>
    <cellStyle name="Normal 11 3 3 2 2 3 3 3 3" xfId="42471" xr:uid="{D799D9C5-9AE7-4252-BBB6-84E9505D0365}"/>
    <cellStyle name="Normal 11 3 3 2 2 3 3 4" xfId="42472" xr:uid="{572AD56A-EF86-406A-A783-CC3465667886}"/>
    <cellStyle name="Normal 11 3 3 2 2 3 3 4 2" xfId="42473" xr:uid="{27747A6E-42E2-4295-95A2-14A4798B558C}"/>
    <cellStyle name="Normal 11 3 3 2 2 3 3 5" xfId="42474" xr:uid="{4BEF85DB-2BEB-4B79-BDCC-30444BD52F14}"/>
    <cellStyle name="Normal 11 3 3 2 2 3 4" xfId="42475" xr:uid="{333D8416-6B76-48FF-A537-4065E734CDD8}"/>
    <cellStyle name="Normal 11 3 3 2 2 3 4 2" xfId="42476" xr:uid="{ABE5561C-6698-417A-9507-975C024C41DF}"/>
    <cellStyle name="Normal 11 3 3 2 2 3 4 2 2" xfId="42477" xr:uid="{22270A64-0B95-46F7-8593-F376852E7756}"/>
    <cellStyle name="Normal 11 3 3 2 2 3 4 2 2 2" xfId="42478" xr:uid="{C2D0AD8B-3730-4BC1-B9DA-65C9D4DACBC4}"/>
    <cellStyle name="Normal 11 3 3 2 2 3 4 2 3" xfId="42479" xr:uid="{D38C6469-A239-4F95-899D-709CAFF47D81}"/>
    <cellStyle name="Normal 11 3 3 2 2 3 4 3" xfId="42480" xr:uid="{7B53AAF5-52D7-429F-9292-DFAB121600C3}"/>
    <cellStyle name="Normal 11 3 3 2 2 3 4 3 2" xfId="42481" xr:uid="{71F0B2DF-7DC6-4ECD-9D08-6857C44F4EA4}"/>
    <cellStyle name="Normal 11 3 3 2 2 3 4 4" xfId="42482" xr:uid="{E6BC040B-1756-492D-97A2-78B9034538C9}"/>
    <cellStyle name="Normal 11 3 3 2 2 3 5" xfId="42483" xr:uid="{7A31440D-6C6B-4B23-B055-AD64BC0CC1DD}"/>
    <cellStyle name="Normal 11 3 3 2 2 3 5 2" xfId="42484" xr:uid="{0755FC45-0562-4B3A-8362-0542ED572E7A}"/>
    <cellStyle name="Normal 11 3 3 2 2 3 5 2 2" xfId="42485" xr:uid="{632029A3-D836-446E-A347-F48901FC471B}"/>
    <cellStyle name="Normal 11 3 3 2 2 3 5 3" xfId="42486" xr:uid="{FBCECB4A-80B9-4CE4-B90F-8487CB7590F9}"/>
    <cellStyle name="Normal 11 3 3 2 2 3 6" xfId="42487" xr:uid="{112140DC-D010-4A37-BC2F-3B6A7813C153}"/>
    <cellStyle name="Normal 11 3 3 2 2 3 6 2" xfId="42488" xr:uid="{2F965C89-84A4-430E-9380-8590CCFE3D37}"/>
    <cellStyle name="Normal 11 3 3 2 2 3 7" xfId="42489" xr:uid="{28318C22-5089-400C-BED8-999293CB93D5}"/>
    <cellStyle name="Normal 11 3 3 2 2 4" xfId="42490" xr:uid="{B36D9527-B512-4BAF-B3BA-27CFC2205CB2}"/>
    <cellStyle name="Normal 11 3 3 2 2 4 2" xfId="42491" xr:uid="{6C04FADD-CED0-468A-A097-B0DBAD40EBC3}"/>
    <cellStyle name="Normal 11 3 3 2 2 4 2 2" xfId="42492" xr:uid="{CF08DE3A-5D5E-406B-9697-CB81D5A1EEF3}"/>
    <cellStyle name="Normal 11 3 3 2 2 4 2 2 2" xfId="42493" xr:uid="{091C2BAD-EDC1-491A-9471-B86439046309}"/>
    <cellStyle name="Normal 11 3 3 2 2 4 2 2 2 2" xfId="42494" xr:uid="{613D4463-00A2-4004-9100-27016A0D1A83}"/>
    <cellStyle name="Normal 11 3 3 2 2 4 2 2 2 2 2" xfId="42495" xr:uid="{0F0627E0-CFC5-41A2-9B9D-B26CA8442538}"/>
    <cellStyle name="Normal 11 3 3 2 2 4 2 2 2 3" xfId="42496" xr:uid="{B55057EC-5C36-4B73-87EE-AC4C316453AC}"/>
    <cellStyle name="Normal 11 3 3 2 2 4 2 2 3" xfId="42497" xr:uid="{11A014DA-033A-4D60-8623-09870F9C0647}"/>
    <cellStyle name="Normal 11 3 3 2 2 4 2 2 3 2" xfId="42498" xr:uid="{93848DBF-2453-42FA-B219-F532C15F9878}"/>
    <cellStyle name="Normal 11 3 3 2 2 4 2 2 4" xfId="42499" xr:uid="{E32AB23A-9BE0-4A66-A19C-9DFDDCE19413}"/>
    <cellStyle name="Normal 11 3 3 2 2 4 2 3" xfId="42500" xr:uid="{7F1C30E4-85BB-41F2-9C2C-68B3687A4C3E}"/>
    <cellStyle name="Normal 11 3 3 2 2 4 2 3 2" xfId="42501" xr:uid="{046317D1-1232-4793-ADF0-FF05CD4B9969}"/>
    <cellStyle name="Normal 11 3 3 2 2 4 2 3 2 2" xfId="42502" xr:uid="{485EB17E-5099-4A2A-B8AF-BEE6AD206FB8}"/>
    <cellStyle name="Normal 11 3 3 2 2 4 2 3 3" xfId="42503" xr:uid="{78B009C3-EDE4-4505-8D5D-9299F412994C}"/>
    <cellStyle name="Normal 11 3 3 2 2 4 2 4" xfId="42504" xr:uid="{CFB62253-84D3-43D0-84C1-DCF6D8DCC70D}"/>
    <cellStyle name="Normal 11 3 3 2 2 4 2 4 2" xfId="42505" xr:uid="{CE3CF2BA-E737-42F4-96BB-3150624AEFD5}"/>
    <cellStyle name="Normal 11 3 3 2 2 4 2 5" xfId="42506" xr:uid="{89ECE78B-466B-4F07-A735-D3424BC52F94}"/>
    <cellStyle name="Normal 11 3 3 2 2 4 3" xfId="42507" xr:uid="{850B3131-D0D1-4005-9067-4491BCBBFD66}"/>
    <cellStyle name="Normal 11 3 3 2 2 4 3 2" xfId="42508" xr:uid="{75D0280C-FC42-4E86-96F9-053FEF0812B1}"/>
    <cellStyle name="Normal 11 3 3 2 2 4 3 2 2" xfId="42509" xr:uid="{3AE1C915-4398-41A0-9E85-ABF80490F33F}"/>
    <cellStyle name="Normal 11 3 3 2 2 4 3 2 2 2" xfId="42510" xr:uid="{C922233C-9FA7-42D0-94C3-8E1172D15F98}"/>
    <cellStyle name="Normal 11 3 3 2 2 4 3 2 3" xfId="42511" xr:uid="{AC42D015-8157-4F87-9C71-520BD248317A}"/>
    <cellStyle name="Normal 11 3 3 2 2 4 3 3" xfId="42512" xr:uid="{D40E34AD-2F9F-483F-998A-BEDCFECF05B0}"/>
    <cellStyle name="Normal 11 3 3 2 2 4 3 3 2" xfId="42513" xr:uid="{9F9575F5-15E5-4D18-AEE3-C4A6117AFC95}"/>
    <cellStyle name="Normal 11 3 3 2 2 4 3 4" xfId="42514" xr:uid="{336E85BE-F36F-4051-B3DB-80C2F8978A9D}"/>
    <cellStyle name="Normal 11 3 3 2 2 4 4" xfId="42515" xr:uid="{0C3C686B-8BA8-41DC-A418-4A2C15D92E2D}"/>
    <cellStyle name="Normal 11 3 3 2 2 4 4 2" xfId="42516" xr:uid="{CF61978B-EA8B-4B49-80CC-DF23A2166A55}"/>
    <cellStyle name="Normal 11 3 3 2 2 4 4 2 2" xfId="42517" xr:uid="{2F089710-1D68-43B1-A926-97765692A403}"/>
    <cellStyle name="Normal 11 3 3 2 2 4 4 3" xfId="42518" xr:uid="{465CF29F-D68D-414F-B52B-6C2F430BFE75}"/>
    <cellStyle name="Normal 11 3 3 2 2 4 5" xfId="42519" xr:uid="{F9836CBD-0D76-4E4C-8AEE-7205D1E93FC6}"/>
    <cellStyle name="Normal 11 3 3 2 2 4 5 2" xfId="42520" xr:uid="{E2D4E45D-6F9A-4A67-B192-F380D956DF6C}"/>
    <cellStyle name="Normal 11 3 3 2 2 4 6" xfId="42521" xr:uid="{D61B5F8B-E2BF-4DCC-9E97-B78DB7E28D7F}"/>
    <cellStyle name="Normal 11 3 3 2 2 5" xfId="42522" xr:uid="{4C0BCD25-DCD6-4A4B-B63D-96DFD79AF5BB}"/>
    <cellStyle name="Normal 11 3 3 2 2 5 2" xfId="42523" xr:uid="{CDF9FEAB-AB98-43B4-8FF3-962C00303763}"/>
    <cellStyle name="Normal 11 3 3 2 2 5 2 2" xfId="42524" xr:uid="{8501AD40-82EE-429F-90CB-DC714DDCF310}"/>
    <cellStyle name="Normal 11 3 3 2 2 5 2 2 2" xfId="42525" xr:uid="{14229751-258B-414C-9B00-75263F562890}"/>
    <cellStyle name="Normal 11 3 3 2 2 5 2 2 2 2" xfId="42526" xr:uid="{40E38D63-BAEA-4944-853D-27887F18893F}"/>
    <cellStyle name="Normal 11 3 3 2 2 5 2 2 3" xfId="42527" xr:uid="{429B6F6F-974A-4957-B3E2-093BB709C99C}"/>
    <cellStyle name="Normal 11 3 3 2 2 5 2 3" xfId="42528" xr:uid="{355C801B-A2CB-4554-9ABC-5968D67532F4}"/>
    <cellStyle name="Normal 11 3 3 2 2 5 2 3 2" xfId="42529" xr:uid="{864255C4-73B0-4365-91F4-4DA2FE48BF4C}"/>
    <cellStyle name="Normal 11 3 3 2 2 5 2 4" xfId="42530" xr:uid="{C8BC7F6F-6074-47A0-A63E-C0A6551696DC}"/>
    <cellStyle name="Normal 11 3 3 2 2 5 3" xfId="42531" xr:uid="{337FB1A8-738B-424D-9C4C-B4DE5EBADAC5}"/>
    <cellStyle name="Normal 11 3 3 2 2 5 3 2" xfId="42532" xr:uid="{BD524DC4-222B-41C5-B5F5-F1302E15F8E3}"/>
    <cellStyle name="Normal 11 3 3 2 2 5 3 2 2" xfId="42533" xr:uid="{52BD09C7-F526-4C71-ADC4-CFBF0D346838}"/>
    <cellStyle name="Normal 11 3 3 2 2 5 3 3" xfId="42534" xr:uid="{D39E1B79-E19C-4624-A0CE-8A7841951EFD}"/>
    <cellStyle name="Normal 11 3 3 2 2 5 4" xfId="42535" xr:uid="{880E3482-645A-4E33-943C-32284B288AD7}"/>
    <cellStyle name="Normal 11 3 3 2 2 5 4 2" xfId="42536" xr:uid="{E466B17F-AF48-44FC-9A75-29B12B346345}"/>
    <cellStyle name="Normal 11 3 3 2 2 5 5" xfId="42537" xr:uid="{F0EBD6CA-2EE1-4D1C-8136-E7BDDCE72B58}"/>
    <cellStyle name="Normal 11 3 3 2 2 6" xfId="42538" xr:uid="{9DF60D8F-6CC4-496E-9982-A310732AFBD6}"/>
    <cellStyle name="Normal 11 3 3 2 2 6 2" xfId="42539" xr:uid="{31836148-264B-4D8B-B4AD-D5595D182670}"/>
    <cellStyle name="Normal 11 3 3 2 2 6 2 2" xfId="42540" xr:uid="{02FF7B32-23F3-40FB-8972-F6EC23ADDD41}"/>
    <cellStyle name="Normal 11 3 3 2 2 6 2 2 2" xfId="42541" xr:uid="{493DE380-BE25-4862-A622-91B253E0F86F}"/>
    <cellStyle name="Normal 11 3 3 2 2 6 2 3" xfId="42542" xr:uid="{23FE6069-81CA-4A4E-8834-1AD4535A581E}"/>
    <cellStyle name="Normal 11 3 3 2 2 6 3" xfId="42543" xr:uid="{6CA7B318-5B87-49BB-9118-199FA14C8122}"/>
    <cellStyle name="Normal 11 3 3 2 2 6 3 2" xfId="42544" xr:uid="{820AE488-C3AE-4B70-8368-D25E7597A9D5}"/>
    <cellStyle name="Normal 11 3 3 2 2 6 4" xfId="42545" xr:uid="{2CD26E0D-0ABF-4BAE-AABC-99F396E5560B}"/>
    <cellStyle name="Normal 11 3 3 2 2 7" xfId="42546" xr:uid="{FB06FF30-6549-4C89-B86C-990A3ED9AA41}"/>
    <cellStyle name="Normal 11 3 3 2 2 7 2" xfId="42547" xr:uid="{995A7EC7-9FD1-4C88-9D9F-8037F80176A4}"/>
    <cellStyle name="Normal 11 3 3 2 2 7 2 2" xfId="42548" xr:uid="{1579613C-9116-4FB1-83E0-224AA130452A}"/>
    <cellStyle name="Normal 11 3 3 2 2 7 3" xfId="42549" xr:uid="{78EF3E2D-BBEB-42DE-B862-B4DF3FC4485F}"/>
    <cellStyle name="Normal 11 3 3 2 2 8" xfId="42550" xr:uid="{02661A17-4208-430A-9002-FC1CD8B3065B}"/>
    <cellStyle name="Normal 11 3 3 2 2 8 2" xfId="42551" xr:uid="{40743422-D900-4D09-9BFD-594704C93116}"/>
    <cellStyle name="Normal 11 3 3 2 2 9" xfId="42552" xr:uid="{DCDB0958-4756-418D-A086-3DE3DC8FE2B0}"/>
    <cellStyle name="Normal 11 3 3 2 3" xfId="464" xr:uid="{BEC2C0C4-B7C6-4530-B1A9-BAA49D5C4DBD}"/>
    <cellStyle name="Normal 11 3 3 2 3 2" xfId="42554" xr:uid="{EFDCFA69-9A31-4327-BEB4-23E7763AF8E4}"/>
    <cellStyle name="Normal 11 3 3 2 3 2 2" xfId="42555" xr:uid="{B94DC89C-8FB1-41FD-85F9-795B35FB9AD4}"/>
    <cellStyle name="Normal 11 3 3 2 3 2 2 2" xfId="42556" xr:uid="{1FB04DEB-0716-43C9-9FE0-1FD741513970}"/>
    <cellStyle name="Normal 11 3 3 2 3 2 2 2 2" xfId="42557" xr:uid="{2FBF1AAF-3B7B-4657-8817-044ACC2532DD}"/>
    <cellStyle name="Normal 11 3 3 2 3 2 2 2 2 2" xfId="42558" xr:uid="{20B6472B-CC79-43B0-BE14-19EBE7E9E79B}"/>
    <cellStyle name="Normal 11 3 3 2 3 2 2 2 2 2 2" xfId="42559" xr:uid="{A4A8DCFC-F2BD-4011-92C0-ABB59C34E9E1}"/>
    <cellStyle name="Normal 11 3 3 2 3 2 2 2 2 2 2 2" xfId="42560" xr:uid="{5573135D-5902-4F0C-ABCD-19FDAC449F75}"/>
    <cellStyle name="Normal 11 3 3 2 3 2 2 2 2 2 3" xfId="42561" xr:uid="{931892DB-FE05-45AC-9450-B725A921F392}"/>
    <cellStyle name="Normal 11 3 3 2 3 2 2 2 2 3" xfId="42562" xr:uid="{EEF16D57-E775-4C47-A4AC-9AAF34D86930}"/>
    <cellStyle name="Normal 11 3 3 2 3 2 2 2 2 3 2" xfId="42563" xr:uid="{3FC8B39F-857A-4B86-A1BF-7FC03A94C9C4}"/>
    <cellStyle name="Normal 11 3 3 2 3 2 2 2 2 4" xfId="42564" xr:uid="{3F21ABB5-C879-43E3-BF9A-F040B6C2B89B}"/>
    <cellStyle name="Normal 11 3 3 2 3 2 2 2 3" xfId="42565" xr:uid="{0CFD5F59-22DC-4574-9F78-033AC32C976B}"/>
    <cellStyle name="Normal 11 3 3 2 3 2 2 2 3 2" xfId="42566" xr:uid="{89796E9E-E8B1-4DE0-8A6A-2447CC64E331}"/>
    <cellStyle name="Normal 11 3 3 2 3 2 2 2 3 2 2" xfId="42567" xr:uid="{C298414D-9DF7-435B-9D21-F338D501299B}"/>
    <cellStyle name="Normal 11 3 3 2 3 2 2 2 3 3" xfId="42568" xr:uid="{5BD0A6F5-9B6D-4491-B7BE-37605F8B9115}"/>
    <cellStyle name="Normal 11 3 3 2 3 2 2 2 4" xfId="42569" xr:uid="{43A60DD8-7EF6-4166-B328-C4DD9B2B9D5C}"/>
    <cellStyle name="Normal 11 3 3 2 3 2 2 2 4 2" xfId="42570" xr:uid="{25A7BB7F-B299-4CF2-9E9A-B8701F88C23D}"/>
    <cellStyle name="Normal 11 3 3 2 3 2 2 2 5" xfId="42571" xr:uid="{7E7312B4-AC97-47F0-A4EB-0681ACFEE556}"/>
    <cellStyle name="Normal 11 3 3 2 3 2 2 3" xfId="42572" xr:uid="{5A5563C6-520C-480C-AFB0-B06A1FF5108F}"/>
    <cellStyle name="Normal 11 3 3 2 3 2 2 3 2" xfId="42573" xr:uid="{05827296-B837-42B0-B9E0-3039EC78E16F}"/>
    <cellStyle name="Normal 11 3 3 2 3 2 2 3 2 2" xfId="42574" xr:uid="{6B20BC52-F6A5-42C4-A523-F469F813B747}"/>
    <cellStyle name="Normal 11 3 3 2 3 2 2 3 2 2 2" xfId="42575" xr:uid="{B08AC99D-5549-4356-948F-05710276D6F9}"/>
    <cellStyle name="Normal 11 3 3 2 3 2 2 3 2 3" xfId="42576" xr:uid="{A8B82C31-D0F4-4513-8714-3CB9DF89688A}"/>
    <cellStyle name="Normal 11 3 3 2 3 2 2 3 3" xfId="42577" xr:uid="{8DE5F6F3-5D78-4BCB-9CE4-DF0C33479FB7}"/>
    <cellStyle name="Normal 11 3 3 2 3 2 2 3 3 2" xfId="42578" xr:uid="{5A41D430-811A-4B48-BDEC-8A79A2EF2A70}"/>
    <cellStyle name="Normal 11 3 3 2 3 2 2 3 4" xfId="42579" xr:uid="{6B2CDAC1-755E-43C2-8556-06E0ABE7F333}"/>
    <cellStyle name="Normal 11 3 3 2 3 2 2 4" xfId="42580" xr:uid="{FA926293-93E5-4E7F-9265-4FAB5BBC9264}"/>
    <cellStyle name="Normal 11 3 3 2 3 2 2 4 2" xfId="42581" xr:uid="{4E486D71-0EA5-45A5-ACB3-AF27CA48B6DC}"/>
    <cellStyle name="Normal 11 3 3 2 3 2 2 4 2 2" xfId="42582" xr:uid="{F083EAC8-CF69-4A98-847F-4DF48FAF89D5}"/>
    <cellStyle name="Normal 11 3 3 2 3 2 2 4 3" xfId="42583" xr:uid="{D040EE76-25D9-4B0E-8E6E-17CFBF9E91A3}"/>
    <cellStyle name="Normal 11 3 3 2 3 2 2 5" xfId="42584" xr:uid="{8ECC8398-D22E-4F3F-BB87-2879D3D94165}"/>
    <cellStyle name="Normal 11 3 3 2 3 2 2 5 2" xfId="42585" xr:uid="{CDC97878-447F-427A-9E86-0651A1550F29}"/>
    <cellStyle name="Normal 11 3 3 2 3 2 2 6" xfId="42586" xr:uid="{36049765-0013-4B2F-B28B-59942EA994A4}"/>
    <cellStyle name="Normal 11 3 3 2 3 2 3" xfId="42587" xr:uid="{217833D2-5D73-4A7E-8FFC-E7B02C2DB3F5}"/>
    <cellStyle name="Normal 11 3 3 2 3 2 3 2" xfId="42588" xr:uid="{B973EFA6-F2AF-4F68-B09C-836723E4A676}"/>
    <cellStyle name="Normal 11 3 3 2 3 2 3 2 2" xfId="42589" xr:uid="{BA7BE1DC-50C5-4123-B5B4-72F19F5C1E2B}"/>
    <cellStyle name="Normal 11 3 3 2 3 2 3 2 2 2" xfId="42590" xr:uid="{4C0535AE-6C40-44C9-AFCC-FCC33462A5EA}"/>
    <cellStyle name="Normal 11 3 3 2 3 2 3 2 2 2 2" xfId="42591" xr:uid="{0C65E946-C154-4920-8EC3-671E26D69B64}"/>
    <cellStyle name="Normal 11 3 3 2 3 2 3 2 2 3" xfId="42592" xr:uid="{338A6FAD-F939-4883-A078-D4A247296417}"/>
    <cellStyle name="Normal 11 3 3 2 3 2 3 2 3" xfId="42593" xr:uid="{168EE768-1F93-4F3C-801F-838598219052}"/>
    <cellStyle name="Normal 11 3 3 2 3 2 3 2 3 2" xfId="42594" xr:uid="{50211CA8-5AEE-4B28-B387-CDD857A88490}"/>
    <cellStyle name="Normal 11 3 3 2 3 2 3 2 4" xfId="42595" xr:uid="{837A7D1F-C452-468F-AC2F-596D27FBA99C}"/>
    <cellStyle name="Normal 11 3 3 2 3 2 3 3" xfId="42596" xr:uid="{651BFA2B-AA58-4D37-B2B1-11DC0FF4F0CF}"/>
    <cellStyle name="Normal 11 3 3 2 3 2 3 3 2" xfId="42597" xr:uid="{BBD218C1-F04B-47FD-BB16-0563A2E5253A}"/>
    <cellStyle name="Normal 11 3 3 2 3 2 3 3 2 2" xfId="42598" xr:uid="{CE13336C-0DD2-407C-889E-BE9A1B6DCC51}"/>
    <cellStyle name="Normal 11 3 3 2 3 2 3 3 3" xfId="42599" xr:uid="{90FD9642-F16A-4A5D-B388-45C2F9385619}"/>
    <cellStyle name="Normal 11 3 3 2 3 2 3 4" xfId="42600" xr:uid="{A6031FB6-29C0-4E61-9B88-F8070553BD78}"/>
    <cellStyle name="Normal 11 3 3 2 3 2 3 4 2" xfId="42601" xr:uid="{F290CD63-9922-42CF-B776-71A06DA622A8}"/>
    <cellStyle name="Normal 11 3 3 2 3 2 3 5" xfId="42602" xr:uid="{0AE1BA40-0989-4E89-9732-A7B80EA5538A}"/>
    <cellStyle name="Normal 11 3 3 2 3 2 4" xfId="42603" xr:uid="{7F431E7A-3588-429D-BF7D-C29549D6E259}"/>
    <cellStyle name="Normal 11 3 3 2 3 2 4 2" xfId="42604" xr:uid="{D6EFD9CE-556F-4A38-9E3A-705C92DA2F88}"/>
    <cellStyle name="Normal 11 3 3 2 3 2 4 2 2" xfId="42605" xr:uid="{D2197893-25A9-4C1C-A3C2-35F6CD2858D4}"/>
    <cellStyle name="Normal 11 3 3 2 3 2 4 2 2 2" xfId="42606" xr:uid="{917A3518-DBB0-4EE2-BB02-6079A8ED66E6}"/>
    <cellStyle name="Normal 11 3 3 2 3 2 4 2 3" xfId="42607" xr:uid="{084AC570-7BA7-40B1-B0E1-23AC753FE9AB}"/>
    <cellStyle name="Normal 11 3 3 2 3 2 4 3" xfId="42608" xr:uid="{BF7FF475-328F-4E6C-B3A5-4F188F9EDCCB}"/>
    <cellStyle name="Normal 11 3 3 2 3 2 4 3 2" xfId="42609" xr:uid="{2DC51551-B1CD-47B8-A298-B071CE5CCC0A}"/>
    <cellStyle name="Normal 11 3 3 2 3 2 4 4" xfId="42610" xr:uid="{79622BAF-3770-4352-A2A4-B727CCA1E116}"/>
    <cellStyle name="Normal 11 3 3 2 3 2 5" xfId="42611" xr:uid="{37B607D2-2EC6-409A-A6A1-98D551E816E0}"/>
    <cellStyle name="Normal 11 3 3 2 3 2 5 2" xfId="42612" xr:uid="{F06E33D2-9E00-48FC-99A4-586BEE086EA8}"/>
    <cellStyle name="Normal 11 3 3 2 3 2 5 2 2" xfId="42613" xr:uid="{C8F8BD31-17F4-4E1C-91A8-8869F9F91FB6}"/>
    <cellStyle name="Normal 11 3 3 2 3 2 5 3" xfId="42614" xr:uid="{302414DA-7531-4115-BCDF-4CCC5F4F2C0E}"/>
    <cellStyle name="Normal 11 3 3 2 3 2 6" xfId="42615" xr:uid="{343CAA08-3649-49C6-8643-F79CB48DD36B}"/>
    <cellStyle name="Normal 11 3 3 2 3 2 6 2" xfId="42616" xr:uid="{98411E9D-9C86-4DBA-92D5-F97CD32CA989}"/>
    <cellStyle name="Normal 11 3 3 2 3 2 7" xfId="42617" xr:uid="{4CD64B99-AB64-4DD8-B484-E16067A5AE35}"/>
    <cellStyle name="Normal 11 3 3 2 3 3" xfId="42618" xr:uid="{7D48D378-AF26-4896-A543-5118650C833F}"/>
    <cellStyle name="Normal 11 3 3 2 3 3 2" xfId="42619" xr:uid="{08EF2FD3-870B-4B60-BB15-19D511B6B793}"/>
    <cellStyle name="Normal 11 3 3 2 3 3 2 2" xfId="42620" xr:uid="{A31FC5BC-ED17-4408-B5E7-218FF3C9C05B}"/>
    <cellStyle name="Normal 11 3 3 2 3 3 2 2 2" xfId="42621" xr:uid="{ABED3A0C-BB7A-4EEB-8AA0-02725CA197ED}"/>
    <cellStyle name="Normal 11 3 3 2 3 3 2 2 2 2" xfId="42622" xr:uid="{7C30DF8A-6472-4A4A-BA3A-7FB30D307B5E}"/>
    <cellStyle name="Normal 11 3 3 2 3 3 2 2 2 2 2" xfId="42623" xr:uid="{C3BDCD50-ECC1-4C65-A724-3BA353416B11}"/>
    <cellStyle name="Normal 11 3 3 2 3 3 2 2 2 3" xfId="42624" xr:uid="{9B67ACFE-621F-45B6-B190-855361CBAF87}"/>
    <cellStyle name="Normal 11 3 3 2 3 3 2 2 3" xfId="42625" xr:uid="{7AA4BDBC-473A-478F-952A-DBC113064341}"/>
    <cellStyle name="Normal 11 3 3 2 3 3 2 2 3 2" xfId="42626" xr:uid="{5E8735D9-E103-4A0A-A62B-3417859EF5E9}"/>
    <cellStyle name="Normal 11 3 3 2 3 3 2 2 4" xfId="42627" xr:uid="{8B3BE79D-B9C7-4A61-8084-E4BB00A2C9FB}"/>
    <cellStyle name="Normal 11 3 3 2 3 3 2 3" xfId="42628" xr:uid="{AF6A7091-33C9-46DD-84C3-AF7B2A9F1D2B}"/>
    <cellStyle name="Normal 11 3 3 2 3 3 2 3 2" xfId="42629" xr:uid="{FB177A11-CC91-4BAE-89B9-1AE37A0CDF41}"/>
    <cellStyle name="Normal 11 3 3 2 3 3 2 3 2 2" xfId="42630" xr:uid="{D1F9EE9C-9DF2-49A0-8B6E-7F2DA56EC378}"/>
    <cellStyle name="Normal 11 3 3 2 3 3 2 3 3" xfId="42631" xr:uid="{45D0273C-BFF3-46FB-8207-11A625B733F9}"/>
    <cellStyle name="Normal 11 3 3 2 3 3 2 4" xfId="42632" xr:uid="{573E344B-4040-4DD3-A370-B911186628C4}"/>
    <cellStyle name="Normal 11 3 3 2 3 3 2 4 2" xfId="42633" xr:uid="{0832BD28-4D1E-44D5-9F89-66D63931F98D}"/>
    <cellStyle name="Normal 11 3 3 2 3 3 2 5" xfId="42634" xr:uid="{6E9EF405-780C-46CB-B068-5895645FDE58}"/>
    <cellStyle name="Normal 11 3 3 2 3 3 3" xfId="42635" xr:uid="{DD866FEF-66A3-4A9A-98F2-7167C43AC318}"/>
    <cellStyle name="Normal 11 3 3 2 3 3 3 2" xfId="42636" xr:uid="{1B7C33F3-E811-4738-B3ED-79D0EABDABB8}"/>
    <cellStyle name="Normal 11 3 3 2 3 3 3 2 2" xfId="42637" xr:uid="{889FB8A9-48B1-4B2D-ACE4-EF30FC93A6DF}"/>
    <cellStyle name="Normal 11 3 3 2 3 3 3 2 2 2" xfId="42638" xr:uid="{7125614D-DD77-4EA0-A747-BC92E02C38E1}"/>
    <cellStyle name="Normal 11 3 3 2 3 3 3 2 3" xfId="42639" xr:uid="{8BA609EE-0932-4359-BD5C-D11210A8E247}"/>
    <cellStyle name="Normal 11 3 3 2 3 3 3 3" xfId="42640" xr:uid="{AF2DD351-BD59-4211-8350-F800381E28AC}"/>
    <cellStyle name="Normal 11 3 3 2 3 3 3 3 2" xfId="42641" xr:uid="{1F5DE947-DA2E-4DBA-9FC9-27ED360E082C}"/>
    <cellStyle name="Normal 11 3 3 2 3 3 3 4" xfId="42642" xr:uid="{87CC3A80-8913-4607-9566-A75BD106E078}"/>
    <cellStyle name="Normal 11 3 3 2 3 3 4" xfId="42643" xr:uid="{C5982E32-F814-4C03-B889-6A22581DBACC}"/>
    <cellStyle name="Normal 11 3 3 2 3 3 4 2" xfId="42644" xr:uid="{5B6814CA-9D77-428C-BEA9-09594D34CE65}"/>
    <cellStyle name="Normal 11 3 3 2 3 3 4 2 2" xfId="42645" xr:uid="{BFCA4FDC-967E-4B0B-BF41-D690871DE884}"/>
    <cellStyle name="Normal 11 3 3 2 3 3 4 3" xfId="42646" xr:uid="{30A0AD2E-ABB3-402B-97C0-36D49230AE2F}"/>
    <cellStyle name="Normal 11 3 3 2 3 3 5" xfId="42647" xr:uid="{EB64E1F8-0F7E-4CD2-AD55-E7A24194794D}"/>
    <cellStyle name="Normal 11 3 3 2 3 3 5 2" xfId="42648" xr:uid="{B48718F5-16BA-4AF2-ABB0-47A0A5825988}"/>
    <cellStyle name="Normal 11 3 3 2 3 3 6" xfId="42649" xr:uid="{923F4FE3-5FBC-48B6-9A9C-911495C866EA}"/>
    <cellStyle name="Normal 11 3 3 2 3 4" xfId="42650" xr:uid="{EC3BEE6B-F4EB-4DB1-9F46-716136FB9BA1}"/>
    <cellStyle name="Normal 11 3 3 2 3 4 2" xfId="42651" xr:uid="{95F2FAC3-AE95-4292-9505-093ED869595B}"/>
    <cellStyle name="Normal 11 3 3 2 3 4 2 2" xfId="42652" xr:uid="{1B10DDCE-A768-4B32-864C-FA6565EF545D}"/>
    <cellStyle name="Normal 11 3 3 2 3 4 2 2 2" xfId="42653" xr:uid="{8E28B506-DE56-4BF7-919F-587420A68854}"/>
    <cellStyle name="Normal 11 3 3 2 3 4 2 2 2 2" xfId="42654" xr:uid="{A685AFF0-B2F6-43B6-9FF0-EAF32575287C}"/>
    <cellStyle name="Normal 11 3 3 2 3 4 2 2 3" xfId="42655" xr:uid="{D820B7D3-0B45-4144-9C86-9C953F53A11D}"/>
    <cellStyle name="Normal 11 3 3 2 3 4 2 3" xfId="42656" xr:uid="{D346E09A-7363-4E20-BE54-5118076F7DA3}"/>
    <cellStyle name="Normal 11 3 3 2 3 4 2 3 2" xfId="42657" xr:uid="{423FC90D-685A-4374-8CDC-1AA1A94B2283}"/>
    <cellStyle name="Normal 11 3 3 2 3 4 2 4" xfId="42658" xr:uid="{D62A55C2-56DF-4405-B5F7-D11F2B4FF024}"/>
    <cellStyle name="Normal 11 3 3 2 3 4 3" xfId="42659" xr:uid="{C1B13DCF-A4A0-45E8-BEE2-B425F6A7EAB5}"/>
    <cellStyle name="Normal 11 3 3 2 3 4 3 2" xfId="42660" xr:uid="{E06BA43A-3CA4-4182-9A40-D18FBA97E3EC}"/>
    <cellStyle name="Normal 11 3 3 2 3 4 3 2 2" xfId="42661" xr:uid="{264BA277-9236-4B66-B497-FEDF939B3148}"/>
    <cellStyle name="Normal 11 3 3 2 3 4 3 3" xfId="42662" xr:uid="{BB40D3DC-B22A-47B9-B55C-43B72C2CF86B}"/>
    <cellStyle name="Normal 11 3 3 2 3 4 4" xfId="42663" xr:uid="{708F7923-20FE-4E56-BFD4-D5CBCDACC39F}"/>
    <cellStyle name="Normal 11 3 3 2 3 4 4 2" xfId="42664" xr:uid="{8665E8A1-E0FE-4D54-AD62-81EF906A85D9}"/>
    <cellStyle name="Normal 11 3 3 2 3 4 5" xfId="42665" xr:uid="{B094776E-00B3-45F1-9ABC-CF2489ECCC5B}"/>
    <cellStyle name="Normal 11 3 3 2 3 5" xfId="42666" xr:uid="{90527A36-DF79-4BEB-82A5-AECAE967E477}"/>
    <cellStyle name="Normal 11 3 3 2 3 5 2" xfId="42667" xr:uid="{8DEBAEE2-88E7-4417-BCBC-2D3FE4C4E2AD}"/>
    <cellStyle name="Normal 11 3 3 2 3 5 2 2" xfId="42668" xr:uid="{2B9278E7-DB03-443C-AE08-ED42EEAC47B3}"/>
    <cellStyle name="Normal 11 3 3 2 3 5 2 2 2" xfId="42669" xr:uid="{FC50E7E0-FC70-4E2D-B8A5-8A245708B3FE}"/>
    <cellStyle name="Normal 11 3 3 2 3 5 2 3" xfId="42670" xr:uid="{A80DD2B2-AF0F-4973-9A2E-95E8DB6798FD}"/>
    <cellStyle name="Normal 11 3 3 2 3 5 3" xfId="42671" xr:uid="{3EDF5C42-347E-43B5-99AB-679F785F4479}"/>
    <cellStyle name="Normal 11 3 3 2 3 5 3 2" xfId="42672" xr:uid="{38BC1456-8C4E-4CD8-BCDA-99300CED3D5A}"/>
    <cellStyle name="Normal 11 3 3 2 3 5 4" xfId="42673" xr:uid="{89900545-9D0D-458F-9BB8-91689F34CA07}"/>
    <cellStyle name="Normal 11 3 3 2 3 6" xfId="42674" xr:uid="{1EC91987-2E9D-4346-ABB0-6C3CC98E39D0}"/>
    <cellStyle name="Normal 11 3 3 2 3 6 2" xfId="42675" xr:uid="{906E521C-1492-4531-8502-25088B9C2492}"/>
    <cellStyle name="Normal 11 3 3 2 3 6 2 2" xfId="42676" xr:uid="{3D9F2566-1762-4302-8E7D-0A105C5E9C96}"/>
    <cellStyle name="Normal 11 3 3 2 3 6 3" xfId="42677" xr:uid="{00E1EE35-1672-4D40-AFB8-95E7BE266117}"/>
    <cellStyle name="Normal 11 3 3 2 3 7" xfId="42678" xr:uid="{9C7FB6DC-8710-4AB3-B975-93F5ED8B9C1A}"/>
    <cellStyle name="Normal 11 3 3 2 3 7 2" xfId="42679" xr:uid="{63873068-0AC0-4D6C-B133-C997DCFCD95A}"/>
    <cellStyle name="Normal 11 3 3 2 3 8" xfId="42680" xr:uid="{5DCE2903-3179-4FA4-A865-824E299BB8C8}"/>
    <cellStyle name="Normal 11 3 3 2 3 9" xfId="42553" xr:uid="{314A7E85-6800-47AA-88DD-A1A74ED5AA7B}"/>
    <cellStyle name="Normal 11 3 3 2 4" xfId="42681" xr:uid="{CEE3C787-E1B9-4255-86D8-2C429D8E3758}"/>
    <cellStyle name="Normal 11 3 3 2 4 2" xfId="42682" xr:uid="{B8A8EA60-93D8-4693-B87A-B7DC78B62338}"/>
    <cellStyle name="Normal 11 3 3 2 4 2 2" xfId="42683" xr:uid="{380194C8-17E9-49C7-A6B5-87793050E183}"/>
    <cellStyle name="Normal 11 3 3 2 4 2 2 2" xfId="42684" xr:uid="{09C77936-EB17-430E-88FA-02F4E7A6C065}"/>
    <cellStyle name="Normal 11 3 3 2 4 2 2 2 2" xfId="42685" xr:uid="{774D1C1B-6EFB-45F5-81AA-4F7D146C4711}"/>
    <cellStyle name="Normal 11 3 3 2 4 2 2 2 2 2" xfId="42686" xr:uid="{ECD71B3C-D4B3-4CEF-B88A-BD04DC2657C9}"/>
    <cellStyle name="Normal 11 3 3 2 4 2 2 2 2 2 2" xfId="42687" xr:uid="{8C29331E-BC86-48BA-86D3-1E794F915971}"/>
    <cellStyle name="Normal 11 3 3 2 4 2 2 2 2 3" xfId="42688" xr:uid="{64FF1208-4509-4111-B83D-8D3F5E6E8A67}"/>
    <cellStyle name="Normal 11 3 3 2 4 2 2 2 3" xfId="42689" xr:uid="{C49FE16E-ED8D-40E0-A547-A38260C4CA9C}"/>
    <cellStyle name="Normal 11 3 3 2 4 2 2 2 3 2" xfId="42690" xr:uid="{36D8767F-538F-482A-83F5-486AB2150812}"/>
    <cellStyle name="Normal 11 3 3 2 4 2 2 2 4" xfId="42691" xr:uid="{7E26229F-886F-4B6F-B8D6-F5AB5E2D1726}"/>
    <cellStyle name="Normal 11 3 3 2 4 2 2 3" xfId="42692" xr:uid="{E943768B-ED5E-4667-8E8E-04A2B783B92D}"/>
    <cellStyle name="Normal 11 3 3 2 4 2 2 3 2" xfId="42693" xr:uid="{FEE3D639-E932-415F-8478-C19594C369D9}"/>
    <cellStyle name="Normal 11 3 3 2 4 2 2 3 2 2" xfId="42694" xr:uid="{822D7126-B055-45FD-9527-971BBCD15CC6}"/>
    <cellStyle name="Normal 11 3 3 2 4 2 2 3 3" xfId="42695" xr:uid="{3BF95B8A-95D8-49CE-A4A7-5E5609BD9572}"/>
    <cellStyle name="Normal 11 3 3 2 4 2 2 4" xfId="42696" xr:uid="{DD76300F-6755-4733-AFCE-63AC65D8D647}"/>
    <cellStyle name="Normal 11 3 3 2 4 2 2 4 2" xfId="42697" xr:uid="{4BCB3148-E0C3-4831-A6FB-A22EAB34559A}"/>
    <cellStyle name="Normal 11 3 3 2 4 2 2 5" xfId="42698" xr:uid="{E9319A01-AF1A-4880-8508-3BF062D96EEC}"/>
    <cellStyle name="Normal 11 3 3 2 4 2 3" xfId="42699" xr:uid="{11F57550-6457-4533-A777-41B320C1BBB1}"/>
    <cellStyle name="Normal 11 3 3 2 4 2 3 2" xfId="42700" xr:uid="{B18A8AE7-AC8E-4463-87C3-18EF906C0DD1}"/>
    <cellStyle name="Normal 11 3 3 2 4 2 3 2 2" xfId="42701" xr:uid="{9CA07918-ABB2-4C73-975A-DE29DFB64964}"/>
    <cellStyle name="Normal 11 3 3 2 4 2 3 2 2 2" xfId="42702" xr:uid="{B8B78006-F54D-4931-A297-81A406EDCCBD}"/>
    <cellStyle name="Normal 11 3 3 2 4 2 3 2 3" xfId="42703" xr:uid="{1BDCBD9D-12A3-46F2-8D45-12EB82427A8D}"/>
    <cellStyle name="Normal 11 3 3 2 4 2 3 3" xfId="42704" xr:uid="{7C4AF019-7C1B-40A4-B708-52CDAF103FC5}"/>
    <cellStyle name="Normal 11 3 3 2 4 2 3 3 2" xfId="42705" xr:uid="{4FA10AE8-C65F-4D81-AD3A-91C1E7CE0FDC}"/>
    <cellStyle name="Normal 11 3 3 2 4 2 3 4" xfId="42706" xr:uid="{EFB14E8E-A01A-49BC-8140-59F5A7BBC1DC}"/>
    <cellStyle name="Normal 11 3 3 2 4 2 4" xfId="42707" xr:uid="{05868CE1-D7CD-40BF-B7A5-052303D344DF}"/>
    <cellStyle name="Normal 11 3 3 2 4 2 4 2" xfId="42708" xr:uid="{9B5F5F23-3572-45C8-AB05-8014448CD47B}"/>
    <cellStyle name="Normal 11 3 3 2 4 2 4 2 2" xfId="42709" xr:uid="{87BE3BF1-1FB4-4A30-9486-F2C68F3BA339}"/>
    <cellStyle name="Normal 11 3 3 2 4 2 4 3" xfId="42710" xr:uid="{D582404D-C5FB-4E03-9A2C-CC72596E0766}"/>
    <cellStyle name="Normal 11 3 3 2 4 2 5" xfId="42711" xr:uid="{01FED060-DC5B-4FC0-B3F2-17ACBDA1F6B1}"/>
    <cellStyle name="Normal 11 3 3 2 4 2 5 2" xfId="42712" xr:uid="{79C4BD8A-5724-4517-93F0-35DCDD79F60A}"/>
    <cellStyle name="Normal 11 3 3 2 4 2 6" xfId="42713" xr:uid="{6EA5E745-5DE8-4BA0-8019-675450C36990}"/>
    <cellStyle name="Normal 11 3 3 2 4 3" xfId="42714" xr:uid="{C29B6CFA-E8D9-4D05-AB25-4A4DE0526A9D}"/>
    <cellStyle name="Normal 11 3 3 2 4 3 2" xfId="42715" xr:uid="{9358E984-3F46-4403-BEF2-EB876D5381B5}"/>
    <cellStyle name="Normal 11 3 3 2 4 3 2 2" xfId="42716" xr:uid="{66E1F22A-B2D1-4983-8F1B-10E0F719DA93}"/>
    <cellStyle name="Normal 11 3 3 2 4 3 2 2 2" xfId="42717" xr:uid="{57978755-6241-4ABF-AA92-0905502A2235}"/>
    <cellStyle name="Normal 11 3 3 2 4 3 2 2 2 2" xfId="42718" xr:uid="{180A5E15-C2A5-435B-8A30-E1EC6ED318A1}"/>
    <cellStyle name="Normal 11 3 3 2 4 3 2 2 3" xfId="42719" xr:uid="{6DF36F23-1BE4-4BFB-9C8A-2AAD430328DB}"/>
    <cellStyle name="Normal 11 3 3 2 4 3 2 3" xfId="42720" xr:uid="{A2404465-AA29-4F96-974F-75EF65007BBB}"/>
    <cellStyle name="Normal 11 3 3 2 4 3 2 3 2" xfId="42721" xr:uid="{92AE25F7-28E0-4875-A666-F58DC3890CF1}"/>
    <cellStyle name="Normal 11 3 3 2 4 3 2 4" xfId="42722" xr:uid="{9A2851F7-1E81-413D-ABE3-1240996703AF}"/>
    <cellStyle name="Normal 11 3 3 2 4 3 3" xfId="42723" xr:uid="{F2E98177-3C41-4200-8C5C-8159D180A1CE}"/>
    <cellStyle name="Normal 11 3 3 2 4 3 3 2" xfId="42724" xr:uid="{69977054-F2B7-49BD-B7D0-88238716E83D}"/>
    <cellStyle name="Normal 11 3 3 2 4 3 3 2 2" xfId="42725" xr:uid="{40016AEC-4492-4F23-B8F5-1FD2F131F21D}"/>
    <cellStyle name="Normal 11 3 3 2 4 3 3 3" xfId="42726" xr:uid="{C6EEF659-EA29-4A16-957F-E83A55AB7CCA}"/>
    <cellStyle name="Normal 11 3 3 2 4 3 4" xfId="42727" xr:uid="{5EDB9804-5F19-4FAA-9E73-5AC3CD1ADBC2}"/>
    <cellStyle name="Normal 11 3 3 2 4 3 4 2" xfId="42728" xr:uid="{7776CE63-2315-45CD-B438-64FC4FD6E357}"/>
    <cellStyle name="Normal 11 3 3 2 4 3 5" xfId="42729" xr:uid="{2C910FF4-2CC4-4779-A836-EC8938FA9EE6}"/>
    <cellStyle name="Normal 11 3 3 2 4 4" xfId="42730" xr:uid="{E61EE619-FC89-4AFD-8355-39D840C1BDE1}"/>
    <cellStyle name="Normal 11 3 3 2 4 4 2" xfId="42731" xr:uid="{6863C116-B1EC-49CD-AD64-4A657848E072}"/>
    <cellStyle name="Normal 11 3 3 2 4 4 2 2" xfId="42732" xr:uid="{4950CC74-B379-45C6-ADE2-D1E753C7DE7C}"/>
    <cellStyle name="Normal 11 3 3 2 4 4 2 2 2" xfId="42733" xr:uid="{290D4DBC-D1E6-4B35-9416-4D34A7A9CBB0}"/>
    <cellStyle name="Normal 11 3 3 2 4 4 2 3" xfId="42734" xr:uid="{FC3FF9F6-29CF-43AD-BED3-E6C2C224F5FD}"/>
    <cellStyle name="Normal 11 3 3 2 4 4 3" xfId="42735" xr:uid="{A59FD70D-7CC5-4B2A-B34A-2E8914B792A0}"/>
    <cellStyle name="Normal 11 3 3 2 4 4 3 2" xfId="42736" xr:uid="{0F8FA9F6-2B22-414C-ABB6-3E9BE9FCA1AE}"/>
    <cellStyle name="Normal 11 3 3 2 4 4 4" xfId="42737" xr:uid="{92279525-04FE-41A5-8E71-38016444A3C8}"/>
    <cellStyle name="Normal 11 3 3 2 4 5" xfId="42738" xr:uid="{4D3C1A3A-EC43-4394-B3E7-7CE235664F26}"/>
    <cellStyle name="Normal 11 3 3 2 4 5 2" xfId="42739" xr:uid="{036F0D79-5DAF-4D9F-864A-9C8806F9618A}"/>
    <cellStyle name="Normal 11 3 3 2 4 5 2 2" xfId="42740" xr:uid="{B823BC1E-AAEA-4F03-9E61-53D115D4FD06}"/>
    <cellStyle name="Normal 11 3 3 2 4 5 3" xfId="42741" xr:uid="{4DC9E1B2-8DE5-40A6-8860-FC870AA25EEA}"/>
    <cellStyle name="Normal 11 3 3 2 4 6" xfId="42742" xr:uid="{FCCE2F91-7F8D-4D32-88C3-2E373E14A704}"/>
    <cellStyle name="Normal 11 3 3 2 4 6 2" xfId="42743" xr:uid="{2D155F2E-D08D-4B75-B323-501E99DAB721}"/>
    <cellStyle name="Normal 11 3 3 2 4 7" xfId="42744" xr:uid="{9F22044F-29D0-4F61-8273-003BBB641F30}"/>
    <cellStyle name="Normal 11 3 3 2 5" xfId="42745" xr:uid="{5B104879-0A5C-49C4-B5EE-F16F17CCED93}"/>
    <cellStyle name="Normal 11 3 3 2 5 2" xfId="42746" xr:uid="{1CCF9F92-3AA0-432D-AE45-560BA75FD704}"/>
    <cellStyle name="Normal 11 3 3 2 5 2 2" xfId="42747" xr:uid="{C0ABFE5B-8B71-47E5-9DFB-C9F69CAAAFCD}"/>
    <cellStyle name="Normal 11 3 3 2 5 2 2 2" xfId="42748" xr:uid="{ECD75229-A23E-4874-B020-D46FE45F81DC}"/>
    <cellStyle name="Normal 11 3 3 2 5 2 2 2 2" xfId="42749" xr:uid="{2C69E929-2C85-4979-942D-ABE0D7E066B1}"/>
    <cellStyle name="Normal 11 3 3 2 5 2 2 2 2 2" xfId="42750" xr:uid="{40CF7608-220B-4FEB-99E1-D0F304C46307}"/>
    <cellStyle name="Normal 11 3 3 2 5 2 2 2 3" xfId="42751" xr:uid="{9740DF7F-5E8F-45E6-84EC-D3B54C5A2BDB}"/>
    <cellStyle name="Normal 11 3 3 2 5 2 2 3" xfId="42752" xr:uid="{7193CFBB-8ADF-45FD-A13B-DF59EBCE5702}"/>
    <cellStyle name="Normal 11 3 3 2 5 2 2 3 2" xfId="42753" xr:uid="{14F116EC-85B8-4FD4-8D2C-06C83FEF8C46}"/>
    <cellStyle name="Normal 11 3 3 2 5 2 2 4" xfId="42754" xr:uid="{D7EC2A32-E484-4DC3-A848-11A5CEAF3597}"/>
    <cellStyle name="Normal 11 3 3 2 5 2 3" xfId="42755" xr:uid="{93EFD6ED-F933-4B9B-8876-372579937717}"/>
    <cellStyle name="Normal 11 3 3 2 5 2 3 2" xfId="42756" xr:uid="{13FAC462-5038-4B74-926F-97C2ABD80C6A}"/>
    <cellStyle name="Normal 11 3 3 2 5 2 3 2 2" xfId="42757" xr:uid="{0DA773B5-752D-4316-8A2E-6886ACAC4E1E}"/>
    <cellStyle name="Normal 11 3 3 2 5 2 3 3" xfId="42758" xr:uid="{9BDE0B7A-096B-4171-B0AB-76C864AF9CCA}"/>
    <cellStyle name="Normal 11 3 3 2 5 2 4" xfId="42759" xr:uid="{07F39EDF-59D4-4C0A-9B1A-B094D7D75AA0}"/>
    <cellStyle name="Normal 11 3 3 2 5 2 4 2" xfId="42760" xr:uid="{2CA074C2-A60A-4387-AA44-F094EE02E3D2}"/>
    <cellStyle name="Normal 11 3 3 2 5 2 5" xfId="42761" xr:uid="{19ACB1D6-C550-4524-BE61-44B5D9A16BAD}"/>
    <cellStyle name="Normal 11 3 3 2 5 3" xfId="42762" xr:uid="{E9C624A4-BB1B-43C4-9A4E-787B0780C251}"/>
    <cellStyle name="Normal 11 3 3 2 5 3 2" xfId="42763" xr:uid="{7ABA7EEE-BF57-487F-A16A-9F6D0BD59337}"/>
    <cellStyle name="Normal 11 3 3 2 5 3 2 2" xfId="42764" xr:uid="{F5F1EBA8-0C4D-46E9-B8F8-C089CC06BBAB}"/>
    <cellStyle name="Normal 11 3 3 2 5 3 2 2 2" xfId="42765" xr:uid="{C0082282-9956-44F3-B771-BC8589EACEC3}"/>
    <cellStyle name="Normal 11 3 3 2 5 3 2 3" xfId="42766" xr:uid="{85320D2B-5ED7-4F27-B240-B6FE2340973D}"/>
    <cellStyle name="Normal 11 3 3 2 5 3 3" xfId="42767" xr:uid="{08C3F4A8-E534-4651-BE9F-BEAD397C9BD0}"/>
    <cellStyle name="Normal 11 3 3 2 5 3 3 2" xfId="42768" xr:uid="{9F52E01B-F90C-4BF6-BA72-4383D6575521}"/>
    <cellStyle name="Normal 11 3 3 2 5 3 4" xfId="42769" xr:uid="{403D0ECC-B690-49E3-89AE-6313C0FC99CC}"/>
    <cellStyle name="Normal 11 3 3 2 5 4" xfId="42770" xr:uid="{5F733773-152F-47BB-9F82-AFD4BFF4789D}"/>
    <cellStyle name="Normal 11 3 3 2 5 4 2" xfId="42771" xr:uid="{5F9EF00D-1470-4196-9867-BA08E9A5BD90}"/>
    <cellStyle name="Normal 11 3 3 2 5 4 2 2" xfId="42772" xr:uid="{14CADE84-2515-4D9B-80F9-A40AD882F763}"/>
    <cellStyle name="Normal 11 3 3 2 5 4 3" xfId="42773" xr:uid="{B0BE07EA-3088-4188-8A07-3832B645BBA3}"/>
    <cellStyle name="Normal 11 3 3 2 5 5" xfId="42774" xr:uid="{C8F9488B-2212-4766-94A1-968960AA3632}"/>
    <cellStyle name="Normal 11 3 3 2 5 5 2" xfId="42775" xr:uid="{D6F860F4-B54F-4FFD-BEF1-C70474A02D29}"/>
    <cellStyle name="Normal 11 3 3 2 5 6" xfId="42776" xr:uid="{6BBFAFE4-23D2-43E2-A696-C98F940BAD75}"/>
    <cellStyle name="Normal 11 3 3 2 6" xfId="42777" xr:uid="{026F2FE7-2FCB-43E0-97EB-C65B547624B7}"/>
    <cellStyle name="Normal 11 3 3 2 6 2" xfId="42778" xr:uid="{55B47512-A0C0-4FAF-AB48-AEE9C31A9A05}"/>
    <cellStyle name="Normal 11 3 3 2 6 2 2" xfId="42779" xr:uid="{1C1D0346-0AB0-4C0C-A8B2-D899E8DE561D}"/>
    <cellStyle name="Normal 11 3 3 2 6 2 2 2" xfId="42780" xr:uid="{CBD68933-274E-4661-B864-440AB2CAE849}"/>
    <cellStyle name="Normal 11 3 3 2 6 2 2 2 2" xfId="42781" xr:uid="{8955426D-F86B-4417-AF70-2A9DBEB4F10B}"/>
    <cellStyle name="Normal 11 3 3 2 6 2 2 3" xfId="42782" xr:uid="{FD0F8A80-74F2-425C-81EE-0746C31EDA9C}"/>
    <cellStyle name="Normal 11 3 3 2 6 2 3" xfId="42783" xr:uid="{3A3F3F5C-0B7F-4BDC-8C8D-3AC441FB79D9}"/>
    <cellStyle name="Normal 11 3 3 2 6 2 3 2" xfId="42784" xr:uid="{616C4A1E-27FE-4FAE-9B94-76EEBA1C26B5}"/>
    <cellStyle name="Normal 11 3 3 2 6 2 4" xfId="42785" xr:uid="{2C8A9C29-FC0A-44CE-B355-4E77984D6D01}"/>
    <cellStyle name="Normal 11 3 3 2 6 3" xfId="42786" xr:uid="{5B1E6A37-D536-4A5C-B143-E9839D9489EC}"/>
    <cellStyle name="Normal 11 3 3 2 6 3 2" xfId="42787" xr:uid="{FDF5B30D-8591-4FF1-A814-919009A64EF5}"/>
    <cellStyle name="Normal 11 3 3 2 6 3 2 2" xfId="42788" xr:uid="{197D5273-5956-47E0-9C72-51EE0BBBE869}"/>
    <cellStyle name="Normal 11 3 3 2 6 3 3" xfId="42789" xr:uid="{588CFD68-7D77-4BED-87D8-BF0A202F91C1}"/>
    <cellStyle name="Normal 11 3 3 2 6 4" xfId="42790" xr:uid="{1F4EAEB2-E492-4775-ADBD-6FB130EBC040}"/>
    <cellStyle name="Normal 11 3 3 2 6 4 2" xfId="42791" xr:uid="{68EA9608-0625-4A32-A7EC-013A5C675A22}"/>
    <cellStyle name="Normal 11 3 3 2 6 5" xfId="42792" xr:uid="{4FA9995E-0EC1-4B13-AF39-DDF8C4A50979}"/>
    <cellStyle name="Normal 11 3 3 2 7" xfId="42793" xr:uid="{181691F3-AFFB-4C15-ACB7-64F90F30F9BF}"/>
    <cellStyle name="Normal 11 3 3 2 7 2" xfId="42794" xr:uid="{FEEF9FE7-772A-4865-90CB-DEB6E5CA7740}"/>
    <cellStyle name="Normal 11 3 3 2 7 2 2" xfId="42795" xr:uid="{864AA601-5430-4657-A5A3-3D8EE1D96968}"/>
    <cellStyle name="Normal 11 3 3 2 7 2 2 2" xfId="42796" xr:uid="{68B22453-B9D7-4B21-B44E-B0E6D8C09D3D}"/>
    <cellStyle name="Normal 11 3 3 2 7 2 3" xfId="42797" xr:uid="{8DEE01EA-0458-4D10-A124-C3A80C5B2C57}"/>
    <cellStyle name="Normal 11 3 3 2 7 3" xfId="42798" xr:uid="{793C7194-C978-42F5-8A8A-938B18693C0F}"/>
    <cellStyle name="Normal 11 3 3 2 7 3 2" xfId="42799" xr:uid="{1C6D9C67-3B0B-4A2D-8A1B-DEECFC2DA307}"/>
    <cellStyle name="Normal 11 3 3 2 7 4" xfId="42800" xr:uid="{A11DDA91-1BCB-41E5-A5CF-43E5BB3FAB9E}"/>
    <cellStyle name="Normal 11 3 3 2 8" xfId="42801" xr:uid="{890933B9-F6E3-4150-96F8-7E8421BCF57F}"/>
    <cellStyle name="Normal 11 3 3 2 8 2" xfId="42802" xr:uid="{E6CFFECE-D5FD-4D48-B4D8-FC1902D596E5}"/>
    <cellStyle name="Normal 11 3 3 2 8 2 2" xfId="42803" xr:uid="{9A53F2A8-ECEE-4FAB-88CD-48675549F67B}"/>
    <cellStyle name="Normal 11 3 3 2 8 3" xfId="42804" xr:uid="{76E8E14D-D34E-443A-A892-6631090B4966}"/>
    <cellStyle name="Normal 11 3 3 2 9" xfId="42805" xr:uid="{5C9E0201-78E8-4132-A212-74165E9AC2DD}"/>
    <cellStyle name="Normal 11 3 3 2 9 2" xfId="42806" xr:uid="{05F3CCFA-B618-49C3-8345-4AD8A46AE28A}"/>
    <cellStyle name="Normal 11 3 3 3" xfId="245" xr:uid="{0E161AB9-F133-4910-9C82-C934C12088C9}"/>
    <cellStyle name="Normal 11 3 3 3 10" xfId="42807" xr:uid="{17162FE3-D231-42A1-B492-E21E6517CF82}"/>
    <cellStyle name="Normal 11 3 3 3 11" xfId="600" xr:uid="{C0F9543F-111A-46C1-BB2B-65EB03E22759}"/>
    <cellStyle name="Normal 11 3 3 3 2" xfId="383" xr:uid="{A554441C-F58B-4A07-8876-2F65518C1A87}"/>
    <cellStyle name="Normal 11 3 3 3 2 10" xfId="42808" xr:uid="{EC3692D3-1EC1-4C09-8CF9-D653D05364E6}"/>
    <cellStyle name="Normal 11 3 3 3 2 2" xfId="42809" xr:uid="{6473CFCF-0F66-4372-9C0B-41DC27724241}"/>
    <cellStyle name="Normal 11 3 3 3 2 2 2" xfId="42810" xr:uid="{D9E870E1-203B-42B4-8988-D71AEF0402F1}"/>
    <cellStyle name="Normal 11 3 3 3 2 2 2 2" xfId="42811" xr:uid="{5126DA0F-A9A9-421A-8D5F-051B29005ED2}"/>
    <cellStyle name="Normal 11 3 3 3 2 2 2 2 2" xfId="42812" xr:uid="{69AA3DB6-9720-459F-9E5B-20A1386E8575}"/>
    <cellStyle name="Normal 11 3 3 3 2 2 2 2 2 2" xfId="42813" xr:uid="{951E6B30-D793-4DD8-BBFA-57DB7A6DB411}"/>
    <cellStyle name="Normal 11 3 3 3 2 2 2 2 2 2 2" xfId="42814" xr:uid="{4AFF4245-E4CE-47BE-99F5-A0F94A378380}"/>
    <cellStyle name="Normal 11 3 3 3 2 2 2 2 2 2 2 2" xfId="42815" xr:uid="{04C1A120-EB14-405D-9168-86679109F595}"/>
    <cellStyle name="Normal 11 3 3 3 2 2 2 2 2 2 2 2 2" xfId="42816" xr:uid="{55D15491-B610-4C6E-BF89-14296EC689CF}"/>
    <cellStyle name="Normal 11 3 3 3 2 2 2 2 2 2 2 3" xfId="42817" xr:uid="{5ED1839B-DF94-42EB-9A20-7A5C944DA955}"/>
    <cellStyle name="Normal 11 3 3 3 2 2 2 2 2 2 3" xfId="42818" xr:uid="{36B79355-7B3F-44FA-917A-78C923BBD502}"/>
    <cellStyle name="Normal 11 3 3 3 2 2 2 2 2 2 3 2" xfId="42819" xr:uid="{299DE170-82FE-4E9B-86E2-292F37FB8033}"/>
    <cellStyle name="Normal 11 3 3 3 2 2 2 2 2 2 4" xfId="42820" xr:uid="{37886699-3634-4033-A0BD-A933D776A8E2}"/>
    <cellStyle name="Normal 11 3 3 3 2 2 2 2 2 3" xfId="42821" xr:uid="{8B55CED6-BAF1-4DDF-88A8-A24996BEC345}"/>
    <cellStyle name="Normal 11 3 3 3 2 2 2 2 2 3 2" xfId="42822" xr:uid="{22637895-E634-4A43-9EB9-3AB7FE01BB8F}"/>
    <cellStyle name="Normal 11 3 3 3 2 2 2 2 2 3 2 2" xfId="42823" xr:uid="{7EE2A528-7936-437D-834F-9D3A38063048}"/>
    <cellStyle name="Normal 11 3 3 3 2 2 2 2 2 3 3" xfId="42824" xr:uid="{8FA18409-5175-47A3-B1DF-0C0D8A343175}"/>
    <cellStyle name="Normal 11 3 3 3 2 2 2 2 2 4" xfId="42825" xr:uid="{151D2B94-F1EF-4384-9C8A-CCF8D8074ECF}"/>
    <cellStyle name="Normal 11 3 3 3 2 2 2 2 2 4 2" xfId="42826" xr:uid="{1589B8BB-765A-4402-AB32-107C954AB9B3}"/>
    <cellStyle name="Normal 11 3 3 3 2 2 2 2 2 5" xfId="42827" xr:uid="{D61E4F82-32EF-454B-976A-35F07A37AB60}"/>
    <cellStyle name="Normal 11 3 3 3 2 2 2 2 3" xfId="42828" xr:uid="{9008B9F5-30EB-45E8-9643-50F4AD4C583E}"/>
    <cellStyle name="Normal 11 3 3 3 2 2 2 2 3 2" xfId="42829" xr:uid="{BA2F7639-1295-4BC0-A67D-FA3A0BCB5F2F}"/>
    <cellStyle name="Normal 11 3 3 3 2 2 2 2 3 2 2" xfId="42830" xr:uid="{7567D567-8057-4034-952A-4DB4F71D8A52}"/>
    <cellStyle name="Normal 11 3 3 3 2 2 2 2 3 2 2 2" xfId="42831" xr:uid="{7FE680CB-EA96-4648-A9AD-DF56E377CC5E}"/>
    <cellStyle name="Normal 11 3 3 3 2 2 2 2 3 2 3" xfId="42832" xr:uid="{BA5608D1-9D72-4AAE-845C-5E7CAD671D4D}"/>
    <cellStyle name="Normal 11 3 3 3 2 2 2 2 3 3" xfId="42833" xr:uid="{3B4296C3-9370-46B7-A877-3A774C98B591}"/>
    <cellStyle name="Normal 11 3 3 3 2 2 2 2 3 3 2" xfId="42834" xr:uid="{839F0FC9-D6FE-4B70-B3BC-913BA22F50FA}"/>
    <cellStyle name="Normal 11 3 3 3 2 2 2 2 3 4" xfId="42835" xr:uid="{D8D841E1-8A55-417C-8AA7-DC543F78475D}"/>
    <cellStyle name="Normal 11 3 3 3 2 2 2 2 4" xfId="42836" xr:uid="{986C2456-4058-4608-A05F-BBF52BE67BB0}"/>
    <cellStyle name="Normal 11 3 3 3 2 2 2 2 4 2" xfId="42837" xr:uid="{77167306-F4C2-4AB5-8B20-44FF7CA45FD2}"/>
    <cellStyle name="Normal 11 3 3 3 2 2 2 2 4 2 2" xfId="42838" xr:uid="{0D409128-AB81-402B-A318-456E5497B3C2}"/>
    <cellStyle name="Normal 11 3 3 3 2 2 2 2 4 3" xfId="42839" xr:uid="{307EA5B0-52BB-42D7-8BC4-5F653D5E6CEB}"/>
    <cellStyle name="Normal 11 3 3 3 2 2 2 2 5" xfId="42840" xr:uid="{146EACB7-DA2F-4C5D-B24B-021F1E618837}"/>
    <cellStyle name="Normal 11 3 3 3 2 2 2 2 5 2" xfId="42841" xr:uid="{F7FEB8E9-24E0-419D-9BF4-FD54B8957607}"/>
    <cellStyle name="Normal 11 3 3 3 2 2 2 2 6" xfId="42842" xr:uid="{90E2E9FC-12B2-4C74-BC4C-BF0509ABCD26}"/>
    <cellStyle name="Normal 11 3 3 3 2 2 2 3" xfId="42843" xr:uid="{E8BA77A7-5B0F-45CB-8592-057BAC2D503D}"/>
    <cellStyle name="Normal 11 3 3 3 2 2 2 3 2" xfId="42844" xr:uid="{B4C0038C-923E-42FE-B2BC-A67E74F10BBE}"/>
    <cellStyle name="Normal 11 3 3 3 2 2 2 3 2 2" xfId="42845" xr:uid="{2AC7D1FA-410C-48C4-9D9C-36B9D3FB4CDE}"/>
    <cellStyle name="Normal 11 3 3 3 2 2 2 3 2 2 2" xfId="42846" xr:uid="{F9950A2D-5C7C-437E-8DAC-25E8DA821E6B}"/>
    <cellStyle name="Normal 11 3 3 3 2 2 2 3 2 2 2 2" xfId="42847" xr:uid="{37E17BC2-CB6E-4575-975C-6890AC4A9345}"/>
    <cellStyle name="Normal 11 3 3 3 2 2 2 3 2 2 3" xfId="42848" xr:uid="{C4EE15CC-7D0E-4964-BB76-FF3DCA520376}"/>
    <cellStyle name="Normal 11 3 3 3 2 2 2 3 2 3" xfId="42849" xr:uid="{CC7766A8-0125-4309-9C47-54DC0C98246E}"/>
    <cellStyle name="Normal 11 3 3 3 2 2 2 3 2 3 2" xfId="42850" xr:uid="{AE46EB36-5B1E-4513-A464-68772BC68667}"/>
    <cellStyle name="Normal 11 3 3 3 2 2 2 3 2 4" xfId="42851" xr:uid="{BAC08E90-0F74-4C8F-AFE0-3390D4879FFC}"/>
    <cellStyle name="Normal 11 3 3 3 2 2 2 3 3" xfId="42852" xr:uid="{BDC04A21-FD7F-412A-9DAE-C163FD3F8724}"/>
    <cellStyle name="Normal 11 3 3 3 2 2 2 3 3 2" xfId="42853" xr:uid="{4E290D04-621F-4BCE-887E-35A7E2515D26}"/>
    <cellStyle name="Normal 11 3 3 3 2 2 2 3 3 2 2" xfId="42854" xr:uid="{95805434-D407-4276-8840-16B3FF28FA26}"/>
    <cellStyle name="Normal 11 3 3 3 2 2 2 3 3 3" xfId="42855" xr:uid="{2A2F93A6-C388-4AAF-AFDD-A7D7899DA8AF}"/>
    <cellStyle name="Normal 11 3 3 3 2 2 2 3 4" xfId="42856" xr:uid="{42F0DDD4-CD93-4351-BB5A-970EDA33D4D7}"/>
    <cellStyle name="Normal 11 3 3 3 2 2 2 3 4 2" xfId="42857" xr:uid="{000657A8-C45D-45D2-977C-9873A6965545}"/>
    <cellStyle name="Normal 11 3 3 3 2 2 2 3 5" xfId="42858" xr:uid="{4563494B-E2CC-4A25-827B-9CAD6E2FFFAF}"/>
    <cellStyle name="Normal 11 3 3 3 2 2 2 4" xfId="42859" xr:uid="{F51C1B90-D1D1-4FF1-9A43-0696D092CC65}"/>
    <cellStyle name="Normal 11 3 3 3 2 2 2 4 2" xfId="42860" xr:uid="{768DA8CA-6C6F-470C-A085-BE1EE5FFD941}"/>
    <cellStyle name="Normal 11 3 3 3 2 2 2 4 2 2" xfId="42861" xr:uid="{9865C903-F76E-45B8-961B-8C6AEAAE227A}"/>
    <cellStyle name="Normal 11 3 3 3 2 2 2 4 2 2 2" xfId="42862" xr:uid="{1274FEB0-D798-481D-A580-31602B3D1C03}"/>
    <cellStyle name="Normal 11 3 3 3 2 2 2 4 2 3" xfId="42863" xr:uid="{05F0BFA0-B594-4328-8B52-5A22737BAB06}"/>
    <cellStyle name="Normal 11 3 3 3 2 2 2 4 3" xfId="42864" xr:uid="{A8BBF850-228B-4DDA-9185-F6080624E204}"/>
    <cellStyle name="Normal 11 3 3 3 2 2 2 4 3 2" xfId="42865" xr:uid="{F85C2DD6-4656-4A3F-ADC7-E5A994781766}"/>
    <cellStyle name="Normal 11 3 3 3 2 2 2 4 4" xfId="42866" xr:uid="{7FF94B0D-72BD-49BD-8A44-E98BF64013EA}"/>
    <cellStyle name="Normal 11 3 3 3 2 2 2 5" xfId="42867" xr:uid="{299E8086-D80D-49E4-8A07-0413D489E223}"/>
    <cellStyle name="Normal 11 3 3 3 2 2 2 5 2" xfId="42868" xr:uid="{36E20496-C956-4F46-BC5E-3B2DF559DE6D}"/>
    <cellStyle name="Normal 11 3 3 3 2 2 2 5 2 2" xfId="42869" xr:uid="{5273B457-0797-471D-AF5A-DE59B8B29AE2}"/>
    <cellStyle name="Normal 11 3 3 3 2 2 2 5 3" xfId="42870" xr:uid="{572CB344-3FA8-45D2-AD7C-8E48B0C65A3C}"/>
    <cellStyle name="Normal 11 3 3 3 2 2 2 6" xfId="42871" xr:uid="{6E8A7E59-E85C-4343-BCBD-63A0F47088E8}"/>
    <cellStyle name="Normal 11 3 3 3 2 2 2 6 2" xfId="42872" xr:uid="{7D4C8D27-6D42-45A6-B6D8-E5F4730510B7}"/>
    <cellStyle name="Normal 11 3 3 3 2 2 2 7" xfId="42873" xr:uid="{9C2271BD-72DE-4ED4-A275-7E39421CDBAC}"/>
    <cellStyle name="Normal 11 3 3 3 2 2 3" xfId="42874" xr:uid="{F838DDB2-5897-4D8D-B093-9E4910FEACF6}"/>
    <cellStyle name="Normal 11 3 3 3 2 2 3 2" xfId="42875" xr:uid="{7D5948DB-1C53-4CD7-81FB-2BC7D7222634}"/>
    <cellStyle name="Normal 11 3 3 3 2 2 3 2 2" xfId="42876" xr:uid="{222C67AC-446A-4784-B6F6-A03951352D98}"/>
    <cellStyle name="Normal 11 3 3 3 2 2 3 2 2 2" xfId="42877" xr:uid="{F59BA899-52E9-4EA0-9738-E0D4F5BD8C97}"/>
    <cellStyle name="Normal 11 3 3 3 2 2 3 2 2 2 2" xfId="42878" xr:uid="{EF5FC0F0-CEA8-460C-A345-8D262D9F9982}"/>
    <cellStyle name="Normal 11 3 3 3 2 2 3 2 2 2 2 2" xfId="42879" xr:uid="{067F4A9C-BC99-4488-BA38-2205BD14EA96}"/>
    <cellStyle name="Normal 11 3 3 3 2 2 3 2 2 2 3" xfId="42880" xr:uid="{5AA62208-55B4-4811-A8D7-DD5266D0B926}"/>
    <cellStyle name="Normal 11 3 3 3 2 2 3 2 2 3" xfId="42881" xr:uid="{7FA3EB88-15ED-409C-B0EA-0FB64134D1EC}"/>
    <cellStyle name="Normal 11 3 3 3 2 2 3 2 2 3 2" xfId="42882" xr:uid="{41896CC3-1109-4559-9E90-1AFEF8F62730}"/>
    <cellStyle name="Normal 11 3 3 3 2 2 3 2 2 4" xfId="42883" xr:uid="{4F9106EE-3DC9-412D-A762-7E834FF2BD52}"/>
    <cellStyle name="Normal 11 3 3 3 2 2 3 2 3" xfId="42884" xr:uid="{2EF47530-9368-4F74-90B7-508EC1C7E663}"/>
    <cellStyle name="Normal 11 3 3 3 2 2 3 2 3 2" xfId="42885" xr:uid="{3E827DEB-CD91-42E2-8D89-E9C31991C6C4}"/>
    <cellStyle name="Normal 11 3 3 3 2 2 3 2 3 2 2" xfId="42886" xr:uid="{1E156993-6293-4438-8921-4B189A79C356}"/>
    <cellStyle name="Normal 11 3 3 3 2 2 3 2 3 3" xfId="42887" xr:uid="{B5B57916-B6E7-43C6-B0A3-0BE5938ADFC9}"/>
    <cellStyle name="Normal 11 3 3 3 2 2 3 2 4" xfId="42888" xr:uid="{8876325B-2B16-4408-B44E-D6E656B4D786}"/>
    <cellStyle name="Normal 11 3 3 3 2 2 3 2 4 2" xfId="42889" xr:uid="{416B4D80-133A-4D4A-B8B0-1EABAE61B08D}"/>
    <cellStyle name="Normal 11 3 3 3 2 2 3 2 5" xfId="42890" xr:uid="{53AADA61-CAEA-4A4D-8489-9D4B311BE6EE}"/>
    <cellStyle name="Normal 11 3 3 3 2 2 3 3" xfId="42891" xr:uid="{B1D63D44-53D0-4B3A-807E-7ED5A7E83EF8}"/>
    <cellStyle name="Normal 11 3 3 3 2 2 3 3 2" xfId="42892" xr:uid="{10754473-3516-499F-BDFA-D6A8B499D942}"/>
    <cellStyle name="Normal 11 3 3 3 2 2 3 3 2 2" xfId="42893" xr:uid="{7BD67275-A0B8-45ED-AEB0-FF94492BDCC4}"/>
    <cellStyle name="Normal 11 3 3 3 2 2 3 3 2 2 2" xfId="42894" xr:uid="{F5E78CDF-D1EF-4078-8EC9-9BC6D2D76FE2}"/>
    <cellStyle name="Normal 11 3 3 3 2 2 3 3 2 3" xfId="42895" xr:uid="{7150A774-03E5-4BE1-AB11-D93306A5D70E}"/>
    <cellStyle name="Normal 11 3 3 3 2 2 3 3 3" xfId="42896" xr:uid="{76973B83-7022-48FB-BBE1-D0B654A6A7C0}"/>
    <cellStyle name="Normal 11 3 3 3 2 2 3 3 3 2" xfId="42897" xr:uid="{4D3EFB75-4DDE-4554-B12D-1BB984E8863A}"/>
    <cellStyle name="Normal 11 3 3 3 2 2 3 3 4" xfId="42898" xr:uid="{9BC8D034-CCED-4AC5-A68F-101459401521}"/>
    <cellStyle name="Normal 11 3 3 3 2 2 3 4" xfId="42899" xr:uid="{E0359880-E96B-4654-B51F-FE8DE03A9E9B}"/>
    <cellStyle name="Normal 11 3 3 3 2 2 3 4 2" xfId="42900" xr:uid="{19C6CBD4-40B3-4446-864C-7F316FF83D37}"/>
    <cellStyle name="Normal 11 3 3 3 2 2 3 4 2 2" xfId="42901" xr:uid="{3E30D2E5-ECCC-4D3E-9414-448AEFDBD339}"/>
    <cellStyle name="Normal 11 3 3 3 2 2 3 4 3" xfId="42902" xr:uid="{DDE3648F-6033-4216-8EDC-5635E31C1D3A}"/>
    <cellStyle name="Normal 11 3 3 3 2 2 3 5" xfId="42903" xr:uid="{FEDED9EC-2A3D-423E-BE91-226497D17171}"/>
    <cellStyle name="Normal 11 3 3 3 2 2 3 5 2" xfId="42904" xr:uid="{8C5ACE5F-9E4F-42FE-955B-B8D99E779E48}"/>
    <cellStyle name="Normal 11 3 3 3 2 2 3 6" xfId="42905" xr:uid="{A2C22332-A854-48FE-927A-B321F91A54B7}"/>
    <cellStyle name="Normal 11 3 3 3 2 2 4" xfId="42906" xr:uid="{99CB7911-72FA-4ABE-AD74-36D8769DCC43}"/>
    <cellStyle name="Normal 11 3 3 3 2 2 4 2" xfId="42907" xr:uid="{0D816215-21ED-42CA-BDB6-3E68D3374E7A}"/>
    <cellStyle name="Normal 11 3 3 3 2 2 4 2 2" xfId="42908" xr:uid="{895570BF-AB9E-456E-A980-FE81DE96EDFD}"/>
    <cellStyle name="Normal 11 3 3 3 2 2 4 2 2 2" xfId="42909" xr:uid="{580EE3A6-48E4-48C0-92EE-0197C7C00120}"/>
    <cellStyle name="Normal 11 3 3 3 2 2 4 2 2 2 2" xfId="42910" xr:uid="{F9DF2A1F-B5C0-440F-B5D8-25B7BB1FF489}"/>
    <cellStyle name="Normal 11 3 3 3 2 2 4 2 2 3" xfId="42911" xr:uid="{96E38DBC-02A8-4276-800E-457AECEC5BD2}"/>
    <cellStyle name="Normal 11 3 3 3 2 2 4 2 3" xfId="42912" xr:uid="{4FD15EFF-89FA-474C-B1DA-D282123E822A}"/>
    <cellStyle name="Normal 11 3 3 3 2 2 4 2 3 2" xfId="42913" xr:uid="{91A556A9-430D-4416-94B3-F0BD11FDA2E5}"/>
    <cellStyle name="Normal 11 3 3 3 2 2 4 2 4" xfId="42914" xr:uid="{FA954BC3-9D03-41B6-A715-4948538CB63D}"/>
    <cellStyle name="Normal 11 3 3 3 2 2 4 3" xfId="42915" xr:uid="{C50B1C2A-EA68-4783-B756-612B674D9DC8}"/>
    <cellStyle name="Normal 11 3 3 3 2 2 4 3 2" xfId="42916" xr:uid="{0B767005-F59E-4146-B1D7-D769E1EA1350}"/>
    <cellStyle name="Normal 11 3 3 3 2 2 4 3 2 2" xfId="42917" xr:uid="{FC6AE900-AD3F-484D-A038-D9F2CFF56689}"/>
    <cellStyle name="Normal 11 3 3 3 2 2 4 3 3" xfId="42918" xr:uid="{77061202-FB97-4AAC-897E-1F99515A231D}"/>
    <cellStyle name="Normal 11 3 3 3 2 2 4 4" xfId="42919" xr:uid="{A5894249-BE5C-43DA-BD48-4B5CDA7CC7D8}"/>
    <cellStyle name="Normal 11 3 3 3 2 2 4 4 2" xfId="42920" xr:uid="{5D6E5936-E9E2-459B-B6AA-4884063576EA}"/>
    <cellStyle name="Normal 11 3 3 3 2 2 4 5" xfId="42921" xr:uid="{4563D281-1BED-4B83-9160-173D621507CD}"/>
    <cellStyle name="Normal 11 3 3 3 2 2 5" xfId="42922" xr:uid="{4210BBA9-4EAD-45E4-BAAA-9B7632090707}"/>
    <cellStyle name="Normal 11 3 3 3 2 2 5 2" xfId="42923" xr:uid="{CF923DAF-C441-41F2-BEBF-49B13808CD07}"/>
    <cellStyle name="Normal 11 3 3 3 2 2 5 2 2" xfId="42924" xr:uid="{80531C1D-DFB0-43F3-B6DF-95D70FC89231}"/>
    <cellStyle name="Normal 11 3 3 3 2 2 5 2 2 2" xfId="42925" xr:uid="{28CE2E03-783A-45D4-922B-3023666A5B2E}"/>
    <cellStyle name="Normal 11 3 3 3 2 2 5 2 3" xfId="42926" xr:uid="{E6A6FDB5-13CD-473C-9339-D63E0B29F1E2}"/>
    <cellStyle name="Normal 11 3 3 3 2 2 5 3" xfId="42927" xr:uid="{3DBD8ACE-F57F-4880-BC9E-5CDC7D3118C5}"/>
    <cellStyle name="Normal 11 3 3 3 2 2 5 3 2" xfId="42928" xr:uid="{FAB24E77-C1B6-4E43-B981-38E593CC3899}"/>
    <cellStyle name="Normal 11 3 3 3 2 2 5 4" xfId="42929" xr:uid="{FBE2F8FE-D40C-4725-9C46-6719A75BBE8D}"/>
    <cellStyle name="Normal 11 3 3 3 2 2 6" xfId="42930" xr:uid="{C39F8B1C-EA8A-4CC5-8C0F-1D4F12C63D7A}"/>
    <cellStyle name="Normal 11 3 3 3 2 2 6 2" xfId="42931" xr:uid="{8AD3AA92-A609-45FF-9892-85DB4F6CA790}"/>
    <cellStyle name="Normal 11 3 3 3 2 2 6 2 2" xfId="42932" xr:uid="{1CE125A5-005D-4DBD-A059-BC4758B35D06}"/>
    <cellStyle name="Normal 11 3 3 3 2 2 6 3" xfId="42933" xr:uid="{5D1D88A0-EC4D-4B10-A89C-9CC57EBF90D9}"/>
    <cellStyle name="Normal 11 3 3 3 2 2 7" xfId="42934" xr:uid="{118CEE11-5A5D-43A7-9E8E-65DF56EDB114}"/>
    <cellStyle name="Normal 11 3 3 3 2 2 7 2" xfId="42935" xr:uid="{2C274BAF-7E2D-462E-93E2-7F6ABC00E041}"/>
    <cellStyle name="Normal 11 3 3 3 2 2 8" xfId="42936" xr:uid="{0F9C5754-239F-438A-9751-DB622D03D394}"/>
    <cellStyle name="Normal 11 3 3 3 2 3" xfId="42937" xr:uid="{AC722843-6DBF-4C79-B1C8-2F0CF64C7D89}"/>
    <cellStyle name="Normal 11 3 3 3 2 3 2" xfId="42938" xr:uid="{91D0DE00-2788-47D0-A18F-C79E8A16F1C8}"/>
    <cellStyle name="Normal 11 3 3 3 2 3 2 2" xfId="42939" xr:uid="{F0A4A4D9-7A97-4C84-83D7-72D2D0FF6AB4}"/>
    <cellStyle name="Normal 11 3 3 3 2 3 2 2 2" xfId="42940" xr:uid="{0C901153-FF71-413A-88F7-CE2FB0CA6473}"/>
    <cellStyle name="Normal 11 3 3 3 2 3 2 2 2 2" xfId="42941" xr:uid="{EFD25538-C1E0-4F11-BA3B-0C02816EEA15}"/>
    <cellStyle name="Normal 11 3 3 3 2 3 2 2 2 2 2" xfId="42942" xr:uid="{487EBB9F-2E4F-416F-B111-F6D61398CB6C}"/>
    <cellStyle name="Normal 11 3 3 3 2 3 2 2 2 2 2 2" xfId="42943" xr:uid="{82C0F8DD-A43E-4EA3-AE5E-C80BCCD56FE5}"/>
    <cellStyle name="Normal 11 3 3 3 2 3 2 2 2 2 3" xfId="42944" xr:uid="{5F776E90-71C9-4E3F-9D0D-29636369A966}"/>
    <cellStyle name="Normal 11 3 3 3 2 3 2 2 2 3" xfId="42945" xr:uid="{D8E08A5F-44F9-4A8B-86B2-F3862C938DEC}"/>
    <cellStyle name="Normal 11 3 3 3 2 3 2 2 2 3 2" xfId="42946" xr:uid="{91F0B366-254C-49C8-BEA3-4DBDAF7E6066}"/>
    <cellStyle name="Normal 11 3 3 3 2 3 2 2 2 4" xfId="42947" xr:uid="{E98E6523-0959-49FF-B982-EEFDB5D72C17}"/>
    <cellStyle name="Normal 11 3 3 3 2 3 2 2 3" xfId="42948" xr:uid="{A33CC0C4-E996-4304-8427-F86126148D1D}"/>
    <cellStyle name="Normal 11 3 3 3 2 3 2 2 3 2" xfId="42949" xr:uid="{C1EBAEF6-BB7D-4D78-A38B-1C9069F876C4}"/>
    <cellStyle name="Normal 11 3 3 3 2 3 2 2 3 2 2" xfId="42950" xr:uid="{3E92ADC0-A468-424A-8B48-9EA51FC9CA12}"/>
    <cellStyle name="Normal 11 3 3 3 2 3 2 2 3 3" xfId="42951" xr:uid="{2293B937-0DF6-4D02-9ADE-F4CF0B7BF2FD}"/>
    <cellStyle name="Normal 11 3 3 3 2 3 2 2 4" xfId="42952" xr:uid="{4BF46396-B77C-4BFA-A5EE-D96C7FD82BB3}"/>
    <cellStyle name="Normal 11 3 3 3 2 3 2 2 4 2" xfId="42953" xr:uid="{B719D561-FCDC-42F9-A48F-51FEC5683367}"/>
    <cellStyle name="Normal 11 3 3 3 2 3 2 2 5" xfId="42954" xr:uid="{7750DC04-2BDB-412E-B0A7-1CEFB3680CD3}"/>
    <cellStyle name="Normal 11 3 3 3 2 3 2 3" xfId="42955" xr:uid="{68AAA164-ECAE-41FC-A1D8-58F0809CB9D0}"/>
    <cellStyle name="Normal 11 3 3 3 2 3 2 3 2" xfId="42956" xr:uid="{86746F3A-0DB0-4CA5-94C6-32EE308A5F02}"/>
    <cellStyle name="Normal 11 3 3 3 2 3 2 3 2 2" xfId="42957" xr:uid="{216EF139-78C9-421D-93C6-9462617A8D18}"/>
    <cellStyle name="Normal 11 3 3 3 2 3 2 3 2 2 2" xfId="42958" xr:uid="{7C3E6E12-058E-4EE5-8D1A-B03D200B44EB}"/>
    <cellStyle name="Normal 11 3 3 3 2 3 2 3 2 3" xfId="42959" xr:uid="{EE84F776-D360-4E7C-A427-B7E59F9E4B9B}"/>
    <cellStyle name="Normal 11 3 3 3 2 3 2 3 3" xfId="42960" xr:uid="{9FC187CE-5725-4CBB-B42D-8838C48BAD8B}"/>
    <cellStyle name="Normal 11 3 3 3 2 3 2 3 3 2" xfId="42961" xr:uid="{E4F00BE8-3193-441D-881B-BB92D89F46D2}"/>
    <cellStyle name="Normal 11 3 3 3 2 3 2 3 4" xfId="42962" xr:uid="{5A85C67B-D828-41F9-BFBA-73598A215F57}"/>
    <cellStyle name="Normal 11 3 3 3 2 3 2 4" xfId="42963" xr:uid="{856B5785-DE36-484B-A02A-3EFF16A2DE6C}"/>
    <cellStyle name="Normal 11 3 3 3 2 3 2 4 2" xfId="42964" xr:uid="{AD3483B5-033A-49DB-8906-0F1526C0953D}"/>
    <cellStyle name="Normal 11 3 3 3 2 3 2 4 2 2" xfId="42965" xr:uid="{3381BE6B-2169-452C-893B-32E0B770EFEE}"/>
    <cellStyle name="Normal 11 3 3 3 2 3 2 4 3" xfId="42966" xr:uid="{FC335E17-BBEA-4401-B7C8-079608474DF0}"/>
    <cellStyle name="Normal 11 3 3 3 2 3 2 5" xfId="42967" xr:uid="{C0374ADD-C700-43E7-BC07-25497306DA07}"/>
    <cellStyle name="Normal 11 3 3 3 2 3 2 5 2" xfId="42968" xr:uid="{180E7814-287D-4341-8CC8-F15C95FC68F6}"/>
    <cellStyle name="Normal 11 3 3 3 2 3 2 6" xfId="42969" xr:uid="{72ABDEEC-91D5-4CDB-A286-E982E9E87376}"/>
    <cellStyle name="Normal 11 3 3 3 2 3 3" xfId="42970" xr:uid="{E7D875B8-F299-48CD-9FE5-8FDCB2EB222F}"/>
    <cellStyle name="Normal 11 3 3 3 2 3 3 2" xfId="42971" xr:uid="{CBED1E20-D67E-4594-8BD6-058CCD6B4510}"/>
    <cellStyle name="Normal 11 3 3 3 2 3 3 2 2" xfId="42972" xr:uid="{E7828E07-6615-433E-B009-7A6D9B2F3528}"/>
    <cellStyle name="Normal 11 3 3 3 2 3 3 2 2 2" xfId="42973" xr:uid="{FF8B58C7-6A00-4045-9240-55148262D082}"/>
    <cellStyle name="Normal 11 3 3 3 2 3 3 2 2 2 2" xfId="42974" xr:uid="{5C3CC7EC-52D4-47C4-B49C-FEDAFAE44AED}"/>
    <cellStyle name="Normal 11 3 3 3 2 3 3 2 2 3" xfId="42975" xr:uid="{4F8E0A4A-9747-4850-9911-EF639BC13E71}"/>
    <cellStyle name="Normal 11 3 3 3 2 3 3 2 3" xfId="42976" xr:uid="{E2B995CF-603A-4D6F-B732-C58E58876049}"/>
    <cellStyle name="Normal 11 3 3 3 2 3 3 2 3 2" xfId="42977" xr:uid="{DD179D77-F604-4F3F-A362-25C545F3605A}"/>
    <cellStyle name="Normal 11 3 3 3 2 3 3 2 4" xfId="42978" xr:uid="{5D02F330-9623-40BF-8864-6D62E74DB2DA}"/>
    <cellStyle name="Normal 11 3 3 3 2 3 3 3" xfId="42979" xr:uid="{D284669C-60E8-4BCE-AF9C-71AA3407BE1A}"/>
    <cellStyle name="Normal 11 3 3 3 2 3 3 3 2" xfId="42980" xr:uid="{F0E7A433-F248-445C-A798-A4AFA6468CD9}"/>
    <cellStyle name="Normal 11 3 3 3 2 3 3 3 2 2" xfId="42981" xr:uid="{B9121ED5-CF19-49A2-B6E4-C260625ABCE2}"/>
    <cellStyle name="Normal 11 3 3 3 2 3 3 3 3" xfId="42982" xr:uid="{36DD98E3-DEBB-4C59-B811-78B9B64619D3}"/>
    <cellStyle name="Normal 11 3 3 3 2 3 3 4" xfId="42983" xr:uid="{84F1CC4C-6605-4F05-BD56-28504FB3F657}"/>
    <cellStyle name="Normal 11 3 3 3 2 3 3 4 2" xfId="42984" xr:uid="{CEFE7E19-F0F0-4041-96AD-275E54C2179B}"/>
    <cellStyle name="Normal 11 3 3 3 2 3 3 5" xfId="42985" xr:uid="{7B8C7E86-ED28-4DBD-928E-A2CC78EC8ADB}"/>
    <cellStyle name="Normal 11 3 3 3 2 3 4" xfId="42986" xr:uid="{0BAE6D69-4326-46B4-AC73-E53EE380E14D}"/>
    <cellStyle name="Normal 11 3 3 3 2 3 4 2" xfId="42987" xr:uid="{23A3C6A0-9169-42D9-8296-2C08D6F7E7F6}"/>
    <cellStyle name="Normal 11 3 3 3 2 3 4 2 2" xfId="42988" xr:uid="{C89D4786-C0D1-49D4-8049-23C0F1641A7B}"/>
    <cellStyle name="Normal 11 3 3 3 2 3 4 2 2 2" xfId="42989" xr:uid="{AFF94B16-4374-4FC2-A98F-087449491137}"/>
    <cellStyle name="Normal 11 3 3 3 2 3 4 2 3" xfId="42990" xr:uid="{FDAF2F24-D9E7-4C58-92AF-3F0F6EF7FE79}"/>
    <cellStyle name="Normal 11 3 3 3 2 3 4 3" xfId="42991" xr:uid="{BE93F687-6FAD-40E6-932A-A67B4ED2AD47}"/>
    <cellStyle name="Normal 11 3 3 3 2 3 4 3 2" xfId="42992" xr:uid="{417B7C8E-29F1-4739-8A7B-71921E2A7E43}"/>
    <cellStyle name="Normal 11 3 3 3 2 3 4 4" xfId="42993" xr:uid="{CCB1E4B2-905D-47CA-A798-CFE79D103394}"/>
    <cellStyle name="Normal 11 3 3 3 2 3 5" xfId="42994" xr:uid="{E1F97715-BDE7-4822-A080-140AC98F351F}"/>
    <cellStyle name="Normal 11 3 3 3 2 3 5 2" xfId="42995" xr:uid="{23B6BAB9-32FD-448F-9CF1-85FB62782780}"/>
    <cellStyle name="Normal 11 3 3 3 2 3 5 2 2" xfId="42996" xr:uid="{0F74598A-F63F-414B-9151-638634B06127}"/>
    <cellStyle name="Normal 11 3 3 3 2 3 5 3" xfId="42997" xr:uid="{4F6567DF-3F79-4389-AC3A-4A8968DA7833}"/>
    <cellStyle name="Normal 11 3 3 3 2 3 6" xfId="42998" xr:uid="{426E96AD-E25B-4206-9219-CF72E8EE8D43}"/>
    <cellStyle name="Normal 11 3 3 3 2 3 6 2" xfId="42999" xr:uid="{87F6F4C8-15DF-4232-A880-45C259F21B2E}"/>
    <cellStyle name="Normal 11 3 3 3 2 3 7" xfId="43000" xr:uid="{F489FA8A-CA0C-46F4-9CF6-0820B2ED7AF2}"/>
    <cellStyle name="Normal 11 3 3 3 2 4" xfId="43001" xr:uid="{147B4914-7E83-436F-A4AD-23C36C84EBEC}"/>
    <cellStyle name="Normal 11 3 3 3 2 4 2" xfId="43002" xr:uid="{037F2481-FF5A-40BE-96D3-FF27A072887A}"/>
    <cellStyle name="Normal 11 3 3 3 2 4 2 2" xfId="43003" xr:uid="{FC015057-E40E-4BE6-A306-58F51CCAD305}"/>
    <cellStyle name="Normal 11 3 3 3 2 4 2 2 2" xfId="43004" xr:uid="{07CC33F3-5EA4-49D8-97D0-1D50B5836C25}"/>
    <cellStyle name="Normal 11 3 3 3 2 4 2 2 2 2" xfId="43005" xr:uid="{542E9FBD-5572-47B5-874A-9E27F9288F2C}"/>
    <cellStyle name="Normal 11 3 3 3 2 4 2 2 2 2 2" xfId="43006" xr:uid="{BA175101-2241-42AD-A1BC-D586A1A6E632}"/>
    <cellStyle name="Normal 11 3 3 3 2 4 2 2 2 3" xfId="43007" xr:uid="{0C634895-54F8-4712-9685-53A500C9B051}"/>
    <cellStyle name="Normal 11 3 3 3 2 4 2 2 3" xfId="43008" xr:uid="{8C0B178F-24B2-464A-990E-7EFCF0052714}"/>
    <cellStyle name="Normal 11 3 3 3 2 4 2 2 3 2" xfId="43009" xr:uid="{15253746-1FBF-4D49-AB96-3C68C3D43345}"/>
    <cellStyle name="Normal 11 3 3 3 2 4 2 2 4" xfId="43010" xr:uid="{BEE42040-EE0C-45B7-8777-03B11C3067B5}"/>
    <cellStyle name="Normal 11 3 3 3 2 4 2 3" xfId="43011" xr:uid="{2934B669-B228-422B-B564-834921CA28DF}"/>
    <cellStyle name="Normal 11 3 3 3 2 4 2 3 2" xfId="43012" xr:uid="{85F53885-3DDD-44A2-9475-056D743E5B9C}"/>
    <cellStyle name="Normal 11 3 3 3 2 4 2 3 2 2" xfId="43013" xr:uid="{BAB67DAB-3D2E-42FB-81C3-6288CC74FCC6}"/>
    <cellStyle name="Normal 11 3 3 3 2 4 2 3 3" xfId="43014" xr:uid="{E0584E38-CA98-4B77-BDD0-14F87128AC76}"/>
    <cellStyle name="Normal 11 3 3 3 2 4 2 4" xfId="43015" xr:uid="{F8D49B20-C340-46B4-BC93-84C2DD1AA2D4}"/>
    <cellStyle name="Normal 11 3 3 3 2 4 2 4 2" xfId="43016" xr:uid="{6B9368E8-9DB0-418C-A25B-9A4361794001}"/>
    <cellStyle name="Normal 11 3 3 3 2 4 2 5" xfId="43017" xr:uid="{5906C227-D608-4ADF-BE88-C45B72A853F2}"/>
    <cellStyle name="Normal 11 3 3 3 2 4 3" xfId="43018" xr:uid="{0043E6F0-B882-471E-AF72-FD28A894005C}"/>
    <cellStyle name="Normal 11 3 3 3 2 4 3 2" xfId="43019" xr:uid="{3B07F6B1-F487-4741-B79B-74E0DCE569ED}"/>
    <cellStyle name="Normal 11 3 3 3 2 4 3 2 2" xfId="43020" xr:uid="{D81A37E5-F64E-46F7-B4D0-0F8F93FBED16}"/>
    <cellStyle name="Normal 11 3 3 3 2 4 3 2 2 2" xfId="43021" xr:uid="{C0EA7D75-88C1-467E-9A71-AA2F935CD1AA}"/>
    <cellStyle name="Normal 11 3 3 3 2 4 3 2 3" xfId="43022" xr:uid="{2CF39078-521D-4583-AE93-D904D1182E76}"/>
    <cellStyle name="Normal 11 3 3 3 2 4 3 3" xfId="43023" xr:uid="{4831FB3F-76AB-4CF0-A449-458CA41E7505}"/>
    <cellStyle name="Normal 11 3 3 3 2 4 3 3 2" xfId="43024" xr:uid="{27786E8E-BFF2-496F-8DBF-6734244FB3E6}"/>
    <cellStyle name="Normal 11 3 3 3 2 4 3 4" xfId="43025" xr:uid="{17B5D2A5-8D59-4F64-8613-3E5D80B01D3C}"/>
    <cellStyle name="Normal 11 3 3 3 2 4 4" xfId="43026" xr:uid="{177EE6DD-C15A-41DC-87E6-219331E63A0E}"/>
    <cellStyle name="Normal 11 3 3 3 2 4 4 2" xfId="43027" xr:uid="{78DE7E2E-092A-4562-9082-7ED3A42E9719}"/>
    <cellStyle name="Normal 11 3 3 3 2 4 4 2 2" xfId="43028" xr:uid="{49273817-2541-47BA-89FE-E71D8A6EA10C}"/>
    <cellStyle name="Normal 11 3 3 3 2 4 4 3" xfId="43029" xr:uid="{13F0F5D2-592C-44A7-A310-0B62E6A8F9A8}"/>
    <cellStyle name="Normal 11 3 3 3 2 4 5" xfId="43030" xr:uid="{0D5650BF-FABE-4BDD-98A0-358166CC8BA6}"/>
    <cellStyle name="Normal 11 3 3 3 2 4 5 2" xfId="43031" xr:uid="{0852A9B7-3EA5-43C8-BC40-9F1B741F37DF}"/>
    <cellStyle name="Normal 11 3 3 3 2 4 6" xfId="43032" xr:uid="{183AB546-7662-45A3-9F82-FE8C3D032991}"/>
    <cellStyle name="Normal 11 3 3 3 2 5" xfId="43033" xr:uid="{0D4BEAE9-9B01-42CC-99FC-42281A4440FF}"/>
    <cellStyle name="Normal 11 3 3 3 2 5 2" xfId="43034" xr:uid="{E9B7553B-987A-42BB-8A1E-A8AC091AFDEA}"/>
    <cellStyle name="Normal 11 3 3 3 2 5 2 2" xfId="43035" xr:uid="{AFD320A7-8214-416E-9B3F-6A93DEA0C5F9}"/>
    <cellStyle name="Normal 11 3 3 3 2 5 2 2 2" xfId="43036" xr:uid="{326ADD0A-6F36-41CA-9282-3BFCAB4CB6AC}"/>
    <cellStyle name="Normal 11 3 3 3 2 5 2 2 2 2" xfId="43037" xr:uid="{184EFF7E-596D-4825-8F0A-93E31A057343}"/>
    <cellStyle name="Normal 11 3 3 3 2 5 2 2 3" xfId="43038" xr:uid="{E666B230-5639-4443-A62A-BDA39429B8E4}"/>
    <cellStyle name="Normal 11 3 3 3 2 5 2 3" xfId="43039" xr:uid="{4BD77D30-FBFF-4460-ACD0-0FCB94C4C80A}"/>
    <cellStyle name="Normal 11 3 3 3 2 5 2 3 2" xfId="43040" xr:uid="{C1146B78-50CB-4592-BC78-D7D6892B1CFD}"/>
    <cellStyle name="Normal 11 3 3 3 2 5 2 4" xfId="43041" xr:uid="{C484FB12-D8D1-46A9-BAFF-54A75CB5938F}"/>
    <cellStyle name="Normal 11 3 3 3 2 5 3" xfId="43042" xr:uid="{6132FAEA-2EB0-4069-ABE2-55B5C6CCE976}"/>
    <cellStyle name="Normal 11 3 3 3 2 5 3 2" xfId="43043" xr:uid="{0CD6A7C5-9ECD-4454-878E-FD3F14ECF7D3}"/>
    <cellStyle name="Normal 11 3 3 3 2 5 3 2 2" xfId="43044" xr:uid="{9273E476-989F-4277-9D16-8068EE271380}"/>
    <cellStyle name="Normal 11 3 3 3 2 5 3 3" xfId="43045" xr:uid="{8C4DDF5C-1FAE-4735-923C-87944A5B54D1}"/>
    <cellStyle name="Normal 11 3 3 3 2 5 4" xfId="43046" xr:uid="{92A54B5B-EFFF-49A1-AA7F-C872F81C3E55}"/>
    <cellStyle name="Normal 11 3 3 3 2 5 4 2" xfId="43047" xr:uid="{09AB0BA5-7E77-409B-894C-5A9A7EBF9D1F}"/>
    <cellStyle name="Normal 11 3 3 3 2 5 5" xfId="43048" xr:uid="{454BEE3B-307E-4719-990C-4D1367F8AEB3}"/>
    <cellStyle name="Normal 11 3 3 3 2 6" xfId="43049" xr:uid="{8750B272-90A0-43A1-9862-BFABFBB2B19A}"/>
    <cellStyle name="Normal 11 3 3 3 2 6 2" xfId="43050" xr:uid="{51C2E3D6-F4F3-43C9-ABB5-26941D6AF026}"/>
    <cellStyle name="Normal 11 3 3 3 2 6 2 2" xfId="43051" xr:uid="{13CC07EC-FDBB-4FF3-A94C-95EE95770514}"/>
    <cellStyle name="Normal 11 3 3 3 2 6 2 2 2" xfId="43052" xr:uid="{EE7C4BF2-FF98-4D01-92BC-FFACC3FC9407}"/>
    <cellStyle name="Normal 11 3 3 3 2 6 2 3" xfId="43053" xr:uid="{DB893D96-766D-417C-A9CA-3AC6E1A60719}"/>
    <cellStyle name="Normal 11 3 3 3 2 6 3" xfId="43054" xr:uid="{6CD9B85D-6B0F-46AC-94BC-D924047928E1}"/>
    <cellStyle name="Normal 11 3 3 3 2 6 3 2" xfId="43055" xr:uid="{EE2D4B57-6682-410E-AB03-A0E10B738850}"/>
    <cellStyle name="Normal 11 3 3 3 2 6 4" xfId="43056" xr:uid="{A3FD98EC-55EC-40FC-9DEA-6521647FECDC}"/>
    <cellStyle name="Normal 11 3 3 3 2 7" xfId="43057" xr:uid="{84AB9768-CFC5-40AF-8CBD-C751C381C234}"/>
    <cellStyle name="Normal 11 3 3 3 2 7 2" xfId="43058" xr:uid="{B5B3F3C2-29AF-4477-9010-40E8F03D19F1}"/>
    <cellStyle name="Normal 11 3 3 3 2 7 2 2" xfId="43059" xr:uid="{38EC7E89-480C-4E33-A4CC-78D501037292}"/>
    <cellStyle name="Normal 11 3 3 3 2 7 3" xfId="43060" xr:uid="{F2C60161-6097-40DD-89A5-BA32007C402A}"/>
    <cellStyle name="Normal 11 3 3 3 2 8" xfId="43061" xr:uid="{BAB2004B-3138-48A5-B2C8-57294428E272}"/>
    <cellStyle name="Normal 11 3 3 3 2 8 2" xfId="43062" xr:uid="{3B2F5F6F-2620-4086-8A4D-336A40ACC0FA}"/>
    <cellStyle name="Normal 11 3 3 3 2 9" xfId="43063" xr:uid="{7D5CE759-9061-4372-AC4A-98F7D13F4A15}"/>
    <cellStyle name="Normal 11 3 3 3 3" xfId="480" xr:uid="{84ACEB40-6443-402A-A3CC-DCB1E4044D90}"/>
    <cellStyle name="Normal 11 3 3 3 3 2" xfId="43065" xr:uid="{AC30473F-A2CC-4DA7-8ED6-C12D45EF77E6}"/>
    <cellStyle name="Normal 11 3 3 3 3 2 2" xfId="43066" xr:uid="{4BB1B9CC-777E-4A53-B34C-C0205F39A6E3}"/>
    <cellStyle name="Normal 11 3 3 3 3 2 2 2" xfId="43067" xr:uid="{9905039C-3B13-457F-A768-B8FAD9628406}"/>
    <cellStyle name="Normal 11 3 3 3 3 2 2 2 2" xfId="43068" xr:uid="{80864152-05A7-48BA-A104-9A08B132D82F}"/>
    <cellStyle name="Normal 11 3 3 3 3 2 2 2 2 2" xfId="43069" xr:uid="{AF8C41DD-C0CF-4141-BECD-F303D425B2F1}"/>
    <cellStyle name="Normal 11 3 3 3 3 2 2 2 2 2 2" xfId="43070" xr:uid="{4AB02E3F-58C2-4948-A701-E862A8E8BFAE}"/>
    <cellStyle name="Normal 11 3 3 3 3 2 2 2 2 2 2 2" xfId="43071" xr:uid="{9B8A86D1-D2AC-4403-B0F2-8728B893299C}"/>
    <cellStyle name="Normal 11 3 3 3 3 2 2 2 2 2 3" xfId="43072" xr:uid="{8B3454C4-DC91-4947-A136-11DA6E85BB12}"/>
    <cellStyle name="Normal 11 3 3 3 3 2 2 2 2 3" xfId="43073" xr:uid="{0858253B-B98F-4B1C-A7B0-97BB6DA977BF}"/>
    <cellStyle name="Normal 11 3 3 3 3 2 2 2 2 3 2" xfId="43074" xr:uid="{3739704C-CA24-41FB-9BAC-76D701B856DB}"/>
    <cellStyle name="Normal 11 3 3 3 3 2 2 2 2 4" xfId="43075" xr:uid="{A009AE1F-C49C-46A7-9F7B-7D7E3497CB87}"/>
    <cellStyle name="Normal 11 3 3 3 3 2 2 2 3" xfId="43076" xr:uid="{E8985AF3-2F4F-4C24-A4C8-0A3B8BDA84FF}"/>
    <cellStyle name="Normal 11 3 3 3 3 2 2 2 3 2" xfId="43077" xr:uid="{481DBFEF-EEA3-4EC2-920E-077480553A46}"/>
    <cellStyle name="Normal 11 3 3 3 3 2 2 2 3 2 2" xfId="43078" xr:uid="{292F4BEB-5980-44B2-80D5-B4F2A747894A}"/>
    <cellStyle name="Normal 11 3 3 3 3 2 2 2 3 3" xfId="43079" xr:uid="{8DC29DD6-0E5E-4448-A7B2-EBD872891FA9}"/>
    <cellStyle name="Normal 11 3 3 3 3 2 2 2 4" xfId="43080" xr:uid="{39544683-1E71-4A8B-B9ED-D4FE142DB900}"/>
    <cellStyle name="Normal 11 3 3 3 3 2 2 2 4 2" xfId="43081" xr:uid="{7CE61ED6-BC9B-4D8A-9E98-1618E201ECE8}"/>
    <cellStyle name="Normal 11 3 3 3 3 2 2 2 5" xfId="43082" xr:uid="{D1CBA494-6917-43B5-8878-996553BB8D7D}"/>
    <cellStyle name="Normal 11 3 3 3 3 2 2 3" xfId="43083" xr:uid="{0003D0EE-9ABB-4AA7-A083-C5EF6D06F721}"/>
    <cellStyle name="Normal 11 3 3 3 3 2 2 3 2" xfId="43084" xr:uid="{FE987837-2B50-42E8-A809-13A9A9C9BD2D}"/>
    <cellStyle name="Normal 11 3 3 3 3 2 2 3 2 2" xfId="43085" xr:uid="{8B1ACFB5-FCAD-47F7-B4DE-70A09D1A844A}"/>
    <cellStyle name="Normal 11 3 3 3 3 2 2 3 2 2 2" xfId="43086" xr:uid="{AF98C57D-8BB6-4F96-BA42-EB309BE460A1}"/>
    <cellStyle name="Normal 11 3 3 3 3 2 2 3 2 3" xfId="43087" xr:uid="{5C745278-E1D1-487D-9B2C-7DE4E1741170}"/>
    <cellStyle name="Normal 11 3 3 3 3 2 2 3 3" xfId="43088" xr:uid="{4F058DF9-F9BD-40DF-B4CF-5FD14CBA0233}"/>
    <cellStyle name="Normal 11 3 3 3 3 2 2 3 3 2" xfId="43089" xr:uid="{82DCC2A3-F812-4F68-9731-99C59748FB12}"/>
    <cellStyle name="Normal 11 3 3 3 3 2 2 3 4" xfId="43090" xr:uid="{9B1B3DBF-8BF8-4DBE-965E-49F8E20F38BF}"/>
    <cellStyle name="Normal 11 3 3 3 3 2 2 4" xfId="43091" xr:uid="{C487BC08-A7AA-44AA-99AC-3EC0F6F79F9C}"/>
    <cellStyle name="Normal 11 3 3 3 3 2 2 4 2" xfId="43092" xr:uid="{6C065675-B750-4CD5-8FB8-9BA0D9DC05DB}"/>
    <cellStyle name="Normal 11 3 3 3 3 2 2 4 2 2" xfId="43093" xr:uid="{4AC7D493-EF3E-45B2-85C8-B3877F0C6778}"/>
    <cellStyle name="Normal 11 3 3 3 3 2 2 4 3" xfId="43094" xr:uid="{2F823F28-3F6C-40A7-97A8-C64A2F0A1A5E}"/>
    <cellStyle name="Normal 11 3 3 3 3 2 2 5" xfId="43095" xr:uid="{9781442B-5D92-4FC8-9847-55235362F912}"/>
    <cellStyle name="Normal 11 3 3 3 3 2 2 5 2" xfId="43096" xr:uid="{C7481967-C5F2-44BF-B394-B189E8A7500B}"/>
    <cellStyle name="Normal 11 3 3 3 3 2 2 6" xfId="43097" xr:uid="{035D5ECB-A64C-4361-A650-D935C89B93B4}"/>
    <cellStyle name="Normal 11 3 3 3 3 2 3" xfId="43098" xr:uid="{626D2A82-DCCA-44B1-9505-9D745585F790}"/>
    <cellStyle name="Normal 11 3 3 3 3 2 3 2" xfId="43099" xr:uid="{5C93B970-B55D-4DB5-9398-673CF2FE1351}"/>
    <cellStyle name="Normal 11 3 3 3 3 2 3 2 2" xfId="43100" xr:uid="{2E4762A3-1DBB-47D9-B59A-78BB8ED89189}"/>
    <cellStyle name="Normal 11 3 3 3 3 2 3 2 2 2" xfId="43101" xr:uid="{B1229436-F87D-4E86-B7D3-57E626607BD3}"/>
    <cellStyle name="Normal 11 3 3 3 3 2 3 2 2 2 2" xfId="43102" xr:uid="{F2D23235-7A93-4D04-875B-3ED77638311D}"/>
    <cellStyle name="Normal 11 3 3 3 3 2 3 2 2 3" xfId="43103" xr:uid="{A99343C3-F2EA-485C-9269-C9BB767B8F00}"/>
    <cellStyle name="Normal 11 3 3 3 3 2 3 2 3" xfId="43104" xr:uid="{853770F8-AFB6-4F8E-932C-1C49026B60C2}"/>
    <cellStyle name="Normal 11 3 3 3 3 2 3 2 3 2" xfId="43105" xr:uid="{62C05743-A1DE-4B51-A6C2-174CDE339884}"/>
    <cellStyle name="Normal 11 3 3 3 3 2 3 2 4" xfId="43106" xr:uid="{0A1E5189-8108-43EF-878E-5E24A67B9333}"/>
    <cellStyle name="Normal 11 3 3 3 3 2 3 3" xfId="43107" xr:uid="{D54C4248-B5D3-4256-B5A2-426E72FEE980}"/>
    <cellStyle name="Normal 11 3 3 3 3 2 3 3 2" xfId="43108" xr:uid="{FE1A0260-4793-4948-9BC3-32F6C5C6069B}"/>
    <cellStyle name="Normal 11 3 3 3 3 2 3 3 2 2" xfId="43109" xr:uid="{79122CDA-5DE3-4D75-A95E-DCDEC7E0AEF2}"/>
    <cellStyle name="Normal 11 3 3 3 3 2 3 3 3" xfId="43110" xr:uid="{200E3A59-95A7-45A2-8E39-7CD6E5807D3B}"/>
    <cellStyle name="Normal 11 3 3 3 3 2 3 4" xfId="43111" xr:uid="{03789662-20D4-4079-A01D-6F820C2FD9BF}"/>
    <cellStyle name="Normal 11 3 3 3 3 2 3 4 2" xfId="43112" xr:uid="{7841BE17-6EFB-4332-8537-90E041C5F8F9}"/>
    <cellStyle name="Normal 11 3 3 3 3 2 3 5" xfId="43113" xr:uid="{8F106270-7D43-4868-8397-47C081A6C3FA}"/>
    <cellStyle name="Normal 11 3 3 3 3 2 4" xfId="43114" xr:uid="{18609C9E-AD3B-47C1-BC62-7B960DFA5513}"/>
    <cellStyle name="Normal 11 3 3 3 3 2 4 2" xfId="43115" xr:uid="{B593EDDD-6B24-4569-BFE4-09D953D05EE6}"/>
    <cellStyle name="Normal 11 3 3 3 3 2 4 2 2" xfId="43116" xr:uid="{68D80677-2E32-4DA7-B545-0E81D2642E43}"/>
    <cellStyle name="Normal 11 3 3 3 3 2 4 2 2 2" xfId="43117" xr:uid="{DEF9FEA0-CE2C-4205-8FB2-1AE09B5BAD06}"/>
    <cellStyle name="Normal 11 3 3 3 3 2 4 2 3" xfId="43118" xr:uid="{33DCA069-9B3C-4BC0-BDCD-D7A9C0502958}"/>
    <cellStyle name="Normal 11 3 3 3 3 2 4 3" xfId="43119" xr:uid="{90A60BEA-A85B-4CFA-BF43-E506443BA304}"/>
    <cellStyle name="Normal 11 3 3 3 3 2 4 3 2" xfId="43120" xr:uid="{F1413E85-1E04-447D-BEF2-28B8F7434FDA}"/>
    <cellStyle name="Normal 11 3 3 3 3 2 4 4" xfId="43121" xr:uid="{BB1CA6D3-17E0-4626-9C69-DDC805D9F20C}"/>
    <cellStyle name="Normal 11 3 3 3 3 2 5" xfId="43122" xr:uid="{DD19BC48-3D7B-4AAD-B196-1E8F2FAD4CB7}"/>
    <cellStyle name="Normal 11 3 3 3 3 2 5 2" xfId="43123" xr:uid="{44C9B3A3-3CDA-439A-A3FD-CB4694C0E3D0}"/>
    <cellStyle name="Normal 11 3 3 3 3 2 5 2 2" xfId="43124" xr:uid="{154812D3-27CC-4431-893F-E9096B458E82}"/>
    <cellStyle name="Normal 11 3 3 3 3 2 5 3" xfId="43125" xr:uid="{6C82056C-5699-46D8-94B8-AFABC9AA5D20}"/>
    <cellStyle name="Normal 11 3 3 3 3 2 6" xfId="43126" xr:uid="{DEADF0BF-18B1-40BE-9214-6E398320449A}"/>
    <cellStyle name="Normal 11 3 3 3 3 2 6 2" xfId="43127" xr:uid="{34C9C57E-7596-461E-83D1-F55B0ACAC288}"/>
    <cellStyle name="Normal 11 3 3 3 3 2 7" xfId="43128" xr:uid="{1B13A9AC-458D-4ACB-89B8-165EF3B09339}"/>
    <cellStyle name="Normal 11 3 3 3 3 3" xfId="43129" xr:uid="{22BA26A6-AB55-4151-9E07-8520F88A3120}"/>
    <cellStyle name="Normal 11 3 3 3 3 3 2" xfId="43130" xr:uid="{215BC256-355B-4D34-9C9E-ABAADA912921}"/>
    <cellStyle name="Normal 11 3 3 3 3 3 2 2" xfId="43131" xr:uid="{DC348ED9-4D32-4FFE-8961-A03FD4E14C8D}"/>
    <cellStyle name="Normal 11 3 3 3 3 3 2 2 2" xfId="43132" xr:uid="{81254352-51C7-40BD-8D1D-4A8F98B7F866}"/>
    <cellStyle name="Normal 11 3 3 3 3 3 2 2 2 2" xfId="43133" xr:uid="{5656D57F-514F-407C-B7AD-E542530832BA}"/>
    <cellStyle name="Normal 11 3 3 3 3 3 2 2 2 2 2" xfId="43134" xr:uid="{0FCDC7C7-A715-4E02-9F51-563B6E3ECE65}"/>
    <cellStyle name="Normal 11 3 3 3 3 3 2 2 2 3" xfId="43135" xr:uid="{2CCD56BB-8C67-4C5F-8D96-9312CE43088F}"/>
    <cellStyle name="Normal 11 3 3 3 3 3 2 2 3" xfId="43136" xr:uid="{6A8EA57A-5C02-405F-A08E-D0D803154334}"/>
    <cellStyle name="Normal 11 3 3 3 3 3 2 2 3 2" xfId="43137" xr:uid="{C838B1CA-F358-444D-9740-69C014A1A595}"/>
    <cellStyle name="Normal 11 3 3 3 3 3 2 2 4" xfId="43138" xr:uid="{16FA192E-AC27-452F-88A1-52AA30647978}"/>
    <cellStyle name="Normal 11 3 3 3 3 3 2 3" xfId="43139" xr:uid="{DBC572C3-C2B5-438F-8E9E-41BFD34C3182}"/>
    <cellStyle name="Normal 11 3 3 3 3 3 2 3 2" xfId="43140" xr:uid="{EFD65985-353E-483B-9D4A-44899E1F3B4D}"/>
    <cellStyle name="Normal 11 3 3 3 3 3 2 3 2 2" xfId="43141" xr:uid="{2AD24087-F0F9-4BEA-9E9A-C1C935E90B8F}"/>
    <cellStyle name="Normal 11 3 3 3 3 3 2 3 3" xfId="43142" xr:uid="{6863D4E0-E321-40DE-A237-BF6926741E35}"/>
    <cellStyle name="Normal 11 3 3 3 3 3 2 4" xfId="43143" xr:uid="{9BD83029-331E-4DC9-BE84-5D76F6B38C5E}"/>
    <cellStyle name="Normal 11 3 3 3 3 3 2 4 2" xfId="43144" xr:uid="{4BCD70C6-1FB7-46BB-BB60-BAB43FD280CC}"/>
    <cellStyle name="Normal 11 3 3 3 3 3 2 5" xfId="43145" xr:uid="{7730EF64-6F2B-45E5-B816-633D6A9B9E45}"/>
    <cellStyle name="Normal 11 3 3 3 3 3 3" xfId="43146" xr:uid="{CA66A293-081E-49E9-96C2-2A92380485D2}"/>
    <cellStyle name="Normal 11 3 3 3 3 3 3 2" xfId="43147" xr:uid="{F76ADE5A-393E-489C-979E-E33FBC02189F}"/>
    <cellStyle name="Normal 11 3 3 3 3 3 3 2 2" xfId="43148" xr:uid="{9EB774FC-4CE1-4A07-B74D-F93744E5D311}"/>
    <cellStyle name="Normal 11 3 3 3 3 3 3 2 2 2" xfId="43149" xr:uid="{E14E31F2-6DCF-4BE6-8D13-0AB5F90F585D}"/>
    <cellStyle name="Normal 11 3 3 3 3 3 3 2 3" xfId="43150" xr:uid="{19DEABDB-51E3-42D4-8691-465771622D89}"/>
    <cellStyle name="Normal 11 3 3 3 3 3 3 3" xfId="43151" xr:uid="{344F7FC3-1A3E-4653-AF85-8240FA8322C3}"/>
    <cellStyle name="Normal 11 3 3 3 3 3 3 3 2" xfId="43152" xr:uid="{40106206-30CB-4BED-AE45-251EC147FDB2}"/>
    <cellStyle name="Normal 11 3 3 3 3 3 3 4" xfId="43153" xr:uid="{8BEE4FFB-762A-48C6-8735-5104593E42B3}"/>
    <cellStyle name="Normal 11 3 3 3 3 3 4" xfId="43154" xr:uid="{78E0379D-C25A-4D0E-8836-5B98D6AC6695}"/>
    <cellStyle name="Normal 11 3 3 3 3 3 4 2" xfId="43155" xr:uid="{8112EE6B-EE7F-4B84-BCCB-CA53E357DA6B}"/>
    <cellStyle name="Normal 11 3 3 3 3 3 4 2 2" xfId="43156" xr:uid="{CE8F691B-5C2A-4E11-AD8B-22EE7C5EC602}"/>
    <cellStyle name="Normal 11 3 3 3 3 3 4 3" xfId="43157" xr:uid="{7EC5DF4B-58AD-44F7-888D-4B88D5E5B8FD}"/>
    <cellStyle name="Normal 11 3 3 3 3 3 5" xfId="43158" xr:uid="{810BE4E7-D713-4698-8749-C18F8FD7046E}"/>
    <cellStyle name="Normal 11 3 3 3 3 3 5 2" xfId="43159" xr:uid="{ED76E3E4-E621-496E-9A27-78A6A2AE8270}"/>
    <cellStyle name="Normal 11 3 3 3 3 3 6" xfId="43160" xr:uid="{213F024A-1842-4171-B912-CF55D920A428}"/>
    <cellStyle name="Normal 11 3 3 3 3 4" xfId="43161" xr:uid="{38466C45-868B-4C69-AAAF-0C5120B63DF9}"/>
    <cellStyle name="Normal 11 3 3 3 3 4 2" xfId="43162" xr:uid="{6EC9D51E-0642-4404-B50B-E9B92A3241A0}"/>
    <cellStyle name="Normal 11 3 3 3 3 4 2 2" xfId="43163" xr:uid="{09CFAE5D-7327-4B02-8017-38D70BECFA7C}"/>
    <cellStyle name="Normal 11 3 3 3 3 4 2 2 2" xfId="43164" xr:uid="{4F41E629-F925-4862-976A-2C17EDCB9DD4}"/>
    <cellStyle name="Normal 11 3 3 3 3 4 2 2 2 2" xfId="43165" xr:uid="{704F78C2-7134-4144-97AC-E0F5EB3A05EA}"/>
    <cellStyle name="Normal 11 3 3 3 3 4 2 2 3" xfId="43166" xr:uid="{F5349FFD-95C5-46DF-848C-002FE847DB43}"/>
    <cellStyle name="Normal 11 3 3 3 3 4 2 3" xfId="43167" xr:uid="{46DF0DBF-720B-48BE-82CF-E4B7ACF6C150}"/>
    <cellStyle name="Normal 11 3 3 3 3 4 2 3 2" xfId="43168" xr:uid="{61395FF0-2BA1-4BF4-8102-FEFA9BF7AF90}"/>
    <cellStyle name="Normal 11 3 3 3 3 4 2 4" xfId="43169" xr:uid="{DB5000E4-672A-45E7-89AA-D5E6E801A4BB}"/>
    <cellStyle name="Normal 11 3 3 3 3 4 3" xfId="43170" xr:uid="{F0DD4132-4933-4D65-A049-3D6EEBFC743A}"/>
    <cellStyle name="Normal 11 3 3 3 3 4 3 2" xfId="43171" xr:uid="{89E0D475-E2AF-4664-BE09-344DC93AB65D}"/>
    <cellStyle name="Normal 11 3 3 3 3 4 3 2 2" xfId="43172" xr:uid="{34273F27-69A6-41BA-830F-54D08DD10553}"/>
    <cellStyle name="Normal 11 3 3 3 3 4 3 3" xfId="43173" xr:uid="{48C6710B-92B6-4287-A851-00F8A9CD71E5}"/>
    <cellStyle name="Normal 11 3 3 3 3 4 4" xfId="43174" xr:uid="{1F723BB1-3C0D-4853-9A6C-53ED683EBED6}"/>
    <cellStyle name="Normal 11 3 3 3 3 4 4 2" xfId="43175" xr:uid="{3B3B3866-C853-4C27-8958-FC85903D8443}"/>
    <cellStyle name="Normal 11 3 3 3 3 4 5" xfId="43176" xr:uid="{6A618E0B-43CC-41AC-9FDC-3F08E7472904}"/>
    <cellStyle name="Normal 11 3 3 3 3 5" xfId="43177" xr:uid="{09C62474-F855-491A-B4F0-B6EBC267301A}"/>
    <cellStyle name="Normal 11 3 3 3 3 5 2" xfId="43178" xr:uid="{A73C3CE6-3181-47DE-BC11-101C8716253E}"/>
    <cellStyle name="Normal 11 3 3 3 3 5 2 2" xfId="43179" xr:uid="{E1B4A39B-B618-4A13-B2C8-06A0DF0F7436}"/>
    <cellStyle name="Normal 11 3 3 3 3 5 2 2 2" xfId="43180" xr:uid="{F00BB563-A68F-45C9-A6B7-BEA467055B45}"/>
    <cellStyle name="Normal 11 3 3 3 3 5 2 3" xfId="43181" xr:uid="{0AB17BB9-4312-4C93-8D7C-C052594E8D30}"/>
    <cellStyle name="Normal 11 3 3 3 3 5 3" xfId="43182" xr:uid="{2EBDE55E-1C4D-46E4-A323-98C7B2AA88AE}"/>
    <cellStyle name="Normal 11 3 3 3 3 5 3 2" xfId="43183" xr:uid="{A74B4AF4-FAEC-4518-886B-970B30C30DEC}"/>
    <cellStyle name="Normal 11 3 3 3 3 5 4" xfId="43184" xr:uid="{47CCDC2F-590A-4DE7-AD38-AF8EF11AF9B4}"/>
    <cellStyle name="Normal 11 3 3 3 3 6" xfId="43185" xr:uid="{DC9FC0A2-43E9-46F2-9CD5-7E9DF8DB6BF9}"/>
    <cellStyle name="Normal 11 3 3 3 3 6 2" xfId="43186" xr:uid="{F07F1828-BB11-466F-A21A-E9B73566E700}"/>
    <cellStyle name="Normal 11 3 3 3 3 6 2 2" xfId="43187" xr:uid="{191F0874-E538-4499-AAB8-64713779BD47}"/>
    <cellStyle name="Normal 11 3 3 3 3 6 3" xfId="43188" xr:uid="{13332F6B-BEE4-44FB-A689-E02096B9678B}"/>
    <cellStyle name="Normal 11 3 3 3 3 7" xfId="43189" xr:uid="{8348F98B-5D89-4815-BBD8-95DA75A7F8FA}"/>
    <cellStyle name="Normal 11 3 3 3 3 7 2" xfId="43190" xr:uid="{44603994-7A5E-4797-9349-83A0B0BE6CE9}"/>
    <cellStyle name="Normal 11 3 3 3 3 8" xfId="43191" xr:uid="{9B8A0D7C-7ED2-41EA-86D1-D1F26F920D72}"/>
    <cellStyle name="Normal 11 3 3 3 3 9" xfId="43064" xr:uid="{6458F107-A4D4-4C40-87CB-CBA2E619AD00}"/>
    <cellStyle name="Normal 11 3 3 3 4" xfId="43192" xr:uid="{EF90E3DC-A1CE-460E-BCD0-58D965713C5A}"/>
    <cellStyle name="Normal 11 3 3 3 4 2" xfId="43193" xr:uid="{0B88045E-9232-4E5A-984B-96767D8FD6C1}"/>
    <cellStyle name="Normal 11 3 3 3 4 2 2" xfId="43194" xr:uid="{D0E05FF8-2D26-46BF-B815-14B342A95CB6}"/>
    <cellStyle name="Normal 11 3 3 3 4 2 2 2" xfId="43195" xr:uid="{F0373CFA-83DE-4A5C-AA8C-7C27F6F6056E}"/>
    <cellStyle name="Normal 11 3 3 3 4 2 2 2 2" xfId="43196" xr:uid="{BAF6E13E-886E-4F6F-B2A2-6D71A02D2287}"/>
    <cellStyle name="Normal 11 3 3 3 4 2 2 2 2 2" xfId="43197" xr:uid="{2A9E3823-024A-4658-ADCF-7D665F4FE007}"/>
    <cellStyle name="Normal 11 3 3 3 4 2 2 2 2 2 2" xfId="43198" xr:uid="{3943FFFA-8B62-4149-9880-BE5296116C81}"/>
    <cellStyle name="Normal 11 3 3 3 4 2 2 2 2 3" xfId="43199" xr:uid="{A7FA739A-B19C-4528-9291-D51AA9BFEFBD}"/>
    <cellStyle name="Normal 11 3 3 3 4 2 2 2 3" xfId="43200" xr:uid="{866DF45D-975F-47A9-A647-6A4C54568404}"/>
    <cellStyle name="Normal 11 3 3 3 4 2 2 2 3 2" xfId="43201" xr:uid="{FCF08076-D6E3-44AD-9197-F77D8750CAAE}"/>
    <cellStyle name="Normal 11 3 3 3 4 2 2 2 4" xfId="43202" xr:uid="{BA2767DC-A738-4F0E-98D3-55B5C99F21CD}"/>
    <cellStyle name="Normal 11 3 3 3 4 2 2 3" xfId="43203" xr:uid="{EBB1A60C-BE9E-4E64-9496-C129C9C6ECAA}"/>
    <cellStyle name="Normal 11 3 3 3 4 2 2 3 2" xfId="43204" xr:uid="{39D488AB-D08F-4FD7-8283-3292810D6113}"/>
    <cellStyle name="Normal 11 3 3 3 4 2 2 3 2 2" xfId="43205" xr:uid="{27155821-0FFF-4167-835F-8261D443B9A2}"/>
    <cellStyle name="Normal 11 3 3 3 4 2 2 3 3" xfId="43206" xr:uid="{0B4FDD2E-9D0F-41C4-BC33-BE250C204E82}"/>
    <cellStyle name="Normal 11 3 3 3 4 2 2 4" xfId="43207" xr:uid="{090E1627-34A5-4400-8F36-F472006F5CC5}"/>
    <cellStyle name="Normal 11 3 3 3 4 2 2 4 2" xfId="43208" xr:uid="{FB817860-05B7-4B3A-9FB6-7CF9E45CDF87}"/>
    <cellStyle name="Normal 11 3 3 3 4 2 2 5" xfId="43209" xr:uid="{9B7CAC90-C8F1-4A00-9409-C8293D025DE7}"/>
    <cellStyle name="Normal 11 3 3 3 4 2 3" xfId="43210" xr:uid="{8A5E1300-5CE3-4804-B52F-557489114351}"/>
    <cellStyle name="Normal 11 3 3 3 4 2 3 2" xfId="43211" xr:uid="{80726DF6-D3E6-4A9E-A218-DDDA49D23C5D}"/>
    <cellStyle name="Normal 11 3 3 3 4 2 3 2 2" xfId="43212" xr:uid="{F4026EB2-4818-4EE6-AAAA-294F974BDAD7}"/>
    <cellStyle name="Normal 11 3 3 3 4 2 3 2 2 2" xfId="43213" xr:uid="{08BAD3FB-5A9D-44B1-8408-9468FF913668}"/>
    <cellStyle name="Normal 11 3 3 3 4 2 3 2 3" xfId="43214" xr:uid="{15877DE5-78B3-4116-9B97-AAAC2311618C}"/>
    <cellStyle name="Normal 11 3 3 3 4 2 3 3" xfId="43215" xr:uid="{B6963617-F5CC-473A-87D9-1905F50BA5CB}"/>
    <cellStyle name="Normal 11 3 3 3 4 2 3 3 2" xfId="43216" xr:uid="{84C843D0-EDEB-46D1-B292-37228E108D68}"/>
    <cellStyle name="Normal 11 3 3 3 4 2 3 4" xfId="43217" xr:uid="{511E2EF5-1CDC-4EF7-AF09-84D8CDEDFBA4}"/>
    <cellStyle name="Normal 11 3 3 3 4 2 4" xfId="43218" xr:uid="{062AC267-AE13-4EE9-88C6-3F1C05541F73}"/>
    <cellStyle name="Normal 11 3 3 3 4 2 4 2" xfId="43219" xr:uid="{8E9160C1-3557-47F3-8A32-5049717AD3FA}"/>
    <cellStyle name="Normal 11 3 3 3 4 2 4 2 2" xfId="43220" xr:uid="{3CAA6153-967A-4FAD-96E5-3A975C48F824}"/>
    <cellStyle name="Normal 11 3 3 3 4 2 4 3" xfId="43221" xr:uid="{33DC7527-D357-4DC4-99E6-85CF5916349B}"/>
    <cellStyle name="Normal 11 3 3 3 4 2 5" xfId="43222" xr:uid="{8CBDF876-6CE8-4959-AD4E-4CE5872102F4}"/>
    <cellStyle name="Normal 11 3 3 3 4 2 5 2" xfId="43223" xr:uid="{464DCC39-E64E-4731-8988-05529BC5DFAE}"/>
    <cellStyle name="Normal 11 3 3 3 4 2 6" xfId="43224" xr:uid="{2D4DA335-BF8E-425B-9E6B-44F325EECC37}"/>
    <cellStyle name="Normal 11 3 3 3 4 3" xfId="43225" xr:uid="{0CC7E9AF-767E-42DA-8655-D4A8BF4F698E}"/>
    <cellStyle name="Normal 11 3 3 3 4 3 2" xfId="43226" xr:uid="{02885CD7-B282-442B-ACEA-1F8DD9812491}"/>
    <cellStyle name="Normal 11 3 3 3 4 3 2 2" xfId="43227" xr:uid="{EDC7DB75-BEE1-4AED-9935-EDA06A44B338}"/>
    <cellStyle name="Normal 11 3 3 3 4 3 2 2 2" xfId="43228" xr:uid="{C7C5EC60-09CB-4D4C-9CD2-C7E9F6D1F3C1}"/>
    <cellStyle name="Normal 11 3 3 3 4 3 2 2 2 2" xfId="43229" xr:uid="{F5C58403-AEB9-4EF0-8FBE-BD34BC435B83}"/>
    <cellStyle name="Normal 11 3 3 3 4 3 2 2 3" xfId="43230" xr:uid="{1783EA6C-2332-4315-B76F-2CE02E6AA79D}"/>
    <cellStyle name="Normal 11 3 3 3 4 3 2 3" xfId="43231" xr:uid="{612CD682-302B-4680-8306-704DD2945505}"/>
    <cellStyle name="Normal 11 3 3 3 4 3 2 3 2" xfId="43232" xr:uid="{B77FFC2E-0521-4BA8-A83B-B6883D1E3D14}"/>
    <cellStyle name="Normal 11 3 3 3 4 3 2 4" xfId="43233" xr:uid="{A1BBD26F-8B04-4E70-AA36-8B90B9235E49}"/>
    <cellStyle name="Normal 11 3 3 3 4 3 3" xfId="43234" xr:uid="{49FF8CC0-B2AF-4A19-B04C-5ADA34065697}"/>
    <cellStyle name="Normal 11 3 3 3 4 3 3 2" xfId="43235" xr:uid="{6B622902-708C-4FF9-B6ED-68A2394A6F4A}"/>
    <cellStyle name="Normal 11 3 3 3 4 3 3 2 2" xfId="43236" xr:uid="{10637A6C-4BAE-4C7B-98D9-C28ADDA94FE7}"/>
    <cellStyle name="Normal 11 3 3 3 4 3 3 3" xfId="43237" xr:uid="{9193DB1A-89EB-493B-9CAF-C3035933C46C}"/>
    <cellStyle name="Normal 11 3 3 3 4 3 4" xfId="43238" xr:uid="{0F123B01-0B8B-4661-AB73-2D0D6D456F52}"/>
    <cellStyle name="Normal 11 3 3 3 4 3 4 2" xfId="43239" xr:uid="{8C5F26F2-D84B-4BF7-B47F-8B548EB79612}"/>
    <cellStyle name="Normal 11 3 3 3 4 3 5" xfId="43240" xr:uid="{53704C53-B3F1-4E4F-BA33-0FD93B4A8020}"/>
    <cellStyle name="Normal 11 3 3 3 4 4" xfId="43241" xr:uid="{4024F96A-6CB2-4B5D-829A-DE61807FC614}"/>
    <cellStyle name="Normal 11 3 3 3 4 4 2" xfId="43242" xr:uid="{0365D650-EB6C-4B93-B6D5-7EA478D36729}"/>
    <cellStyle name="Normal 11 3 3 3 4 4 2 2" xfId="43243" xr:uid="{79EC81E1-3F4A-4117-AA8D-AEBF791AC509}"/>
    <cellStyle name="Normal 11 3 3 3 4 4 2 2 2" xfId="43244" xr:uid="{21EFF633-9272-40E1-AF77-9A7D2E1BD92D}"/>
    <cellStyle name="Normal 11 3 3 3 4 4 2 3" xfId="43245" xr:uid="{C234D42F-1C79-420F-9FD1-A53E09FB5539}"/>
    <cellStyle name="Normal 11 3 3 3 4 4 3" xfId="43246" xr:uid="{491DD7B8-DAF1-41F3-ABD9-974C8884E166}"/>
    <cellStyle name="Normal 11 3 3 3 4 4 3 2" xfId="43247" xr:uid="{32696FD5-5190-44F3-A506-54717F77E749}"/>
    <cellStyle name="Normal 11 3 3 3 4 4 4" xfId="43248" xr:uid="{751398F1-0C76-4AAF-94D6-9A53A4623DDD}"/>
    <cellStyle name="Normal 11 3 3 3 4 5" xfId="43249" xr:uid="{509881B0-7474-4C96-A7F1-AD08E0A2295A}"/>
    <cellStyle name="Normal 11 3 3 3 4 5 2" xfId="43250" xr:uid="{E2861EF7-03F3-4838-A954-F7E07B7E12D8}"/>
    <cellStyle name="Normal 11 3 3 3 4 5 2 2" xfId="43251" xr:uid="{1246A64D-90E6-498A-BCD3-E3DC6052B3B8}"/>
    <cellStyle name="Normal 11 3 3 3 4 5 3" xfId="43252" xr:uid="{5E160D41-57DF-4630-A497-997F07B94D77}"/>
    <cellStyle name="Normal 11 3 3 3 4 6" xfId="43253" xr:uid="{6A244176-17BA-4D18-9E77-12562C11A2FA}"/>
    <cellStyle name="Normal 11 3 3 3 4 6 2" xfId="43254" xr:uid="{7117D633-77D0-4867-973E-DA810B06E1DF}"/>
    <cellStyle name="Normal 11 3 3 3 4 7" xfId="43255" xr:uid="{1A7BE51B-98CA-427A-8C05-BB4B044F81FC}"/>
    <cellStyle name="Normal 11 3 3 3 5" xfId="43256" xr:uid="{4D8CCF41-977C-4857-822F-014071D0A2AF}"/>
    <cellStyle name="Normal 11 3 3 3 5 2" xfId="43257" xr:uid="{33F75F87-B36A-448B-A8BC-AEB18A18AE89}"/>
    <cellStyle name="Normal 11 3 3 3 5 2 2" xfId="43258" xr:uid="{9092AF4B-B145-4A9C-BE11-CBCA324A48B7}"/>
    <cellStyle name="Normal 11 3 3 3 5 2 2 2" xfId="43259" xr:uid="{B5F7EBE8-E0AF-4217-AB08-7125282985AD}"/>
    <cellStyle name="Normal 11 3 3 3 5 2 2 2 2" xfId="43260" xr:uid="{123CE0ED-07EA-4F7A-817C-776AF1FD33A8}"/>
    <cellStyle name="Normal 11 3 3 3 5 2 2 2 2 2" xfId="43261" xr:uid="{74D33FA1-60AE-4C02-BAB1-6970503EB912}"/>
    <cellStyle name="Normal 11 3 3 3 5 2 2 2 3" xfId="43262" xr:uid="{0355C25E-5DEA-4CF5-81EF-4669553A5523}"/>
    <cellStyle name="Normal 11 3 3 3 5 2 2 3" xfId="43263" xr:uid="{4DF02732-709F-4C72-8BC3-9520BE615101}"/>
    <cellStyle name="Normal 11 3 3 3 5 2 2 3 2" xfId="43264" xr:uid="{2953DDFE-D59E-4122-B1AA-891F493B09A1}"/>
    <cellStyle name="Normal 11 3 3 3 5 2 2 4" xfId="43265" xr:uid="{2F84FF46-06FD-4BF2-9F38-4C52945D94D1}"/>
    <cellStyle name="Normal 11 3 3 3 5 2 3" xfId="43266" xr:uid="{FAA34BE8-7123-47FD-AA65-B6E667FA5003}"/>
    <cellStyle name="Normal 11 3 3 3 5 2 3 2" xfId="43267" xr:uid="{E5E5630A-C08D-4029-A25E-4F5B57F7ACBC}"/>
    <cellStyle name="Normal 11 3 3 3 5 2 3 2 2" xfId="43268" xr:uid="{3FC6AE30-B295-48C8-917D-A2194C8208B8}"/>
    <cellStyle name="Normal 11 3 3 3 5 2 3 3" xfId="43269" xr:uid="{C48C9450-940D-48C3-899B-8DDA883FA79E}"/>
    <cellStyle name="Normal 11 3 3 3 5 2 4" xfId="43270" xr:uid="{E66B3ECD-E649-47C6-AD3B-6FD1E50B2CA4}"/>
    <cellStyle name="Normal 11 3 3 3 5 2 4 2" xfId="43271" xr:uid="{38DA24BC-5A3B-430A-9E23-2BFD1C1EF748}"/>
    <cellStyle name="Normal 11 3 3 3 5 2 5" xfId="43272" xr:uid="{79E8DB1A-96F5-455D-ACC2-50C5D3391336}"/>
    <cellStyle name="Normal 11 3 3 3 5 3" xfId="43273" xr:uid="{68282AB2-261C-4156-9697-51336FE23B92}"/>
    <cellStyle name="Normal 11 3 3 3 5 3 2" xfId="43274" xr:uid="{84E24D53-0C8A-41A6-A473-40CC72648DDF}"/>
    <cellStyle name="Normal 11 3 3 3 5 3 2 2" xfId="43275" xr:uid="{5FED06F9-8274-48E3-A222-4FB15A75488F}"/>
    <cellStyle name="Normal 11 3 3 3 5 3 2 2 2" xfId="43276" xr:uid="{CB8DED17-2BB9-4D92-B32D-A3E3B77B8C74}"/>
    <cellStyle name="Normal 11 3 3 3 5 3 2 3" xfId="43277" xr:uid="{542693C8-95E2-419D-B7EF-AD60C7ACE105}"/>
    <cellStyle name="Normal 11 3 3 3 5 3 3" xfId="43278" xr:uid="{9932E839-F560-417F-BE77-10214F5A7954}"/>
    <cellStyle name="Normal 11 3 3 3 5 3 3 2" xfId="43279" xr:uid="{10562CF7-38C1-4FB3-86E4-03449D9F6714}"/>
    <cellStyle name="Normal 11 3 3 3 5 3 4" xfId="43280" xr:uid="{609E631B-C4EE-4B83-8ABC-4C21BFCC6377}"/>
    <cellStyle name="Normal 11 3 3 3 5 4" xfId="43281" xr:uid="{03ECEB47-C830-4125-9D47-1D31561FD892}"/>
    <cellStyle name="Normal 11 3 3 3 5 4 2" xfId="43282" xr:uid="{97454468-7D0E-422A-A2D1-4AC186220972}"/>
    <cellStyle name="Normal 11 3 3 3 5 4 2 2" xfId="43283" xr:uid="{D24A5FB7-B385-4168-B0E5-9CA987242C87}"/>
    <cellStyle name="Normal 11 3 3 3 5 4 3" xfId="43284" xr:uid="{F7645DC2-3DB3-40E0-87FA-E2D0EF909236}"/>
    <cellStyle name="Normal 11 3 3 3 5 5" xfId="43285" xr:uid="{7ECC06E4-81A4-4858-9DB3-A5FF1643135A}"/>
    <cellStyle name="Normal 11 3 3 3 5 5 2" xfId="43286" xr:uid="{FE5616A8-53E0-4CDE-8FBF-15AF7743E9F0}"/>
    <cellStyle name="Normal 11 3 3 3 5 6" xfId="43287" xr:uid="{53D652DA-661E-4005-AC39-07F1BDE2063F}"/>
    <cellStyle name="Normal 11 3 3 3 6" xfId="43288" xr:uid="{475680C9-F868-4768-8608-8123E138C5B6}"/>
    <cellStyle name="Normal 11 3 3 3 6 2" xfId="43289" xr:uid="{21E00BD3-08DD-420F-80EC-C352B515D64E}"/>
    <cellStyle name="Normal 11 3 3 3 6 2 2" xfId="43290" xr:uid="{F751109E-9379-4359-8468-DABFB4FD2EB5}"/>
    <cellStyle name="Normal 11 3 3 3 6 2 2 2" xfId="43291" xr:uid="{434CF1B7-9D42-4584-8A90-2F42E7EF0495}"/>
    <cellStyle name="Normal 11 3 3 3 6 2 2 2 2" xfId="43292" xr:uid="{E1A9D67A-CC21-4013-A9B2-D2E034F7C0DB}"/>
    <cellStyle name="Normal 11 3 3 3 6 2 2 3" xfId="43293" xr:uid="{B7E2BEEF-96F3-499F-B111-2CCC67C4E0FA}"/>
    <cellStyle name="Normal 11 3 3 3 6 2 3" xfId="43294" xr:uid="{8FEFF89C-FE5A-477B-91E9-E5EF9756226D}"/>
    <cellStyle name="Normal 11 3 3 3 6 2 3 2" xfId="43295" xr:uid="{84FF3EA4-C5DE-43AA-8213-8264FDD5F3F0}"/>
    <cellStyle name="Normal 11 3 3 3 6 2 4" xfId="43296" xr:uid="{FF3871F7-693D-446A-9A9A-CF9D7A08F68D}"/>
    <cellStyle name="Normal 11 3 3 3 6 3" xfId="43297" xr:uid="{06524D46-6856-4025-8796-6603E96DAB13}"/>
    <cellStyle name="Normal 11 3 3 3 6 3 2" xfId="43298" xr:uid="{E3697DDA-963C-4672-88D1-251BBC558275}"/>
    <cellStyle name="Normal 11 3 3 3 6 3 2 2" xfId="43299" xr:uid="{70D04277-2F2F-494C-9830-9D9174D73E63}"/>
    <cellStyle name="Normal 11 3 3 3 6 3 3" xfId="43300" xr:uid="{1E1F33C3-EB37-444F-98ED-45488F66D977}"/>
    <cellStyle name="Normal 11 3 3 3 6 4" xfId="43301" xr:uid="{5DFF053E-2ACE-4CF0-A34E-A818CB160CAF}"/>
    <cellStyle name="Normal 11 3 3 3 6 4 2" xfId="43302" xr:uid="{523076ED-B47B-43AB-908A-EDDAFAA0CEEB}"/>
    <cellStyle name="Normal 11 3 3 3 6 5" xfId="43303" xr:uid="{381D47DA-AE0C-465F-B888-28F1AEFE20DD}"/>
    <cellStyle name="Normal 11 3 3 3 7" xfId="43304" xr:uid="{ACD5D04A-63BA-4E8E-9263-7F41382A0133}"/>
    <cellStyle name="Normal 11 3 3 3 7 2" xfId="43305" xr:uid="{224F14F2-FF7F-4652-AD45-88DF96874045}"/>
    <cellStyle name="Normal 11 3 3 3 7 2 2" xfId="43306" xr:uid="{36683315-845E-4CA3-BE4B-74DA07B339BB}"/>
    <cellStyle name="Normal 11 3 3 3 7 2 2 2" xfId="43307" xr:uid="{1CEDC0CD-ED5C-4953-A723-C4878E8678C9}"/>
    <cellStyle name="Normal 11 3 3 3 7 2 3" xfId="43308" xr:uid="{517EDA3C-BA90-45FC-95FE-4120F34B0D32}"/>
    <cellStyle name="Normal 11 3 3 3 7 3" xfId="43309" xr:uid="{3AE8172A-C0DB-4F67-A0DF-94DD5EAA715D}"/>
    <cellStyle name="Normal 11 3 3 3 7 3 2" xfId="43310" xr:uid="{6BBD9D1B-9B4F-450F-B8CB-F25565135C9B}"/>
    <cellStyle name="Normal 11 3 3 3 7 4" xfId="43311" xr:uid="{7DA97427-E359-47BC-BA18-C9667E4ADB88}"/>
    <cellStyle name="Normal 11 3 3 3 8" xfId="43312" xr:uid="{55A7A60D-D11B-4271-AC6C-46F55BD178F6}"/>
    <cellStyle name="Normal 11 3 3 3 8 2" xfId="43313" xr:uid="{043B22E6-55AC-4B43-871A-B07126CA3B15}"/>
    <cellStyle name="Normal 11 3 3 3 8 2 2" xfId="43314" xr:uid="{08D0A77A-A888-4C88-9CFF-ED932C4E3DBE}"/>
    <cellStyle name="Normal 11 3 3 3 8 3" xfId="43315" xr:uid="{417BB197-82F5-4E78-A9E2-AFEE23B7997F}"/>
    <cellStyle name="Normal 11 3 3 3 9" xfId="43316" xr:uid="{A73196FC-BE7F-4BFC-9519-772583367F5F}"/>
    <cellStyle name="Normal 11 3 3 3 9 2" xfId="43317" xr:uid="{867A4850-DFE1-4C18-BE75-66E0E2ECD86E}"/>
    <cellStyle name="Normal 11 3 3 4" xfId="261" xr:uid="{1C027B5D-8328-457B-85F6-21E8E0642CA5}"/>
    <cellStyle name="Normal 11 3 3 4 10" xfId="43318" xr:uid="{F98A08E7-2F33-49B8-93AE-367C3CA5D2EB}"/>
    <cellStyle name="Normal 11 3 3 4 11" xfId="601" xr:uid="{54A65295-1547-44F4-9E6E-4F463372CC4C}"/>
    <cellStyle name="Normal 11 3 3 4 2" xfId="384" xr:uid="{278E8100-ECED-41BA-B327-AB0675E0C2AF}"/>
    <cellStyle name="Normal 11 3 3 4 2 10" xfId="43319" xr:uid="{BFF4DD80-46F3-4406-B5E2-9A78B4C55869}"/>
    <cellStyle name="Normal 11 3 3 4 2 2" xfId="43320" xr:uid="{22F0F5F0-784F-4E54-9B03-FB9CA666E871}"/>
    <cellStyle name="Normal 11 3 3 4 2 2 2" xfId="43321" xr:uid="{63DDC95C-E348-4EE9-B742-B730A2E99257}"/>
    <cellStyle name="Normal 11 3 3 4 2 2 2 2" xfId="43322" xr:uid="{C055EFEF-0A4D-492A-8B4E-7CA6028B5647}"/>
    <cellStyle name="Normal 11 3 3 4 2 2 2 2 2" xfId="43323" xr:uid="{4CFE8655-FEEC-4006-A331-FF7F2549D4A6}"/>
    <cellStyle name="Normal 11 3 3 4 2 2 2 2 2 2" xfId="43324" xr:uid="{BFFC9E48-1109-4245-8191-85FF68C78AEE}"/>
    <cellStyle name="Normal 11 3 3 4 2 2 2 2 2 2 2" xfId="43325" xr:uid="{63B28DCB-2FCA-406F-9826-C929B3BC5D0A}"/>
    <cellStyle name="Normal 11 3 3 4 2 2 2 2 2 2 2 2" xfId="43326" xr:uid="{3735B939-BD5B-403C-8F41-F50D2B091960}"/>
    <cellStyle name="Normal 11 3 3 4 2 2 2 2 2 2 2 2 2" xfId="43327" xr:uid="{41626B9E-5C6C-4281-B3A7-678D29075E90}"/>
    <cellStyle name="Normal 11 3 3 4 2 2 2 2 2 2 2 3" xfId="43328" xr:uid="{21C40D6E-B251-4210-8DB9-BC94FBB8470F}"/>
    <cellStyle name="Normal 11 3 3 4 2 2 2 2 2 2 3" xfId="43329" xr:uid="{B3008B7F-BC63-4FA1-B0AD-5EFA322875EE}"/>
    <cellStyle name="Normal 11 3 3 4 2 2 2 2 2 2 3 2" xfId="43330" xr:uid="{CABD7A2C-AB3A-4709-9970-EA0702430CB9}"/>
    <cellStyle name="Normal 11 3 3 4 2 2 2 2 2 2 4" xfId="43331" xr:uid="{27AC6EFF-B656-41A8-B92F-D3DD602CC0C2}"/>
    <cellStyle name="Normal 11 3 3 4 2 2 2 2 2 3" xfId="43332" xr:uid="{1894D23F-05C2-408A-93D0-BEEE12D5F527}"/>
    <cellStyle name="Normal 11 3 3 4 2 2 2 2 2 3 2" xfId="43333" xr:uid="{5AE73EC6-2BA2-48D8-B88D-570C4B77FC4B}"/>
    <cellStyle name="Normal 11 3 3 4 2 2 2 2 2 3 2 2" xfId="43334" xr:uid="{3B41BDA4-FC79-48CA-808C-17D100EAE802}"/>
    <cellStyle name="Normal 11 3 3 4 2 2 2 2 2 3 3" xfId="43335" xr:uid="{C2766817-3148-4E3B-AEB7-A46B0B6BA635}"/>
    <cellStyle name="Normal 11 3 3 4 2 2 2 2 2 4" xfId="43336" xr:uid="{4B773C61-6DE0-4AEF-999B-08FBFBB586E1}"/>
    <cellStyle name="Normal 11 3 3 4 2 2 2 2 2 4 2" xfId="43337" xr:uid="{6F167380-7434-43B0-95DD-46AD041A28A2}"/>
    <cellStyle name="Normal 11 3 3 4 2 2 2 2 2 5" xfId="43338" xr:uid="{89FFBB90-41B2-45A8-A5CF-FC168165E01A}"/>
    <cellStyle name="Normal 11 3 3 4 2 2 2 2 3" xfId="43339" xr:uid="{AF7FBF3A-A1C3-4221-804F-87C8F76D208E}"/>
    <cellStyle name="Normal 11 3 3 4 2 2 2 2 3 2" xfId="43340" xr:uid="{00E3F01C-5A0E-4694-A2FC-FA53E1463D0E}"/>
    <cellStyle name="Normal 11 3 3 4 2 2 2 2 3 2 2" xfId="43341" xr:uid="{1DA31B3D-660C-487C-B782-146E1BE6EA45}"/>
    <cellStyle name="Normal 11 3 3 4 2 2 2 2 3 2 2 2" xfId="43342" xr:uid="{36011EBC-E9AA-46D3-961C-237E61296D42}"/>
    <cellStyle name="Normal 11 3 3 4 2 2 2 2 3 2 3" xfId="43343" xr:uid="{82283331-0FDF-4474-BBBA-47B477A5412A}"/>
    <cellStyle name="Normal 11 3 3 4 2 2 2 2 3 3" xfId="43344" xr:uid="{92BC60B2-7BE6-42C7-8A67-4125C12D314A}"/>
    <cellStyle name="Normal 11 3 3 4 2 2 2 2 3 3 2" xfId="43345" xr:uid="{73DE13CC-1C25-4784-A2D5-9553C2F3F6B1}"/>
    <cellStyle name="Normal 11 3 3 4 2 2 2 2 3 4" xfId="43346" xr:uid="{2E7C342E-E5FB-4DFC-9805-2B89287C8B05}"/>
    <cellStyle name="Normal 11 3 3 4 2 2 2 2 4" xfId="43347" xr:uid="{68D2E37F-4B4B-4F05-A3C2-4F1C1DDA3FFC}"/>
    <cellStyle name="Normal 11 3 3 4 2 2 2 2 4 2" xfId="43348" xr:uid="{6F048E5C-8044-47A3-8EA3-FDB584226257}"/>
    <cellStyle name="Normal 11 3 3 4 2 2 2 2 4 2 2" xfId="43349" xr:uid="{0A024580-0254-4326-B91E-04FACF2F5EBE}"/>
    <cellStyle name="Normal 11 3 3 4 2 2 2 2 4 3" xfId="43350" xr:uid="{198DB1AC-62FE-4640-A4DD-B77E0CDD03F6}"/>
    <cellStyle name="Normal 11 3 3 4 2 2 2 2 5" xfId="43351" xr:uid="{740CD532-A8C8-47AA-9D09-7D83FD3346E6}"/>
    <cellStyle name="Normal 11 3 3 4 2 2 2 2 5 2" xfId="43352" xr:uid="{9C0668CE-B834-409E-8E8D-9C46975FE7B0}"/>
    <cellStyle name="Normal 11 3 3 4 2 2 2 2 6" xfId="43353" xr:uid="{AB4A45AE-B8B4-46DD-A95D-952AD2410969}"/>
    <cellStyle name="Normal 11 3 3 4 2 2 2 3" xfId="43354" xr:uid="{21985AF3-E516-4825-8E9F-691C95BF33D6}"/>
    <cellStyle name="Normal 11 3 3 4 2 2 2 3 2" xfId="43355" xr:uid="{8E94C5C9-DE89-4DDB-B1F4-062C982D6E29}"/>
    <cellStyle name="Normal 11 3 3 4 2 2 2 3 2 2" xfId="43356" xr:uid="{EB0B374B-E873-411C-9B3B-ADD1C08CC17B}"/>
    <cellStyle name="Normal 11 3 3 4 2 2 2 3 2 2 2" xfId="43357" xr:uid="{7EE292A4-CE27-488B-AA68-3503D47487E0}"/>
    <cellStyle name="Normal 11 3 3 4 2 2 2 3 2 2 2 2" xfId="43358" xr:uid="{1CE75825-D642-4640-9444-1448F5456397}"/>
    <cellStyle name="Normal 11 3 3 4 2 2 2 3 2 2 3" xfId="43359" xr:uid="{DC0B1613-57D2-4340-8FFC-10EE24CDC25D}"/>
    <cellStyle name="Normal 11 3 3 4 2 2 2 3 2 3" xfId="43360" xr:uid="{689A2C78-1E89-414E-9986-432EA95483E8}"/>
    <cellStyle name="Normal 11 3 3 4 2 2 2 3 2 3 2" xfId="43361" xr:uid="{7B0DDEA9-1275-46A3-BE0C-C41015C9328B}"/>
    <cellStyle name="Normal 11 3 3 4 2 2 2 3 2 4" xfId="43362" xr:uid="{221886A9-928B-48D2-8328-0CB3C33DEDF2}"/>
    <cellStyle name="Normal 11 3 3 4 2 2 2 3 3" xfId="43363" xr:uid="{DB106281-B760-489F-ACDD-7D42BBD48C75}"/>
    <cellStyle name="Normal 11 3 3 4 2 2 2 3 3 2" xfId="43364" xr:uid="{5F141C0D-5117-44B7-8272-B11783D9EA96}"/>
    <cellStyle name="Normal 11 3 3 4 2 2 2 3 3 2 2" xfId="43365" xr:uid="{6CA56563-BC1A-453C-8265-DD4FD1083A2B}"/>
    <cellStyle name="Normal 11 3 3 4 2 2 2 3 3 3" xfId="43366" xr:uid="{609BFEF5-91E5-431B-AFBE-406AA22263C0}"/>
    <cellStyle name="Normal 11 3 3 4 2 2 2 3 4" xfId="43367" xr:uid="{E3215D87-A5AA-4656-A435-52F4997D3F74}"/>
    <cellStyle name="Normal 11 3 3 4 2 2 2 3 4 2" xfId="43368" xr:uid="{8A1BCB58-959C-4E95-AE0B-D68787FA99AC}"/>
    <cellStyle name="Normal 11 3 3 4 2 2 2 3 5" xfId="43369" xr:uid="{991516CB-FEEA-410D-B56D-85A6EFF589D3}"/>
    <cellStyle name="Normal 11 3 3 4 2 2 2 4" xfId="43370" xr:uid="{2614374C-F6B8-4365-BEFE-386F2CB9B001}"/>
    <cellStyle name="Normal 11 3 3 4 2 2 2 4 2" xfId="43371" xr:uid="{71CBFE42-A1E7-4EBF-9AFF-9B6720CE37C1}"/>
    <cellStyle name="Normal 11 3 3 4 2 2 2 4 2 2" xfId="43372" xr:uid="{B79979A4-4159-4937-9F24-0205C3EDA502}"/>
    <cellStyle name="Normal 11 3 3 4 2 2 2 4 2 2 2" xfId="43373" xr:uid="{E933A7C9-5BF3-4E84-8914-BB4DD4A1E0F4}"/>
    <cellStyle name="Normal 11 3 3 4 2 2 2 4 2 3" xfId="43374" xr:uid="{29920D77-E07D-4AC7-BF0B-F2ECC9EA7209}"/>
    <cellStyle name="Normal 11 3 3 4 2 2 2 4 3" xfId="43375" xr:uid="{1B9AF8F6-C5C5-47E0-B6AC-BD58A4602FE8}"/>
    <cellStyle name="Normal 11 3 3 4 2 2 2 4 3 2" xfId="43376" xr:uid="{92D4CB63-B821-4EBC-BB52-9F3BC2AB68A7}"/>
    <cellStyle name="Normal 11 3 3 4 2 2 2 4 4" xfId="43377" xr:uid="{2F7F3D46-1EC7-4137-920F-F3FE471884E9}"/>
    <cellStyle name="Normal 11 3 3 4 2 2 2 5" xfId="43378" xr:uid="{2AF8F9D5-F667-4DE3-8022-AB00BAE92BB2}"/>
    <cellStyle name="Normal 11 3 3 4 2 2 2 5 2" xfId="43379" xr:uid="{1C34A323-FAE7-45C4-A27B-B18A70882CF6}"/>
    <cellStyle name="Normal 11 3 3 4 2 2 2 5 2 2" xfId="43380" xr:uid="{F180C1E4-CDDD-4808-96E9-40B0007AAA7D}"/>
    <cellStyle name="Normal 11 3 3 4 2 2 2 5 3" xfId="43381" xr:uid="{0E5A0730-0D48-4F43-B3D9-B913E5A5FC8C}"/>
    <cellStyle name="Normal 11 3 3 4 2 2 2 6" xfId="43382" xr:uid="{1360FA4F-0DC2-4C77-B4B8-FC47664F1472}"/>
    <cellStyle name="Normal 11 3 3 4 2 2 2 6 2" xfId="43383" xr:uid="{05C6B1DF-CA9A-4C52-ACD7-1CA62AC16463}"/>
    <cellStyle name="Normal 11 3 3 4 2 2 2 7" xfId="43384" xr:uid="{99DF2B5E-EA51-497B-B65E-619A260E0807}"/>
    <cellStyle name="Normal 11 3 3 4 2 2 3" xfId="43385" xr:uid="{97DED870-3A90-424A-9C01-C0E59E47CC69}"/>
    <cellStyle name="Normal 11 3 3 4 2 2 3 2" xfId="43386" xr:uid="{15FB2954-F45B-48E2-847A-BC975DA0D1E1}"/>
    <cellStyle name="Normal 11 3 3 4 2 2 3 2 2" xfId="43387" xr:uid="{2E5D1EFE-76AC-4AD6-9934-591AAFC9BDA0}"/>
    <cellStyle name="Normal 11 3 3 4 2 2 3 2 2 2" xfId="43388" xr:uid="{6F3220E4-FF06-4964-BFD7-4D33BEDC96DA}"/>
    <cellStyle name="Normal 11 3 3 4 2 2 3 2 2 2 2" xfId="43389" xr:uid="{7EB0DF82-9207-418C-B777-75662ACCDB16}"/>
    <cellStyle name="Normal 11 3 3 4 2 2 3 2 2 2 2 2" xfId="43390" xr:uid="{A5351B4C-1A35-478F-86BA-480956B16765}"/>
    <cellStyle name="Normal 11 3 3 4 2 2 3 2 2 2 3" xfId="43391" xr:uid="{89920D6D-1710-4DCC-A6C7-599E72A9C0C2}"/>
    <cellStyle name="Normal 11 3 3 4 2 2 3 2 2 3" xfId="43392" xr:uid="{80DF5D9C-5D4F-4DB1-8C76-CC9A2921E950}"/>
    <cellStyle name="Normal 11 3 3 4 2 2 3 2 2 3 2" xfId="43393" xr:uid="{A98B213A-8131-4F0B-AD18-9801325C0EB7}"/>
    <cellStyle name="Normal 11 3 3 4 2 2 3 2 2 4" xfId="43394" xr:uid="{97DD9D68-345E-43FF-B377-A3D8B856E13C}"/>
    <cellStyle name="Normal 11 3 3 4 2 2 3 2 3" xfId="43395" xr:uid="{9DBC4231-3299-4E0C-BE19-941BE675D7E9}"/>
    <cellStyle name="Normal 11 3 3 4 2 2 3 2 3 2" xfId="43396" xr:uid="{96E876AD-EF8C-4F0A-9383-5590D4A7E085}"/>
    <cellStyle name="Normal 11 3 3 4 2 2 3 2 3 2 2" xfId="43397" xr:uid="{2724A96A-26AC-4C4F-B19B-3FE236E87145}"/>
    <cellStyle name="Normal 11 3 3 4 2 2 3 2 3 3" xfId="43398" xr:uid="{074ACDDA-C28A-4108-B173-9551002716FC}"/>
    <cellStyle name="Normal 11 3 3 4 2 2 3 2 4" xfId="43399" xr:uid="{68CD32A3-C186-452B-BC61-80785503DC61}"/>
    <cellStyle name="Normal 11 3 3 4 2 2 3 2 4 2" xfId="43400" xr:uid="{CF2A1B7A-5D90-43CF-B42A-A1B204E946EE}"/>
    <cellStyle name="Normal 11 3 3 4 2 2 3 2 5" xfId="43401" xr:uid="{FC499860-A3A9-4CB5-96D1-70A545AFB5C3}"/>
    <cellStyle name="Normal 11 3 3 4 2 2 3 3" xfId="43402" xr:uid="{B84544A7-7AB2-48D2-8AAE-E23EF96E1DA3}"/>
    <cellStyle name="Normal 11 3 3 4 2 2 3 3 2" xfId="43403" xr:uid="{97EB1AB9-EFDC-4296-B483-23F46B0A3A1F}"/>
    <cellStyle name="Normal 11 3 3 4 2 2 3 3 2 2" xfId="43404" xr:uid="{62D1758C-A431-49B3-AD08-454ED5A918BF}"/>
    <cellStyle name="Normal 11 3 3 4 2 2 3 3 2 2 2" xfId="43405" xr:uid="{30241B8F-D469-4E2D-912E-40B5847207A6}"/>
    <cellStyle name="Normal 11 3 3 4 2 2 3 3 2 3" xfId="43406" xr:uid="{49883266-2BFD-4229-9095-2759072D86FD}"/>
    <cellStyle name="Normal 11 3 3 4 2 2 3 3 3" xfId="43407" xr:uid="{2835CAA5-05FB-4817-9C6E-FEF05B6EBD98}"/>
    <cellStyle name="Normal 11 3 3 4 2 2 3 3 3 2" xfId="43408" xr:uid="{20973E8D-65EF-492D-82EB-74B16DB3C66B}"/>
    <cellStyle name="Normal 11 3 3 4 2 2 3 3 4" xfId="43409" xr:uid="{D26C916B-AB65-4E7A-B862-DF2E3DC8E01E}"/>
    <cellStyle name="Normal 11 3 3 4 2 2 3 4" xfId="43410" xr:uid="{618CCB8A-790E-4F1E-B886-CAB6EE354925}"/>
    <cellStyle name="Normal 11 3 3 4 2 2 3 4 2" xfId="43411" xr:uid="{DC00D6D4-CDC9-4BA2-9450-27555856F1C2}"/>
    <cellStyle name="Normal 11 3 3 4 2 2 3 4 2 2" xfId="43412" xr:uid="{688CAFD9-4C42-492E-847C-054ABD90F2C0}"/>
    <cellStyle name="Normal 11 3 3 4 2 2 3 4 3" xfId="43413" xr:uid="{D233FEB6-4643-4B39-90B5-7A1DE5FF8076}"/>
    <cellStyle name="Normal 11 3 3 4 2 2 3 5" xfId="43414" xr:uid="{0CD7A6D5-E530-42B9-8477-12DC49486CF9}"/>
    <cellStyle name="Normal 11 3 3 4 2 2 3 5 2" xfId="43415" xr:uid="{BFD69A8F-CA8E-41DC-B830-7602FC590B39}"/>
    <cellStyle name="Normal 11 3 3 4 2 2 3 6" xfId="43416" xr:uid="{FD25CA92-0C31-4FD6-9773-1D82645F8C51}"/>
    <cellStyle name="Normal 11 3 3 4 2 2 4" xfId="43417" xr:uid="{F8BEAE37-5CEC-41AC-A919-6AB4BB4DA605}"/>
    <cellStyle name="Normal 11 3 3 4 2 2 4 2" xfId="43418" xr:uid="{66A582E0-F840-4AB3-A665-84BC9D58BB18}"/>
    <cellStyle name="Normal 11 3 3 4 2 2 4 2 2" xfId="43419" xr:uid="{D007C31F-5CC4-4D37-B9D7-F5C3A3CDB802}"/>
    <cellStyle name="Normal 11 3 3 4 2 2 4 2 2 2" xfId="43420" xr:uid="{2AC74808-993A-4287-8EA6-A503C5806BAF}"/>
    <cellStyle name="Normal 11 3 3 4 2 2 4 2 2 2 2" xfId="43421" xr:uid="{097860AC-CBF3-43AA-BA98-2D8CA2A37917}"/>
    <cellStyle name="Normal 11 3 3 4 2 2 4 2 2 3" xfId="43422" xr:uid="{B61D11A6-41D6-4624-9BF9-609F00480FF3}"/>
    <cellStyle name="Normal 11 3 3 4 2 2 4 2 3" xfId="43423" xr:uid="{93F5D623-DAF9-41FE-BCDF-E2782A98841A}"/>
    <cellStyle name="Normal 11 3 3 4 2 2 4 2 3 2" xfId="43424" xr:uid="{79723F58-25A6-40C4-A4E1-DEF0EA0B6648}"/>
    <cellStyle name="Normal 11 3 3 4 2 2 4 2 4" xfId="43425" xr:uid="{16D7A4E4-78E8-4277-9D98-1910313F80DE}"/>
    <cellStyle name="Normal 11 3 3 4 2 2 4 3" xfId="43426" xr:uid="{A57B0A7C-668D-4348-849B-A2DECBE92503}"/>
    <cellStyle name="Normal 11 3 3 4 2 2 4 3 2" xfId="43427" xr:uid="{2E962AD3-E581-4153-BDC2-4F2EE6E88C83}"/>
    <cellStyle name="Normal 11 3 3 4 2 2 4 3 2 2" xfId="43428" xr:uid="{78724C7C-65F7-4B42-A292-8AEE86CC27B8}"/>
    <cellStyle name="Normal 11 3 3 4 2 2 4 3 3" xfId="43429" xr:uid="{D44F780A-114B-49A3-9387-1A9C6C71C269}"/>
    <cellStyle name="Normal 11 3 3 4 2 2 4 4" xfId="43430" xr:uid="{9A82A29C-1DBE-430D-B657-35EEA90BBC58}"/>
    <cellStyle name="Normal 11 3 3 4 2 2 4 4 2" xfId="43431" xr:uid="{42CB36B9-3812-42AF-AED1-29FECAF4A940}"/>
    <cellStyle name="Normal 11 3 3 4 2 2 4 5" xfId="43432" xr:uid="{B9EF2CA0-FCEE-412A-8EAC-9901E7D2698F}"/>
    <cellStyle name="Normal 11 3 3 4 2 2 5" xfId="43433" xr:uid="{200772D7-7B17-4235-A104-0A974033DD83}"/>
    <cellStyle name="Normal 11 3 3 4 2 2 5 2" xfId="43434" xr:uid="{56D596E9-3522-4E0B-830D-582A7D1485E1}"/>
    <cellStyle name="Normal 11 3 3 4 2 2 5 2 2" xfId="43435" xr:uid="{1E241B9B-7FC4-4EC1-81C1-24955097898A}"/>
    <cellStyle name="Normal 11 3 3 4 2 2 5 2 2 2" xfId="43436" xr:uid="{1F4A1DB7-F102-4673-AD28-E674B35E76D7}"/>
    <cellStyle name="Normal 11 3 3 4 2 2 5 2 3" xfId="43437" xr:uid="{4D629113-EE2D-4C3B-889F-2546EB089E76}"/>
    <cellStyle name="Normal 11 3 3 4 2 2 5 3" xfId="43438" xr:uid="{B342404F-0F51-44CD-9B4C-768394284DA7}"/>
    <cellStyle name="Normal 11 3 3 4 2 2 5 3 2" xfId="43439" xr:uid="{A2BA3FA3-F4BA-4B63-B679-F52C59249215}"/>
    <cellStyle name="Normal 11 3 3 4 2 2 5 4" xfId="43440" xr:uid="{DA63DFDE-2CE0-42EF-9298-CF505C7138A7}"/>
    <cellStyle name="Normal 11 3 3 4 2 2 6" xfId="43441" xr:uid="{0E050E2B-BC62-4B45-BEBA-497C6C5D7B2D}"/>
    <cellStyle name="Normal 11 3 3 4 2 2 6 2" xfId="43442" xr:uid="{D3C804A4-C529-40C4-9533-DD539F82EE15}"/>
    <cellStyle name="Normal 11 3 3 4 2 2 6 2 2" xfId="43443" xr:uid="{2BD6F61C-1843-4EE7-BD84-B58B85A62E55}"/>
    <cellStyle name="Normal 11 3 3 4 2 2 6 3" xfId="43444" xr:uid="{C49C491A-7BFE-44DE-82DD-52C635DF283C}"/>
    <cellStyle name="Normal 11 3 3 4 2 2 7" xfId="43445" xr:uid="{91AEC8B5-BBDB-4130-AE72-B80882516B67}"/>
    <cellStyle name="Normal 11 3 3 4 2 2 7 2" xfId="43446" xr:uid="{2C57314B-4FC2-4FAC-AD04-D582D7A8E168}"/>
    <cellStyle name="Normal 11 3 3 4 2 2 8" xfId="43447" xr:uid="{4A479F62-4EDB-4BBF-98AA-733FA325D9D1}"/>
    <cellStyle name="Normal 11 3 3 4 2 3" xfId="43448" xr:uid="{12EF685A-7C04-4930-B2B6-87F2C7E3E120}"/>
    <cellStyle name="Normal 11 3 3 4 2 3 2" xfId="43449" xr:uid="{E187E580-9674-4D08-8A60-976EDB0AC4C0}"/>
    <cellStyle name="Normal 11 3 3 4 2 3 2 2" xfId="43450" xr:uid="{64777796-6831-4EB5-A98C-B1B836CEFAAD}"/>
    <cellStyle name="Normal 11 3 3 4 2 3 2 2 2" xfId="43451" xr:uid="{E1ADEC25-B68D-4EDB-8E5F-1CF198D2D888}"/>
    <cellStyle name="Normal 11 3 3 4 2 3 2 2 2 2" xfId="43452" xr:uid="{EF4C7E2E-72CD-4134-A56D-821EFF070B47}"/>
    <cellStyle name="Normal 11 3 3 4 2 3 2 2 2 2 2" xfId="43453" xr:uid="{85475203-6367-4EB1-8833-CC37D55A9D59}"/>
    <cellStyle name="Normal 11 3 3 4 2 3 2 2 2 2 2 2" xfId="43454" xr:uid="{BF2E8288-34E3-4967-B103-950DF6572398}"/>
    <cellStyle name="Normal 11 3 3 4 2 3 2 2 2 2 3" xfId="43455" xr:uid="{C5FC0ECE-95F7-49EB-9342-EB2532B566A3}"/>
    <cellStyle name="Normal 11 3 3 4 2 3 2 2 2 3" xfId="43456" xr:uid="{CA5EB59A-A5A0-4A1C-9CCA-B4942F4EBFF8}"/>
    <cellStyle name="Normal 11 3 3 4 2 3 2 2 2 3 2" xfId="43457" xr:uid="{0F1BA081-46D3-41D4-8204-198160C16708}"/>
    <cellStyle name="Normal 11 3 3 4 2 3 2 2 2 4" xfId="43458" xr:uid="{E5EA8769-A333-4132-8A97-4AB79473394F}"/>
    <cellStyle name="Normal 11 3 3 4 2 3 2 2 3" xfId="43459" xr:uid="{8C2DB19E-AE31-411A-85C2-76D63FF351EA}"/>
    <cellStyle name="Normal 11 3 3 4 2 3 2 2 3 2" xfId="43460" xr:uid="{D6B25E34-D72B-4BCE-B5B5-686E4995CA75}"/>
    <cellStyle name="Normal 11 3 3 4 2 3 2 2 3 2 2" xfId="43461" xr:uid="{C41299B2-0E07-40C1-AC71-616E4A792024}"/>
    <cellStyle name="Normal 11 3 3 4 2 3 2 2 3 3" xfId="43462" xr:uid="{E3BD3A47-B28A-45D4-9D5E-5EB43BCFB74F}"/>
    <cellStyle name="Normal 11 3 3 4 2 3 2 2 4" xfId="43463" xr:uid="{DB68AFF2-4455-42AE-AC27-FB81CAF312C8}"/>
    <cellStyle name="Normal 11 3 3 4 2 3 2 2 4 2" xfId="43464" xr:uid="{714D5B22-B214-4292-A4A5-49EF23B81879}"/>
    <cellStyle name="Normal 11 3 3 4 2 3 2 2 5" xfId="43465" xr:uid="{7077CFD1-5455-421F-8AD0-B82A5D40D25B}"/>
    <cellStyle name="Normal 11 3 3 4 2 3 2 3" xfId="43466" xr:uid="{8204DF6D-FD60-4100-8384-C14C22A49C18}"/>
    <cellStyle name="Normal 11 3 3 4 2 3 2 3 2" xfId="43467" xr:uid="{400FEC1E-ADD4-42A8-9D88-C927D908C9D3}"/>
    <cellStyle name="Normal 11 3 3 4 2 3 2 3 2 2" xfId="43468" xr:uid="{47FF53EE-B7AD-49D6-8BC1-DF5E22540C5D}"/>
    <cellStyle name="Normal 11 3 3 4 2 3 2 3 2 2 2" xfId="43469" xr:uid="{B8B8629F-F578-45D4-AFD1-20366FF1E23D}"/>
    <cellStyle name="Normal 11 3 3 4 2 3 2 3 2 3" xfId="43470" xr:uid="{71C80F17-8201-4C37-A8DE-57BD867A3D96}"/>
    <cellStyle name="Normal 11 3 3 4 2 3 2 3 3" xfId="43471" xr:uid="{C9DFCF79-D515-464C-9F95-1D7B2F2E7906}"/>
    <cellStyle name="Normal 11 3 3 4 2 3 2 3 3 2" xfId="43472" xr:uid="{7BC1C07F-5E30-4FE1-B9E2-C2584C2DF5B4}"/>
    <cellStyle name="Normal 11 3 3 4 2 3 2 3 4" xfId="43473" xr:uid="{76369BC5-CB80-41D4-BBD7-CA964F4BE6C5}"/>
    <cellStyle name="Normal 11 3 3 4 2 3 2 4" xfId="43474" xr:uid="{48BA396F-CD8A-4AA0-A171-CCF064D0F840}"/>
    <cellStyle name="Normal 11 3 3 4 2 3 2 4 2" xfId="43475" xr:uid="{16B59805-010A-4826-92AA-D9DC26297AA1}"/>
    <cellStyle name="Normal 11 3 3 4 2 3 2 4 2 2" xfId="43476" xr:uid="{08A40465-570A-4B5C-841A-0B9B12FFEC89}"/>
    <cellStyle name="Normal 11 3 3 4 2 3 2 4 3" xfId="43477" xr:uid="{8BC8A9A2-ECC4-4A97-8A5E-A2E643D72B72}"/>
    <cellStyle name="Normal 11 3 3 4 2 3 2 5" xfId="43478" xr:uid="{952B86DB-29E7-4ED7-AD74-20018FA4C6B9}"/>
    <cellStyle name="Normal 11 3 3 4 2 3 2 5 2" xfId="43479" xr:uid="{3367755C-BA0F-473E-867B-44FA66526BFE}"/>
    <cellStyle name="Normal 11 3 3 4 2 3 2 6" xfId="43480" xr:uid="{99D1202E-CA7A-439A-8533-1204222D7AB2}"/>
    <cellStyle name="Normal 11 3 3 4 2 3 3" xfId="43481" xr:uid="{5ABA3D1D-7DE3-4AAA-8B41-39084D997CC6}"/>
    <cellStyle name="Normal 11 3 3 4 2 3 3 2" xfId="43482" xr:uid="{AA1018D3-142D-4290-B12F-AC9C61C33C44}"/>
    <cellStyle name="Normal 11 3 3 4 2 3 3 2 2" xfId="43483" xr:uid="{A05E4F19-685B-4987-B5A3-6823AB0F7764}"/>
    <cellStyle name="Normal 11 3 3 4 2 3 3 2 2 2" xfId="43484" xr:uid="{A0B2B2F2-40BD-4C06-9534-303C8DBBA7A6}"/>
    <cellStyle name="Normal 11 3 3 4 2 3 3 2 2 2 2" xfId="43485" xr:uid="{3EC6C732-8744-4296-BAF4-9E1138C1983D}"/>
    <cellStyle name="Normal 11 3 3 4 2 3 3 2 2 3" xfId="43486" xr:uid="{BFAD745D-0804-4E75-B5F8-6A17602D84E6}"/>
    <cellStyle name="Normal 11 3 3 4 2 3 3 2 3" xfId="43487" xr:uid="{5B7E5236-549A-40DC-B317-D40DF6421008}"/>
    <cellStyle name="Normal 11 3 3 4 2 3 3 2 3 2" xfId="43488" xr:uid="{6D93E7E2-5036-4651-81B8-CD362C49AB98}"/>
    <cellStyle name="Normal 11 3 3 4 2 3 3 2 4" xfId="43489" xr:uid="{F71D681A-D00A-4904-B06B-827839A1C9F8}"/>
    <cellStyle name="Normal 11 3 3 4 2 3 3 3" xfId="43490" xr:uid="{CB1E2578-9F1F-4F8D-8A85-32B43DA51B1A}"/>
    <cellStyle name="Normal 11 3 3 4 2 3 3 3 2" xfId="43491" xr:uid="{DF5A92EF-AC1B-40DF-92A8-A5A89F5F3991}"/>
    <cellStyle name="Normal 11 3 3 4 2 3 3 3 2 2" xfId="43492" xr:uid="{18207C47-2D90-4A21-968C-A81AA5E8AD86}"/>
    <cellStyle name="Normal 11 3 3 4 2 3 3 3 3" xfId="43493" xr:uid="{1013EB99-761F-4D8C-9D2E-A5984E81E9B9}"/>
    <cellStyle name="Normal 11 3 3 4 2 3 3 4" xfId="43494" xr:uid="{22FCD985-67C8-45C5-A58A-757DD1BEF043}"/>
    <cellStyle name="Normal 11 3 3 4 2 3 3 4 2" xfId="43495" xr:uid="{9CDE2C06-3AD3-4580-AC84-A39CEAAE7A38}"/>
    <cellStyle name="Normal 11 3 3 4 2 3 3 5" xfId="43496" xr:uid="{C5965F30-2938-4BD9-AA9F-A79EA45D5725}"/>
    <cellStyle name="Normal 11 3 3 4 2 3 4" xfId="43497" xr:uid="{6EEA2D1B-B601-467A-BEB0-E99F763D2674}"/>
    <cellStyle name="Normal 11 3 3 4 2 3 4 2" xfId="43498" xr:uid="{BBF81DA5-901A-4663-BBF0-12DA7CC8B233}"/>
    <cellStyle name="Normal 11 3 3 4 2 3 4 2 2" xfId="43499" xr:uid="{7BB040E9-544F-4011-B644-ADFED23A1D26}"/>
    <cellStyle name="Normal 11 3 3 4 2 3 4 2 2 2" xfId="43500" xr:uid="{39A1DE9B-3410-48F2-A5FF-F5AEDBD35DFB}"/>
    <cellStyle name="Normal 11 3 3 4 2 3 4 2 3" xfId="43501" xr:uid="{A86D69E9-C087-460C-A363-ABDFD9AAB328}"/>
    <cellStyle name="Normal 11 3 3 4 2 3 4 3" xfId="43502" xr:uid="{8CB45BAF-6391-47F2-8E4F-34F447ED4971}"/>
    <cellStyle name="Normal 11 3 3 4 2 3 4 3 2" xfId="43503" xr:uid="{A70A629A-7774-4BAF-8289-D537F0E65DA5}"/>
    <cellStyle name="Normal 11 3 3 4 2 3 4 4" xfId="43504" xr:uid="{23BEAEC0-91B6-49D0-B106-DA93E48744BF}"/>
    <cellStyle name="Normal 11 3 3 4 2 3 5" xfId="43505" xr:uid="{81CC94FB-4C18-4DD9-95FB-C2B1F7FC0BFE}"/>
    <cellStyle name="Normal 11 3 3 4 2 3 5 2" xfId="43506" xr:uid="{F39B92DB-0F78-4201-8D62-47C8678EB56B}"/>
    <cellStyle name="Normal 11 3 3 4 2 3 5 2 2" xfId="43507" xr:uid="{0E4B6A27-1B59-4D48-8B8E-C7E0FE6F9D1A}"/>
    <cellStyle name="Normal 11 3 3 4 2 3 5 3" xfId="43508" xr:uid="{B7803649-28DD-4AFA-8626-7956651323AC}"/>
    <cellStyle name="Normal 11 3 3 4 2 3 6" xfId="43509" xr:uid="{42259CD4-E07B-489E-BEDA-A60404C20E41}"/>
    <cellStyle name="Normal 11 3 3 4 2 3 6 2" xfId="43510" xr:uid="{6315F192-BFE9-4916-B3E6-8170E5048755}"/>
    <cellStyle name="Normal 11 3 3 4 2 3 7" xfId="43511" xr:uid="{55C023C6-E3AF-4D6E-B2CF-BD4FDF0BBE6E}"/>
    <cellStyle name="Normal 11 3 3 4 2 4" xfId="43512" xr:uid="{3F4A3E2F-D084-4D9E-8983-FC136FA6F2E7}"/>
    <cellStyle name="Normal 11 3 3 4 2 4 2" xfId="43513" xr:uid="{DA49FFEC-F635-4E78-A2ED-0447ADAACB55}"/>
    <cellStyle name="Normal 11 3 3 4 2 4 2 2" xfId="43514" xr:uid="{A66543BD-20AA-47FD-B465-576DFB258C9D}"/>
    <cellStyle name="Normal 11 3 3 4 2 4 2 2 2" xfId="43515" xr:uid="{9DB93974-83F2-40E3-BC33-D31C35146D8C}"/>
    <cellStyle name="Normal 11 3 3 4 2 4 2 2 2 2" xfId="43516" xr:uid="{35127BAC-6570-4753-A2E3-78567D735642}"/>
    <cellStyle name="Normal 11 3 3 4 2 4 2 2 2 2 2" xfId="43517" xr:uid="{56DA88C4-8995-4BC7-88EB-03A715C597A4}"/>
    <cellStyle name="Normal 11 3 3 4 2 4 2 2 2 3" xfId="43518" xr:uid="{38566D5F-06A3-4954-9D8F-D4B6B9AB4009}"/>
    <cellStyle name="Normal 11 3 3 4 2 4 2 2 3" xfId="43519" xr:uid="{251975FC-5773-44AA-B124-BDD544849DBE}"/>
    <cellStyle name="Normal 11 3 3 4 2 4 2 2 3 2" xfId="43520" xr:uid="{78E8F4A6-AF63-4194-8861-ED020691C6BA}"/>
    <cellStyle name="Normal 11 3 3 4 2 4 2 2 4" xfId="43521" xr:uid="{3079D354-A002-4628-8904-7510D70CB993}"/>
    <cellStyle name="Normal 11 3 3 4 2 4 2 3" xfId="43522" xr:uid="{B0EA242D-C8B7-4EF0-91E6-E3E1398F0ED4}"/>
    <cellStyle name="Normal 11 3 3 4 2 4 2 3 2" xfId="43523" xr:uid="{2657D295-E642-41BA-B8D9-4C1088171272}"/>
    <cellStyle name="Normal 11 3 3 4 2 4 2 3 2 2" xfId="43524" xr:uid="{2203E7B0-DA19-4686-BCAC-250141FA9460}"/>
    <cellStyle name="Normal 11 3 3 4 2 4 2 3 3" xfId="43525" xr:uid="{44737A2F-D45F-47DB-AC61-AF4B452ECC4B}"/>
    <cellStyle name="Normal 11 3 3 4 2 4 2 4" xfId="43526" xr:uid="{C578F900-2EE9-4130-9F1F-44C026C91067}"/>
    <cellStyle name="Normal 11 3 3 4 2 4 2 4 2" xfId="43527" xr:uid="{E8D76D29-0F6E-49BD-9B38-9F5C94C58EAC}"/>
    <cellStyle name="Normal 11 3 3 4 2 4 2 5" xfId="43528" xr:uid="{81EF9D46-F783-48AC-803E-394E2F7F4681}"/>
    <cellStyle name="Normal 11 3 3 4 2 4 3" xfId="43529" xr:uid="{AD963A72-20BB-4CA0-84B4-E433DEDD0443}"/>
    <cellStyle name="Normal 11 3 3 4 2 4 3 2" xfId="43530" xr:uid="{F5602893-253E-4C03-BBBE-E5C429EF9B9C}"/>
    <cellStyle name="Normal 11 3 3 4 2 4 3 2 2" xfId="43531" xr:uid="{B4ABCA33-CE9D-4C13-BAEA-D763CE46F1E1}"/>
    <cellStyle name="Normal 11 3 3 4 2 4 3 2 2 2" xfId="43532" xr:uid="{33AE9A69-4345-469C-B1E2-DEC6EA73C662}"/>
    <cellStyle name="Normal 11 3 3 4 2 4 3 2 3" xfId="43533" xr:uid="{2B3853BD-35FE-457F-8AC3-915CED329FD3}"/>
    <cellStyle name="Normal 11 3 3 4 2 4 3 3" xfId="43534" xr:uid="{FF1E4220-589F-4658-BC42-EE74655A2E37}"/>
    <cellStyle name="Normal 11 3 3 4 2 4 3 3 2" xfId="43535" xr:uid="{2CCB7788-8D0C-4F94-B1D2-7E25903C0511}"/>
    <cellStyle name="Normal 11 3 3 4 2 4 3 4" xfId="43536" xr:uid="{402AA781-14D2-4E38-8DA8-80B6E1FB4789}"/>
    <cellStyle name="Normal 11 3 3 4 2 4 4" xfId="43537" xr:uid="{31B055EE-24B4-4F54-8954-BD156114C8D7}"/>
    <cellStyle name="Normal 11 3 3 4 2 4 4 2" xfId="43538" xr:uid="{1F55554A-C7F2-455C-A1F9-FAD4E785F088}"/>
    <cellStyle name="Normal 11 3 3 4 2 4 4 2 2" xfId="43539" xr:uid="{0E119DA4-65D2-4D98-8C5A-058AF16F1F88}"/>
    <cellStyle name="Normal 11 3 3 4 2 4 4 3" xfId="43540" xr:uid="{57245955-54DC-45A0-A535-494D9B52DAE4}"/>
    <cellStyle name="Normal 11 3 3 4 2 4 5" xfId="43541" xr:uid="{A6BED16F-B9B3-4852-A885-B0C519DF80B0}"/>
    <cellStyle name="Normal 11 3 3 4 2 4 5 2" xfId="43542" xr:uid="{F9CFE7A4-0893-46E2-A15B-972ADE37EE51}"/>
    <cellStyle name="Normal 11 3 3 4 2 4 6" xfId="43543" xr:uid="{5EEDDB32-6053-4C4D-B299-1931BF03E620}"/>
    <cellStyle name="Normal 11 3 3 4 2 5" xfId="43544" xr:uid="{AA7DD9FC-41BB-4EF2-B7F3-C3E3618D6E02}"/>
    <cellStyle name="Normal 11 3 3 4 2 5 2" xfId="43545" xr:uid="{6ED37A47-8714-4148-B2FB-93411DAE88F3}"/>
    <cellStyle name="Normal 11 3 3 4 2 5 2 2" xfId="43546" xr:uid="{910992C1-42B6-429C-9306-94AB6F8F6C32}"/>
    <cellStyle name="Normal 11 3 3 4 2 5 2 2 2" xfId="43547" xr:uid="{1789DDD1-DBC0-4254-B0B6-7F970105A75A}"/>
    <cellStyle name="Normal 11 3 3 4 2 5 2 2 2 2" xfId="43548" xr:uid="{F5308044-1A40-4CEC-A636-FF7546109753}"/>
    <cellStyle name="Normal 11 3 3 4 2 5 2 2 3" xfId="43549" xr:uid="{19436DC7-8593-4F46-8B65-B7FA4F75DE62}"/>
    <cellStyle name="Normal 11 3 3 4 2 5 2 3" xfId="43550" xr:uid="{7FFEC6DE-54A4-4F0E-899A-B89BBBC5B4B2}"/>
    <cellStyle name="Normal 11 3 3 4 2 5 2 3 2" xfId="43551" xr:uid="{0D37A8CF-C4CD-448A-A99A-07C44A85A3A3}"/>
    <cellStyle name="Normal 11 3 3 4 2 5 2 4" xfId="43552" xr:uid="{7CC94226-E45A-4E60-93D0-19933844430E}"/>
    <cellStyle name="Normal 11 3 3 4 2 5 3" xfId="43553" xr:uid="{8C2313C0-12A8-43C9-84AD-9919C555550E}"/>
    <cellStyle name="Normal 11 3 3 4 2 5 3 2" xfId="43554" xr:uid="{188D424A-071E-4192-965C-03E1C3E90820}"/>
    <cellStyle name="Normal 11 3 3 4 2 5 3 2 2" xfId="43555" xr:uid="{DA1E4FC8-A45C-407B-874E-871EC343991C}"/>
    <cellStyle name="Normal 11 3 3 4 2 5 3 3" xfId="43556" xr:uid="{AF7534DE-76B1-4E3B-9B95-558795E8DDC5}"/>
    <cellStyle name="Normal 11 3 3 4 2 5 4" xfId="43557" xr:uid="{345E2B63-141E-4CE6-86CE-9F76588EE2C0}"/>
    <cellStyle name="Normal 11 3 3 4 2 5 4 2" xfId="43558" xr:uid="{26148348-07D8-41AA-B103-873073D2771F}"/>
    <cellStyle name="Normal 11 3 3 4 2 5 5" xfId="43559" xr:uid="{4B25BFAF-BE3F-4571-A205-4CF422A45CA1}"/>
    <cellStyle name="Normal 11 3 3 4 2 6" xfId="43560" xr:uid="{2EC70290-91E7-43D2-AFB4-4375B665AF94}"/>
    <cellStyle name="Normal 11 3 3 4 2 6 2" xfId="43561" xr:uid="{4D78698B-50CB-443C-AF5D-E143080DF279}"/>
    <cellStyle name="Normal 11 3 3 4 2 6 2 2" xfId="43562" xr:uid="{AA65D99B-0492-4BAF-ABC5-2D52C070D09D}"/>
    <cellStyle name="Normal 11 3 3 4 2 6 2 2 2" xfId="43563" xr:uid="{7CE1595D-EB54-4886-A51F-C97CAF4B2BE7}"/>
    <cellStyle name="Normal 11 3 3 4 2 6 2 3" xfId="43564" xr:uid="{F2335910-8E68-4687-BB64-3F72410E1983}"/>
    <cellStyle name="Normal 11 3 3 4 2 6 3" xfId="43565" xr:uid="{923870F5-5785-440A-815B-D2EA8CC033B5}"/>
    <cellStyle name="Normal 11 3 3 4 2 6 3 2" xfId="43566" xr:uid="{CD8547FA-9FB8-420A-9700-7CDB1E3FD5FC}"/>
    <cellStyle name="Normal 11 3 3 4 2 6 4" xfId="43567" xr:uid="{1800C580-DD83-4E9C-989F-33DF9662CA14}"/>
    <cellStyle name="Normal 11 3 3 4 2 7" xfId="43568" xr:uid="{CB1C8E81-ACB3-4B23-9F6F-5360FF067601}"/>
    <cellStyle name="Normal 11 3 3 4 2 7 2" xfId="43569" xr:uid="{440CC8B7-F2FA-498C-AFC7-2A1155FB1A87}"/>
    <cellStyle name="Normal 11 3 3 4 2 7 2 2" xfId="43570" xr:uid="{3D01ECAB-36FE-44A2-A35C-18189025F504}"/>
    <cellStyle name="Normal 11 3 3 4 2 7 3" xfId="43571" xr:uid="{B9B8FEBC-6144-47F0-855D-8D07099B1101}"/>
    <cellStyle name="Normal 11 3 3 4 2 8" xfId="43572" xr:uid="{66E4EB87-D142-48EB-9A43-35DFCFFC5800}"/>
    <cellStyle name="Normal 11 3 3 4 2 8 2" xfId="43573" xr:uid="{326A7B0C-8414-4BBB-9614-F8BF5802EC95}"/>
    <cellStyle name="Normal 11 3 3 4 2 9" xfId="43574" xr:uid="{79BB93F7-E3B8-4E61-B548-302896D6E81F}"/>
    <cellStyle name="Normal 11 3 3 4 3" xfId="496" xr:uid="{9AE92308-C93E-4D4F-B2BC-90A48338A73A}"/>
    <cellStyle name="Normal 11 3 3 4 3 2" xfId="43576" xr:uid="{4F5474CA-1C30-48C3-A1D3-FB4D95D7D30D}"/>
    <cellStyle name="Normal 11 3 3 4 3 2 2" xfId="43577" xr:uid="{F6C4473E-67BD-4921-A737-68E386E26BDD}"/>
    <cellStyle name="Normal 11 3 3 4 3 2 2 2" xfId="43578" xr:uid="{BA60BF51-A786-4177-B1D8-D9D675ECE47C}"/>
    <cellStyle name="Normal 11 3 3 4 3 2 2 2 2" xfId="43579" xr:uid="{012D62D7-F695-4057-A3B0-A3264A7095ED}"/>
    <cellStyle name="Normal 11 3 3 4 3 2 2 2 2 2" xfId="43580" xr:uid="{F48C943C-39FB-44E3-BB77-EF9C681B144F}"/>
    <cellStyle name="Normal 11 3 3 4 3 2 2 2 2 2 2" xfId="43581" xr:uid="{EDDD8E3C-DE21-4428-812D-29F487F8DB06}"/>
    <cellStyle name="Normal 11 3 3 4 3 2 2 2 2 2 2 2" xfId="43582" xr:uid="{BFD2646B-CFE5-486E-8A14-6FB9F7F22223}"/>
    <cellStyle name="Normal 11 3 3 4 3 2 2 2 2 2 3" xfId="43583" xr:uid="{5AD5680D-27B7-4779-B37D-4F181037FA14}"/>
    <cellStyle name="Normal 11 3 3 4 3 2 2 2 2 3" xfId="43584" xr:uid="{02EE33E9-1624-478C-AF68-262BD7E106FD}"/>
    <cellStyle name="Normal 11 3 3 4 3 2 2 2 2 3 2" xfId="43585" xr:uid="{0AFC1723-BEEE-4300-B49B-6FB463E21BDE}"/>
    <cellStyle name="Normal 11 3 3 4 3 2 2 2 2 4" xfId="43586" xr:uid="{1F8968F4-1EFF-40C5-96A6-49996EEDC52A}"/>
    <cellStyle name="Normal 11 3 3 4 3 2 2 2 3" xfId="43587" xr:uid="{B8D9D8F0-D318-4462-AC21-70B80C88A549}"/>
    <cellStyle name="Normal 11 3 3 4 3 2 2 2 3 2" xfId="43588" xr:uid="{F007B5F9-9947-47C0-98FA-8F877F7D8517}"/>
    <cellStyle name="Normal 11 3 3 4 3 2 2 2 3 2 2" xfId="43589" xr:uid="{46E20817-FB4B-408B-8EDF-3B48AEF434D4}"/>
    <cellStyle name="Normal 11 3 3 4 3 2 2 2 3 3" xfId="43590" xr:uid="{9F691037-CDA7-4A45-8ACC-0527CCCAE598}"/>
    <cellStyle name="Normal 11 3 3 4 3 2 2 2 4" xfId="43591" xr:uid="{59C5318A-1473-4670-B463-5D043F8581AB}"/>
    <cellStyle name="Normal 11 3 3 4 3 2 2 2 4 2" xfId="43592" xr:uid="{35C5D514-EF57-4045-AACC-804905EBA308}"/>
    <cellStyle name="Normal 11 3 3 4 3 2 2 2 5" xfId="43593" xr:uid="{FD983548-46B1-4A18-9E5B-8E21E97002BB}"/>
    <cellStyle name="Normal 11 3 3 4 3 2 2 3" xfId="43594" xr:uid="{ED8DA970-B0C6-4039-8685-4D2C60845E50}"/>
    <cellStyle name="Normal 11 3 3 4 3 2 2 3 2" xfId="43595" xr:uid="{4DE0412A-3D8F-47DB-93F2-ABAA70EF249C}"/>
    <cellStyle name="Normal 11 3 3 4 3 2 2 3 2 2" xfId="43596" xr:uid="{E50D91BA-E0C1-4F0D-96F1-C23FC216B722}"/>
    <cellStyle name="Normal 11 3 3 4 3 2 2 3 2 2 2" xfId="43597" xr:uid="{6E6E6BB1-A94C-4519-AEF3-643490D1CA51}"/>
    <cellStyle name="Normal 11 3 3 4 3 2 2 3 2 3" xfId="43598" xr:uid="{C77CEAF3-364A-4E51-9672-D0EC9DD31079}"/>
    <cellStyle name="Normal 11 3 3 4 3 2 2 3 3" xfId="43599" xr:uid="{2E160EC4-32E7-4F9C-822B-D12273CFE619}"/>
    <cellStyle name="Normal 11 3 3 4 3 2 2 3 3 2" xfId="43600" xr:uid="{EDD7FA75-7190-4BE3-A230-62A8D2EF813B}"/>
    <cellStyle name="Normal 11 3 3 4 3 2 2 3 4" xfId="43601" xr:uid="{B465C392-F28D-48EB-B31C-5EACAB1528A4}"/>
    <cellStyle name="Normal 11 3 3 4 3 2 2 4" xfId="43602" xr:uid="{4431E401-215E-481E-B241-EA7D6A74EDF2}"/>
    <cellStyle name="Normal 11 3 3 4 3 2 2 4 2" xfId="43603" xr:uid="{D0BB8378-A142-4FFD-AA21-1FD01AD53F99}"/>
    <cellStyle name="Normal 11 3 3 4 3 2 2 4 2 2" xfId="43604" xr:uid="{37E84F81-FA87-48F9-8D45-3E29206CF4D6}"/>
    <cellStyle name="Normal 11 3 3 4 3 2 2 4 3" xfId="43605" xr:uid="{A8EA8ED3-98A0-468F-ABC5-2178A7D6081F}"/>
    <cellStyle name="Normal 11 3 3 4 3 2 2 5" xfId="43606" xr:uid="{F853D535-5580-447E-B6DB-0EA28CC73760}"/>
    <cellStyle name="Normal 11 3 3 4 3 2 2 5 2" xfId="43607" xr:uid="{103ECF76-C2F2-4AC9-9CB5-55CFC3372B48}"/>
    <cellStyle name="Normal 11 3 3 4 3 2 2 6" xfId="43608" xr:uid="{C6E7DF80-4744-48DB-817E-9D137E5DDD87}"/>
    <cellStyle name="Normal 11 3 3 4 3 2 3" xfId="43609" xr:uid="{45D96FD4-2150-4149-B415-AD95C1EEB7BA}"/>
    <cellStyle name="Normal 11 3 3 4 3 2 3 2" xfId="43610" xr:uid="{B928C666-8C3C-478E-99ED-C5CA74EA03F6}"/>
    <cellStyle name="Normal 11 3 3 4 3 2 3 2 2" xfId="43611" xr:uid="{944D4C69-6168-4EFD-AFFB-141CD5E1B4BF}"/>
    <cellStyle name="Normal 11 3 3 4 3 2 3 2 2 2" xfId="43612" xr:uid="{A2550FB5-F2C6-4DF4-AA2D-016B3B53783E}"/>
    <cellStyle name="Normal 11 3 3 4 3 2 3 2 2 2 2" xfId="43613" xr:uid="{CA9B36C5-BE77-4C30-BC49-20422BA2FCC1}"/>
    <cellStyle name="Normal 11 3 3 4 3 2 3 2 2 3" xfId="43614" xr:uid="{9EEB540E-A481-4726-90D2-09292DC4F776}"/>
    <cellStyle name="Normal 11 3 3 4 3 2 3 2 3" xfId="43615" xr:uid="{2B61A63D-5159-4368-A4C5-595BFB7AC03E}"/>
    <cellStyle name="Normal 11 3 3 4 3 2 3 2 3 2" xfId="43616" xr:uid="{E18C79AD-9719-4737-A62B-3853F8F023F2}"/>
    <cellStyle name="Normal 11 3 3 4 3 2 3 2 4" xfId="43617" xr:uid="{150AAC1D-5331-4F4C-B893-B7193888D4B4}"/>
    <cellStyle name="Normal 11 3 3 4 3 2 3 3" xfId="43618" xr:uid="{636253D7-EB67-4589-8458-3F23A32EAF99}"/>
    <cellStyle name="Normal 11 3 3 4 3 2 3 3 2" xfId="43619" xr:uid="{4381A666-E6B9-4C58-9C43-DD60A1BC5B71}"/>
    <cellStyle name="Normal 11 3 3 4 3 2 3 3 2 2" xfId="43620" xr:uid="{3B3B3F50-CB03-407F-9A3A-4F75029D77CD}"/>
    <cellStyle name="Normal 11 3 3 4 3 2 3 3 3" xfId="43621" xr:uid="{9F6689D0-6F21-4930-98DB-F1F14EA4E942}"/>
    <cellStyle name="Normal 11 3 3 4 3 2 3 4" xfId="43622" xr:uid="{2CBC56A5-9CC1-4FBE-A5D0-D5BF64B5B2A5}"/>
    <cellStyle name="Normal 11 3 3 4 3 2 3 4 2" xfId="43623" xr:uid="{F9C673A7-5D3B-4929-B419-79E71E8DA49C}"/>
    <cellStyle name="Normal 11 3 3 4 3 2 3 5" xfId="43624" xr:uid="{C0C0927D-5BA8-4578-B0F1-8BFF365A5A8B}"/>
    <cellStyle name="Normal 11 3 3 4 3 2 4" xfId="43625" xr:uid="{5A026AAB-A2CD-450F-A937-337B6EBF0602}"/>
    <cellStyle name="Normal 11 3 3 4 3 2 4 2" xfId="43626" xr:uid="{CE36E8D3-3479-43D4-B9C9-3D6F73D83311}"/>
    <cellStyle name="Normal 11 3 3 4 3 2 4 2 2" xfId="43627" xr:uid="{93B101CA-4182-4739-9D8C-FC26BB8AF324}"/>
    <cellStyle name="Normal 11 3 3 4 3 2 4 2 2 2" xfId="43628" xr:uid="{C6F3B87B-0FBE-409D-8E0A-D5061CF5456D}"/>
    <cellStyle name="Normal 11 3 3 4 3 2 4 2 3" xfId="43629" xr:uid="{9797C91F-2F4A-4CCE-98CF-3A38E80D15B0}"/>
    <cellStyle name="Normal 11 3 3 4 3 2 4 3" xfId="43630" xr:uid="{82630290-1411-413E-98F2-B89255C32D4D}"/>
    <cellStyle name="Normal 11 3 3 4 3 2 4 3 2" xfId="43631" xr:uid="{00FE82A5-0A61-48CA-92A7-41B0CB20BCE0}"/>
    <cellStyle name="Normal 11 3 3 4 3 2 4 4" xfId="43632" xr:uid="{72E4A954-C777-4427-9928-905387723E3B}"/>
    <cellStyle name="Normal 11 3 3 4 3 2 5" xfId="43633" xr:uid="{1E13FB54-349B-4047-9AC3-2A0B7E0CF45D}"/>
    <cellStyle name="Normal 11 3 3 4 3 2 5 2" xfId="43634" xr:uid="{3FDAA93D-3391-4C45-A68A-AFDE34A1769D}"/>
    <cellStyle name="Normal 11 3 3 4 3 2 5 2 2" xfId="43635" xr:uid="{AC0FA7C2-FCAC-4D43-928B-12011CB64E35}"/>
    <cellStyle name="Normal 11 3 3 4 3 2 5 3" xfId="43636" xr:uid="{CDF6F7AA-EF75-44F2-AAF3-A199041ADEE5}"/>
    <cellStyle name="Normal 11 3 3 4 3 2 6" xfId="43637" xr:uid="{2AC9EA0A-F929-42E6-9088-A0701338BD2A}"/>
    <cellStyle name="Normal 11 3 3 4 3 2 6 2" xfId="43638" xr:uid="{6A44ECB8-4512-4B2F-9FD3-F610A90195B9}"/>
    <cellStyle name="Normal 11 3 3 4 3 2 7" xfId="43639" xr:uid="{AA358E15-D8FE-4015-BF9F-3AEB2CC3CF3F}"/>
    <cellStyle name="Normal 11 3 3 4 3 3" xfId="43640" xr:uid="{73F57038-9612-4C35-BAB9-6E3639E5ECF0}"/>
    <cellStyle name="Normal 11 3 3 4 3 3 2" xfId="43641" xr:uid="{D8C58883-94CA-4040-AB3D-DE59847650BD}"/>
    <cellStyle name="Normal 11 3 3 4 3 3 2 2" xfId="43642" xr:uid="{C5B0DC0F-6ECB-46E3-945B-4AD6A98EAE32}"/>
    <cellStyle name="Normal 11 3 3 4 3 3 2 2 2" xfId="43643" xr:uid="{967AAEF5-34A0-4CE0-B866-54E9BAB6DAAD}"/>
    <cellStyle name="Normal 11 3 3 4 3 3 2 2 2 2" xfId="43644" xr:uid="{9A025B91-5113-4219-8371-2FAF70A68EB7}"/>
    <cellStyle name="Normal 11 3 3 4 3 3 2 2 2 2 2" xfId="43645" xr:uid="{D9C73EC1-84A3-4888-A3B4-8BD5B71CD7E5}"/>
    <cellStyle name="Normal 11 3 3 4 3 3 2 2 2 3" xfId="43646" xr:uid="{1C611D52-70CD-4C92-9A20-504F4258E76E}"/>
    <cellStyle name="Normal 11 3 3 4 3 3 2 2 3" xfId="43647" xr:uid="{9B741B77-2824-44D6-A4B5-D0A98861A387}"/>
    <cellStyle name="Normal 11 3 3 4 3 3 2 2 3 2" xfId="43648" xr:uid="{6744CEC8-6B99-4E89-A765-84FF923E13C2}"/>
    <cellStyle name="Normal 11 3 3 4 3 3 2 2 4" xfId="43649" xr:uid="{F1C69D1E-9ECC-492E-8D82-A0D0FC799ADF}"/>
    <cellStyle name="Normal 11 3 3 4 3 3 2 3" xfId="43650" xr:uid="{938AC8C2-7400-42BE-AE79-464B25D5B0C0}"/>
    <cellStyle name="Normal 11 3 3 4 3 3 2 3 2" xfId="43651" xr:uid="{CC99417C-ECFC-4B1C-8B63-DD9DFEA1223B}"/>
    <cellStyle name="Normal 11 3 3 4 3 3 2 3 2 2" xfId="43652" xr:uid="{729AD575-9285-4584-BEF8-A7CFF1680B3B}"/>
    <cellStyle name="Normal 11 3 3 4 3 3 2 3 3" xfId="43653" xr:uid="{7AA2AD28-E6D7-4F4A-BCBB-E671EBA7BF1B}"/>
    <cellStyle name="Normal 11 3 3 4 3 3 2 4" xfId="43654" xr:uid="{714406F0-78FA-4AFE-A59A-E78238145209}"/>
    <cellStyle name="Normal 11 3 3 4 3 3 2 4 2" xfId="43655" xr:uid="{8CC67E08-9151-40C0-924C-0D954630A411}"/>
    <cellStyle name="Normal 11 3 3 4 3 3 2 5" xfId="43656" xr:uid="{A4585BD2-D457-4CEC-AD00-5FF947192A1A}"/>
    <cellStyle name="Normal 11 3 3 4 3 3 3" xfId="43657" xr:uid="{844038CF-557D-4E63-AFBC-E1609B15536D}"/>
    <cellStyle name="Normal 11 3 3 4 3 3 3 2" xfId="43658" xr:uid="{743D37D4-0998-4BA7-A69D-AF1FA7323E77}"/>
    <cellStyle name="Normal 11 3 3 4 3 3 3 2 2" xfId="43659" xr:uid="{4FBE9E42-9E58-4337-B40E-69C921423383}"/>
    <cellStyle name="Normal 11 3 3 4 3 3 3 2 2 2" xfId="43660" xr:uid="{374B3534-075F-425C-9F56-FD902A651A1E}"/>
    <cellStyle name="Normal 11 3 3 4 3 3 3 2 3" xfId="43661" xr:uid="{1D471ED8-9630-42F2-9298-47181B43CB40}"/>
    <cellStyle name="Normal 11 3 3 4 3 3 3 3" xfId="43662" xr:uid="{6F48E92E-043A-4E9A-A7B7-77A973C165F7}"/>
    <cellStyle name="Normal 11 3 3 4 3 3 3 3 2" xfId="43663" xr:uid="{C87EB673-3270-49C6-9515-DAD77B870151}"/>
    <cellStyle name="Normal 11 3 3 4 3 3 3 4" xfId="43664" xr:uid="{7ACAA3D9-1614-4F02-BFD6-DB7D533A6791}"/>
    <cellStyle name="Normal 11 3 3 4 3 3 4" xfId="43665" xr:uid="{7E61770A-80E3-4B01-88DD-77B1E33B27EE}"/>
    <cellStyle name="Normal 11 3 3 4 3 3 4 2" xfId="43666" xr:uid="{EE71319C-4733-469A-8277-E06F7F927C6B}"/>
    <cellStyle name="Normal 11 3 3 4 3 3 4 2 2" xfId="43667" xr:uid="{0E4F806B-28B0-4FA9-91B4-7BCB0FCEA1F2}"/>
    <cellStyle name="Normal 11 3 3 4 3 3 4 3" xfId="43668" xr:uid="{1D15A7B1-65D2-449D-9DDD-52FADE9F5517}"/>
    <cellStyle name="Normal 11 3 3 4 3 3 5" xfId="43669" xr:uid="{389B56A7-3482-4D8D-86E4-3F4FFD25C0EE}"/>
    <cellStyle name="Normal 11 3 3 4 3 3 5 2" xfId="43670" xr:uid="{D159E57C-AAC8-4E92-B99C-1A3D5811E8EF}"/>
    <cellStyle name="Normal 11 3 3 4 3 3 6" xfId="43671" xr:uid="{AA18FC40-76A7-4FCD-8CEA-3517A495F4FF}"/>
    <cellStyle name="Normal 11 3 3 4 3 4" xfId="43672" xr:uid="{92F75037-0858-4410-BD6E-15EDFC462871}"/>
    <cellStyle name="Normal 11 3 3 4 3 4 2" xfId="43673" xr:uid="{52D7A6AD-242B-4284-9C74-6F8643C6D976}"/>
    <cellStyle name="Normal 11 3 3 4 3 4 2 2" xfId="43674" xr:uid="{BC22A324-DFC4-4803-9713-16977031819E}"/>
    <cellStyle name="Normal 11 3 3 4 3 4 2 2 2" xfId="43675" xr:uid="{2C5B9BCA-2848-47BE-AFE7-11998C0637F3}"/>
    <cellStyle name="Normal 11 3 3 4 3 4 2 2 2 2" xfId="43676" xr:uid="{11456511-C8BB-40D6-9879-6B820E7664D5}"/>
    <cellStyle name="Normal 11 3 3 4 3 4 2 2 3" xfId="43677" xr:uid="{8427F0E1-3C8B-44C4-96A2-7C8B7562F2BB}"/>
    <cellStyle name="Normal 11 3 3 4 3 4 2 3" xfId="43678" xr:uid="{6DA87939-8BB0-43E1-A343-6CDADE710183}"/>
    <cellStyle name="Normal 11 3 3 4 3 4 2 3 2" xfId="43679" xr:uid="{FDD6D0CE-A6E5-486D-87DC-C1FD6B4F932C}"/>
    <cellStyle name="Normal 11 3 3 4 3 4 2 4" xfId="43680" xr:uid="{E8E054D2-7C92-4F44-A366-823F7BF467DC}"/>
    <cellStyle name="Normal 11 3 3 4 3 4 3" xfId="43681" xr:uid="{B905A45D-D606-4065-8D6C-E7543000F3FD}"/>
    <cellStyle name="Normal 11 3 3 4 3 4 3 2" xfId="43682" xr:uid="{66A5CF6D-110A-4F03-AF89-00A6CCA7ECF1}"/>
    <cellStyle name="Normal 11 3 3 4 3 4 3 2 2" xfId="43683" xr:uid="{33677CA0-14F9-4F21-A4E6-C014049452FC}"/>
    <cellStyle name="Normal 11 3 3 4 3 4 3 3" xfId="43684" xr:uid="{A97D5DA4-CDAD-4B1A-B602-B1806F3EC968}"/>
    <cellStyle name="Normal 11 3 3 4 3 4 4" xfId="43685" xr:uid="{951A127D-6F27-4E23-8370-A7064153F097}"/>
    <cellStyle name="Normal 11 3 3 4 3 4 4 2" xfId="43686" xr:uid="{DD892661-7402-4C90-86DB-C82F26C88B0A}"/>
    <cellStyle name="Normal 11 3 3 4 3 4 5" xfId="43687" xr:uid="{01AEE51C-75FB-4487-8F95-CB6D3DF0443A}"/>
    <cellStyle name="Normal 11 3 3 4 3 5" xfId="43688" xr:uid="{42BE1908-C867-4816-AF79-24FF2FE3D14F}"/>
    <cellStyle name="Normal 11 3 3 4 3 5 2" xfId="43689" xr:uid="{BF415AD2-CE62-49A3-9822-40842AFF16B3}"/>
    <cellStyle name="Normal 11 3 3 4 3 5 2 2" xfId="43690" xr:uid="{550DA31C-D3AE-4DB7-B7F5-0C3ED5068530}"/>
    <cellStyle name="Normal 11 3 3 4 3 5 2 2 2" xfId="43691" xr:uid="{7DE3952B-5301-417F-90E5-73B2AD2F76FE}"/>
    <cellStyle name="Normal 11 3 3 4 3 5 2 3" xfId="43692" xr:uid="{93EFBEA3-D466-48E2-804F-A2BBAD877D35}"/>
    <cellStyle name="Normal 11 3 3 4 3 5 3" xfId="43693" xr:uid="{813AFB16-6333-4876-B7E9-7AD2C0C2F4CD}"/>
    <cellStyle name="Normal 11 3 3 4 3 5 3 2" xfId="43694" xr:uid="{47959787-6A34-4815-976E-575C8DEA15DA}"/>
    <cellStyle name="Normal 11 3 3 4 3 5 4" xfId="43695" xr:uid="{8E84F9EB-B637-4612-8E9B-8085F5D2AD6B}"/>
    <cellStyle name="Normal 11 3 3 4 3 6" xfId="43696" xr:uid="{F4369142-D56D-417E-A5B5-F71CA128BA95}"/>
    <cellStyle name="Normal 11 3 3 4 3 6 2" xfId="43697" xr:uid="{420B2C32-C159-4021-9380-3567B10D82A7}"/>
    <cellStyle name="Normal 11 3 3 4 3 6 2 2" xfId="43698" xr:uid="{C6E0B4ED-487C-4B57-B5EF-88D803724C9E}"/>
    <cellStyle name="Normal 11 3 3 4 3 6 3" xfId="43699" xr:uid="{141C90EC-675A-430C-9593-EEE183085E8B}"/>
    <cellStyle name="Normal 11 3 3 4 3 7" xfId="43700" xr:uid="{B9428D7F-27AB-4B2E-9056-262F1AADD592}"/>
    <cellStyle name="Normal 11 3 3 4 3 7 2" xfId="43701" xr:uid="{80FC0DC4-99B5-45E8-A901-AF660DD400D3}"/>
    <cellStyle name="Normal 11 3 3 4 3 8" xfId="43702" xr:uid="{A977B905-14BC-4A39-8590-ABE239B354E5}"/>
    <cellStyle name="Normal 11 3 3 4 3 9" xfId="43575" xr:uid="{94B737C3-C102-4749-9204-E2FF4A0796B1}"/>
    <cellStyle name="Normal 11 3 3 4 4" xfId="43703" xr:uid="{B21671EB-4CAF-4956-A979-B0D3162A16F8}"/>
    <cellStyle name="Normal 11 3 3 4 4 2" xfId="43704" xr:uid="{AAB4E945-587E-4C37-8065-35F837E95D2F}"/>
    <cellStyle name="Normal 11 3 3 4 4 2 2" xfId="43705" xr:uid="{1A02557E-1257-4771-A335-B94520F0EF32}"/>
    <cellStyle name="Normal 11 3 3 4 4 2 2 2" xfId="43706" xr:uid="{2DD7300A-C121-4170-B2F4-BE0824FCE237}"/>
    <cellStyle name="Normal 11 3 3 4 4 2 2 2 2" xfId="43707" xr:uid="{F01ACEBD-043F-4284-8A4C-FEBEFE0D470D}"/>
    <cellStyle name="Normal 11 3 3 4 4 2 2 2 2 2" xfId="43708" xr:uid="{88E35673-B56F-444B-9121-8FCA639F5814}"/>
    <cellStyle name="Normal 11 3 3 4 4 2 2 2 2 2 2" xfId="43709" xr:uid="{272F7076-30FC-40DB-8B1A-68E08E818EC5}"/>
    <cellStyle name="Normal 11 3 3 4 4 2 2 2 2 3" xfId="43710" xr:uid="{360EA144-6C63-4E94-A72B-33C9D59E4711}"/>
    <cellStyle name="Normal 11 3 3 4 4 2 2 2 3" xfId="43711" xr:uid="{CAFE6AAB-E58E-4D6E-A389-A7FC801FEFCB}"/>
    <cellStyle name="Normal 11 3 3 4 4 2 2 2 3 2" xfId="43712" xr:uid="{EF2B6CFD-8A70-47F0-AA0B-03F1434F17E2}"/>
    <cellStyle name="Normal 11 3 3 4 4 2 2 2 4" xfId="43713" xr:uid="{C19808EA-4D97-419F-98B9-63C1AE38A422}"/>
    <cellStyle name="Normal 11 3 3 4 4 2 2 3" xfId="43714" xr:uid="{E021C1B8-6C69-45AF-9F6A-291245281455}"/>
    <cellStyle name="Normal 11 3 3 4 4 2 2 3 2" xfId="43715" xr:uid="{E336CFE0-B8BC-452B-A9CB-F1032F01F2B9}"/>
    <cellStyle name="Normal 11 3 3 4 4 2 2 3 2 2" xfId="43716" xr:uid="{5A7E73D1-65F6-4D41-9EE7-4C3B57BBE5A4}"/>
    <cellStyle name="Normal 11 3 3 4 4 2 2 3 3" xfId="43717" xr:uid="{5CADCC1A-F703-4133-90EE-2BD031A55C1F}"/>
    <cellStyle name="Normal 11 3 3 4 4 2 2 4" xfId="43718" xr:uid="{03576C42-D443-45C8-B87C-CB0D8A959E3E}"/>
    <cellStyle name="Normal 11 3 3 4 4 2 2 4 2" xfId="43719" xr:uid="{104829E2-7DF0-4DA7-8750-FF8EA9736BEB}"/>
    <cellStyle name="Normal 11 3 3 4 4 2 2 5" xfId="43720" xr:uid="{31BDA3DF-DE33-458F-9151-C5E4F2C15BCB}"/>
    <cellStyle name="Normal 11 3 3 4 4 2 3" xfId="43721" xr:uid="{96167DBA-86BB-4799-B4FB-3A82677215F7}"/>
    <cellStyle name="Normal 11 3 3 4 4 2 3 2" xfId="43722" xr:uid="{507D07B1-5B85-4211-962D-4C5D416AAB48}"/>
    <cellStyle name="Normal 11 3 3 4 4 2 3 2 2" xfId="43723" xr:uid="{75EF7EF1-EFFF-4215-8254-276C105B6E63}"/>
    <cellStyle name="Normal 11 3 3 4 4 2 3 2 2 2" xfId="43724" xr:uid="{FAA7A244-5D43-4206-826B-9E964D256D63}"/>
    <cellStyle name="Normal 11 3 3 4 4 2 3 2 3" xfId="43725" xr:uid="{FD498BB0-FF8B-4F9B-BB4E-397C28690206}"/>
    <cellStyle name="Normal 11 3 3 4 4 2 3 3" xfId="43726" xr:uid="{805E3395-7B0C-4BB8-8B02-B30DEE2DDE2B}"/>
    <cellStyle name="Normal 11 3 3 4 4 2 3 3 2" xfId="43727" xr:uid="{3292C0F8-EE9C-4C4B-AF43-532545980352}"/>
    <cellStyle name="Normal 11 3 3 4 4 2 3 4" xfId="43728" xr:uid="{830C553B-9AE3-4D3F-829C-C528BC91B73E}"/>
    <cellStyle name="Normal 11 3 3 4 4 2 4" xfId="43729" xr:uid="{41B0E9F5-46DE-4518-A849-87E15ED58712}"/>
    <cellStyle name="Normal 11 3 3 4 4 2 4 2" xfId="43730" xr:uid="{876EDCCC-9432-424F-9E38-1E6B5B14F421}"/>
    <cellStyle name="Normal 11 3 3 4 4 2 4 2 2" xfId="43731" xr:uid="{A1BCC6B7-FE62-4A7C-A6A4-F8A4952A78A9}"/>
    <cellStyle name="Normal 11 3 3 4 4 2 4 3" xfId="43732" xr:uid="{DE561B6D-3F6D-4466-AC51-62815EE666BD}"/>
    <cellStyle name="Normal 11 3 3 4 4 2 5" xfId="43733" xr:uid="{B1D6A32E-23F0-4A72-BC21-06870BDEEB5A}"/>
    <cellStyle name="Normal 11 3 3 4 4 2 5 2" xfId="43734" xr:uid="{551EC066-B524-4B52-B135-32E25181FCFB}"/>
    <cellStyle name="Normal 11 3 3 4 4 2 6" xfId="43735" xr:uid="{72D135B3-57A6-4B18-BA96-0132A30A8238}"/>
    <cellStyle name="Normal 11 3 3 4 4 3" xfId="43736" xr:uid="{6EF53A34-FC73-4A9B-908C-272017A69440}"/>
    <cellStyle name="Normal 11 3 3 4 4 3 2" xfId="43737" xr:uid="{9C84B9FD-AEA9-4856-862C-911343A4F9E3}"/>
    <cellStyle name="Normal 11 3 3 4 4 3 2 2" xfId="43738" xr:uid="{62C7EDBA-DA43-41F1-BC64-FE539EE9B20F}"/>
    <cellStyle name="Normal 11 3 3 4 4 3 2 2 2" xfId="43739" xr:uid="{DB70D01C-2402-46B6-A59A-545F52C300ED}"/>
    <cellStyle name="Normal 11 3 3 4 4 3 2 2 2 2" xfId="43740" xr:uid="{E6FA53E5-FB92-490A-8BB1-239C3294F21C}"/>
    <cellStyle name="Normal 11 3 3 4 4 3 2 2 3" xfId="43741" xr:uid="{528610A5-41AB-45DE-BB7B-4F87E1B2780E}"/>
    <cellStyle name="Normal 11 3 3 4 4 3 2 3" xfId="43742" xr:uid="{24EC8BB9-640E-436A-9C3A-7FEA82A8B71B}"/>
    <cellStyle name="Normal 11 3 3 4 4 3 2 3 2" xfId="43743" xr:uid="{FD6E3EAD-16E6-44D1-B9E9-6C645EE48CD7}"/>
    <cellStyle name="Normal 11 3 3 4 4 3 2 4" xfId="43744" xr:uid="{103B4715-CA67-4606-8E3E-ADAB9657E449}"/>
    <cellStyle name="Normal 11 3 3 4 4 3 3" xfId="43745" xr:uid="{FABB8031-BEB1-4F6B-9B1C-4305B680B144}"/>
    <cellStyle name="Normal 11 3 3 4 4 3 3 2" xfId="43746" xr:uid="{38408AE6-B529-48C0-82D6-BF27778C1415}"/>
    <cellStyle name="Normal 11 3 3 4 4 3 3 2 2" xfId="43747" xr:uid="{BDE5B6A6-42A8-40E6-B442-BC3BA749D181}"/>
    <cellStyle name="Normal 11 3 3 4 4 3 3 3" xfId="43748" xr:uid="{FBF4BC33-DE5E-4D9B-9217-4C12155D1684}"/>
    <cellStyle name="Normal 11 3 3 4 4 3 4" xfId="43749" xr:uid="{A9ED4256-37A9-43A6-BFA3-3772596042EB}"/>
    <cellStyle name="Normal 11 3 3 4 4 3 4 2" xfId="43750" xr:uid="{7FD8C1C2-BC05-4B21-8171-28DCEA1E2E84}"/>
    <cellStyle name="Normal 11 3 3 4 4 3 5" xfId="43751" xr:uid="{364461D9-11BA-450C-B994-EBA5F41D2D33}"/>
    <cellStyle name="Normal 11 3 3 4 4 4" xfId="43752" xr:uid="{BABA7ECD-25CB-4D5B-95BE-75D28832F252}"/>
    <cellStyle name="Normal 11 3 3 4 4 4 2" xfId="43753" xr:uid="{B37318F2-25DD-462D-A6D0-740CCCA34A4C}"/>
    <cellStyle name="Normal 11 3 3 4 4 4 2 2" xfId="43754" xr:uid="{2663E506-3B5F-4B8C-8137-3254AE469C0C}"/>
    <cellStyle name="Normal 11 3 3 4 4 4 2 2 2" xfId="43755" xr:uid="{6A35F4F2-D651-4F62-8B3A-85EE92DECE83}"/>
    <cellStyle name="Normal 11 3 3 4 4 4 2 3" xfId="43756" xr:uid="{923B1208-2788-4327-8C1B-77404654839D}"/>
    <cellStyle name="Normal 11 3 3 4 4 4 3" xfId="43757" xr:uid="{58629B56-FCA1-4318-A5DF-28396BFA3DEC}"/>
    <cellStyle name="Normal 11 3 3 4 4 4 3 2" xfId="43758" xr:uid="{EB982BD5-9FAC-4C18-94E2-257AD058C329}"/>
    <cellStyle name="Normal 11 3 3 4 4 4 4" xfId="43759" xr:uid="{AEE7FC3F-9E59-4CB7-8137-1F1DCA94649C}"/>
    <cellStyle name="Normal 11 3 3 4 4 5" xfId="43760" xr:uid="{3FFC191C-6B8D-4F5A-ACF0-15193C77AC76}"/>
    <cellStyle name="Normal 11 3 3 4 4 5 2" xfId="43761" xr:uid="{E9CD47A3-7DFA-4EAF-A7D8-AA216B046B3E}"/>
    <cellStyle name="Normal 11 3 3 4 4 5 2 2" xfId="43762" xr:uid="{A36D627A-8E79-4B82-8839-F04DF802A133}"/>
    <cellStyle name="Normal 11 3 3 4 4 5 3" xfId="43763" xr:uid="{0619A8EC-0B52-4A3A-8C9B-70486D7D5F36}"/>
    <cellStyle name="Normal 11 3 3 4 4 6" xfId="43764" xr:uid="{CECD1EB9-97B9-4052-BABE-4473BE3C171A}"/>
    <cellStyle name="Normal 11 3 3 4 4 6 2" xfId="43765" xr:uid="{94E01564-7D22-43C0-84F0-D77116DB182A}"/>
    <cellStyle name="Normal 11 3 3 4 4 7" xfId="43766" xr:uid="{ED0F3C59-2D1C-48BB-85F9-E87622E0DEC5}"/>
    <cellStyle name="Normal 11 3 3 4 5" xfId="43767" xr:uid="{423EC341-10C6-4E7E-A229-37C5EAE79564}"/>
    <cellStyle name="Normal 11 3 3 4 5 2" xfId="43768" xr:uid="{60B7A757-D5FB-4372-8648-BB68F77BF703}"/>
    <cellStyle name="Normal 11 3 3 4 5 2 2" xfId="43769" xr:uid="{FCF42F03-7E9E-4F4A-AA4A-D7798A9B8A3B}"/>
    <cellStyle name="Normal 11 3 3 4 5 2 2 2" xfId="43770" xr:uid="{78299995-79B7-4AC6-9B7C-79B1502ECCD3}"/>
    <cellStyle name="Normal 11 3 3 4 5 2 2 2 2" xfId="43771" xr:uid="{979A3C05-1DF6-4F4B-B8ED-8BD55A7EEC23}"/>
    <cellStyle name="Normal 11 3 3 4 5 2 2 2 2 2" xfId="43772" xr:uid="{65174EBC-59A0-4F79-AE99-69E1940E0472}"/>
    <cellStyle name="Normal 11 3 3 4 5 2 2 2 3" xfId="43773" xr:uid="{0D5EE8A9-89A7-4731-ADE8-BE38BA62104B}"/>
    <cellStyle name="Normal 11 3 3 4 5 2 2 3" xfId="43774" xr:uid="{EB92F8EF-80DD-4C6D-B30D-DD40E087D012}"/>
    <cellStyle name="Normal 11 3 3 4 5 2 2 3 2" xfId="43775" xr:uid="{F43740E9-377F-479C-B801-2840249992C9}"/>
    <cellStyle name="Normal 11 3 3 4 5 2 2 4" xfId="43776" xr:uid="{A8385E27-9D70-4571-84B6-1AB99436CEBF}"/>
    <cellStyle name="Normal 11 3 3 4 5 2 3" xfId="43777" xr:uid="{653BBD2A-DCC3-493B-8A1D-E644AC5C8362}"/>
    <cellStyle name="Normal 11 3 3 4 5 2 3 2" xfId="43778" xr:uid="{0733B874-EAF2-4916-8332-C762AE4231AF}"/>
    <cellStyle name="Normal 11 3 3 4 5 2 3 2 2" xfId="43779" xr:uid="{FF7B18AF-E8BE-4012-BF32-16AA6894E179}"/>
    <cellStyle name="Normal 11 3 3 4 5 2 3 3" xfId="43780" xr:uid="{75B4F702-4357-4D55-8E0C-81BC6AB22393}"/>
    <cellStyle name="Normal 11 3 3 4 5 2 4" xfId="43781" xr:uid="{D6607445-8A0E-47DF-B486-5D017FF7BE48}"/>
    <cellStyle name="Normal 11 3 3 4 5 2 4 2" xfId="43782" xr:uid="{CAB917AA-9510-4EEA-9879-B4C7DDC5DCFE}"/>
    <cellStyle name="Normal 11 3 3 4 5 2 5" xfId="43783" xr:uid="{2565BC65-F29F-4C75-BF99-9458D7BFA041}"/>
    <cellStyle name="Normal 11 3 3 4 5 3" xfId="43784" xr:uid="{C9E8A490-97BE-484A-A32C-FC953EA43894}"/>
    <cellStyle name="Normal 11 3 3 4 5 3 2" xfId="43785" xr:uid="{301F412A-AABE-4C68-8336-17E2BAC61AD0}"/>
    <cellStyle name="Normal 11 3 3 4 5 3 2 2" xfId="43786" xr:uid="{FC61C952-982F-4B0E-85D2-1FFBE35E9584}"/>
    <cellStyle name="Normal 11 3 3 4 5 3 2 2 2" xfId="43787" xr:uid="{C8ED96BF-5626-4536-B6AD-0274013642DE}"/>
    <cellStyle name="Normal 11 3 3 4 5 3 2 3" xfId="43788" xr:uid="{6B825905-EC1C-488C-9952-6DFC9DE111F3}"/>
    <cellStyle name="Normal 11 3 3 4 5 3 3" xfId="43789" xr:uid="{ECA004B5-95F6-4EF6-9349-E3B7DA02F796}"/>
    <cellStyle name="Normal 11 3 3 4 5 3 3 2" xfId="43790" xr:uid="{0A271205-EEFE-427F-B5EC-5B4553DF0BAB}"/>
    <cellStyle name="Normal 11 3 3 4 5 3 4" xfId="43791" xr:uid="{D09449AB-CD54-440E-8AFD-544B5CF5921D}"/>
    <cellStyle name="Normal 11 3 3 4 5 4" xfId="43792" xr:uid="{5D4AAF10-0C2D-4E63-9ED4-F121F77D60CB}"/>
    <cellStyle name="Normal 11 3 3 4 5 4 2" xfId="43793" xr:uid="{947BED83-0278-4537-B615-DCE227152574}"/>
    <cellStyle name="Normal 11 3 3 4 5 4 2 2" xfId="43794" xr:uid="{4CB3BB57-6D5B-4E6C-893C-087C1567CC11}"/>
    <cellStyle name="Normal 11 3 3 4 5 4 3" xfId="43795" xr:uid="{F1E46BE3-3FDD-443D-9446-9262BA9E1372}"/>
    <cellStyle name="Normal 11 3 3 4 5 5" xfId="43796" xr:uid="{F10179A7-6CD1-421A-9CEB-B7A4471797E4}"/>
    <cellStyle name="Normal 11 3 3 4 5 5 2" xfId="43797" xr:uid="{3304A9E4-6A21-4964-BC4B-AEC3DF38D1F9}"/>
    <cellStyle name="Normal 11 3 3 4 5 6" xfId="43798" xr:uid="{5FD19D27-E53F-4263-B9C0-1EC1B1967593}"/>
    <cellStyle name="Normal 11 3 3 4 6" xfId="43799" xr:uid="{0FBF46B3-AA90-4A32-90D4-7D7DD88C3922}"/>
    <cellStyle name="Normal 11 3 3 4 6 2" xfId="43800" xr:uid="{B420684B-9A11-464E-9786-80D6CD96A47B}"/>
    <cellStyle name="Normal 11 3 3 4 6 2 2" xfId="43801" xr:uid="{828404C2-2D52-4C16-B0B0-29C30CCB1FB8}"/>
    <cellStyle name="Normal 11 3 3 4 6 2 2 2" xfId="43802" xr:uid="{92CEBE0A-1148-4622-9E78-9ADD64118884}"/>
    <cellStyle name="Normal 11 3 3 4 6 2 2 2 2" xfId="43803" xr:uid="{9C397D78-7591-4752-9056-6CFCDB227504}"/>
    <cellStyle name="Normal 11 3 3 4 6 2 2 3" xfId="43804" xr:uid="{AECA01F5-C666-49FD-AC2F-DA92D33E07AD}"/>
    <cellStyle name="Normal 11 3 3 4 6 2 3" xfId="43805" xr:uid="{06CDC7E8-6D2B-4E29-B4F1-CF2CE7044D21}"/>
    <cellStyle name="Normal 11 3 3 4 6 2 3 2" xfId="43806" xr:uid="{04505314-D2E0-4B51-9A8A-084285E08288}"/>
    <cellStyle name="Normal 11 3 3 4 6 2 4" xfId="43807" xr:uid="{EA642A01-8AA3-43D0-8C69-296AECD7314B}"/>
    <cellStyle name="Normal 11 3 3 4 6 3" xfId="43808" xr:uid="{950F5C0F-1C98-4895-A20E-B2E6AEA7D377}"/>
    <cellStyle name="Normal 11 3 3 4 6 3 2" xfId="43809" xr:uid="{D54C176B-7EC1-4E62-80F2-1C1CBD26B116}"/>
    <cellStyle name="Normal 11 3 3 4 6 3 2 2" xfId="43810" xr:uid="{1E65BB40-CBF9-4992-A4F4-516357D11453}"/>
    <cellStyle name="Normal 11 3 3 4 6 3 3" xfId="43811" xr:uid="{231239FD-5A36-44BD-A1CC-F27E92C2950B}"/>
    <cellStyle name="Normal 11 3 3 4 6 4" xfId="43812" xr:uid="{FE7475E1-41D3-4275-8032-4EB31E58707C}"/>
    <cellStyle name="Normal 11 3 3 4 6 4 2" xfId="43813" xr:uid="{537FE0DB-AD0B-4E3E-A374-8423B2E34986}"/>
    <cellStyle name="Normal 11 3 3 4 6 5" xfId="43814" xr:uid="{A65537E8-DFAA-415B-BB4D-7210E87FD16F}"/>
    <cellStyle name="Normal 11 3 3 4 7" xfId="43815" xr:uid="{63A77629-B786-4558-AB99-C7C9BB6D8524}"/>
    <cellStyle name="Normal 11 3 3 4 7 2" xfId="43816" xr:uid="{BC6DF9FB-FDD1-4A49-AF6F-AB80A0ADFB6E}"/>
    <cellStyle name="Normal 11 3 3 4 7 2 2" xfId="43817" xr:uid="{881873C9-BDBF-42D8-9ACA-D1A673E07993}"/>
    <cellStyle name="Normal 11 3 3 4 7 2 2 2" xfId="43818" xr:uid="{EB6378B9-C856-4EA5-BC96-7CFA0FDFE69A}"/>
    <cellStyle name="Normal 11 3 3 4 7 2 3" xfId="43819" xr:uid="{C3419AF8-E96D-4486-9474-DE5158F3E145}"/>
    <cellStyle name="Normal 11 3 3 4 7 3" xfId="43820" xr:uid="{03CAC18E-0DCB-4BA1-9ADA-8645793D4654}"/>
    <cellStyle name="Normal 11 3 3 4 7 3 2" xfId="43821" xr:uid="{C14470BB-DD04-427D-A2B6-881FFA7BA341}"/>
    <cellStyle name="Normal 11 3 3 4 7 4" xfId="43822" xr:uid="{0DA04FC6-6781-4D6D-B5FF-5651CDDB4F32}"/>
    <cellStyle name="Normal 11 3 3 4 8" xfId="43823" xr:uid="{05804AFA-FEC5-4344-8579-E9EE94C992B7}"/>
    <cellStyle name="Normal 11 3 3 4 8 2" xfId="43824" xr:uid="{B0D480CA-C649-4C5C-BCB2-85089DE3FF95}"/>
    <cellStyle name="Normal 11 3 3 4 8 2 2" xfId="43825" xr:uid="{1DB61B7B-29A4-44FB-BB9C-A6B0D5237261}"/>
    <cellStyle name="Normal 11 3 3 4 8 3" xfId="43826" xr:uid="{D7B091CB-059B-47C6-8A9E-FCC347D1E82B}"/>
    <cellStyle name="Normal 11 3 3 4 9" xfId="43827" xr:uid="{DFA06B0E-00F5-44CD-8146-4CB51D5A8522}"/>
    <cellStyle name="Normal 11 3 3 4 9 2" xfId="43828" xr:uid="{C8C4B63D-2816-4F6B-A165-6A65F0F7661D}"/>
    <cellStyle name="Normal 11 3 3 5" xfId="277" xr:uid="{D6B66712-1022-420F-9F52-4A9DA6360542}"/>
    <cellStyle name="Normal 11 3 3 5 10" xfId="43829" xr:uid="{300AE12D-AA6D-467E-8AB7-1A83A464FEE2}"/>
    <cellStyle name="Normal 11 3 3 5 11" xfId="602" xr:uid="{26AD91E3-EA4A-4A4C-9BD1-BAFAAD1C3C23}"/>
    <cellStyle name="Normal 11 3 3 5 2" xfId="385" xr:uid="{46384CA5-7DAF-4828-AAAF-F4FFE05C04D3}"/>
    <cellStyle name="Normal 11 3 3 5 2 10" xfId="43830" xr:uid="{6C639E7B-1308-4C89-9C94-981710255788}"/>
    <cellStyle name="Normal 11 3 3 5 2 2" xfId="43831" xr:uid="{6DFC3163-9C0B-404D-8FF0-341E2FBD533C}"/>
    <cellStyle name="Normal 11 3 3 5 2 2 2" xfId="43832" xr:uid="{D4002B11-8C21-43E7-960B-C3887D7F38A9}"/>
    <cellStyle name="Normal 11 3 3 5 2 2 2 2" xfId="43833" xr:uid="{41A0D107-E782-4F36-972C-E7156FB01AFD}"/>
    <cellStyle name="Normal 11 3 3 5 2 2 2 2 2" xfId="43834" xr:uid="{E6E21CAA-2412-479F-89DE-F82F3B597CF4}"/>
    <cellStyle name="Normal 11 3 3 5 2 2 2 2 2 2" xfId="43835" xr:uid="{8EED0BF6-04BC-4EC7-8F7A-28C3965B763C}"/>
    <cellStyle name="Normal 11 3 3 5 2 2 2 2 2 2 2" xfId="43836" xr:uid="{7D49EA8A-EA35-4D3F-BE3C-27D61AAC36D8}"/>
    <cellStyle name="Normal 11 3 3 5 2 2 2 2 2 2 2 2" xfId="43837" xr:uid="{68145D5D-CAB9-4B23-8241-FD3DAD69EB19}"/>
    <cellStyle name="Normal 11 3 3 5 2 2 2 2 2 2 2 2 2" xfId="43838" xr:uid="{A4FB21A1-1349-475F-801A-5145976D90DE}"/>
    <cellStyle name="Normal 11 3 3 5 2 2 2 2 2 2 2 3" xfId="43839" xr:uid="{F05D9B3B-21AC-45E0-AEFC-4F121DDB1B88}"/>
    <cellStyle name="Normal 11 3 3 5 2 2 2 2 2 2 3" xfId="43840" xr:uid="{DDF55A67-B0D9-4A73-9030-460B346302F1}"/>
    <cellStyle name="Normal 11 3 3 5 2 2 2 2 2 2 3 2" xfId="43841" xr:uid="{B697481A-454B-4968-ABEA-040E5D36CF2E}"/>
    <cellStyle name="Normal 11 3 3 5 2 2 2 2 2 2 4" xfId="43842" xr:uid="{22A2B6FC-32D0-429D-A74C-DE0B3F74E0A0}"/>
    <cellStyle name="Normal 11 3 3 5 2 2 2 2 2 3" xfId="43843" xr:uid="{40BA0BA6-3BCA-4A0E-BADB-2B1861AA0240}"/>
    <cellStyle name="Normal 11 3 3 5 2 2 2 2 2 3 2" xfId="43844" xr:uid="{EE75225D-72B9-414F-BEE5-BC3A776BF792}"/>
    <cellStyle name="Normal 11 3 3 5 2 2 2 2 2 3 2 2" xfId="43845" xr:uid="{A90F32D1-0477-4EC4-9DD5-465B43B217DA}"/>
    <cellStyle name="Normal 11 3 3 5 2 2 2 2 2 3 3" xfId="43846" xr:uid="{1721F1AC-6BCF-41D0-AFEB-4106A7A5AA8D}"/>
    <cellStyle name="Normal 11 3 3 5 2 2 2 2 2 4" xfId="43847" xr:uid="{EC5B00F4-E278-413B-B2D8-C68E0342B13D}"/>
    <cellStyle name="Normal 11 3 3 5 2 2 2 2 2 4 2" xfId="43848" xr:uid="{BCFC7C2E-589A-40F6-B8DB-6926EF554C7A}"/>
    <cellStyle name="Normal 11 3 3 5 2 2 2 2 2 5" xfId="43849" xr:uid="{E09A0A99-61AD-4F35-A541-24728C2697EC}"/>
    <cellStyle name="Normal 11 3 3 5 2 2 2 2 3" xfId="43850" xr:uid="{CEA54F55-2510-437B-AC5C-6776282CADF7}"/>
    <cellStyle name="Normal 11 3 3 5 2 2 2 2 3 2" xfId="43851" xr:uid="{B4B6DF14-089D-48D7-9574-37603A840E9A}"/>
    <cellStyle name="Normal 11 3 3 5 2 2 2 2 3 2 2" xfId="43852" xr:uid="{01377CCE-AD08-44CB-A831-F8949DD2A1EB}"/>
    <cellStyle name="Normal 11 3 3 5 2 2 2 2 3 2 2 2" xfId="43853" xr:uid="{CA408F26-5644-4FCD-9A96-5B6FEA717253}"/>
    <cellStyle name="Normal 11 3 3 5 2 2 2 2 3 2 3" xfId="43854" xr:uid="{75FF6389-AC22-4A72-9E0C-9848387F1D61}"/>
    <cellStyle name="Normal 11 3 3 5 2 2 2 2 3 3" xfId="43855" xr:uid="{D67FF335-3A64-47A0-92B5-5365A1D5003B}"/>
    <cellStyle name="Normal 11 3 3 5 2 2 2 2 3 3 2" xfId="43856" xr:uid="{4F918AC8-A178-404D-9131-6956C0DF50DB}"/>
    <cellStyle name="Normal 11 3 3 5 2 2 2 2 3 4" xfId="43857" xr:uid="{2CEF7631-D1FA-4954-A1F2-179E0121A90D}"/>
    <cellStyle name="Normal 11 3 3 5 2 2 2 2 4" xfId="43858" xr:uid="{576A1375-D565-4F35-8CBD-2738D1A01CFC}"/>
    <cellStyle name="Normal 11 3 3 5 2 2 2 2 4 2" xfId="43859" xr:uid="{BD7BB05E-4C70-4E65-905A-8B2C16183984}"/>
    <cellStyle name="Normal 11 3 3 5 2 2 2 2 4 2 2" xfId="43860" xr:uid="{59FBC7A6-9ED5-4EDD-A976-A1CB31A2094C}"/>
    <cellStyle name="Normal 11 3 3 5 2 2 2 2 4 3" xfId="43861" xr:uid="{6D967491-2635-402F-BDAB-C6699753F6C5}"/>
    <cellStyle name="Normal 11 3 3 5 2 2 2 2 5" xfId="43862" xr:uid="{A48C68A1-16C4-43BE-B3A5-FD79445DE169}"/>
    <cellStyle name="Normal 11 3 3 5 2 2 2 2 5 2" xfId="43863" xr:uid="{DA92FB3D-B5CD-4E91-B652-C12C63617ECF}"/>
    <cellStyle name="Normal 11 3 3 5 2 2 2 2 6" xfId="43864" xr:uid="{14C73AA8-2E01-479D-A8B3-0DB523E592E0}"/>
    <cellStyle name="Normal 11 3 3 5 2 2 2 3" xfId="43865" xr:uid="{87616800-8145-4F89-B472-AA6491A08BA5}"/>
    <cellStyle name="Normal 11 3 3 5 2 2 2 3 2" xfId="43866" xr:uid="{EE59D3B7-64AB-45E9-8AB0-BA28421FA923}"/>
    <cellStyle name="Normal 11 3 3 5 2 2 2 3 2 2" xfId="43867" xr:uid="{EBED4F77-952B-4284-AB42-CE568FAD2994}"/>
    <cellStyle name="Normal 11 3 3 5 2 2 2 3 2 2 2" xfId="43868" xr:uid="{961C8D73-8D25-49F9-A90C-4FA4B175D04F}"/>
    <cellStyle name="Normal 11 3 3 5 2 2 2 3 2 2 2 2" xfId="43869" xr:uid="{696949C2-702B-4A04-891D-243E34C013D1}"/>
    <cellStyle name="Normal 11 3 3 5 2 2 2 3 2 2 3" xfId="43870" xr:uid="{4D669207-44F3-4C41-AB80-E5BE1BFDEE5E}"/>
    <cellStyle name="Normal 11 3 3 5 2 2 2 3 2 3" xfId="43871" xr:uid="{F098503F-D1F3-4FDC-8A23-E7974513C91C}"/>
    <cellStyle name="Normal 11 3 3 5 2 2 2 3 2 3 2" xfId="43872" xr:uid="{3B83A684-7403-4C51-835C-490E7B401492}"/>
    <cellStyle name="Normal 11 3 3 5 2 2 2 3 2 4" xfId="43873" xr:uid="{D650BF30-6EBD-40CE-997E-D670E5DFCAEC}"/>
    <cellStyle name="Normal 11 3 3 5 2 2 2 3 3" xfId="43874" xr:uid="{5835C28E-A6CC-4E62-BB9D-A6A9E281D62E}"/>
    <cellStyle name="Normal 11 3 3 5 2 2 2 3 3 2" xfId="43875" xr:uid="{E84ACA39-BBC4-419A-9C7D-8903057CDBF5}"/>
    <cellStyle name="Normal 11 3 3 5 2 2 2 3 3 2 2" xfId="43876" xr:uid="{167B55B5-C56F-4486-9C00-CAAE861E3651}"/>
    <cellStyle name="Normal 11 3 3 5 2 2 2 3 3 3" xfId="43877" xr:uid="{F65C7428-5F88-4249-82B7-FCA5F570E2D4}"/>
    <cellStyle name="Normal 11 3 3 5 2 2 2 3 4" xfId="43878" xr:uid="{46AB17D2-7A6C-4448-8E27-A212073B23AC}"/>
    <cellStyle name="Normal 11 3 3 5 2 2 2 3 4 2" xfId="43879" xr:uid="{6006EBEE-A983-4F71-BA40-70129E853573}"/>
    <cellStyle name="Normal 11 3 3 5 2 2 2 3 5" xfId="43880" xr:uid="{6A72EA54-9D86-4931-B3B8-2F22F9C31B31}"/>
    <cellStyle name="Normal 11 3 3 5 2 2 2 4" xfId="43881" xr:uid="{DF5E3180-66A1-4BD2-B6C4-36B6FB3514C9}"/>
    <cellStyle name="Normal 11 3 3 5 2 2 2 4 2" xfId="43882" xr:uid="{34FEA742-5E5F-48E3-A658-76211058B067}"/>
    <cellStyle name="Normal 11 3 3 5 2 2 2 4 2 2" xfId="43883" xr:uid="{9CF21949-D7CF-47A0-9AD2-C302E2D18565}"/>
    <cellStyle name="Normal 11 3 3 5 2 2 2 4 2 2 2" xfId="43884" xr:uid="{90AD2A1D-F399-40C0-AB5B-B4BB6965FDCC}"/>
    <cellStyle name="Normal 11 3 3 5 2 2 2 4 2 3" xfId="43885" xr:uid="{FE24B675-6414-4881-A98F-C5C5904B92BF}"/>
    <cellStyle name="Normal 11 3 3 5 2 2 2 4 3" xfId="43886" xr:uid="{BAED9CD5-CB89-4113-92C1-2A47FD7CB782}"/>
    <cellStyle name="Normal 11 3 3 5 2 2 2 4 3 2" xfId="43887" xr:uid="{6991FFEF-63A4-400F-B8D3-D22B4333C95C}"/>
    <cellStyle name="Normal 11 3 3 5 2 2 2 4 4" xfId="43888" xr:uid="{9761BED6-6AEB-404A-9125-D7A53B678853}"/>
    <cellStyle name="Normal 11 3 3 5 2 2 2 5" xfId="43889" xr:uid="{6B62EA39-E89B-42EB-BFB9-30C621F9EC51}"/>
    <cellStyle name="Normal 11 3 3 5 2 2 2 5 2" xfId="43890" xr:uid="{EF691255-BABE-4F16-9EB7-45F3886A8C44}"/>
    <cellStyle name="Normal 11 3 3 5 2 2 2 5 2 2" xfId="43891" xr:uid="{46856950-11B1-4DB5-8E88-A140E0D62E69}"/>
    <cellStyle name="Normal 11 3 3 5 2 2 2 5 3" xfId="43892" xr:uid="{4AC872FE-74F5-4F4B-861E-61E55085A1FF}"/>
    <cellStyle name="Normal 11 3 3 5 2 2 2 6" xfId="43893" xr:uid="{01495C80-1BD6-4EF9-928A-6670337BC324}"/>
    <cellStyle name="Normal 11 3 3 5 2 2 2 6 2" xfId="43894" xr:uid="{2786FD5B-5303-45B9-B5B6-5AACD7C9D6CC}"/>
    <cellStyle name="Normal 11 3 3 5 2 2 2 7" xfId="43895" xr:uid="{DFA3B59B-97EA-4D12-AC78-78CB8DAB97FB}"/>
    <cellStyle name="Normal 11 3 3 5 2 2 3" xfId="43896" xr:uid="{1AB65BE1-DD60-4065-AA74-90B2DDF3780C}"/>
    <cellStyle name="Normal 11 3 3 5 2 2 3 2" xfId="43897" xr:uid="{6DCB397D-1A2F-4EDF-8693-FC58C1620868}"/>
    <cellStyle name="Normal 11 3 3 5 2 2 3 2 2" xfId="43898" xr:uid="{4113217B-2B22-46E5-BE59-3824AA3521E4}"/>
    <cellStyle name="Normal 11 3 3 5 2 2 3 2 2 2" xfId="43899" xr:uid="{67906FD2-04DB-4741-A49A-31FECF1E07E0}"/>
    <cellStyle name="Normal 11 3 3 5 2 2 3 2 2 2 2" xfId="43900" xr:uid="{819532DD-5374-481F-A731-A2789DBDE20E}"/>
    <cellStyle name="Normal 11 3 3 5 2 2 3 2 2 2 2 2" xfId="43901" xr:uid="{1A52462C-DCAE-4C1E-92D0-734325E70644}"/>
    <cellStyle name="Normal 11 3 3 5 2 2 3 2 2 2 3" xfId="43902" xr:uid="{53F07BB3-4405-4AB1-AF88-73B99AAFAB69}"/>
    <cellStyle name="Normal 11 3 3 5 2 2 3 2 2 3" xfId="43903" xr:uid="{02A1CFCD-A2DC-46A3-843E-A837C1F2E174}"/>
    <cellStyle name="Normal 11 3 3 5 2 2 3 2 2 3 2" xfId="43904" xr:uid="{B27AF077-BF84-408A-BEFE-8055BD3326A8}"/>
    <cellStyle name="Normal 11 3 3 5 2 2 3 2 2 4" xfId="43905" xr:uid="{786A5AD1-8C61-4D29-91AE-F7AC59CDAAC5}"/>
    <cellStyle name="Normal 11 3 3 5 2 2 3 2 3" xfId="43906" xr:uid="{BC72C09F-A724-4F27-92D1-8A909B8A1359}"/>
    <cellStyle name="Normal 11 3 3 5 2 2 3 2 3 2" xfId="43907" xr:uid="{D095CD50-914A-4EAC-BD65-03C6D40532D1}"/>
    <cellStyle name="Normal 11 3 3 5 2 2 3 2 3 2 2" xfId="43908" xr:uid="{F0DE1A3A-AD5F-43C3-8923-9ECE27F41D93}"/>
    <cellStyle name="Normal 11 3 3 5 2 2 3 2 3 3" xfId="43909" xr:uid="{85F768BE-0EC4-4BBB-8631-09699DEAC364}"/>
    <cellStyle name="Normal 11 3 3 5 2 2 3 2 4" xfId="43910" xr:uid="{99E964BA-F065-4AC4-A595-DE5A1A9DCD10}"/>
    <cellStyle name="Normal 11 3 3 5 2 2 3 2 4 2" xfId="43911" xr:uid="{A13B50BE-FE9F-45DC-B56E-91C2C8A9F13D}"/>
    <cellStyle name="Normal 11 3 3 5 2 2 3 2 5" xfId="43912" xr:uid="{8AFA87F0-2BF7-4823-8C50-EB3A2871D1AA}"/>
    <cellStyle name="Normal 11 3 3 5 2 2 3 3" xfId="43913" xr:uid="{26931305-AC9C-499F-8AD1-9CAB496F360F}"/>
    <cellStyle name="Normal 11 3 3 5 2 2 3 3 2" xfId="43914" xr:uid="{892FA26B-342B-41CA-95B9-BA3ED4244E2D}"/>
    <cellStyle name="Normal 11 3 3 5 2 2 3 3 2 2" xfId="43915" xr:uid="{8D3CE8AB-6B71-4D2B-AD89-4106073B2A35}"/>
    <cellStyle name="Normal 11 3 3 5 2 2 3 3 2 2 2" xfId="43916" xr:uid="{0F9EBE42-91ED-48AD-87EE-4AD560AB5E52}"/>
    <cellStyle name="Normal 11 3 3 5 2 2 3 3 2 3" xfId="43917" xr:uid="{8643824C-6257-4FF6-9D46-70FFC1762D7C}"/>
    <cellStyle name="Normal 11 3 3 5 2 2 3 3 3" xfId="43918" xr:uid="{8DECFC45-47D8-4151-B605-D9D25E4396B5}"/>
    <cellStyle name="Normal 11 3 3 5 2 2 3 3 3 2" xfId="43919" xr:uid="{F0819237-0E5F-43BE-BCFF-A3DF158BD485}"/>
    <cellStyle name="Normal 11 3 3 5 2 2 3 3 4" xfId="43920" xr:uid="{E4815476-11E2-45EC-8EBD-CE98A6A7C3C9}"/>
    <cellStyle name="Normal 11 3 3 5 2 2 3 4" xfId="43921" xr:uid="{3C68B41A-9041-429D-9B86-E2FB3D5BB761}"/>
    <cellStyle name="Normal 11 3 3 5 2 2 3 4 2" xfId="43922" xr:uid="{7DD0A2F3-7F11-4B4E-A3E5-71FCB75FE025}"/>
    <cellStyle name="Normal 11 3 3 5 2 2 3 4 2 2" xfId="43923" xr:uid="{74A4CBB2-FC19-408C-8F9D-DDE8150F3613}"/>
    <cellStyle name="Normal 11 3 3 5 2 2 3 4 3" xfId="43924" xr:uid="{A3AB158F-8C1A-4443-AF8B-C3988E088A9B}"/>
    <cellStyle name="Normal 11 3 3 5 2 2 3 5" xfId="43925" xr:uid="{741E6502-4CCC-4E3B-B37B-CECA53114F7E}"/>
    <cellStyle name="Normal 11 3 3 5 2 2 3 5 2" xfId="43926" xr:uid="{1C280AA1-A2A9-4B38-9FF5-A8BF480EF8A1}"/>
    <cellStyle name="Normal 11 3 3 5 2 2 3 6" xfId="43927" xr:uid="{B3A5C10E-718F-45CB-95BB-53550320F445}"/>
    <cellStyle name="Normal 11 3 3 5 2 2 4" xfId="43928" xr:uid="{CC32AB3F-B778-4B4D-A4E5-276A7FA4955E}"/>
    <cellStyle name="Normal 11 3 3 5 2 2 4 2" xfId="43929" xr:uid="{7266580D-B888-4617-835C-A2ED756FCA1C}"/>
    <cellStyle name="Normal 11 3 3 5 2 2 4 2 2" xfId="43930" xr:uid="{4D79F95C-9AA0-483C-9354-6701F9BDB000}"/>
    <cellStyle name="Normal 11 3 3 5 2 2 4 2 2 2" xfId="43931" xr:uid="{A736A312-A7EE-46FF-9C13-9DA3BF5C4A24}"/>
    <cellStyle name="Normal 11 3 3 5 2 2 4 2 2 2 2" xfId="43932" xr:uid="{89CA0068-181D-44BF-ACE3-3BD2269F1ABA}"/>
    <cellStyle name="Normal 11 3 3 5 2 2 4 2 2 3" xfId="43933" xr:uid="{4E1875C5-FFC0-4F44-BC3F-5EA00A7D9FB5}"/>
    <cellStyle name="Normal 11 3 3 5 2 2 4 2 3" xfId="43934" xr:uid="{ABA2BB24-E48A-4B5A-8EA8-D0F15177359E}"/>
    <cellStyle name="Normal 11 3 3 5 2 2 4 2 3 2" xfId="43935" xr:uid="{2A9FA7DC-CB33-4A6A-80CA-600B08ACB622}"/>
    <cellStyle name="Normal 11 3 3 5 2 2 4 2 4" xfId="43936" xr:uid="{B198738E-FA06-435C-BC12-FF185CCDA0DF}"/>
    <cellStyle name="Normal 11 3 3 5 2 2 4 3" xfId="43937" xr:uid="{39C136FE-6DBD-466D-B2B6-90F4BA632347}"/>
    <cellStyle name="Normal 11 3 3 5 2 2 4 3 2" xfId="43938" xr:uid="{49D0A46A-FDAD-4C25-9944-7E21293F668E}"/>
    <cellStyle name="Normal 11 3 3 5 2 2 4 3 2 2" xfId="43939" xr:uid="{E2D11225-A6CB-4B51-9647-EFC5FB1066E7}"/>
    <cellStyle name="Normal 11 3 3 5 2 2 4 3 3" xfId="43940" xr:uid="{8C91911A-52A4-474A-9C11-A04C2BAB2A1D}"/>
    <cellStyle name="Normal 11 3 3 5 2 2 4 4" xfId="43941" xr:uid="{F091EA85-B285-46CF-B0C2-1308E5ED61F6}"/>
    <cellStyle name="Normal 11 3 3 5 2 2 4 4 2" xfId="43942" xr:uid="{A9E6C112-0250-41B3-B5C3-92F565C772E3}"/>
    <cellStyle name="Normal 11 3 3 5 2 2 4 5" xfId="43943" xr:uid="{98F69D66-B536-49B9-ADDF-45D0F1C36FF2}"/>
    <cellStyle name="Normal 11 3 3 5 2 2 5" xfId="43944" xr:uid="{A667E99D-1D66-433B-97C1-E227FAC6294C}"/>
    <cellStyle name="Normal 11 3 3 5 2 2 5 2" xfId="43945" xr:uid="{9F398F3A-FF1F-4CA1-8FE0-0207A1A5DA19}"/>
    <cellStyle name="Normal 11 3 3 5 2 2 5 2 2" xfId="43946" xr:uid="{26545297-FF22-4E8B-B5C9-A2DFA5883CF5}"/>
    <cellStyle name="Normal 11 3 3 5 2 2 5 2 2 2" xfId="43947" xr:uid="{6E208FD0-F460-4A8B-9CE0-88402B844FA4}"/>
    <cellStyle name="Normal 11 3 3 5 2 2 5 2 3" xfId="43948" xr:uid="{6CD78070-ABA7-4366-BB1E-F73AD20195C8}"/>
    <cellStyle name="Normal 11 3 3 5 2 2 5 3" xfId="43949" xr:uid="{05E08FA0-D223-400D-8B45-8717E69E92CA}"/>
    <cellStyle name="Normal 11 3 3 5 2 2 5 3 2" xfId="43950" xr:uid="{778F0F63-2B6F-4AB0-9049-EA62F1D051EB}"/>
    <cellStyle name="Normal 11 3 3 5 2 2 5 4" xfId="43951" xr:uid="{3E4B49BF-46F3-4700-A22E-1FD267B0D9A9}"/>
    <cellStyle name="Normal 11 3 3 5 2 2 6" xfId="43952" xr:uid="{CB9EFD09-822F-40D5-B6AD-423D6B23274D}"/>
    <cellStyle name="Normal 11 3 3 5 2 2 6 2" xfId="43953" xr:uid="{556D85AC-C577-423C-946E-A7D9EECBD8B3}"/>
    <cellStyle name="Normal 11 3 3 5 2 2 6 2 2" xfId="43954" xr:uid="{BB9F770E-EA84-4AB1-A0C4-9B4B4308E781}"/>
    <cellStyle name="Normal 11 3 3 5 2 2 6 3" xfId="43955" xr:uid="{2398AA2B-92E3-43A8-ABD0-1EF4FDF5A61E}"/>
    <cellStyle name="Normal 11 3 3 5 2 2 7" xfId="43956" xr:uid="{4169E9CB-575D-4F41-9091-732133DC15F1}"/>
    <cellStyle name="Normal 11 3 3 5 2 2 7 2" xfId="43957" xr:uid="{1B77DB9E-3F3E-4901-BDEF-BD0E0AE934BF}"/>
    <cellStyle name="Normal 11 3 3 5 2 2 8" xfId="43958" xr:uid="{383BFAF2-ED02-4679-A01A-05CECF4A7F92}"/>
    <cellStyle name="Normal 11 3 3 5 2 3" xfId="43959" xr:uid="{8A3EA3F3-7141-4F27-91BC-4699073F194E}"/>
    <cellStyle name="Normal 11 3 3 5 2 3 2" xfId="43960" xr:uid="{5364F487-C3C8-4F78-BCA8-1DDE84FD880B}"/>
    <cellStyle name="Normal 11 3 3 5 2 3 2 2" xfId="43961" xr:uid="{84549F21-3DA3-4BAA-96D5-9351A6CB2B56}"/>
    <cellStyle name="Normal 11 3 3 5 2 3 2 2 2" xfId="43962" xr:uid="{858F58F1-9FE1-4299-BB2A-9314D437B634}"/>
    <cellStyle name="Normal 11 3 3 5 2 3 2 2 2 2" xfId="43963" xr:uid="{C18A4406-ABD1-4E1B-B034-0B6FAA511B93}"/>
    <cellStyle name="Normal 11 3 3 5 2 3 2 2 2 2 2" xfId="43964" xr:uid="{6AC79E67-84C6-4096-84F5-5AB242575D51}"/>
    <cellStyle name="Normal 11 3 3 5 2 3 2 2 2 2 2 2" xfId="43965" xr:uid="{762826EE-63C9-4289-B3CA-EF1B64108493}"/>
    <cellStyle name="Normal 11 3 3 5 2 3 2 2 2 2 3" xfId="43966" xr:uid="{5A6E50D9-A94B-4AE1-9063-48BA17F0D6B6}"/>
    <cellStyle name="Normal 11 3 3 5 2 3 2 2 2 3" xfId="43967" xr:uid="{EF438F3F-548C-46F2-AC63-79F70A7C45F3}"/>
    <cellStyle name="Normal 11 3 3 5 2 3 2 2 2 3 2" xfId="43968" xr:uid="{DEEBF350-0C5E-4E25-B97F-DC5C179B8329}"/>
    <cellStyle name="Normal 11 3 3 5 2 3 2 2 2 4" xfId="43969" xr:uid="{3AEDBB0E-A873-47DE-BAD4-FF724073820C}"/>
    <cellStyle name="Normal 11 3 3 5 2 3 2 2 3" xfId="43970" xr:uid="{3CB7B95C-1097-4CFE-BF96-B6B24C91EFD1}"/>
    <cellStyle name="Normal 11 3 3 5 2 3 2 2 3 2" xfId="43971" xr:uid="{194914D9-8351-4BBD-8D81-4A48CEDB1B3D}"/>
    <cellStyle name="Normal 11 3 3 5 2 3 2 2 3 2 2" xfId="43972" xr:uid="{AEC1A7BC-A2F2-4FE8-BDEC-932F0A9B2047}"/>
    <cellStyle name="Normal 11 3 3 5 2 3 2 2 3 3" xfId="43973" xr:uid="{9E97E354-EEFD-4BDC-B144-D9EE0F1B80CF}"/>
    <cellStyle name="Normal 11 3 3 5 2 3 2 2 4" xfId="43974" xr:uid="{2A794D76-7BDA-4EC5-AF24-9900B7F774EE}"/>
    <cellStyle name="Normal 11 3 3 5 2 3 2 2 4 2" xfId="43975" xr:uid="{2419DFF5-BBF7-46AF-B8BC-848B5A1D916D}"/>
    <cellStyle name="Normal 11 3 3 5 2 3 2 2 5" xfId="43976" xr:uid="{383843B1-2BC2-402D-86D7-B62E7AA2AF9E}"/>
    <cellStyle name="Normal 11 3 3 5 2 3 2 3" xfId="43977" xr:uid="{F06966FC-7AE8-40C7-8FE2-C96D79FEABB0}"/>
    <cellStyle name="Normal 11 3 3 5 2 3 2 3 2" xfId="43978" xr:uid="{06D25EEE-1A77-4D9B-867E-D651565A743F}"/>
    <cellStyle name="Normal 11 3 3 5 2 3 2 3 2 2" xfId="43979" xr:uid="{8D990A16-F0FF-4708-9853-9A6F4A839F34}"/>
    <cellStyle name="Normal 11 3 3 5 2 3 2 3 2 2 2" xfId="43980" xr:uid="{39EF7D4F-50B5-48AE-95EC-E87D59C0B293}"/>
    <cellStyle name="Normal 11 3 3 5 2 3 2 3 2 3" xfId="43981" xr:uid="{4B54D6DC-4A99-45B1-BECD-9FA9C82F0FC0}"/>
    <cellStyle name="Normal 11 3 3 5 2 3 2 3 3" xfId="43982" xr:uid="{02C420BF-9F19-4EE9-A68E-65E9B36CF67E}"/>
    <cellStyle name="Normal 11 3 3 5 2 3 2 3 3 2" xfId="43983" xr:uid="{E7931496-E56F-4B2E-B44D-9339271FCAB5}"/>
    <cellStyle name="Normal 11 3 3 5 2 3 2 3 4" xfId="43984" xr:uid="{8443D033-3C30-4885-AE1D-CC781F8A90DB}"/>
    <cellStyle name="Normal 11 3 3 5 2 3 2 4" xfId="43985" xr:uid="{74996CA2-2A20-4BA8-9631-B9292D2C3DA3}"/>
    <cellStyle name="Normal 11 3 3 5 2 3 2 4 2" xfId="43986" xr:uid="{4A74373E-1113-4B1A-854D-C325CC4DA269}"/>
    <cellStyle name="Normal 11 3 3 5 2 3 2 4 2 2" xfId="43987" xr:uid="{7D1BA051-5129-4A61-8EE0-A37DA041980D}"/>
    <cellStyle name="Normal 11 3 3 5 2 3 2 4 3" xfId="43988" xr:uid="{EC65C26C-8484-44E9-92FE-B098DD18484D}"/>
    <cellStyle name="Normal 11 3 3 5 2 3 2 5" xfId="43989" xr:uid="{9167DFDC-C37E-49F8-BB91-7387AFFEB422}"/>
    <cellStyle name="Normal 11 3 3 5 2 3 2 5 2" xfId="43990" xr:uid="{4329BEC9-30EE-444E-BE88-A7BBDF00C415}"/>
    <cellStyle name="Normal 11 3 3 5 2 3 2 6" xfId="43991" xr:uid="{B66EA473-5EAA-4772-9F78-5655228C9F44}"/>
    <cellStyle name="Normal 11 3 3 5 2 3 3" xfId="43992" xr:uid="{77DBF89F-B633-4759-B8C3-AD203717232F}"/>
    <cellStyle name="Normal 11 3 3 5 2 3 3 2" xfId="43993" xr:uid="{BF65336F-869B-41E1-B643-14B4470AD193}"/>
    <cellStyle name="Normal 11 3 3 5 2 3 3 2 2" xfId="43994" xr:uid="{76D0055D-6B1F-421B-BC95-728AFB48227B}"/>
    <cellStyle name="Normal 11 3 3 5 2 3 3 2 2 2" xfId="43995" xr:uid="{C0D7AC94-3A84-4C6C-B829-4ABE1E90A2A2}"/>
    <cellStyle name="Normal 11 3 3 5 2 3 3 2 2 2 2" xfId="43996" xr:uid="{9CF05913-80AA-4043-B602-38B55EA6DB77}"/>
    <cellStyle name="Normal 11 3 3 5 2 3 3 2 2 3" xfId="43997" xr:uid="{C581E723-B571-47FE-A7F3-E6B335FEC23A}"/>
    <cellStyle name="Normal 11 3 3 5 2 3 3 2 3" xfId="43998" xr:uid="{00152E47-243A-471F-B660-15FD92AC5A91}"/>
    <cellStyle name="Normal 11 3 3 5 2 3 3 2 3 2" xfId="43999" xr:uid="{7E2728D1-FD6A-45A8-BB37-EFC9BC58B112}"/>
    <cellStyle name="Normal 11 3 3 5 2 3 3 2 4" xfId="44000" xr:uid="{B4A4C7C1-3396-45F5-B631-BE92EEC1121E}"/>
    <cellStyle name="Normal 11 3 3 5 2 3 3 3" xfId="44001" xr:uid="{304CA406-7B76-406C-BD74-06017C43093E}"/>
    <cellStyle name="Normal 11 3 3 5 2 3 3 3 2" xfId="44002" xr:uid="{9FE72A94-1FAE-45D8-818E-D4101251CB4F}"/>
    <cellStyle name="Normal 11 3 3 5 2 3 3 3 2 2" xfId="44003" xr:uid="{01FAEB4E-5FF2-47A7-A272-DE49F46B9A2A}"/>
    <cellStyle name="Normal 11 3 3 5 2 3 3 3 3" xfId="44004" xr:uid="{21BA0917-A95E-4445-B49C-4035CF55C1E7}"/>
    <cellStyle name="Normal 11 3 3 5 2 3 3 4" xfId="44005" xr:uid="{043EF196-2A6F-4011-A4AF-9F145F48FE61}"/>
    <cellStyle name="Normal 11 3 3 5 2 3 3 4 2" xfId="44006" xr:uid="{7AA45076-9F3B-4DE9-A83F-023E90EA8A6A}"/>
    <cellStyle name="Normal 11 3 3 5 2 3 3 5" xfId="44007" xr:uid="{4D1E44D9-097E-4522-90DF-A4E3F1E2A9A8}"/>
    <cellStyle name="Normal 11 3 3 5 2 3 4" xfId="44008" xr:uid="{5BF7DC68-6B6C-4EB1-BEA0-F3CF49A7C0D3}"/>
    <cellStyle name="Normal 11 3 3 5 2 3 4 2" xfId="44009" xr:uid="{BF62132E-8463-4B8B-8551-F00F6C3D1D5A}"/>
    <cellStyle name="Normal 11 3 3 5 2 3 4 2 2" xfId="44010" xr:uid="{080CCEA4-86F8-4B04-8FBF-2270A1EC3F36}"/>
    <cellStyle name="Normal 11 3 3 5 2 3 4 2 2 2" xfId="44011" xr:uid="{EBFCC47B-1727-417C-ABF1-48A6F7DFEE4D}"/>
    <cellStyle name="Normal 11 3 3 5 2 3 4 2 3" xfId="44012" xr:uid="{3389A48B-776B-42A9-8E68-32489E7BC6D0}"/>
    <cellStyle name="Normal 11 3 3 5 2 3 4 3" xfId="44013" xr:uid="{CFB51BEC-C8F3-484F-99A8-6EC515909A08}"/>
    <cellStyle name="Normal 11 3 3 5 2 3 4 3 2" xfId="44014" xr:uid="{B0BDC176-C72B-4179-A357-C724B63070B7}"/>
    <cellStyle name="Normal 11 3 3 5 2 3 4 4" xfId="44015" xr:uid="{3CDAE68C-FAF1-4050-9C52-3690C9066A37}"/>
    <cellStyle name="Normal 11 3 3 5 2 3 5" xfId="44016" xr:uid="{3419752C-8E91-405A-95D8-B4C4423FFDEF}"/>
    <cellStyle name="Normal 11 3 3 5 2 3 5 2" xfId="44017" xr:uid="{0183EF65-2EAF-4CE5-A4D1-2FC1745C2847}"/>
    <cellStyle name="Normal 11 3 3 5 2 3 5 2 2" xfId="44018" xr:uid="{28A92647-8B63-40AF-8D85-7142B5EBE63B}"/>
    <cellStyle name="Normal 11 3 3 5 2 3 5 3" xfId="44019" xr:uid="{DD1BFB9D-DD21-4E26-BC84-FCDDE089E354}"/>
    <cellStyle name="Normal 11 3 3 5 2 3 6" xfId="44020" xr:uid="{95E105F1-7EF1-48DA-A878-03574A480EF2}"/>
    <cellStyle name="Normal 11 3 3 5 2 3 6 2" xfId="44021" xr:uid="{BE0B74CE-32B8-49BC-A467-567FFC105D49}"/>
    <cellStyle name="Normal 11 3 3 5 2 3 7" xfId="44022" xr:uid="{6B6C3DD8-F26F-4D56-9C0F-6EF54726F47B}"/>
    <cellStyle name="Normal 11 3 3 5 2 4" xfId="44023" xr:uid="{604DA9B9-79FB-43FA-AF07-9EA093542EFD}"/>
    <cellStyle name="Normal 11 3 3 5 2 4 2" xfId="44024" xr:uid="{4BE12D84-6C80-46A3-87DE-2BC5B2046EA0}"/>
    <cellStyle name="Normal 11 3 3 5 2 4 2 2" xfId="44025" xr:uid="{C375656F-0833-470F-B035-F45CA041911B}"/>
    <cellStyle name="Normal 11 3 3 5 2 4 2 2 2" xfId="44026" xr:uid="{8548BF4D-364F-4E74-ADED-1B4B216B9BAE}"/>
    <cellStyle name="Normal 11 3 3 5 2 4 2 2 2 2" xfId="44027" xr:uid="{60932418-31C1-44EF-82DD-AEA39341EF69}"/>
    <cellStyle name="Normal 11 3 3 5 2 4 2 2 2 2 2" xfId="44028" xr:uid="{013B9421-289C-474C-AC4F-854304A27F65}"/>
    <cellStyle name="Normal 11 3 3 5 2 4 2 2 2 3" xfId="44029" xr:uid="{A763E386-F143-479E-BCA6-879CD445ED27}"/>
    <cellStyle name="Normal 11 3 3 5 2 4 2 2 3" xfId="44030" xr:uid="{504C3AC9-0313-470F-8CAF-9F0A6BC88D34}"/>
    <cellStyle name="Normal 11 3 3 5 2 4 2 2 3 2" xfId="44031" xr:uid="{30C74DF4-787F-48AD-BBE1-56E79604BC94}"/>
    <cellStyle name="Normal 11 3 3 5 2 4 2 2 4" xfId="44032" xr:uid="{D8A0065D-CD43-4DF5-9527-9E8C8EA4D726}"/>
    <cellStyle name="Normal 11 3 3 5 2 4 2 3" xfId="44033" xr:uid="{12F2C9F5-9359-4127-BF42-CB188D99AC1D}"/>
    <cellStyle name="Normal 11 3 3 5 2 4 2 3 2" xfId="44034" xr:uid="{3E938097-4847-4251-B1F0-F09D5FDA8700}"/>
    <cellStyle name="Normal 11 3 3 5 2 4 2 3 2 2" xfId="44035" xr:uid="{5E1FB537-F8A8-4410-B4CB-C17414F52399}"/>
    <cellStyle name="Normal 11 3 3 5 2 4 2 3 3" xfId="44036" xr:uid="{6B15D1C5-9AF8-466D-A760-B21949838BAB}"/>
    <cellStyle name="Normal 11 3 3 5 2 4 2 4" xfId="44037" xr:uid="{A303467D-017B-4C2E-A4F5-F14BB78285F0}"/>
    <cellStyle name="Normal 11 3 3 5 2 4 2 4 2" xfId="44038" xr:uid="{6519A719-E72C-4C1D-9718-EBAFBB3735E5}"/>
    <cellStyle name="Normal 11 3 3 5 2 4 2 5" xfId="44039" xr:uid="{81BC74C9-C2BB-4947-80B0-3FDDFAB8B275}"/>
    <cellStyle name="Normal 11 3 3 5 2 4 3" xfId="44040" xr:uid="{17A4259D-33B9-4F42-B645-56EA34E40E17}"/>
    <cellStyle name="Normal 11 3 3 5 2 4 3 2" xfId="44041" xr:uid="{9D26E708-9355-480D-99FD-F598995FC61E}"/>
    <cellStyle name="Normal 11 3 3 5 2 4 3 2 2" xfId="44042" xr:uid="{67FD5D39-42A1-47DC-9D40-F24B8FBFE13F}"/>
    <cellStyle name="Normal 11 3 3 5 2 4 3 2 2 2" xfId="44043" xr:uid="{7F06A061-2017-4996-AD52-E7301FCAD2F0}"/>
    <cellStyle name="Normal 11 3 3 5 2 4 3 2 3" xfId="44044" xr:uid="{C5FB862C-25D8-4582-94D2-14C690C79588}"/>
    <cellStyle name="Normal 11 3 3 5 2 4 3 3" xfId="44045" xr:uid="{96E52352-A9E1-4E97-B93A-A00ABAC8E9C7}"/>
    <cellStyle name="Normal 11 3 3 5 2 4 3 3 2" xfId="44046" xr:uid="{386683EF-103B-4A13-9B87-1083E36A7AC8}"/>
    <cellStyle name="Normal 11 3 3 5 2 4 3 4" xfId="44047" xr:uid="{7B156DFD-3468-4573-ADC8-10061A7D4FD0}"/>
    <cellStyle name="Normal 11 3 3 5 2 4 4" xfId="44048" xr:uid="{753AC4DC-C2A6-43C8-9565-05895581BD0A}"/>
    <cellStyle name="Normal 11 3 3 5 2 4 4 2" xfId="44049" xr:uid="{A02B6750-D1DF-4868-A40B-DF7EC17BB490}"/>
    <cellStyle name="Normal 11 3 3 5 2 4 4 2 2" xfId="44050" xr:uid="{F72404B2-2623-42C8-B9BA-78A506929EAB}"/>
    <cellStyle name="Normal 11 3 3 5 2 4 4 3" xfId="44051" xr:uid="{497639FC-4D92-4EAE-8C2F-CC7F2EEA2F5C}"/>
    <cellStyle name="Normal 11 3 3 5 2 4 5" xfId="44052" xr:uid="{8B75DF9F-A1E0-461F-AD25-2FC39C658EFA}"/>
    <cellStyle name="Normal 11 3 3 5 2 4 5 2" xfId="44053" xr:uid="{1A2D4A29-3B24-4B13-96A9-2BFD44F7146F}"/>
    <cellStyle name="Normal 11 3 3 5 2 4 6" xfId="44054" xr:uid="{48F98B41-D5BE-434A-B4E8-4605E7AD6DD8}"/>
    <cellStyle name="Normal 11 3 3 5 2 5" xfId="44055" xr:uid="{DBD8C0A4-BBAC-4B60-8BC5-681D5527F7C6}"/>
    <cellStyle name="Normal 11 3 3 5 2 5 2" xfId="44056" xr:uid="{F6A41B59-B09E-4369-83A7-3B0A0499F5D6}"/>
    <cellStyle name="Normal 11 3 3 5 2 5 2 2" xfId="44057" xr:uid="{C5DA25AD-C86B-4FC8-AC9D-0C8A20934A59}"/>
    <cellStyle name="Normal 11 3 3 5 2 5 2 2 2" xfId="44058" xr:uid="{ACC7BCD3-D370-4B0A-882C-82E66622536B}"/>
    <cellStyle name="Normal 11 3 3 5 2 5 2 2 2 2" xfId="44059" xr:uid="{631C1960-CE62-4106-B309-2DA0EC20C5F4}"/>
    <cellStyle name="Normal 11 3 3 5 2 5 2 2 3" xfId="44060" xr:uid="{AAC99D51-39BF-4280-956F-D07EA67B41E0}"/>
    <cellStyle name="Normal 11 3 3 5 2 5 2 3" xfId="44061" xr:uid="{C44CEC0F-26B2-4261-A3FE-E466A793EC0B}"/>
    <cellStyle name="Normal 11 3 3 5 2 5 2 3 2" xfId="44062" xr:uid="{0B400590-5D7A-4795-BFB8-E62290D6F159}"/>
    <cellStyle name="Normal 11 3 3 5 2 5 2 4" xfId="44063" xr:uid="{259890DB-C6F6-4979-A1C5-A92471531E62}"/>
    <cellStyle name="Normal 11 3 3 5 2 5 3" xfId="44064" xr:uid="{5376A5D4-5DFF-4B97-85F1-1320C985E793}"/>
    <cellStyle name="Normal 11 3 3 5 2 5 3 2" xfId="44065" xr:uid="{A62FCAB5-634D-4A91-9704-FE3B92B4CA3C}"/>
    <cellStyle name="Normal 11 3 3 5 2 5 3 2 2" xfId="44066" xr:uid="{0FA08B9F-EEB9-48CA-85F0-B00785F3A9CF}"/>
    <cellStyle name="Normal 11 3 3 5 2 5 3 3" xfId="44067" xr:uid="{891AF054-8D3B-4149-B24E-5ECCF066FAB9}"/>
    <cellStyle name="Normal 11 3 3 5 2 5 4" xfId="44068" xr:uid="{F0BD9BAD-5367-4C83-B696-9C5505C09705}"/>
    <cellStyle name="Normal 11 3 3 5 2 5 4 2" xfId="44069" xr:uid="{C928F7E6-3CA0-4637-A398-2B551DE0D07B}"/>
    <cellStyle name="Normal 11 3 3 5 2 5 5" xfId="44070" xr:uid="{0BA13CBB-8861-4E29-B0F1-0C519C2DE4C8}"/>
    <cellStyle name="Normal 11 3 3 5 2 6" xfId="44071" xr:uid="{DC94E962-F71C-414C-8A98-B3262E2906A2}"/>
    <cellStyle name="Normal 11 3 3 5 2 6 2" xfId="44072" xr:uid="{A153B562-C61E-4520-8DB4-C6041D2E8998}"/>
    <cellStyle name="Normal 11 3 3 5 2 6 2 2" xfId="44073" xr:uid="{76CC6F2F-4F37-4E69-8839-E0BB7C24116F}"/>
    <cellStyle name="Normal 11 3 3 5 2 6 2 2 2" xfId="44074" xr:uid="{9810BB56-2C47-4AA3-ABD4-50D40D4FFD4E}"/>
    <cellStyle name="Normal 11 3 3 5 2 6 2 3" xfId="44075" xr:uid="{18F6CB5D-C02D-43A7-8BDE-1CE29537F6AA}"/>
    <cellStyle name="Normal 11 3 3 5 2 6 3" xfId="44076" xr:uid="{BCD6572C-F838-4097-AA96-283252C9C51C}"/>
    <cellStyle name="Normal 11 3 3 5 2 6 3 2" xfId="44077" xr:uid="{A514F631-EFA2-4EEC-A1C0-D12EBC29DD45}"/>
    <cellStyle name="Normal 11 3 3 5 2 6 4" xfId="44078" xr:uid="{54CB3BA0-C3C1-4A99-86A6-DE601A6D62A4}"/>
    <cellStyle name="Normal 11 3 3 5 2 7" xfId="44079" xr:uid="{80B2A7CA-FD25-4895-B0ED-02784C4CAD66}"/>
    <cellStyle name="Normal 11 3 3 5 2 7 2" xfId="44080" xr:uid="{B364E852-8BE1-4656-8DD7-EE58B7097FC6}"/>
    <cellStyle name="Normal 11 3 3 5 2 7 2 2" xfId="44081" xr:uid="{400FE8DF-E928-4F1C-AE8B-096A8FC682DF}"/>
    <cellStyle name="Normal 11 3 3 5 2 7 3" xfId="44082" xr:uid="{10C73509-EFC1-4BED-B058-ED38F01596D3}"/>
    <cellStyle name="Normal 11 3 3 5 2 8" xfId="44083" xr:uid="{28253534-2496-475C-A85C-ABE5DE37D83B}"/>
    <cellStyle name="Normal 11 3 3 5 2 8 2" xfId="44084" xr:uid="{2DC15F19-0672-4504-AFC2-EF9E778C1A91}"/>
    <cellStyle name="Normal 11 3 3 5 2 9" xfId="44085" xr:uid="{FB39289F-3F8D-481B-9FEA-B17B57ADCB9B}"/>
    <cellStyle name="Normal 11 3 3 5 3" xfId="512" xr:uid="{D025644C-369E-4EC9-9569-411CA1DC743F}"/>
    <cellStyle name="Normal 11 3 3 5 3 2" xfId="44087" xr:uid="{8B00EE78-F7DA-44E0-AFA3-30742FDC982B}"/>
    <cellStyle name="Normal 11 3 3 5 3 2 2" xfId="44088" xr:uid="{90A6C7EC-3948-443A-B380-D37D2F1BE560}"/>
    <cellStyle name="Normal 11 3 3 5 3 2 2 2" xfId="44089" xr:uid="{60B46751-3359-4A7A-B6A6-55AFD57EA8E2}"/>
    <cellStyle name="Normal 11 3 3 5 3 2 2 2 2" xfId="44090" xr:uid="{5B1E3589-6D55-4DB2-B57A-E07E896F034C}"/>
    <cellStyle name="Normal 11 3 3 5 3 2 2 2 2 2" xfId="44091" xr:uid="{70B535D6-35BD-4414-9E57-78486F1AB110}"/>
    <cellStyle name="Normal 11 3 3 5 3 2 2 2 2 2 2" xfId="44092" xr:uid="{AF322B64-4A87-43D6-B3A4-0E6D4CF712BF}"/>
    <cellStyle name="Normal 11 3 3 5 3 2 2 2 2 2 2 2" xfId="44093" xr:uid="{04BE7B44-5B6D-47D4-BEFD-36F585E7BD9C}"/>
    <cellStyle name="Normal 11 3 3 5 3 2 2 2 2 2 3" xfId="44094" xr:uid="{853094B4-E4DA-4345-B193-5BE04761BCFF}"/>
    <cellStyle name="Normal 11 3 3 5 3 2 2 2 2 3" xfId="44095" xr:uid="{C3451D96-DCB4-4185-9807-DBC11FBFF342}"/>
    <cellStyle name="Normal 11 3 3 5 3 2 2 2 2 3 2" xfId="44096" xr:uid="{1830B84F-8297-455A-922F-E18B71513619}"/>
    <cellStyle name="Normal 11 3 3 5 3 2 2 2 2 4" xfId="44097" xr:uid="{75681710-D4D6-4393-92E0-E4673B947448}"/>
    <cellStyle name="Normal 11 3 3 5 3 2 2 2 3" xfId="44098" xr:uid="{8C30FF25-4DA8-425C-9027-5A6A4A3A621D}"/>
    <cellStyle name="Normal 11 3 3 5 3 2 2 2 3 2" xfId="44099" xr:uid="{69031B20-EC45-47DE-B171-A04C93E793EA}"/>
    <cellStyle name="Normal 11 3 3 5 3 2 2 2 3 2 2" xfId="44100" xr:uid="{4548D5F0-0DC0-44AA-96C7-43854090A1E5}"/>
    <cellStyle name="Normal 11 3 3 5 3 2 2 2 3 3" xfId="44101" xr:uid="{666B0DF7-3543-44BA-8CAA-93590BC3248E}"/>
    <cellStyle name="Normal 11 3 3 5 3 2 2 2 4" xfId="44102" xr:uid="{53130F0F-E8CA-4C7B-9294-E1F252DAEA12}"/>
    <cellStyle name="Normal 11 3 3 5 3 2 2 2 4 2" xfId="44103" xr:uid="{07CDBE7E-3A10-4EAC-A544-930ED8E240EE}"/>
    <cellStyle name="Normal 11 3 3 5 3 2 2 2 5" xfId="44104" xr:uid="{E37D5D2D-53F5-4B5E-8FF7-2841FEF573EC}"/>
    <cellStyle name="Normal 11 3 3 5 3 2 2 3" xfId="44105" xr:uid="{3CE7FF08-4641-492F-B1AA-6757342730C9}"/>
    <cellStyle name="Normal 11 3 3 5 3 2 2 3 2" xfId="44106" xr:uid="{4F94DE60-18C8-45FC-AF99-D1801D933F9A}"/>
    <cellStyle name="Normal 11 3 3 5 3 2 2 3 2 2" xfId="44107" xr:uid="{EA847621-1476-4AFE-BDC3-9AAB76B281C4}"/>
    <cellStyle name="Normal 11 3 3 5 3 2 2 3 2 2 2" xfId="44108" xr:uid="{98ED8E8D-E5E6-475B-BB9B-AE75B23F4163}"/>
    <cellStyle name="Normal 11 3 3 5 3 2 2 3 2 3" xfId="44109" xr:uid="{FD9DF207-0AA2-4AFA-8283-B68B665B03B8}"/>
    <cellStyle name="Normal 11 3 3 5 3 2 2 3 3" xfId="44110" xr:uid="{89768D8B-9231-47A8-B97B-C62F400410E5}"/>
    <cellStyle name="Normal 11 3 3 5 3 2 2 3 3 2" xfId="44111" xr:uid="{1656138B-0641-4450-B23C-81BDBB85FC91}"/>
    <cellStyle name="Normal 11 3 3 5 3 2 2 3 4" xfId="44112" xr:uid="{4E45B22F-F948-4565-9F22-BF475AC185F9}"/>
    <cellStyle name="Normal 11 3 3 5 3 2 2 4" xfId="44113" xr:uid="{2DA95C23-AEFD-4545-8B1D-EBF21B0F61F1}"/>
    <cellStyle name="Normal 11 3 3 5 3 2 2 4 2" xfId="44114" xr:uid="{2B46DC24-1A8B-4519-9B7C-72768392981F}"/>
    <cellStyle name="Normal 11 3 3 5 3 2 2 4 2 2" xfId="44115" xr:uid="{F9293831-DC5F-4EE4-87B9-327AD8625D59}"/>
    <cellStyle name="Normal 11 3 3 5 3 2 2 4 3" xfId="44116" xr:uid="{B713720C-17B3-49E4-B370-5C357B8623FB}"/>
    <cellStyle name="Normal 11 3 3 5 3 2 2 5" xfId="44117" xr:uid="{AA2CAD29-0CF7-44DB-A266-1215EA0368D4}"/>
    <cellStyle name="Normal 11 3 3 5 3 2 2 5 2" xfId="44118" xr:uid="{85F7D1EF-A5E2-4A4E-A0A5-87D3B8C49ECD}"/>
    <cellStyle name="Normal 11 3 3 5 3 2 2 6" xfId="44119" xr:uid="{44052007-A53B-446E-980C-5D91B21783D0}"/>
    <cellStyle name="Normal 11 3 3 5 3 2 3" xfId="44120" xr:uid="{A26594C3-E7D8-4348-8DD0-572C2E0E6509}"/>
    <cellStyle name="Normal 11 3 3 5 3 2 3 2" xfId="44121" xr:uid="{7B58B9EC-76AD-4A84-B758-48995FC683F9}"/>
    <cellStyle name="Normal 11 3 3 5 3 2 3 2 2" xfId="44122" xr:uid="{A5AD33F0-1990-4222-96EB-59B4E9586161}"/>
    <cellStyle name="Normal 11 3 3 5 3 2 3 2 2 2" xfId="44123" xr:uid="{CA465C74-E464-4FB5-9EEC-264154B9F4DE}"/>
    <cellStyle name="Normal 11 3 3 5 3 2 3 2 2 2 2" xfId="44124" xr:uid="{ACA74D79-7822-4D7F-9D00-90FC67EADAF1}"/>
    <cellStyle name="Normal 11 3 3 5 3 2 3 2 2 3" xfId="44125" xr:uid="{E9E2C821-4E39-4633-A194-481F311B3D6A}"/>
    <cellStyle name="Normal 11 3 3 5 3 2 3 2 3" xfId="44126" xr:uid="{18BA8A7E-6405-4B08-B10D-74C538A807AC}"/>
    <cellStyle name="Normal 11 3 3 5 3 2 3 2 3 2" xfId="44127" xr:uid="{B52F7BA8-A64E-4E3E-B778-9106B90BBF5C}"/>
    <cellStyle name="Normal 11 3 3 5 3 2 3 2 4" xfId="44128" xr:uid="{6D8C29CA-79DF-4CB0-85AC-65A4F55937FF}"/>
    <cellStyle name="Normal 11 3 3 5 3 2 3 3" xfId="44129" xr:uid="{130D0B50-239E-4D9C-848B-4899089FA39E}"/>
    <cellStyle name="Normal 11 3 3 5 3 2 3 3 2" xfId="44130" xr:uid="{B34CD81C-449A-4C62-90AE-0F53EC4167EC}"/>
    <cellStyle name="Normal 11 3 3 5 3 2 3 3 2 2" xfId="44131" xr:uid="{C90B5E91-B37A-4500-A65B-F506EB3A0FCA}"/>
    <cellStyle name="Normal 11 3 3 5 3 2 3 3 3" xfId="44132" xr:uid="{7CDE41EF-D8D2-4B70-9BA1-CD9935FD97ED}"/>
    <cellStyle name="Normal 11 3 3 5 3 2 3 4" xfId="44133" xr:uid="{02B40D47-2567-4BD6-B9FC-CBC57F6C9F62}"/>
    <cellStyle name="Normal 11 3 3 5 3 2 3 4 2" xfId="44134" xr:uid="{406301EA-BA6A-4A39-A049-919E30D154C4}"/>
    <cellStyle name="Normal 11 3 3 5 3 2 3 5" xfId="44135" xr:uid="{5D349DA5-9737-49C0-B754-0433A2727E68}"/>
    <cellStyle name="Normal 11 3 3 5 3 2 4" xfId="44136" xr:uid="{343FD19C-9079-48F1-940F-FF286A6FDCE3}"/>
    <cellStyle name="Normal 11 3 3 5 3 2 4 2" xfId="44137" xr:uid="{08CEEC72-F6CD-4679-BF4B-1918B855E678}"/>
    <cellStyle name="Normal 11 3 3 5 3 2 4 2 2" xfId="44138" xr:uid="{0E4D7B4C-B44A-4C80-9764-34095ABCFB11}"/>
    <cellStyle name="Normal 11 3 3 5 3 2 4 2 2 2" xfId="44139" xr:uid="{DAAB9186-02A3-4CE2-B70D-3E2E972122E2}"/>
    <cellStyle name="Normal 11 3 3 5 3 2 4 2 3" xfId="44140" xr:uid="{BC5C34BE-32D4-4D78-BDE9-3CE850727913}"/>
    <cellStyle name="Normal 11 3 3 5 3 2 4 3" xfId="44141" xr:uid="{E2826829-FB49-4C59-8F48-4E0E47840060}"/>
    <cellStyle name="Normal 11 3 3 5 3 2 4 3 2" xfId="44142" xr:uid="{66DC0191-218D-459D-8FD7-E9DB2BE5E8C2}"/>
    <cellStyle name="Normal 11 3 3 5 3 2 4 4" xfId="44143" xr:uid="{75732E74-EA5B-49EF-BB24-3AC73F8C3EED}"/>
    <cellStyle name="Normal 11 3 3 5 3 2 5" xfId="44144" xr:uid="{7FDC9693-B689-437B-BF2A-6E347888BCC1}"/>
    <cellStyle name="Normal 11 3 3 5 3 2 5 2" xfId="44145" xr:uid="{6F7D6DF1-4BC9-465B-9E35-57BEF511D7B0}"/>
    <cellStyle name="Normal 11 3 3 5 3 2 5 2 2" xfId="44146" xr:uid="{F8DDBFEE-1D07-4B72-A5E8-07BDAFE303A6}"/>
    <cellStyle name="Normal 11 3 3 5 3 2 5 3" xfId="44147" xr:uid="{E690FACE-0BD7-48D3-918F-22A2F2C657E4}"/>
    <cellStyle name="Normal 11 3 3 5 3 2 6" xfId="44148" xr:uid="{78F518EA-4812-407E-B35B-7DC497156A49}"/>
    <cellStyle name="Normal 11 3 3 5 3 2 6 2" xfId="44149" xr:uid="{735FBB2A-E420-423D-B0E2-16187731DCB5}"/>
    <cellStyle name="Normal 11 3 3 5 3 2 7" xfId="44150" xr:uid="{9E3B7636-14E6-4C76-B9C9-17B529668634}"/>
    <cellStyle name="Normal 11 3 3 5 3 3" xfId="44151" xr:uid="{4D13C3B1-53E7-40AA-8278-DEAE8D8D5ACF}"/>
    <cellStyle name="Normal 11 3 3 5 3 3 2" xfId="44152" xr:uid="{258E64AD-79F9-4686-BED9-C75A952B4E4D}"/>
    <cellStyle name="Normal 11 3 3 5 3 3 2 2" xfId="44153" xr:uid="{5FBCDA37-B684-4BC8-BD42-65AF8406F195}"/>
    <cellStyle name="Normal 11 3 3 5 3 3 2 2 2" xfId="44154" xr:uid="{CDFF3728-609B-436F-A976-121A0D0FCC58}"/>
    <cellStyle name="Normal 11 3 3 5 3 3 2 2 2 2" xfId="44155" xr:uid="{0F17E563-3235-4458-8FD4-2D93D1B2E0B0}"/>
    <cellStyle name="Normal 11 3 3 5 3 3 2 2 2 2 2" xfId="44156" xr:uid="{587617AB-8D0A-450A-9991-0B190F48EC1E}"/>
    <cellStyle name="Normal 11 3 3 5 3 3 2 2 2 3" xfId="44157" xr:uid="{1D3C8E73-D73C-4A39-8192-9EC690AD3C49}"/>
    <cellStyle name="Normal 11 3 3 5 3 3 2 2 3" xfId="44158" xr:uid="{69935449-96F6-4880-A0B5-3418F8AD582D}"/>
    <cellStyle name="Normal 11 3 3 5 3 3 2 2 3 2" xfId="44159" xr:uid="{47BA12A4-9857-44F6-A3DC-3188E6471B23}"/>
    <cellStyle name="Normal 11 3 3 5 3 3 2 2 4" xfId="44160" xr:uid="{81EAAA91-9FBB-4402-AD1C-B6E9BF9F5998}"/>
    <cellStyle name="Normal 11 3 3 5 3 3 2 3" xfId="44161" xr:uid="{78717DA5-444F-43A8-A7E0-68F6E0BDE165}"/>
    <cellStyle name="Normal 11 3 3 5 3 3 2 3 2" xfId="44162" xr:uid="{3E75B406-8910-4850-BBAB-55FBE34F32DD}"/>
    <cellStyle name="Normal 11 3 3 5 3 3 2 3 2 2" xfId="44163" xr:uid="{F8C027C2-68CF-4712-A9B2-5AEB2F2C68BC}"/>
    <cellStyle name="Normal 11 3 3 5 3 3 2 3 3" xfId="44164" xr:uid="{67479AF3-C961-4B62-BAAB-62C01A676857}"/>
    <cellStyle name="Normal 11 3 3 5 3 3 2 4" xfId="44165" xr:uid="{8F4BC44E-473E-4C25-BAF1-A986330A0064}"/>
    <cellStyle name="Normal 11 3 3 5 3 3 2 4 2" xfId="44166" xr:uid="{B3582590-6BC2-409A-AA53-5C91FD955E15}"/>
    <cellStyle name="Normal 11 3 3 5 3 3 2 5" xfId="44167" xr:uid="{EB799B46-6BF4-43C6-9AE8-B33EA7A95A84}"/>
    <cellStyle name="Normal 11 3 3 5 3 3 3" xfId="44168" xr:uid="{81A74B24-1652-4D64-ABDD-C764CCC78731}"/>
    <cellStyle name="Normal 11 3 3 5 3 3 3 2" xfId="44169" xr:uid="{0B520AA5-D87A-4900-9BDF-8AC7EDFFA652}"/>
    <cellStyle name="Normal 11 3 3 5 3 3 3 2 2" xfId="44170" xr:uid="{0CDE18F5-9263-40F3-B437-A895D6529A85}"/>
    <cellStyle name="Normal 11 3 3 5 3 3 3 2 2 2" xfId="44171" xr:uid="{C877A9BD-251E-4AD4-A24F-57F9CCA68FAF}"/>
    <cellStyle name="Normal 11 3 3 5 3 3 3 2 3" xfId="44172" xr:uid="{E1118C3E-F49A-4357-BB64-B23A15661A19}"/>
    <cellStyle name="Normal 11 3 3 5 3 3 3 3" xfId="44173" xr:uid="{294B75F4-DB27-4BB4-B917-9DE431CAF084}"/>
    <cellStyle name="Normal 11 3 3 5 3 3 3 3 2" xfId="44174" xr:uid="{CD892C52-9F67-4C79-9511-1A02EBDEF1CF}"/>
    <cellStyle name="Normal 11 3 3 5 3 3 3 4" xfId="44175" xr:uid="{A9AAAE0C-F89C-49A4-B998-685F16341576}"/>
    <cellStyle name="Normal 11 3 3 5 3 3 4" xfId="44176" xr:uid="{CE947B84-2429-4C78-96BB-76D5CC7B2EE8}"/>
    <cellStyle name="Normal 11 3 3 5 3 3 4 2" xfId="44177" xr:uid="{8B6CE012-8E11-4E48-917B-969679349AF0}"/>
    <cellStyle name="Normal 11 3 3 5 3 3 4 2 2" xfId="44178" xr:uid="{24D46602-F630-4223-B8CA-DAB347FA5E30}"/>
    <cellStyle name="Normal 11 3 3 5 3 3 4 3" xfId="44179" xr:uid="{74F1A32E-6138-4902-B9B2-1706D349A15F}"/>
    <cellStyle name="Normal 11 3 3 5 3 3 5" xfId="44180" xr:uid="{3981E747-83F8-4CBE-85E7-98FC8B00DD0C}"/>
    <cellStyle name="Normal 11 3 3 5 3 3 5 2" xfId="44181" xr:uid="{A9322A18-2DC1-4288-8C54-EA2C71DC983E}"/>
    <cellStyle name="Normal 11 3 3 5 3 3 6" xfId="44182" xr:uid="{6EFA47FA-0308-4D33-8C8E-D6C712EB6AC6}"/>
    <cellStyle name="Normal 11 3 3 5 3 4" xfId="44183" xr:uid="{2EAE93ED-B71E-43DE-B0AE-6B045289CF7B}"/>
    <cellStyle name="Normal 11 3 3 5 3 4 2" xfId="44184" xr:uid="{3747D687-CD62-4118-A765-8F132EBCD7DE}"/>
    <cellStyle name="Normal 11 3 3 5 3 4 2 2" xfId="44185" xr:uid="{ACB8AEC5-059C-4271-A893-BBF2CE520255}"/>
    <cellStyle name="Normal 11 3 3 5 3 4 2 2 2" xfId="44186" xr:uid="{5B8F5967-5D7F-48D5-965E-FC19A5ECFBA3}"/>
    <cellStyle name="Normal 11 3 3 5 3 4 2 2 2 2" xfId="44187" xr:uid="{39A79A7E-30CC-4AD5-A162-CF7032FDC635}"/>
    <cellStyle name="Normal 11 3 3 5 3 4 2 2 3" xfId="44188" xr:uid="{E2B0CC72-8C52-4C23-8F02-212EA4353370}"/>
    <cellStyle name="Normal 11 3 3 5 3 4 2 3" xfId="44189" xr:uid="{D1302AE6-DDAD-4C53-BAD7-8FECCF06817C}"/>
    <cellStyle name="Normal 11 3 3 5 3 4 2 3 2" xfId="44190" xr:uid="{BA7AAA2B-ED12-4F2A-BE6B-F923402143D0}"/>
    <cellStyle name="Normal 11 3 3 5 3 4 2 4" xfId="44191" xr:uid="{21D36B0A-5CA7-494E-8E80-687AFCE48DF5}"/>
    <cellStyle name="Normal 11 3 3 5 3 4 3" xfId="44192" xr:uid="{0F5B2A4B-FBB9-456D-9C9B-108D15807B9D}"/>
    <cellStyle name="Normal 11 3 3 5 3 4 3 2" xfId="44193" xr:uid="{7230D708-C001-4F7C-A401-4447EA738A91}"/>
    <cellStyle name="Normal 11 3 3 5 3 4 3 2 2" xfId="44194" xr:uid="{0ED9E4F1-96E2-4BB3-8F2E-1CBFDDD6DBF6}"/>
    <cellStyle name="Normal 11 3 3 5 3 4 3 3" xfId="44195" xr:uid="{8642FC46-8A8E-4635-9B9E-7076DDCFEE84}"/>
    <cellStyle name="Normal 11 3 3 5 3 4 4" xfId="44196" xr:uid="{395AB156-BD61-4285-B667-910D2C07C4E3}"/>
    <cellStyle name="Normal 11 3 3 5 3 4 4 2" xfId="44197" xr:uid="{09CAB19B-37E6-4274-AD10-5BE57D446052}"/>
    <cellStyle name="Normal 11 3 3 5 3 4 5" xfId="44198" xr:uid="{FE335C1B-BFF8-4C73-BF94-D718A5DC235C}"/>
    <cellStyle name="Normal 11 3 3 5 3 5" xfId="44199" xr:uid="{FEFB9766-5958-42C9-9397-CEDE113A70B4}"/>
    <cellStyle name="Normal 11 3 3 5 3 5 2" xfId="44200" xr:uid="{84FFEADA-CB52-46E7-99E8-B9958A41EBE4}"/>
    <cellStyle name="Normal 11 3 3 5 3 5 2 2" xfId="44201" xr:uid="{E4320BBA-A660-45E0-9610-FC4533F88096}"/>
    <cellStyle name="Normal 11 3 3 5 3 5 2 2 2" xfId="44202" xr:uid="{721FB8CE-362C-46BE-AA97-66D7F71CA329}"/>
    <cellStyle name="Normal 11 3 3 5 3 5 2 3" xfId="44203" xr:uid="{A0431F40-C92E-4F91-A438-9C8DB6496ABB}"/>
    <cellStyle name="Normal 11 3 3 5 3 5 3" xfId="44204" xr:uid="{5F070242-34FF-48E3-B192-73C4BC9A1EEE}"/>
    <cellStyle name="Normal 11 3 3 5 3 5 3 2" xfId="44205" xr:uid="{ED0EA3C0-DFE7-4ACB-8AD5-D56D378AEF70}"/>
    <cellStyle name="Normal 11 3 3 5 3 5 4" xfId="44206" xr:uid="{40FDCB42-D50C-49AE-B4FD-25FF2599B4B4}"/>
    <cellStyle name="Normal 11 3 3 5 3 6" xfId="44207" xr:uid="{C7357809-B4A8-4A21-8645-756C9656E22A}"/>
    <cellStyle name="Normal 11 3 3 5 3 6 2" xfId="44208" xr:uid="{5D91942A-256E-4598-9F66-EEE7E8525D8B}"/>
    <cellStyle name="Normal 11 3 3 5 3 6 2 2" xfId="44209" xr:uid="{3E39A2F0-1FCE-49CC-BF71-C16B026BE8E6}"/>
    <cellStyle name="Normal 11 3 3 5 3 6 3" xfId="44210" xr:uid="{0F2BC674-7D34-48D9-956B-369CC11520A2}"/>
    <cellStyle name="Normal 11 3 3 5 3 7" xfId="44211" xr:uid="{90D5B0AF-2FF7-492D-8F69-662AE5918035}"/>
    <cellStyle name="Normal 11 3 3 5 3 7 2" xfId="44212" xr:uid="{E8B71BD0-CC2C-4547-9C51-5F3485926E38}"/>
    <cellStyle name="Normal 11 3 3 5 3 8" xfId="44213" xr:uid="{0DC31E66-7E44-4D43-BA6B-2ECF3460069C}"/>
    <cellStyle name="Normal 11 3 3 5 3 9" xfId="44086" xr:uid="{C8AD3204-F5C8-4830-A3BB-26F419DCEC77}"/>
    <cellStyle name="Normal 11 3 3 5 4" xfId="44214" xr:uid="{DBA6C11C-A5AF-40E6-A978-448275904755}"/>
    <cellStyle name="Normal 11 3 3 5 4 2" xfId="44215" xr:uid="{F87F376C-F556-4A6F-AB6A-74FE1BCEEBCC}"/>
    <cellStyle name="Normal 11 3 3 5 4 2 2" xfId="44216" xr:uid="{C635C97A-5984-4418-98C7-7701DF7EC92C}"/>
    <cellStyle name="Normal 11 3 3 5 4 2 2 2" xfId="44217" xr:uid="{84C46C0B-C378-4BF8-A1C8-B34EDE7EAEF9}"/>
    <cellStyle name="Normal 11 3 3 5 4 2 2 2 2" xfId="44218" xr:uid="{7E42AD1B-3625-4A5A-80CC-C4B5230DE94B}"/>
    <cellStyle name="Normal 11 3 3 5 4 2 2 2 2 2" xfId="44219" xr:uid="{AB630C96-7921-4800-A737-21A4A43EB06B}"/>
    <cellStyle name="Normal 11 3 3 5 4 2 2 2 2 2 2" xfId="44220" xr:uid="{D28B32E4-7B8B-40FE-89D5-AD01EFB09E9F}"/>
    <cellStyle name="Normal 11 3 3 5 4 2 2 2 2 3" xfId="44221" xr:uid="{CFDB2F85-948C-4FDC-BDA1-0CF8397F8214}"/>
    <cellStyle name="Normal 11 3 3 5 4 2 2 2 3" xfId="44222" xr:uid="{5A648D88-B495-4157-BEEB-4265C2855A52}"/>
    <cellStyle name="Normal 11 3 3 5 4 2 2 2 3 2" xfId="44223" xr:uid="{28DA63C0-C8AD-4438-884C-A76AC50CE33C}"/>
    <cellStyle name="Normal 11 3 3 5 4 2 2 2 4" xfId="44224" xr:uid="{D911CF2E-3CBC-4DD6-A173-981D1545269E}"/>
    <cellStyle name="Normal 11 3 3 5 4 2 2 3" xfId="44225" xr:uid="{F4EA0674-BAC8-4AAE-9FBC-283355AADB4F}"/>
    <cellStyle name="Normal 11 3 3 5 4 2 2 3 2" xfId="44226" xr:uid="{A36D2FD3-140C-4972-BC3F-D40766F23020}"/>
    <cellStyle name="Normal 11 3 3 5 4 2 2 3 2 2" xfId="44227" xr:uid="{15B14FCA-0F9E-46B3-BF0A-1E6A8188AC89}"/>
    <cellStyle name="Normal 11 3 3 5 4 2 2 3 3" xfId="44228" xr:uid="{A9B8A250-2486-4A00-BB25-2B8A9C740A47}"/>
    <cellStyle name="Normal 11 3 3 5 4 2 2 4" xfId="44229" xr:uid="{63083E15-94B4-41D7-B9B9-37C8F34E1A61}"/>
    <cellStyle name="Normal 11 3 3 5 4 2 2 4 2" xfId="44230" xr:uid="{9ED41042-4E43-45C9-9E94-2244356EFB2E}"/>
    <cellStyle name="Normal 11 3 3 5 4 2 2 5" xfId="44231" xr:uid="{50906910-82D6-472A-8372-A7ADF3FCFC37}"/>
    <cellStyle name="Normal 11 3 3 5 4 2 3" xfId="44232" xr:uid="{62F4245B-62A0-4918-A6DF-1EAD8C2B9D04}"/>
    <cellStyle name="Normal 11 3 3 5 4 2 3 2" xfId="44233" xr:uid="{5F2846F8-0886-411F-8928-030E53961023}"/>
    <cellStyle name="Normal 11 3 3 5 4 2 3 2 2" xfId="44234" xr:uid="{E8F36648-ECE6-4205-85D2-D8F4BF4A56BB}"/>
    <cellStyle name="Normal 11 3 3 5 4 2 3 2 2 2" xfId="44235" xr:uid="{67C94C96-2ABC-4B98-A6CE-38A89619B323}"/>
    <cellStyle name="Normal 11 3 3 5 4 2 3 2 3" xfId="44236" xr:uid="{0C384ED4-CD58-43EB-8186-B64558F2580E}"/>
    <cellStyle name="Normal 11 3 3 5 4 2 3 3" xfId="44237" xr:uid="{034F296B-A9EB-467E-8F03-AD78E2BBD2C1}"/>
    <cellStyle name="Normal 11 3 3 5 4 2 3 3 2" xfId="44238" xr:uid="{7A7AC2B7-7355-4440-AAC8-B05B9331B87A}"/>
    <cellStyle name="Normal 11 3 3 5 4 2 3 4" xfId="44239" xr:uid="{0EB02910-EAE7-4064-879C-03C7E4D089F4}"/>
    <cellStyle name="Normal 11 3 3 5 4 2 4" xfId="44240" xr:uid="{9F0A831A-3966-48D1-B064-AA58F6803F75}"/>
    <cellStyle name="Normal 11 3 3 5 4 2 4 2" xfId="44241" xr:uid="{7B061990-E566-4D57-99BC-1F36B0011032}"/>
    <cellStyle name="Normal 11 3 3 5 4 2 4 2 2" xfId="44242" xr:uid="{0829664B-0CC1-4E42-AD0A-67DF1D536666}"/>
    <cellStyle name="Normal 11 3 3 5 4 2 4 3" xfId="44243" xr:uid="{232F0164-0462-4029-A326-0B744C364B28}"/>
    <cellStyle name="Normal 11 3 3 5 4 2 5" xfId="44244" xr:uid="{97C1D878-9352-4905-9909-134647B2F155}"/>
    <cellStyle name="Normal 11 3 3 5 4 2 5 2" xfId="44245" xr:uid="{F563D75D-9BF2-430F-B563-6C8DFBAB42F6}"/>
    <cellStyle name="Normal 11 3 3 5 4 2 6" xfId="44246" xr:uid="{8CD0B458-80C1-45E7-B33D-292A0368E8CF}"/>
    <cellStyle name="Normal 11 3 3 5 4 3" xfId="44247" xr:uid="{1EFEC353-37EC-42D7-912B-7082A1F788F4}"/>
    <cellStyle name="Normal 11 3 3 5 4 3 2" xfId="44248" xr:uid="{C4B7B406-B005-4763-AEFD-B8810321EB77}"/>
    <cellStyle name="Normal 11 3 3 5 4 3 2 2" xfId="44249" xr:uid="{FDB5B1AB-241A-4C37-A9F3-7A3A20CAB114}"/>
    <cellStyle name="Normal 11 3 3 5 4 3 2 2 2" xfId="44250" xr:uid="{C7FEA4A1-5060-46FD-8DF2-E4C90C447DCE}"/>
    <cellStyle name="Normal 11 3 3 5 4 3 2 2 2 2" xfId="44251" xr:uid="{F3C70E1B-234F-4306-A191-27ABC0A4489E}"/>
    <cellStyle name="Normal 11 3 3 5 4 3 2 2 3" xfId="44252" xr:uid="{26224CDC-49C0-4A12-9E4E-55B76B447106}"/>
    <cellStyle name="Normal 11 3 3 5 4 3 2 3" xfId="44253" xr:uid="{E8BC5B70-61F2-4D15-BFF5-49D096CD73EE}"/>
    <cellStyle name="Normal 11 3 3 5 4 3 2 3 2" xfId="44254" xr:uid="{0464CB35-5CCD-4802-A2EB-4DAFE910F5F1}"/>
    <cellStyle name="Normal 11 3 3 5 4 3 2 4" xfId="44255" xr:uid="{3C568C94-2D21-49EB-879F-804A3E01B46D}"/>
    <cellStyle name="Normal 11 3 3 5 4 3 3" xfId="44256" xr:uid="{71B67A52-69F0-469F-A637-59E2A34D5161}"/>
    <cellStyle name="Normal 11 3 3 5 4 3 3 2" xfId="44257" xr:uid="{595330A2-5800-4866-BDEE-F9469FAE0F75}"/>
    <cellStyle name="Normal 11 3 3 5 4 3 3 2 2" xfId="44258" xr:uid="{B8F8154E-29A0-4405-ABFE-2F7E64153A56}"/>
    <cellStyle name="Normal 11 3 3 5 4 3 3 3" xfId="44259" xr:uid="{86E809BC-3B08-4B69-8F25-3D3B854966B9}"/>
    <cellStyle name="Normal 11 3 3 5 4 3 4" xfId="44260" xr:uid="{743A37F8-8CFD-4D3E-BEF4-E9E6A8DA9FB3}"/>
    <cellStyle name="Normal 11 3 3 5 4 3 4 2" xfId="44261" xr:uid="{7CF543F4-727C-4689-B907-6FC7D762C95C}"/>
    <cellStyle name="Normal 11 3 3 5 4 3 5" xfId="44262" xr:uid="{1942AEFF-48DF-49CF-A1C0-A6A4222CA403}"/>
    <cellStyle name="Normal 11 3 3 5 4 4" xfId="44263" xr:uid="{5DE33B54-4D7A-4802-804E-F3FB88158AE0}"/>
    <cellStyle name="Normal 11 3 3 5 4 4 2" xfId="44264" xr:uid="{218D456E-019D-4DD3-9643-332A91172DF6}"/>
    <cellStyle name="Normal 11 3 3 5 4 4 2 2" xfId="44265" xr:uid="{2394905B-ABF7-4DC2-85AA-D5BF3D9C5217}"/>
    <cellStyle name="Normal 11 3 3 5 4 4 2 2 2" xfId="44266" xr:uid="{A0FF2075-7143-43B0-9879-96A9027153CF}"/>
    <cellStyle name="Normal 11 3 3 5 4 4 2 3" xfId="44267" xr:uid="{7AF37324-9CDB-4275-B91E-782F3983FAB6}"/>
    <cellStyle name="Normal 11 3 3 5 4 4 3" xfId="44268" xr:uid="{EAD10272-030F-41AD-90D0-7797D02BF5A3}"/>
    <cellStyle name="Normal 11 3 3 5 4 4 3 2" xfId="44269" xr:uid="{2F427771-A507-4F68-8122-73E21A3BB23A}"/>
    <cellStyle name="Normal 11 3 3 5 4 4 4" xfId="44270" xr:uid="{9DFCA2B8-190E-40F7-ADBE-72FDF70C98C2}"/>
    <cellStyle name="Normal 11 3 3 5 4 5" xfId="44271" xr:uid="{61EC815F-7C63-4F5E-96AB-C3ECD73C7544}"/>
    <cellStyle name="Normal 11 3 3 5 4 5 2" xfId="44272" xr:uid="{E7E366AF-811D-472F-A471-7C4735F6CB02}"/>
    <cellStyle name="Normal 11 3 3 5 4 5 2 2" xfId="44273" xr:uid="{3B98B3A7-A3A1-46A9-AC82-3E6FCE6C6A24}"/>
    <cellStyle name="Normal 11 3 3 5 4 5 3" xfId="44274" xr:uid="{2BA0E7E4-C195-474B-92D9-B7066D32F202}"/>
    <cellStyle name="Normal 11 3 3 5 4 6" xfId="44275" xr:uid="{9D609515-A70B-4228-AB1D-68B5D2CA096D}"/>
    <cellStyle name="Normal 11 3 3 5 4 6 2" xfId="44276" xr:uid="{E98CB314-4C05-4115-A33A-4F98DB031EBB}"/>
    <cellStyle name="Normal 11 3 3 5 4 7" xfId="44277" xr:uid="{2FD59B7B-75DB-4E48-9C59-E0270916AECA}"/>
    <cellStyle name="Normal 11 3 3 5 5" xfId="44278" xr:uid="{0697C07E-82CF-4ED3-AB1D-4E0AF10167E7}"/>
    <cellStyle name="Normal 11 3 3 5 5 2" xfId="44279" xr:uid="{FB11F5AD-B85A-4B0D-88F8-EB76254AB1E1}"/>
    <cellStyle name="Normal 11 3 3 5 5 2 2" xfId="44280" xr:uid="{9F82C79A-CD62-4B5A-BB5F-FEC5805ACC8E}"/>
    <cellStyle name="Normal 11 3 3 5 5 2 2 2" xfId="44281" xr:uid="{3BEB1B22-F835-41CF-92B6-FF1524B5B08B}"/>
    <cellStyle name="Normal 11 3 3 5 5 2 2 2 2" xfId="44282" xr:uid="{09B5E876-ADAA-4FEC-B86F-AC9F48F0C3F2}"/>
    <cellStyle name="Normal 11 3 3 5 5 2 2 2 2 2" xfId="44283" xr:uid="{92BE5B74-D5B8-40BA-BE32-C37D7B815D25}"/>
    <cellStyle name="Normal 11 3 3 5 5 2 2 2 3" xfId="44284" xr:uid="{A90AF2BC-3394-4785-885A-C6BF10C62A8F}"/>
    <cellStyle name="Normal 11 3 3 5 5 2 2 3" xfId="44285" xr:uid="{6EADDBC4-8400-473A-AA74-0E92CD1A99AD}"/>
    <cellStyle name="Normal 11 3 3 5 5 2 2 3 2" xfId="44286" xr:uid="{019C041C-971E-4884-9725-793CDA38B8C0}"/>
    <cellStyle name="Normal 11 3 3 5 5 2 2 4" xfId="44287" xr:uid="{872257E7-959B-48AD-A7A3-EABDAB4A40A7}"/>
    <cellStyle name="Normal 11 3 3 5 5 2 3" xfId="44288" xr:uid="{AAF118E4-F6B8-4897-8763-12BB5A33DEAB}"/>
    <cellStyle name="Normal 11 3 3 5 5 2 3 2" xfId="44289" xr:uid="{E37E832F-3630-4848-AE2E-913248C678BE}"/>
    <cellStyle name="Normal 11 3 3 5 5 2 3 2 2" xfId="44290" xr:uid="{CD580931-C737-41EC-BB92-8013C0DCF98C}"/>
    <cellStyle name="Normal 11 3 3 5 5 2 3 3" xfId="44291" xr:uid="{EE05F615-5659-44E5-8697-6F8D1BECD0C2}"/>
    <cellStyle name="Normal 11 3 3 5 5 2 4" xfId="44292" xr:uid="{D30272F2-4561-467C-BA64-6F5EE9F8098A}"/>
    <cellStyle name="Normal 11 3 3 5 5 2 4 2" xfId="44293" xr:uid="{1C22994A-2683-47C0-9DE2-734496B861BD}"/>
    <cellStyle name="Normal 11 3 3 5 5 2 5" xfId="44294" xr:uid="{0B403658-7FA2-4BB2-878C-3B72AE03F2E1}"/>
    <cellStyle name="Normal 11 3 3 5 5 3" xfId="44295" xr:uid="{9984C2DB-454A-4CFE-922D-BCAB4625BFCE}"/>
    <cellStyle name="Normal 11 3 3 5 5 3 2" xfId="44296" xr:uid="{8A3D8FC9-054F-453A-B09A-343EE7F827B5}"/>
    <cellStyle name="Normal 11 3 3 5 5 3 2 2" xfId="44297" xr:uid="{9FD0DF98-8620-4A9D-9BB5-B3E86B12828D}"/>
    <cellStyle name="Normal 11 3 3 5 5 3 2 2 2" xfId="44298" xr:uid="{6F61DA21-1E3D-48C5-81F0-89E1E3F468E0}"/>
    <cellStyle name="Normal 11 3 3 5 5 3 2 3" xfId="44299" xr:uid="{41E182EC-4A11-42B4-AA3C-15FF0472405A}"/>
    <cellStyle name="Normal 11 3 3 5 5 3 3" xfId="44300" xr:uid="{7255808E-8D0D-4004-9F8B-2B52424C0CB3}"/>
    <cellStyle name="Normal 11 3 3 5 5 3 3 2" xfId="44301" xr:uid="{F37A1A3D-1CB3-45D4-B28D-BD1CB80AECEF}"/>
    <cellStyle name="Normal 11 3 3 5 5 3 4" xfId="44302" xr:uid="{62F7837D-DE9F-4E22-AD29-3C8D726047BB}"/>
    <cellStyle name="Normal 11 3 3 5 5 4" xfId="44303" xr:uid="{913A14AA-912F-4D21-9AB8-B9F60BD729EA}"/>
    <cellStyle name="Normal 11 3 3 5 5 4 2" xfId="44304" xr:uid="{51999C63-3186-423B-B697-55CB639C7DEB}"/>
    <cellStyle name="Normal 11 3 3 5 5 4 2 2" xfId="44305" xr:uid="{6E722667-65C2-47F9-A4FC-9FD5E8CAB580}"/>
    <cellStyle name="Normal 11 3 3 5 5 4 3" xfId="44306" xr:uid="{65885B3D-DEF9-4A1A-B534-8B2DC82C2A93}"/>
    <cellStyle name="Normal 11 3 3 5 5 5" xfId="44307" xr:uid="{897AF27A-D405-4AE1-A4CD-CA8799E60FEB}"/>
    <cellStyle name="Normal 11 3 3 5 5 5 2" xfId="44308" xr:uid="{24787ED7-14F3-4F4C-8CE2-85DEB3FF30B9}"/>
    <cellStyle name="Normal 11 3 3 5 5 6" xfId="44309" xr:uid="{D6EFDF9D-9F74-4384-AE6F-3406AD16BDC9}"/>
    <cellStyle name="Normal 11 3 3 5 6" xfId="44310" xr:uid="{74DE1924-46A3-4F2E-A74E-28D37E2B6670}"/>
    <cellStyle name="Normal 11 3 3 5 6 2" xfId="44311" xr:uid="{7ED93B2D-E5E1-44FF-B2C3-7219FE0FAB00}"/>
    <cellStyle name="Normal 11 3 3 5 6 2 2" xfId="44312" xr:uid="{1923F64C-7032-4B8A-A823-A6EFC178883F}"/>
    <cellStyle name="Normal 11 3 3 5 6 2 2 2" xfId="44313" xr:uid="{36E18879-A5EB-4336-AD77-EAF2FC77B679}"/>
    <cellStyle name="Normal 11 3 3 5 6 2 2 2 2" xfId="44314" xr:uid="{0EB77FF6-0B03-4557-A75A-50F8A6374367}"/>
    <cellStyle name="Normal 11 3 3 5 6 2 2 3" xfId="44315" xr:uid="{EEC4A342-C911-4F84-A5B9-81F048D7CB08}"/>
    <cellStyle name="Normal 11 3 3 5 6 2 3" xfId="44316" xr:uid="{511DBC1F-8CD5-4A23-9AFE-6AC60685AB93}"/>
    <cellStyle name="Normal 11 3 3 5 6 2 3 2" xfId="44317" xr:uid="{914B2739-935B-4988-A2C8-AC4FC40D0DFE}"/>
    <cellStyle name="Normal 11 3 3 5 6 2 4" xfId="44318" xr:uid="{1CD2215F-E164-4F34-B8AF-9F008D40F133}"/>
    <cellStyle name="Normal 11 3 3 5 6 3" xfId="44319" xr:uid="{92375ADA-6446-4779-B3F6-6FD5E82247A6}"/>
    <cellStyle name="Normal 11 3 3 5 6 3 2" xfId="44320" xr:uid="{5EAF2747-E6E3-42CE-8848-F194285BD9AB}"/>
    <cellStyle name="Normal 11 3 3 5 6 3 2 2" xfId="44321" xr:uid="{94A70A0B-24D3-4277-B4A4-80F4546CC729}"/>
    <cellStyle name="Normal 11 3 3 5 6 3 3" xfId="44322" xr:uid="{ED927A1A-7EE5-4179-83AF-1D2E36DE4EBE}"/>
    <cellStyle name="Normal 11 3 3 5 6 4" xfId="44323" xr:uid="{66022902-392A-49DA-98AF-27A972325DF5}"/>
    <cellStyle name="Normal 11 3 3 5 6 4 2" xfId="44324" xr:uid="{1E7E0C09-F34B-4154-86D2-348CA9040C7C}"/>
    <cellStyle name="Normal 11 3 3 5 6 5" xfId="44325" xr:uid="{9EE1A42C-69AD-46B8-8E33-0D8FA97A5516}"/>
    <cellStyle name="Normal 11 3 3 5 7" xfId="44326" xr:uid="{23E952C0-C8E2-44E7-A616-8F6E0B0DEDC9}"/>
    <cellStyle name="Normal 11 3 3 5 7 2" xfId="44327" xr:uid="{C05CB803-876B-4571-B208-3F643EFD5361}"/>
    <cellStyle name="Normal 11 3 3 5 7 2 2" xfId="44328" xr:uid="{F0428FB8-EFB6-4826-9E85-B795ED8449D7}"/>
    <cellStyle name="Normal 11 3 3 5 7 2 2 2" xfId="44329" xr:uid="{7E6DC9EB-2031-4504-8ED3-51B72FE1CAEA}"/>
    <cellStyle name="Normal 11 3 3 5 7 2 3" xfId="44330" xr:uid="{37BB038F-670D-478E-8D77-8588753216FD}"/>
    <cellStyle name="Normal 11 3 3 5 7 3" xfId="44331" xr:uid="{A8121F53-BB21-483B-9CBB-151099133CEE}"/>
    <cellStyle name="Normal 11 3 3 5 7 3 2" xfId="44332" xr:uid="{F762C207-02ED-40C2-9EA1-F30B85E327CD}"/>
    <cellStyle name="Normal 11 3 3 5 7 4" xfId="44333" xr:uid="{D81159AF-7627-462D-8621-CFC3BE737D5D}"/>
    <cellStyle name="Normal 11 3 3 5 8" xfId="44334" xr:uid="{B9DD1A42-F06D-49AA-ABCC-34260A7CD6B6}"/>
    <cellStyle name="Normal 11 3 3 5 8 2" xfId="44335" xr:uid="{8D2431BD-E09A-4884-AB5E-6750279E0CC0}"/>
    <cellStyle name="Normal 11 3 3 5 8 2 2" xfId="44336" xr:uid="{D71DDB02-47A3-42C4-B5AF-01ED923D0291}"/>
    <cellStyle name="Normal 11 3 3 5 8 3" xfId="44337" xr:uid="{22EF53D8-7B0E-469E-9A98-B2B6CBD29F72}"/>
    <cellStyle name="Normal 11 3 3 5 9" xfId="44338" xr:uid="{3CDB6139-BFD6-4B88-AB7E-2BEEE1103574}"/>
    <cellStyle name="Normal 11 3 3 5 9 2" xfId="44339" xr:uid="{47597E30-8D43-4DAF-98FC-ABD4F22CA765}"/>
    <cellStyle name="Normal 11 3 3 6" xfId="381" xr:uid="{9D091349-61EA-49B0-B4B2-BC55D68D8CB3}"/>
    <cellStyle name="Normal 11 3 3 6 10" xfId="44340" xr:uid="{E4CBED9B-FDA2-4CA5-A173-9F715C8C0219}"/>
    <cellStyle name="Normal 11 3 3 6 2" xfId="44341" xr:uid="{682E40AC-C558-4AC0-B8BC-DF6D0EB4686B}"/>
    <cellStyle name="Normal 11 3 3 6 2 2" xfId="44342" xr:uid="{E200B270-2032-4BE4-91C5-D64FFDA40697}"/>
    <cellStyle name="Normal 11 3 3 6 2 2 2" xfId="44343" xr:uid="{DD06DFC5-8123-439D-9EE9-EB1EEEF28A71}"/>
    <cellStyle name="Normal 11 3 3 6 2 2 2 2" xfId="44344" xr:uid="{7C4BC403-2DA1-466B-BA4C-C08581BC099A}"/>
    <cellStyle name="Normal 11 3 3 6 2 2 2 2 2" xfId="44345" xr:uid="{442054C2-BB66-4ECC-AF66-A91CF7D77139}"/>
    <cellStyle name="Normal 11 3 3 6 2 2 2 2 2 2" xfId="44346" xr:uid="{E22BA2A3-9727-4DB1-9308-B52E07DBB1E8}"/>
    <cellStyle name="Normal 11 3 3 6 2 2 2 2 2 2 2" xfId="44347" xr:uid="{04CBD734-9FAE-4E63-9562-799F46EDBE4B}"/>
    <cellStyle name="Normal 11 3 3 6 2 2 2 2 2 2 2 2" xfId="44348" xr:uid="{FCE5D4E1-A581-45E4-BB4F-28F9311D36FE}"/>
    <cellStyle name="Normal 11 3 3 6 2 2 2 2 2 2 3" xfId="44349" xr:uid="{5A34B743-F5FC-42C7-BC49-0BDBB82F12DC}"/>
    <cellStyle name="Normal 11 3 3 6 2 2 2 2 2 3" xfId="44350" xr:uid="{FF24D26D-4B22-4DC5-8116-1BC01354F1B1}"/>
    <cellStyle name="Normal 11 3 3 6 2 2 2 2 2 3 2" xfId="44351" xr:uid="{924C0019-A743-4E98-9C63-1DBA680AD3F9}"/>
    <cellStyle name="Normal 11 3 3 6 2 2 2 2 2 4" xfId="44352" xr:uid="{4F56A6D7-110A-4C8C-9E6B-5B70C8D5B55E}"/>
    <cellStyle name="Normal 11 3 3 6 2 2 2 2 3" xfId="44353" xr:uid="{AE063661-6306-4C9F-8DA1-4AF6A105EAA6}"/>
    <cellStyle name="Normal 11 3 3 6 2 2 2 2 3 2" xfId="44354" xr:uid="{100FACE7-0AF1-4255-A9BF-50D71AF74EAB}"/>
    <cellStyle name="Normal 11 3 3 6 2 2 2 2 3 2 2" xfId="44355" xr:uid="{31E8421D-1F06-4EC8-8240-F2427888A1AD}"/>
    <cellStyle name="Normal 11 3 3 6 2 2 2 2 3 3" xfId="44356" xr:uid="{600355BC-7252-4042-8AC2-25727F100895}"/>
    <cellStyle name="Normal 11 3 3 6 2 2 2 2 4" xfId="44357" xr:uid="{8D1FAB59-5B85-441A-B533-FCBC2A6F7BB7}"/>
    <cellStyle name="Normal 11 3 3 6 2 2 2 2 4 2" xfId="44358" xr:uid="{FFD48531-A5C9-4333-B1AF-D62328E75D41}"/>
    <cellStyle name="Normal 11 3 3 6 2 2 2 2 5" xfId="44359" xr:uid="{6EC90143-657F-4858-94C0-95B64B8CF4DE}"/>
    <cellStyle name="Normal 11 3 3 6 2 2 2 3" xfId="44360" xr:uid="{DD5E5B69-1EA7-4923-B907-9B2193624E97}"/>
    <cellStyle name="Normal 11 3 3 6 2 2 2 3 2" xfId="44361" xr:uid="{8E37FAD6-431A-400F-8C03-4D39E9B86FE0}"/>
    <cellStyle name="Normal 11 3 3 6 2 2 2 3 2 2" xfId="44362" xr:uid="{C5E592F8-C99C-4584-B2B2-2227289E97B6}"/>
    <cellStyle name="Normal 11 3 3 6 2 2 2 3 2 2 2" xfId="44363" xr:uid="{76904C93-D091-4FB0-89A6-26049C9D4BBE}"/>
    <cellStyle name="Normal 11 3 3 6 2 2 2 3 2 3" xfId="44364" xr:uid="{B3372596-BAA6-4B68-A12C-BFE9E32C6C3C}"/>
    <cellStyle name="Normal 11 3 3 6 2 2 2 3 3" xfId="44365" xr:uid="{60BB2466-F453-4EF7-97C4-EBBCE499DC30}"/>
    <cellStyle name="Normal 11 3 3 6 2 2 2 3 3 2" xfId="44366" xr:uid="{AA60BD34-CCAA-470B-BEF0-DCBCEE2C374F}"/>
    <cellStyle name="Normal 11 3 3 6 2 2 2 3 4" xfId="44367" xr:uid="{0029504E-F716-4FEC-B43B-1FD892021C2A}"/>
    <cellStyle name="Normal 11 3 3 6 2 2 2 4" xfId="44368" xr:uid="{CFD247A6-75E8-4333-8CEF-EDC4527452A8}"/>
    <cellStyle name="Normal 11 3 3 6 2 2 2 4 2" xfId="44369" xr:uid="{BB398388-27AE-4F35-A878-BFA0C0374199}"/>
    <cellStyle name="Normal 11 3 3 6 2 2 2 4 2 2" xfId="44370" xr:uid="{6A5B0C4F-04E0-4736-A6B1-26A4C8A89F85}"/>
    <cellStyle name="Normal 11 3 3 6 2 2 2 4 3" xfId="44371" xr:uid="{E924971A-17D4-43F3-AAEF-42298BCA5933}"/>
    <cellStyle name="Normal 11 3 3 6 2 2 2 5" xfId="44372" xr:uid="{790D93A6-2FA0-4B65-B220-1717654D5A7B}"/>
    <cellStyle name="Normal 11 3 3 6 2 2 2 5 2" xfId="44373" xr:uid="{CCE0AF5C-D754-416F-B4B8-87CC32E252C2}"/>
    <cellStyle name="Normal 11 3 3 6 2 2 2 6" xfId="44374" xr:uid="{2D9FA60C-65A7-4081-BFFA-D2A832A48F8C}"/>
    <cellStyle name="Normal 11 3 3 6 2 2 3" xfId="44375" xr:uid="{ABE38E4C-D7D2-4F93-9721-BEDAF2D67E3C}"/>
    <cellStyle name="Normal 11 3 3 6 2 2 3 2" xfId="44376" xr:uid="{557217E2-B677-472A-A3AA-201BABB022BF}"/>
    <cellStyle name="Normal 11 3 3 6 2 2 3 2 2" xfId="44377" xr:uid="{B8516861-E858-4642-8BC5-D790DED23762}"/>
    <cellStyle name="Normal 11 3 3 6 2 2 3 2 2 2" xfId="44378" xr:uid="{54EB8E7F-7BC1-412E-A091-45840A86CF7B}"/>
    <cellStyle name="Normal 11 3 3 6 2 2 3 2 2 2 2" xfId="44379" xr:uid="{47E8A36A-B0BF-4855-8D11-6A210B3A9B06}"/>
    <cellStyle name="Normal 11 3 3 6 2 2 3 2 2 3" xfId="44380" xr:uid="{794DAE87-869C-46E1-8B60-9DCB28F1113F}"/>
    <cellStyle name="Normal 11 3 3 6 2 2 3 2 3" xfId="44381" xr:uid="{B491F88D-AFE1-4DD1-80C7-A3BB083C8FB8}"/>
    <cellStyle name="Normal 11 3 3 6 2 2 3 2 3 2" xfId="44382" xr:uid="{FA198B11-1574-4D7D-A047-4A5B7F205B81}"/>
    <cellStyle name="Normal 11 3 3 6 2 2 3 2 4" xfId="44383" xr:uid="{B3BD6C7C-71E4-4892-8DC6-691C74E55E98}"/>
    <cellStyle name="Normal 11 3 3 6 2 2 3 3" xfId="44384" xr:uid="{E8E7EB94-23C1-47C1-9E14-58B51B37D81D}"/>
    <cellStyle name="Normal 11 3 3 6 2 2 3 3 2" xfId="44385" xr:uid="{B86363BC-1BB7-46E3-9C80-C5AEBAE608CF}"/>
    <cellStyle name="Normal 11 3 3 6 2 2 3 3 2 2" xfId="44386" xr:uid="{778A0683-2DCE-4601-8E3A-2A2B79C09614}"/>
    <cellStyle name="Normal 11 3 3 6 2 2 3 3 3" xfId="44387" xr:uid="{09A28CC7-FBB8-4A3A-A961-BF90945DB002}"/>
    <cellStyle name="Normal 11 3 3 6 2 2 3 4" xfId="44388" xr:uid="{1D94D01D-164A-4DA1-8449-D577C100F027}"/>
    <cellStyle name="Normal 11 3 3 6 2 2 3 4 2" xfId="44389" xr:uid="{46E4E81A-E7FB-426A-B51A-B1FD1BE0E1A9}"/>
    <cellStyle name="Normal 11 3 3 6 2 2 3 5" xfId="44390" xr:uid="{0C839516-1B6C-49B9-9147-5114E0129CC7}"/>
    <cellStyle name="Normal 11 3 3 6 2 2 4" xfId="44391" xr:uid="{986ECBD4-DCDA-4F2D-9F69-0768C1E82CCC}"/>
    <cellStyle name="Normal 11 3 3 6 2 2 4 2" xfId="44392" xr:uid="{881C6559-8640-4920-BE41-E93EC60824F6}"/>
    <cellStyle name="Normal 11 3 3 6 2 2 4 2 2" xfId="44393" xr:uid="{BB6B2F97-6339-4C7E-8535-97286020197A}"/>
    <cellStyle name="Normal 11 3 3 6 2 2 4 2 2 2" xfId="44394" xr:uid="{FB423367-72A0-48F6-A789-044A8B2DA049}"/>
    <cellStyle name="Normal 11 3 3 6 2 2 4 2 3" xfId="44395" xr:uid="{17352C6F-F22C-4A86-94D0-476BA059BBA0}"/>
    <cellStyle name="Normal 11 3 3 6 2 2 4 3" xfId="44396" xr:uid="{9D51E77F-32E5-46F3-B7ED-2342BB5CECF6}"/>
    <cellStyle name="Normal 11 3 3 6 2 2 4 3 2" xfId="44397" xr:uid="{3435D44E-D61F-4889-B7CD-CB6EFE37075D}"/>
    <cellStyle name="Normal 11 3 3 6 2 2 4 4" xfId="44398" xr:uid="{1187EAAB-0058-458D-8791-4DC07AA5CAB2}"/>
    <cellStyle name="Normal 11 3 3 6 2 2 5" xfId="44399" xr:uid="{A49122A1-478C-40F5-90D5-2B7BEE61A293}"/>
    <cellStyle name="Normal 11 3 3 6 2 2 5 2" xfId="44400" xr:uid="{F440213E-1810-4978-B473-E4172156E18B}"/>
    <cellStyle name="Normal 11 3 3 6 2 2 5 2 2" xfId="44401" xr:uid="{86A5EC4A-15AA-4578-8628-DC4C170F889D}"/>
    <cellStyle name="Normal 11 3 3 6 2 2 5 3" xfId="44402" xr:uid="{286EBE60-677E-4637-B431-6B312DF93F80}"/>
    <cellStyle name="Normal 11 3 3 6 2 2 6" xfId="44403" xr:uid="{DAFC1DCC-3186-4981-B306-0020AF0E4846}"/>
    <cellStyle name="Normal 11 3 3 6 2 2 6 2" xfId="44404" xr:uid="{82BBB6E0-0F04-4FD4-A013-384B9EDCBD02}"/>
    <cellStyle name="Normal 11 3 3 6 2 2 7" xfId="44405" xr:uid="{3BFFC66E-0D57-4008-B6CE-0037D80A57A9}"/>
    <cellStyle name="Normal 11 3 3 6 2 3" xfId="44406" xr:uid="{9A363FA9-902B-4980-8E00-E7066A463AEB}"/>
    <cellStyle name="Normal 11 3 3 6 2 3 2" xfId="44407" xr:uid="{6BC98272-3B8C-48E5-8697-5BDA8C6A01D6}"/>
    <cellStyle name="Normal 11 3 3 6 2 3 2 2" xfId="44408" xr:uid="{C364AFCF-FA7D-4A4B-81B7-CD8C8A93E2B1}"/>
    <cellStyle name="Normal 11 3 3 6 2 3 2 2 2" xfId="44409" xr:uid="{BC0511C6-9C67-4BB2-86B5-3FFA00DAE72F}"/>
    <cellStyle name="Normal 11 3 3 6 2 3 2 2 2 2" xfId="44410" xr:uid="{DB086E3F-2709-47A8-B78C-BCBA3F017EAA}"/>
    <cellStyle name="Normal 11 3 3 6 2 3 2 2 2 2 2" xfId="44411" xr:uid="{34545032-2A8E-4811-81FC-2B4A920CDAE2}"/>
    <cellStyle name="Normal 11 3 3 6 2 3 2 2 2 3" xfId="44412" xr:uid="{0C2AAC45-2352-4EFF-963B-BFBD950EDBA2}"/>
    <cellStyle name="Normal 11 3 3 6 2 3 2 2 3" xfId="44413" xr:uid="{0A111E7E-525F-4140-B1A4-A7A4C4A8EBCF}"/>
    <cellStyle name="Normal 11 3 3 6 2 3 2 2 3 2" xfId="44414" xr:uid="{0701DCF2-708E-44A9-935F-EB23B11DD664}"/>
    <cellStyle name="Normal 11 3 3 6 2 3 2 2 4" xfId="44415" xr:uid="{5F557130-1604-4342-95FD-FEF720CC72E5}"/>
    <cellStyle name="Normal 11 3 3 6 2 3 2 3" xfId="44416" xr:uid="{E710D8EF-755D-4496-90B0-15BA69D507E4}"/>
    <cellStyle name="Normal 11 3 3 6 2 3 2 3 2" xfId="44417" xr:uid="{2FA26B58-D483-4801-A01F-0F2C8F13D0D5}"/>
    <cellStyle name="Normal 11 3 3 6 2 3 2 3 2 2" xfId="44418" xr:uid="{B221823A-7AEB-4383-A508-4C797031BB72}"/>
    <cellStyle name="Normal 11 3 3 6 2 3 2 3 3" xfId="44419" xr:uid="{F4B8CBA1-092F-46B3-AE74-A12BB6285F60}"/>
    <cellStyle name="Normal 11 3 3 6 2 3 2 4" xfId="44420" xr:uid="{65849F02-96D4-4B09-88A2-6258728CAB1C}"/>
    <cellStyle name="Normal 11 3 3 6 2 3 2 4 2" xfId="44421" xr:uid="{7FB30B4F-879E-4297-94F1-1EADBB00DF04}"/>
    <cellStyle name="Normal 11 3 3 6 2 3 2 5" xfId="44422" xr:uid="{629D336A-1433-4449-802D-B7618832AE09}"/>
    <cellStyle name="Normal 11 3 3 6 2 3 3" xfId="44423" xr:uid="{88E04069-8136-426D-9DEB-675289DBE6A5}"/>
    <cellStyle name="Normal 11 3 3 6 2 3 3 2" xfId="44424" xr:uid="{2975E0E7-E1AB-4BAA-B1DA-593865B4D5B9}"/>
    <cellStyle name="Normal 11 3 3 6 2 3 3 2 2" xfId="44425" xr:uid="{2976910C-13FC-4495-8DB1-25606F47AEB5}"/>
    <cellStyle name="Normal 11 3 3 6 2 3 3 2 2 2" xfId="44426" xr:uid="{87ABF4B4-88B2-4FE6-9414-10602CEA2CC0}"/>
    <cellStyle name="Normal 11 3 3 6 2 3 3 2 3" xfId="44427" xr:uid="{1BDC5ADF-C201-406E-87F8-CBAD06684D73}"/>
    <cellStyle name="Normal 11 3 3 6 2 3 3 3" xfId="44428" xr:uid="{7B43D7DC-36F4-47BB-B96D-857FBC97E30F}"/>
    <cellStyle name="Normal 11 3 3 6 2 3 3 3 2" xfId="44429" xr:uid="{823FC26A-83E3-4F31-B89B-3E61C30BDC8E}"/>
    <cellStyle name="Normal 11 3 3 6 2 3 3 4" xfId="44430" xr:uid="{C44B7E8B-CB84-4C35-8267-FEB6F8A31037}"/>
    <cellStyle name="Normal 11 3 3 6 2 3 4" xfId="44431" xr:uid="{82563005-EC94-4589-9379-742039564213}"/>
    <cellStyle name="Normal 11 3 3 6 2 3 4 2" xfId="44432" xr:uid="{2B75CDC4-E9CC-4290-97E6-1249090452F7}"/>
    <cellStyle name="Normal 11 3 3 6 2 3 4 2 2" xfId="44433" xr:uid="{B1FED2BD-5E1F-4461-8571-BF67A32F4AA9}"/>
    <cellStyle name="Normal 11 3 3 6 2 3 4 3" xfId="44434" xr:uid="{71F55F3D-82D2-49AE-937E-DB51F1B782C0}"/>
    <cellStyle name="Normal 11 3 3 6 2 3 5" xfId="44435" xr:uid="{DE46F605-6216-4F98-8B5A-CE88FEFD43EA}"/>
    <cellStyle name="Normal 11 3 3 6 2 3 5 2" xfId="44436" xr:uid="{D0BC0498-48C9-44BA-81C6-CB83A716B86C}"/>
    <cellStyle name="Normal 11 3 3 6 2 3 6" xfId="44437" xr:uid="{43952510-D2AD-4461-B5B9-1FF0C50E3299}"/>
    <cellStyle name="Normal 11 3 3 6 2 4" xfId="44438" xr:uid="{53FDD046-59FD-4822-A6F0-3D0E722E73D7}"/>
    <cellStyle name="Normal 11 3 3 6 2 4 2" xfId="44439" xr:uid="{B61077EF-CCCC-4635-8820-DD16D023168A}"/>
    <cellStyle name="Normal 11 3 3 6 2 4 2 2" xfId="44440" xr:uid="{F1382B4D-9156-4B32-AD46-EFF457E7E3C4}"/>
    <cellStyle name="Normal 11 3 3 6 2 4 2 2 2" xfId="44441" xr:uid="{EEBE0305-9698-4778-9559-E28A312B7732}"/>
    <cellStyle name="Normal 11 3 3 6 2 4 2 2 2 2" xfId="44442" xr:uid="{209C7B06-9725-422C-B13B-9FB5C21D3570}"/>
    <cellStyle name="Normal 11 3 3 6 2 4 2 2 3" xfId="44443" xr:uid="{1DEA8A84-FEAC-4710-A07A-3665290EC351}"/>
    <cellStyle name="Normal 11 3 3 6 2 4 2 3" xfId="44444" xr:uid="{423A16D8-AA63-4BA5-A4C1-130632B52C39}"/>
    <cellStyle name="Normal 11 3 3 6 2 4 2 3 2" xfId="44445" xr:uid="{88FBB24B-72BC-49F9-82B5-5F435BBD7796}"/>
    <cellStyle name="Normal 11 3 3 6 2 4 2 4" xfId="44446" xr:uid="{30FEA503-EB70-4614-98C3-268B21DE4EDA}"/>
    <cellStyle name="Normal 11 3 3 6 2 4 3" xfId="44447" xr:uid="{2449E605-63FF-43CE-B079-ECDF91467879}"/>
    <cellStyle name="Normal 11 3 3 6 2 4 3 2" xfId="44448" xr:uid="{376CE179-A7D5-4937-80A8-976B9CC5AC61}"/>
    <cellStyle name="Normal 11 3 3 6 2 4 3 2 2" xfId="44449" xr:uid="{0B25BF0E-B250-4F76-958F-24B7BEBDE325}"/>
    <cellStyle name="Normal 11 3 3 6 2 4 3 3" xfId="44450" xr:uid="{CE247EB7-A20E-43FF-BF53-B97CB795CCE8}"/>
    <cellStyle name="Normal 11 3 3 6 2 4 4" xfId="44451" xr:uid="{B6ED043F-E144-409F-8BF2-C8363982D774}"/>
    <cellStyle name="Normal 11 3 3 6 2 4 4 2" xfId="44452" xr:uid="{0EBB1ED4-7FEF-4655-9125-DD4B7C37E2F1}"/>
    <cellStyle name="Normal 11 3 3 6 2 4 5" xfId="44453" xr:uid="{61207567-EA99-41E0-BFC2-680FE465FFFC}"/>
    <cellStyle name="Normal 11 3 3 6 2 5" xfId="44454" xr:uid="{530B5B93-CEAB-498D-AACE-08D2CBE100DF}"/>
    <cellStyle name="Normal 11 3 3 6 2 5 2" xfId="44455" xr:uid="{11E9DD2B-7D86-4448-A420-DF9DC7724718}"/>
    <cellStyle name="Normal 11 3 3 6 2 5 2 2" xfId="44456" xr:uid="{A47526BA-9EAE-4C7F-BA9C-05F0C73D0211}"/>
    <cellStyle name="Normal 11 3 3 6 2 5 2 2 2" xfId="44457" xr:uid="{6CFC4D19-FBB8-4500-AB3D-546DDA5F5395}"/>
    <cellStyle name="Normal 11 3 3 6 2 5 2 3" xfId="44458" xr:uid="{BA7B9D82-6003-4861-A3CA-54A742A1AAC2}"/>
    <cellStyle name="Normal 11 3 3 6 2 5 3" xfId="44459" xr:uid="{E1993358-B20D-49E4-A408-D9F8E707FDBD}"/>
    <cellStyle name="Normal 11 3 3 6 2 5 3 2" xfId="44460" xr:uid="{D6A2DB35-9F4B-4615-B7E5-4830BB320186}"/>
    <cellStyle name="Normal 11 3 3 6 2 5 4" xfId="44461" xr:uid="{781688D2-D468-4B05-8292-1D7D8C9C4468}"/>
    <cellStyle name="Normal 11 3 3 6 2 6" xfId="44462" xr:uid="{AB566927-ED59-475C-AE7E-75C4F536DD41}"/>
    <cellStyle name="Normal 11 3 3 6 2 6 2" xfId="44463" xr:uid="{437BE21E-60A2-495A-9972-86D0BD74B785}"/>
    <cellStyle name="Normal 11 3 3 6 2 6 2 2" xfId="44464" xr:uid="{7D3BA3D6-62AD-494D-A3F2-6BD4FF1A6DF6}"/>
    <cellStyle name="Normal 11 3 3 6 2 6 3" xfId="44465" xr:uid="{82C092FB-F79E-4AE0-9343-372DC55FA548}"/>
    <cellStyle name="Normal 11 3 3 6 2 7" xfId="44466" xr:uid="{AF7A849D-F3BD-42F4-AD57-7B123A8F93A8}"/>
    <cellStyle name="Normal 11 3 3 6 2 7 2" xfId="44467" xr:uid="{99C606F2-707D-4D13-8F31-53465C12EE44}"/>
    <cellStyle name="Normal 11 3 3 6 2 8" xfId="44468" xr:uid="{65B91423-B2CD-48EE-AFC3-FDACD35937F4}"/>
    <cellStyle name="Normal 11 3 3 6 3" xfId="44469" xr:uid="{B3B4C11C-D4E9-4930-8218-1DDF5BCC12B5}"/>
    <cellStyle name="Normal 11 3 3 6 3 2" xfId="44470" xr:uid="{3834C211-B486-4199-A309-3E4A41462971}"/>
    <cellStyle name="Normal 11 3 3 6 3 2 2" xfId="44471" xr:uid="{1A00BF21-DA10-420B-8229-58FBB1D3FE37}"/>
    <cellStyle name="Normal 11 3 3 6 3 2 2 2" xfId="44472" xr:uid="{59B229BB-ED02-4EBF-B737-DF44E7FD8896}"/>
    <cellStyle name="Normal 11 3 3 6 3 2 2 2 2" xfId="44473" xr:uid="{410AB45F-A612-48F8-BFE8-0BC2AF8204E3}"/>
    <cellStyle name="Normal 11 3 3 6 3 2 2 2 2 2" xfId="44474" xr:uid="{8E790DC0-16AB-4542-9A45-99FF1C0D826E}"/>
    <cellStyle name="Normal 11 3 3 6 3 2 2 2 2 2 2" xfId="44475" xr:uid="{4D8CA052-EEFC-4863-8AA0-B9AB41D4DBAE}"/>
    <cellStyle name="Normal 11 3 3 6 3 2 2 2 2 3" xfId="44476" xr:uid="{526F9169-F7F3-4EC2-9472-9CCE8E1A9110}"/>
    <cellStyle name="Normal 11 3 3 6 3 2 2 2 3" xfId="44477" xr:uid="{A0F497AA-C6A4-4795-ABA0-D6B10D06E03D}"/>
    <cellStyle name="Normal 11 3 3 6 3 2 2 2 3 2" xfId="44478" xr:uid="{5249236C-F1E3-450B-832D-2F048B217B95}"/>
    <cellStyle name="Normal 11 3 3 6 3 2 2 2 4" xfId="44479" xr:uid="{16393BBA-1800-4C49-A2F6-1EECC98ABEC7}"/>
    <cellStyle name="Normal 11 3 3 6 3 2 2 3" xfId="44480" xr:uid="{AFCEB530-8CB2-45AF-8EC0-E985EB29BFB2}"/>
    <cellStyle name="Normal 11 3 3 6 3 2 2 3 2" xfId="44481" xr:uid="{272243A3-21FE-4B4C-9616-537DDED62D32}"/>
    <cellStyle name="Normal 11 3 3 6 3 2 2 3 2 2" xfId="44482" xr:uid="{BA5BFBB5-2091-4386-86F2-E683BB5C7CA1}"/>
    <cellStyle name="Normal 11 3 3 6 3 2 2 3 3" xfId="44483" xr:uid="{E1AE1594-3FF2-41B2-873E-7A5A2A7D08B0}"/>
    <cellStyle name="Normal 11 3 3 6 3 2 2 4" xfId="44484" xr:uid="{4FA0DDD0-7074-4590-A820-43EABB235CBD}"/>
    <cellStyle name="Normal 11 3 3 6 3 2 2 4 2" xfId="44485" xr:uid="{3AA3D5FE-C40D-40A4-8D78-39760CFAA6AA}"/>
    <cellStyle name="Normal 11 3 3 6 3 2 2 5" xfId="44486" xr:uid="{0751F2BC-A3BE-4F3B-ABC7-9536E475325E}"/>
    <cellStyle name="Normal 11 3 3 6 3 2 3" xfId="44487" xr:uid="{7BEB82A8-E327-4A64-8D10-6EC69BB29F3B}"/>
    <cellStyle name="Normal 11 3 3 6 3 2 3 2" xfId="44488" xr:uid="{C6FBFD52-7187-4106-8432-09C917A2C582}"/>
    <cellStyle name="Normal 11 3 3 6 3 2 3 2 2" xfId="44489" xr:uid="{180A78A4-526A-40FD-916F-EEA89C42949B}"/>
    <cellStyle name="Normal 11 3 3 6 3 2 3 2 2 2" xfId="44490" xr:uid="{3A53394D-6B4B-4DF3-BAAB-CF063E5E34D5}"/>
    <cellStyle name="Normal 11 3 3 6 3 2 3 2 3" xfId="44491" xr:uid="{67F8E9A9-0E47-461E-9F31-172E7A2AEAF9}"/>
    <cellStyle name="Normal 11 3 3 6 3 2 3 3" xfId="44492" xr:uid="{95C2DD9A-3A4F-4414-B115-74456AD46F09}"/>
    <cellStyle name="Normal 11 3 3 6 3 2 3 3 2" xfId="44493" xr:uid="{2F087196-E03E-42F2-8A80-3240A7EAB1CB}"/>
    <cellStyle name="Normal 11 3 3 6 3 2 3 4" xfId="44494" xr:uid="{30CFA8AB-96F1-4E2D-8B77-F4DD866EFECE}"/>
    <cellStyle name="Normal 11 3 3 6 3 2 4" xfId="44495" xr:uid="{6C7217DC-66AE-41F8-A6DF-0B6451A8BF30}"/>
    <cellStyle name="Normal 11 3 3 6 3 2 4 2" xfId="44496" xr:uid="{852737D1-6B5D-47CE-87A1-9F1AE0027039}"/>
    <cellStyle name="Normal 11 3 3 6 3 2 4 2 2" xfId="44497" xr:uid="{6EF40BB7-CCF7-46CF-8842-C47480E59307}"/>
    <cellStyle name="Normal 11 3 3 6 3 2 4 3" xfId="44498" xr:uid="{4A85705B-AAAA-446E-B0B1-3101CCCBE043}"/>
    <cellStyle name="Normal 11 3 3 6 3 2 5" xfId="44499" xr:uid="{47C9D74E-B6A8-4241-8C1E-773E8369EA9C}"/>
    <cellStyle name="Normal 11 3 3 6 3 2 5 2" xfId="44500" xr:uid="{923F0946-2160-471F-AC72-28C754F5EC1D}"/>
    <cellStyle name="Normal 11 3 3 6 3 2 6" xfId="44501" xr:uid="{F5E676C5-8F85-49AD-B9DC-9F01DF05B6DE}"/>
    <cellStyle name="Normal 11 3 3 6 3 3" xfId="44502" xr:uid="{9E740770-CAF8-48B3-8E86-A2F70E89C114}"/>
    <cellStyle name="Normal 11 3 3 6 3 3 2" xfId="44503" xr:uid="{EBE3CB3C-F370-4F48-A9AE-58581A81BF78}"/>
    <cellStyle name="Normal 11 3 3 6 3 3 2 2" xfId="44504" xr:uid="{DADB4AC7-382D-4937-8D73-DE1C6B628331}"/>
    <cellStyle name="Normal 11 3 3 6 3 3 2 2 2" xfId="44505" xr:uid="{6BB2793B-E549-4749-9F73-51213765E855}"/>
    <cellStyle name="Normal 11 3 3 6 3 3 2 2 2 2" xfId="44506" xr:uid="{EDCC4159-917C-43AE-8A86-832B6BB2B286}"/>
    <cellStyle name="Normal 11 3 3 6 3 3 2 2 3" xfId="44507" xr:uid="{EA8D4D1E-1BD4-4CD4-8A85-C8ECB5B06ED0}"/>
    <cellStyle name="Normal 11 3 3 6 3 3 2 3" xfId="44508" xr:uid="{DD80CD5B-4736-4A90-B06D-19FB8FB1B296}"/>
    <cellStyle name="Normal 11 3 3 6 3 3 2 3 2" xfId="44509" xr:uid="{26AB4C66-374D-4B20-B0A9-D176B5EA4A5F}"/>
    <cellStyle name="Normal 11 3 3 6 3 3 2 4" xfId="44510" xr:uid="{7BC602BC-DEE8-4B70-A379-A78CC29336CE}"/>
    <cellStyle name="Normal 11 3 3 6 3 3 3" xfId="44511" xr:uid="{3FAD3540-14BD-407F-A35E-960E9D22A815}"/>
    <cellStyle name="Normal 11 3 3 6 3 3 3 2" xfId="44512" xr:uid="{FD8C03ED-AB12-4352-BFEA-603223E09D6C}"/>
    <cellStyle name="Normal 11 3 3 6 3 3 3 2 2" xfId="44513" xr:uid="{0D01EF2D-59C8-4473-B75A-3871A08D81CC}"/>
    <cellStyle name="Normal 11 3 3 6 3 3 3 3" xfId="44514" xr:uid="{3CEF24B2-4E4D-4B12-9702-497182B69FF4}"/>
    <cellStyle name="Normal 11 3 3 6 3 3 4" xfId="44515" xr:uid="{8FBF7BE6-00EB-4F93-B5CA-A27C07311D45}"/>
    <cellStyle name="Normal 11 3 3 6 3 3 4 2" xfId="44516" xr:uid="{1E21A5E6-60EC-496F-A08D-7FA46FA2A8D9}"/>
    <cellStyle name="Normal 11 3 3 6 3 3 5" xfId="44517" xr:uid="{511093EE-6D73-4876-87AB-32FAC28FC60C}"/>
    <cellStyle name="Normal 11 3 3 6 3 4" xfId="44518" xr:uid="{CB040C59-ED5E-4748-9575-94ED0342CDCF}"/>
    <cellStyle name="Normal 11 3 3 6 3 4 2" xfId="44519" xr:uid="{4914F33C-DAB2-4725-8845-865C2A2DAE7A}"/>
    <cellStyle name="Normal 11 3 3 6 3 4 2 2" xfId="44520" xr:uid="{503479F8-7FBB-4923-8FE0-6C360771B7D9}"/>
    <cellStyle name="Normal 11 3 3 6 3 4 2 2 2" xfId="44521" xr:uid="{9533F46C-B426-49B7-AF4C-54EED4294338}"/>
    <cellStyle name="Normal 11 3 3 6 3 4 2 3" xfId="44522" xr:uid="{F886CF60-E14F-4201-8854-D63BEC420A58}"/>
    <cellStyle name="Normal 11 3 3 6 3 4 3" xfId="44523" xr:uid="{525F2CD5-C2E3-4D49-85AC-F39E3AC6F0EA}"/>
    <cellStyle name="Normal 11 3 3 6 3 4 3 2" xfId="44524" xr:uid="{5E434A59-DD7F-4ED3-B480-5557C2DD8204}"/>
    <cellStyle name="Normal 11 3 3 6 3 4 4" xfId="44525" xr:uid="{6B16B83F-9C0D-403F-A09A-A746D9218FEE}"/>
    <cellStyle name="Normal 11 3 3 6 3 5" xfId="44526" xr:uid="{ABFB39C0-A059-482E-A333-D95C8A0A5E24}"/>
    <cellStyle name="Normal 11 3 3 6 3 5 2" xfId="44527" xr:uid="{8E840D16-0F0D-4D95-8F97-CCDA0E78DB35}"/>
    <cellStyle name="Normal 11 3 3 6 3 5 2 2" xfId="44528" xr:uid="{89B04D1A-7D4C-47FC-B247-8C0785AE104F}"/>
    <cellStyle name="Normal 11 3 3 6 3 5 3" xfId="44529" xr:uid="{A59CDCFE-EE1F-4B77-B0A8-FA23534D802C}"/>
    <cellStyle name="Normal 11 3 3 6 3 6" xfId="44530" xr:uid="{CD18384F-7B5B-4436-BF92-D48F3F739166}"/>
    <cellStyle name="Normal 11 3 3 6 3 6 2" xfId="44531" xr:uid="{47C21134-D761-43D2-8152-95CD7B06D878}"/>
    <cellStyle name="Normal 11 3 3 6 3 7" xfId="44532" xr:uid="{E1144C47-5B2A-4FD2-8697-80D1E26ADEC1}"/>
    <cellStyle name="Normal 11 3 3 6 4" xfId="44533" xr:uid="{2C9119DB-C811-4EAE-9A01-B281B4771CB9}"/>
    <cellStyle name="Normal 11 3 3 6 4 2" xfId="44534" xr:uid="{D4518F73-98B6-46CF-9FC6-B2FE5FBF36CD}"/>
    <cellStyle name="Normal 11 3 3 6 4 2 2" xfId="44535" xr:uid="{33920A39-4E7B-4B88-90A2-72A9F536050B}"/>
    <cellStyle name="Normal 11 3 3 6 4 2 2 2" xfId="44536" xr:uid="{F0960FC5-8495-4635-944F-91B5D62BE9EB}"/>
    <cellStyle name="Normal 11 3 3 6 4 2 2 2 2" xfId="44537" xr:uid="{F79B6C98-BCCA-4829-A31A-B3435F1176DF}"/>
    <cellStyle name="Normal 11 3 3 6 4 2 2 2 2 2" xfId="44538" xr:uid="{B3E82323-82D6-43E4-B4BA-DBB6580F1707}"/>
    <cellStyle name="Normal 11 3 3 6 4 2 2 2 3" xfId="44539" xr:uid="{4BE8747A-3D49-4ED9-B22D-56AA525F3D0E}"/>
    <cellStyle name="Normal 11 3 3 6 4 2 2 3" xfId="44540" xr:uid="{69231C18-7D2A-49B9-B29B-A04ECDB393F0}"/>
    <cellStyle name="Normal 11 3 3 6 4 2 2 3 2" xfId="44541" xr:uid="{7DF60414-6ADF-4706-8D90-A6596E5A0AA5}"/>
    <cellStyle name="Normal 11 3 3 6 4 2 2 4" xfId="44542" xr:uid="{C75A16A0-1CB5-4CA2-BB6A-492B9B4716AF}"/>
    <cellStyle name="Normal 11 3 3 6 4 2 3" xfId="44543" xr:uid="{81E6C0BA-0A9E-4408-9D55-60BCDCA043C6}"/>
    <cellStyle name="Normal 11 3 3 6 4 2 3 2" xfId="44544" xr:uid="{B224CE4E-482F-4037-8E6F-453A66132EA8}"/>
    <cellStyle name="Normal 11 3 3 6 4 2 3 2 2" xfId="44545" xr:uid="{A83EA173-1214-4360-87FE-31FF8BCC5A83}"/>
    <cellStyle name="Normal 11 3 3 6 4 2 3 3" xfId="44546" xr:uid="{A4E5BD89-F19B-4D5D-A71C-07EEA2DEE00B}"/>
    <cellStyle name="Normal 11 3 3 6 4 2 4" xfId="44547" xr:uid="{FB27A4FD-E3A8-4F35-8655-A905FEEEB3AA}"/>
    <cellStyle name="Normal 11 3 3 6 4 2 4 2" xfId="44548" xr:uid="{EEFE7C4B-D19A-407B-A389-25F08F1794E3}"/>
    <cellStyle name="Normal 11 3 3 6 4 2 5" xfId="44549" xr:uid="{9687225F-E57F-45D3-AF9D-3B40410EBF71}"/>
    <cellStyle name="Normal 11 3 3 6 4 3" xfId="44550" xr:uid="{6879B281-E528-41FB-9B59-7BDD64B27706}"/>
    <cellStyle name="Normal 11 3 3 6 4 3 2" xfId="44551" xr:uid="{D4999D52-C595-4A55-BEE8-F512B01D9634}"/>
    <cellStyle name="Normal 11 3 3 6 4 3 2 2" xfId="44552" xr:uid="{BBC5248D-99FD-4C0B-8FEB-F7D88EBFDF27}"/>
    <cellStyle name="Normal 11 3 3 6 4 3 2 2 2" xfId="44553" xr:uid="{4BD67D17-23CF-4956-909C-B5D3CBE7C81A}"/>
    <cellStyle name="Normal 11 3 3 6 4 3 2 3" xfId="44554" xr:uid="{ED436744-37BD-4742-85E3-FA15F9DF8748}"/>
    <cellStyle name="Normal 11 3 3 6 4 3 3" xfId="44555" xr:uid="{6FDD5E80-A28D-47A7-8E85-82F27B7C5C9D}"/>
    <cellStyle name="Normal 11 3 3 6 4 3 3 2" xfId="44556" xr:uid="{DF329E20-94D0-401C-8B4B-8EA2ADC33DF8}"/>
    <cellStyle name="Normal 11 3 3 6 4 3 4" xfId="44557" xr:uid="{25083A88-3FF4-4604-92BA-6E0425D9C4C9}"/>
    <cellStyle name="Normal 11 3 3 6 4 4" xfId="44558" xr:uid="{E59AE5B5-9EF8-42B5-AB34-8453B5ABE9A5}"/>
    <cellStyle name="Normal 11 3 3 6 4 4 2" xfId="44559" xr:uid="{EC714757-4FE0-4814-87C8-F6C9E8609221}"/>
    <cellStyle name="Normal 11 3 3 6 4 4 2 2" xfId="44560" xr:uid="{C302018F-EED0-4948-B473-ACE19CBFF8AC}"/>
    <cellStyle name="Normal 11 3 3 6 4 4 3" xfId="44561" xr:uid="{5922383C-3345-4D65-ADBE-CC116EA2A54F}"/>
    <cellStyle name="Normal 11 3 3 6 4 5" xfId="44562" xr:uid="{FB90BFBD-2710-4163-94B6-3B44134906CC}"/>
    <cellStyle name="Normal 11 3 3 6 4 5 2" xfId="44563" xr:uid="{BEA468D6-32DA-4761-BDBD-9D2E9B014ED6}"/>
    <cellStyle name="Normal 11 3 3 6 4 6" xfId="44564" xr:uid="{AD03BAEF-6B0F-49C1-9351-FAE8ABF9399F}"/>
    <cellStyle name="Normal 11 3 3 6 5" xfId="44565" xr:uid="{452F2716-EA20-44EB-8E6C-14124FFA69B9}"/>
    <cellStyle name="Normal 11 3 3 6 5 2" xfId="44566" xr:uid="{C021C059-A617-4E68-AD60-99B596EC1154}"/>
    <cellStyle name="Normal 11 3 3 6 5 2 2" xfId="44567" xr:uid="{40FA986A-ECDE-4986-B52B-7093481BA096}"/>
    <cellStyle name="Normal 11 3 3 6 5 2 2 2" xfId="44568" xr:uid="{A37788DF-11E3-4027-92A2-E7024DC712AB}"/>
    <cellStyle name="Normal 11 3 3 6 5 2 2 2 2" xfId="44569" xr:uid="{372F5D6A-C5F4-4B2A-B2F1-56D69FB409A9}"/>
    <cellStyle name="Normal 11 3 3 6 5 2 2 3" xfId="44570" xr:uid="{C77AC703-4407-49C9-A03C-B21E6078ED26}"/>
    <cellStyle name="Normal 11 3 3 6 5 2 3" xfId="44571" xr:uid="{A0BBA439-61E3-46B9-89B3-C3808C4F476C}"/>
    <cellStyle name="Normal 11 3 3 6 5 2 3 2" xfId="44572" xr:uid="{95C16FAC-A7E7-440B-A051-167B14C61AA2}"/>
    <cellStyle name="Normal 11 3 3 6 5 2 4" xfId="44573" xr:uid="{8CF6627F-C040-41DA-9A92-BAC7B87AB24A}"/>
    <cellStyle name="Normal 11 3 3 6 5 3" xfId="44574" xr:uid="{C21A0BE3-62A2-48BE-B5CD-288F7499A27B}"/>
    <cellStyle name="Normal 11 3 3 6 5 3 2" xfId="44575" xr:uid="{C17EA183-9D4F-4DD8-AED1-9AD6CA674D62}"/>
    <cellStyle name="Normal 11 3 3 6 5 3 2 2" xfId="44576" xr:uid="{6C1F02FE-D3D7-473E-991C-014121E7E6AC}"/>
    <cellStyle name="Normal 11 3 3 6 5 3 3" xfId="44577" xr:uid="{CB777F88-ADE9-41DA-B973-3A6CEBA5DE72}"/>
    <cellStyle name="Normal 11 3 3 6 5 4" xfId="44578" xr:uid="{870EAF4B-E397-42CA-A0B1-808BC03A3EFF}"/>
    <cellStyle name="Normal 11 3 3 6 5 4 2" xfId="44579" xr:uid="{B2A9F51C-0A2E-41EE-A3F8-7D0B5ACC91D4}"/>
    <cellStyle name="Normal 11 3 3 6 5 5" xfId="44580" xr:uid="{72AB0661-71A6-4B41-B5E5-0F48351B0C48}"/>
    <cellStyle name="Normal 11 3 3 6 6" xfId="44581" xr:uid="{F0F211D3-DD18-486F-AEAC-7595DC2CC559}"/>
    <cellStyle name="Normal 11 3 3 6 6 2" xfId="44582" xr:uid="{1ACDAF6C-35C6-4E43-BEEC-44B349D8F20D}"/>
    <cellStyle name="Normal 11 3 3 6 6 2 2" xfId="44583" xr:uid="{00507592-AC5F-4E7C-84C0-EEC2DDDCB58E}"/>
    <cellStyle name="Normal 11 3 3 6 6 2 2 2" xfId="44584" xr:uid="{83296F3E-F311-41C1-9194-4978AAB392FA}"/>
    <cellStyle name="Normal 11 3 3 6 6 2 3" xfId="44585" xr:uid="{18488C53-23EC-4824-9EBA-9292C9A9E867}"/>
    <cellStyle name="Normal 11 3 3 6 6 3" xfId="44586" xr:uid="{6DB3A4E0-4DF7-499C-88F8-29D81CC6C808}"/>
    <cellStyle name="Normal 11 3 3 6 6 3 2" xfId="44587" xr:uid="{74BCF5D3-BCD8-4D48-9948-F5FA02B7214B}"/>
    <cellStyle name="Normal 11 3 3 6 6 4" xfId="44588" xr:uid="{252A06B9-6699-423E-8D31-D613FE9EB765}"/>
    <cellStyle name="Normal 11 3 3 6 7" xfId="44589" xr:uid="{8D1510F3-04E8-4368-A9FA-131515944B7F}"/>
    <cellStyle name="Normal 11 3 3 6 7 2" xfId="44590" xr:uid="{78D4CB32-0971-4F69-B54C-A1A1F92E4018}"/>
    <cellStyle name="Normal 11 3 3 6 7 2 2" xfId="44591" xr:uid="{4B1A3ACE-F75F-483E-8D6A-90B87CBE8770}"/>
    <cellStyle name="Normal 11 3 3 6 7 3" xfId="44592" xr:uid="{CF19A0A7-2D4B-4051-826B-4843C70EF5D2}"/>
    <cellStyle name="Normal 11 3 3 6 8" xfId="44593" xr:uid="{B957F4F8-3539-489F-85F1-7DB482B9F4E4}"/>
    <cellStyle name="Normal 11 3 3 6 8 2" xfId="44594" xr:uid="{526D7106-3EE7-41AA-BC2F-564551D4FD6C}"/>
    <cellStyle name="Normal 11 3 3 6 9" xfId="44595" xr:uid="{C186052F-2723-4E22-BC1C-B959726D3D92}"/>
    <cellStyle name="Normal 11 3 3 7" xfId="448" xr:uid="{A0182132-4F84-449B-8C08-6BE76E06779B}"/>
    <cellStyle name="Normal 11 3 3 7 2" xfId="44597" xr:uid="{2971258F-0E51-4BE7-B080-290539D2DA81}"/>
    <cellStyle name="Normal 11 3 3 7 2 2" xfId="44598" xr:uid="{95C40499-BE1B-4934-BCEB-26B03DF864F6}"/>
    <cellStyle name="Normal 11 3 3 7 2 2 2" xfId="44599" xr:uid="{4C8978B0-6DA4-4E8B-9444-80A995C1C7F2}"/>
    <cellStyle name="Normal 11 3 3 7 2 2 2 2" xfId="44600" xr:uid="{189780F3-81EF-4E88-ACD4-611B2959DF5B}"/>
    <cellStyle name="Normal 11 3 3 7 2 2 2 2 2" xfId="44601" xr:uid="{E1FD9E00-5B38-451D-B8BD-21118D937FAC}"/>
    <cellStyle name="Normal 11 3 3 7 2 2 2 2 2 2" xfId="44602" xr:uid="{1A7C5642-5B12-419D-8BA7-E8D2E9BB9100}"/>
    <cellStyle name="Normal 11 3 3 7 2 2 2 2 2 2 2" xfId="44603" xr:uid="{A05B2DB9-60BA-43E0-82D0-F4CDCB3AB483}"/>
    <cellStyle name="Normal 11 3 3 7 2 2 2 2 2 3" xfId="44604" xr:uid="{D09B3102-3E76-47A7-B456-4E9017597AB5}"/>
    <cellStyle name="Normal 11 3 3 7 2 2 2 2 3" xfId="44605" xr:uid="{95936983-4846-47EC-9A58-54D8C8470FD2}"/>
    <cellStyle name="Normal 11 3 3 7 2 2 2 2 3 2" xfId="44606" xr:uid="{0BB9DAB6-2641-44DB-BB77-4A44FF7E517A}"/>
    <cellStyle name="Normal 11 3 3 7 2 2 2 2 4" xfId="44607" xr:uid="{1CA948E7-0607-4D6A-86FA-FC5DFFC7BD68}"/>
    <cellStyle name="Normal 11 3 3 7 2 2 2 3" xfId="44608" xr:uid="{3B7D1E4A-2B65-4F07-A85D-DFAF8636554E}"/>
    <cellStyle name="Normal 11 3 3 7 2 2 2 3 2" xfId="44609" xr:uid="{E5AFBDCA-7B5C-488E-8ECD-835048A247E5}"/>
    <cellStyle name="Normal 11 3 3 7 2 2 2 3 2 2" xfId="44610" xr:uid="{3169B06C-C3AC-45DA-946B-812F63960CCA}"/>
    <cellStyle name="Normal 11 3 3 7 2 2 2 3 3" xfId="44611" xr:uid="{AB55E98E-861D-4628-87B0-15B9411856DC}"/>
    <cellStyle name="Normal 11 3 3 7 2 2 2 4" xfId="44612" xr:uid="{4DA05105-245A-4C2D-AB10-FEBDE0D699F7}"/>
    <cellStyle name="Normal 11 3 3 7 2 2 2 4 2" xfId="44613" xr:uid="{F51C5493-C30F-4D9D-BEAB-FD5659F8483A}"/>
    <cellStyle name="Normal 11 3 3 7 2 2 2 5" xfId="44614" xr:uid="{9FD09872-FB7C-49C8-BA37-9EC6FB1719FC}"/>
    <cellStyle name="Normal 11 3 3 7 2 2 3" xfId="44615" xr:uid="{B21C9B99-092E-484E-8700-32A04D3005CA}"/>
    <cellStyle name="Normal 11 3 3 7 2 2 3 2" xfId="44616" xr:uid="{1F3AF4FE-2AC7-497E-9F08-481F4FC26DA9}"/>
    <cellStyle name="Normal 11 3 3 7 2 2 3 2 2" xfId="44617" xr:uid="{F4C252E6-771C-4ED2-96B6-12BDC58B990E}"/>
    <cellStyle name="Normal 11 3 3 7 2 2 3 2 2 2" xfId="44618" xr:uid="{C037350B-AB3C-4C20-8A95-C8BBDCC3E309}"/>
    <cellStyle name="Normal 11 3 3 7 2 2 3 2 3" xfId="44619" xr:uid="{4EAD481E-AEF4-4A32-9783-AFADDD87E723}"/>
    <cellStyle name="Normal 11 3 3 7 2 2 3 3" xfId="44620" xr:uid="{63E5752B-D24A-411B-95EE-18A053C82AAE}"/>
    <cellStyle name="Normal 11 3 3 7 2 2 3 3 2" xfId="44621" xr:uid="{DD2E9180-68FA-4589-9743-DF50029FDA91}"/>
    <cellStyle name="Normal 11 3 3 7 2 2 3 4" xfId="44622" xr:uid="{6F1F07A6-CFED-4001-BD72-0154794D9757}"/>
    <cellStyle name="Normal 11 3 3 7 2 2 4" xfId="44623" xr:uid="{7787BD7D-C6CE-4604-A6D3-AE082774F98D}"/>
    <cellStyle name="Normal 11 3 3 7 2 2 4 2" xfId="44624" xr:uid="{AE0B583B-FE50-43C2-84CC-6CABCF6780CD}"/>
    <cellStyle name="Normal 11 3 3 7 2 2 4 2 2" xfId="44625" xr:uid="{40292C85-706D-4328-9C84-F8796CF6CC5F}"/>
    <cellStyle name="Normal 11 3 3 7 2 2 4 3" xfId="44626" xr:uid="{AFBE9789-9E74-4C1C-AE43-BBB0E4AE29DE}"/>
    <cellStyle name="Normal 11 3 3 7 2 2 5" xfId="44627" xr:uid="{142DE308-4AC2-445E-8D4F-C33872C26003}"/>
    <cellStyle name="Normal 11 3 3 7 2 2 5 2" xfId="44628" xr:uid="{DBC93145-FE1A-450B-B8A0-E62B3AF31A05}"/>
    <cellStyle name="Normal 11 3 3 7 2 2 6" xfId="44629" xr:uid="{61E19D07-B47D-4CF9-B065-AD1174367443}"/>
    <cellStyle name="Normal 11 3 3 7 2 3" xfId="44630" xr:uid="{84E03B71-EEA0-4D85-B484-F1E53803A409}"/>
    <cellStyle name="Normal 11 3 3 7 2 3 2" xfId="44631" xr:uid="{31A92E8D-6F88-4BDB-8907-4260BC056F50}"/>
    <cellStyle name="Normal 11 3 3 7 2 3 2 2" xfId="44632" xr:uid="{9DDB6DBE-88DA-47AB-84EE-A49DF8131430}"/>
    <cellStyle name="Normal 11 3 3 7 2 3 2 2 2" xfId="44633" xr:uid="{3E610CEB-E8AB-4127-A419-DB38C9449C5A}"/>
    <cellStyle name="Normal 11 3 3 7 2 3 2 2 2 2" xfId="44634" xr:uid="{2FBB82B2-E2D4-4A5D-A2AC-94CDFAC5C880}"/>
    <cellStyle name="Normal 11 3 3 7 2 3 2 2 3" xfId="44635" xr:uid="{7F7F5E01-612B-4E0F-9217-8A2F254DA646}"/>
    <cellStyle name="Normal 11 3 3 7 2 3 2 3" xfId="44636" xr:uid="{379D36B2-B627-48E3-BF50-0BA3B81A27F9}"/>
    <cellStyle name="Normal 11 3 3 7 2 3 2 3 2" xfId="44637" xr:uid="{AAFE5DBC-3006-48F7-B379-8B924D306504}"/>
    <cellStyle name="Normal 11 3 3 7 2 3 2 4" xfId="44638" xr:uid="{99B0ACA8-ECD7-401E-BB0E-B1D295C94011}"/>
    <cellStyle name="Normal 11 3 3 7 2 3 3" xfId="44639" xr:uid="{2FB05C70-718C-41DB-BA49-4A0A5FC77495}"/>
    <cellStyle name="Normal 11 3 3 7 2 3 3 2" xfId="44640" xr:uid="{D3EE980C-11E8-4593-AEE8-04E88BB91895}"/>
    <cellStyle name="Normal 11 3 3 7 2 3 3 2 2" xfId="44641" xr:uid="{9342242C-1EA2-42D1-A42F-685FE59BB6AE}"/>
    <cellStyle name="Normal 11 3 3 7 2 3 3 3" xfId="44642" xr:uid="{612A17CD-7D3E-44D5-8D3E-1CFB915820CC}"/>
    <cellStyle name="Normal 11 3 3 7 2 3 4" xfId="44643" xr:uid="{7CD5DF8E-5F62-46FE-B99D-D08849A9936B}"/>
    <cellStyle name="Normal 11 3 3 7 2 3 4 2" xfId="44644" xr:uid="{66FA7C27-004C-4E00-956B-1337A0E0D6C1}"/>
    <cellStyle name="Normal 11 3 3 7 2 3 5" xfId="44645" xr:uid="{B552C7FF-A298-4C4C-8888-F20AD50E1C69}"/>
    <cellStyle name="Normal 11 3 3 7 2 4" xfId="44646" xr:uid="{5F55F66A-01D5-4A8D-A61C-ADFEF14E79E4}"/>
    <cellStyle name="Normal 11 3 3 7 2 4 2" xfId="44647" xr:uid="{96BFF55F-265E-4859-88D7-7E8D24B864BD}"/>
    <cellStyle name="Normal 11 3 3 7 2 4 2 2" xfId="44648" xr:uid="{28AACA02-E2D3-42F0-980A-74243EB90ED9}"/>
    <cellStyle name="Normal 11 3 3 7 2 4 2 2 2" xfId="44649" xr:uid="{5851D41D-CDDF-45D5-9677-76299918C786}"/>
    <cellStyle name="Normal 11 3 3 7 2 4 2 3" xfId="44650" xr:uid="{2C00000E-860C-4EC6-8235-3DC592E4B6FB}"/>
    <cellStyle name="Normal 11 3 3 7 2 4 3" xfId="44651" xr:uid="{8A1D155B-9234-46DB-92A3-8BCA6C7E5796}"/>
    <cellStyle name="Normal 11 3 3 7 2 4 3 2" xfId="44652" xr:uid="{E2D502E0-987D-45FC-B127-828F963A696E}"/>
    <cellStyle name="Normal 11 3 3 7 2 4 4" xfId="44653" xr:uid="{4277CB41-F17B-49A5-9A97-5ECC56A9610A}"/>
    <cellStyle name="Normal 11 3 3 7 2 5" xfId="44654" xr:uid="{E91FE9B3-47AA-422E-93A6-CD8F75A45231}"/>
    <cellStyle name="Normal 11 3 3 7 2 5 2" xfId="44655" xr:uid="{D423BD9A-08E5-408D-9B14-98D3F5822DC9}"/>
    <cellStyle name="Normal 11 3 3 7 2 5 2 2" xfId="44656" xr:uid="{9D6FBB7B-71F9-4F41-8EED-78FE96BAC4C2}"/>
    <cellStyle name="Normal 11 3 3 7 2 5 3" xfId="44657" xr:uid="{C5813731-D2EC-45F2-9C76-D0BCE14D555E}"/>
    <cellStyle name="Normal 11 3 3 7 2 6" xfId="44658" xr:uid="{42F29325-3D9A-4E8F-94BE-7D6536EBB402}"/>
    <cellStyle name="Normal 11 3 3 7 2 6 2" xfId="44659" xr:uid="{5381A485-B83C-494D-AAA6-822FDEC69A39}"/>
    <cellStyle name="Normal 11 3 3 7 2 7" xfId="44660" xr:uid="{1C20C945-A7E5-49DD-BE16-4B1E6EF510C4}"/>
    <cellStyle name="Normal 11 3 3 7 3" xfId="44661" xr:uid="{3669C52A-D19C-4647-B4A0-7D844B37567D}"/>
    <cellStyle name="Normal 11 3 3 7 3 2" xfId="44662" xr:uid="{F63A15B3-7748-4181-8A59-E991D4095AD0}"/>
    <cellStyle name="Normal 11 3 3 7 3 2 2" xfId="44663" xr:uid="{D14360C0-510C-4C38-B7D6-B9779CE0EBDB}"/>
    <cellStyle name="Normal 11 3 3 7 3 2 2 2" xfId="44664" xr:uid="{2A3CB721-DE3F-47F5-9F82-D01AE17624ED}"/>
    <cellStyle name="Normal 11 3 3 7 3 2 2 2 2" xfId="44665" xr:uid="{0E21AC6E-3591-444A-B474-65138CAFAA0C}"/>
    <cellStyle name="Normal 11 3 3 7 3 2 2 2 2 2" xfId="44666" xr:uid="{D7E0BE0D-1CFB-41A6-9B23-5365C4C1B04C}"/>
    <cellStyle name="Normal 11 3 3 7 3 2 2 2 3" xfId="44667" xr:uid="{18DC677D-BE39-4079-AC9E-64CF34D393CB}"/>
    <cellStyle name="Normal 11 3 3 7 3 2 2 3" xfId="44668" xr:uid="{6DE25011-CF19-46C0-A500-CAD650DC2821}"/>
    <cellStyle name="Normal 11 3 3 7 3 2 2 3 2" xfId="44669" xr:uid="{C842074C-6CFB-46C7-BDC9-A64CC8A84B0C}"/>
    <cellStyle name="Normal 11 3 3 7 3 2 2 4" xfId="44670" xr:uid="{8B730CB5-4B9C-4C3A-B84B-ED714AAD50E8}"/>
    <cellStyle name="Normal 11 3 3 7 3 2 3" xfId="44671" xr:uid="{06734AA4-2ACC-46BE-BE6E-5A8C2AEA8593}"/>
    <cellStyle name="Normal 11 3 3 7 3 2 3 2" xfId="44672" xr:uid="{B9D811BC-15AA-4801-9F53-287CC41DB64B}"/>
    <cellStyle name="Normal 11 3 3 7 3 2 3 2 2" xfId="44673" xr:uid="{DB8DDDF6-92CC-4784-BA2A-A45E76AE3D0B}"/>
    <cellStyle name="Normal 11 3 3 7 3 2 3 3" xfId="44674" xr:uid="{469A0FC9-8FD3-4209-B40E-AB352FCE0F79}"/>
    <cellStyle name="Normal 11 3 3 7 3 2 4" xfId="44675" xr:uid="{77815629-F6E2-4D6F-AADF-29C289025329}"/>
    <cellStyle name="Normal 11 3 3 7 3 2 4 2" xfId="44676" xr:uid="{1441DA2E-E09D-482E-838A-602631283253}"/>
    <cellStyle name="Normal 11 3 3 7 3 2 5" xfId="44677" xr:uid="{A1C42D4A-E4A3-40E5-BC4C-CB1F28FA6B08}"/>
    <cellStyle name="Normal 11 3 3 7 3 3" xfId="44678" xr:uid="{87CCD6AF-8FEB-4BC1-A2F0-F6A49A5864BE}"/>
    <cellStyle name="Normal 11 3 3 7 3 3 2" xfId="44679" xr:uid="{BC3C43B0-3D65-47BD-9F78-4A01B5534B7F}"/>
    <cellStyle name="Normal 11 3 3 7 3 3 2 2" xfId="44680" xr:uid="{304ED5B3-8F7C-41E7-B7CE-5A2D8E1B8169}"/>
    <cellStyle name="Normal 11 3 3 7 3 3 2 2 2" xfId="44681" xr:uid="{6E2DE26D-0F58-4549-99E2-A4653858B6C9}"/>
    <cellStyle name="Normal 11 3 3 7 3 3 2 3" xfId="44682" xr:uid="{E995BDFC-7B1B-4F27-8631-67CDB7EA466F}"/>
    <cellStyle name="Normal 11 3 3 7 3 3 3" xfId="44683" xr:uid="{AEDCE791-837F-47C5-AC1B-E8AF5C28F5A6}"/>
    <cellStyle name="Normal 11 3 3 7 3 3 3 2" xfId="44684" xr:uid="{6D6CB618-EF37-4ECB-B629-CAADE64456D9}"/>
    <cellStyle name="Normal 11 3 3 7 3 3 4" xfId="44685" xr:uid="{E9DA82F7-88F6-497F-8E5F-2587912480FB}"/>
    <cellStyle name="Normal 11 3 3 7 3 4" xfId="44686" xr:uid="{D994E97B-5949-4170-9FEB-94A62D2DAD26}"/>
    <cellStyle name="Normal 11 3 3 7 3 4 2" xfId="44687" xr:uid="{57C0095F-E98E-4E62-ABD1-6AED24A7752C}"/>
    <cellStyle name="Normal 11 3 3 7 3 4 2 2" xfId="44688" xr:uid="{3002F0BD-C62B-4CD6-9ABF-57D7439C7965}"/>
    <cellStyle name="Normal 11 3 3 7 3 4 3" xfId="44689" xr:uid="{F7714768-EF70-4D45-9CBE-A807BA62330F}"/>
    <cellStyle name="Normal 11 3 3 7 3 5" xfId="44690" xr:uid="{C684B2A8-FB55-43E2-84F8-321083F493FD}"/>
    <cellStyle name="Normal 11 3 3 7 3 5 2" xfId="44691" xr:uid="{E1318274-CBA6-4A67-BA90-11E383C5B512}"/>
    <cellStyle name="Normal 11 3 3 7 3 6" xfId="44692" xr:uid="{5881347C-DDE2-4616-8256-09CA0F0C980B}"/>
    <cellStyle name="Normal 11 3 3 7 4" xfId="44693" xr:uid="{5598A375-E568-4218-BAE3-033710D4C6A1}"/>
    <cellStyle name="Normal 11 3 3 7 4 2" xfId="44694" xr:uid="{2B605EBC-9085-4048-9171-C38A6529E9A7}"/>
    <cellStyle name="Normal 11 3 3 7 4 2 2" xfId="44695" xr:uid="{0911E087-33EB-4323-843D-628C3BD9FD01}"/>
    <cellStyle name="Normal 11 3 3 7 4 2 2 2" xfId="44696" xr:uid="{03E51C49-34F3-49EA-A76A-BA9CD5C6353E}"/>
    <cellStyle name="Normal 11 3 3 7 4 2 2 2 2" xfId="44697" xr:uid="{E1DBE759-93C5-4385-98F9-31AC34E935F6}"/>
    <cellStyle name="Normal 11 3 3 7 4 2 2 3" xfId="44698" xr:uid="{4450A036-CBC1-4F3E-8A17-1D1D9A181345}"/>
    <cellStyle name="Normal 11 3 3 7 4 2 3" xfId="44699" xr:uid="{EDF82A2B-A8C3-4CA5-AF66-FADB2B35B36E}"/>
    <cellStyle name="Normal 11 3 3 7 4 2 3 2" xfId="44700" xr:uid="{563FE095-CE07-427F-8392-6B129B6BD103}"/>
    <cellStyle name="Normal 11 3 3 7 4 2 4" xfId="44701" xr:uid="{1B3FB9B9-1C3C-406B-A07B-12C1F922F8D9}"/>
    <cellStyle name="Normal 11 3 3 7 4 3" xfId="44702" xr:uid="{856CED31-0951-4348-A090-0AB6FBA24809}"/>
    <cellStyle name="Normal 11 3 3 7 4 3 2" xfId="44703" xr:uid="{E44ADB0E-AFBF-42D0-9CA7-2BD068C2C3AB}"/>
    <cellStyle name="Normal 11 3 3 7 4 3 2 2" xfId="44704" xr:uid="{BF907247-6707-4D55-992F-3A69A31D5AC2}"/>
    <cellStyle name="Normal 11 3 3 7 4 3 3" xfId="44705" xr:uid="{CAC01D9D-F180-47A6-9AFB-B2B4C5D74612}"/>
    <cellStyle name="Normal 11 3 3 7 4 4" xfId="44706" xr:uid="{B4BEF517-8139-494B-9D45-72B988353254}"/>
    <cellStyle name="Normal 11 3 3 7 4 4 2" xfId="44707" xr:uid="{08D7B04A-9DCC-4F86-8262-E0EF3575FDE1}"/>
    <cellStyle name="Normal 11 3 3 7 4 5" xfId="44708" xr:uid="{08AEB628-631D-4FCB-B83E-A594E609DB26}"/>
    <cellStyle name="Normal 11 3 3 7 5" xfId="44709" xr:uid="{ABE624C3-7A92-4F10-B489-B5532F8EE273}"/>
    <cellStyle name="Normal 11 3 3 7 5 2" xfId="44710" xr:uid="{92793F0E-7038-44AF-BBDD-98296B2214CC}"/>
    <cellStyle name="Normal 11 3 3 7 5 2 2" xfId="44711" xr:uid="{0C4A6045-4472-4D87-B76E-9C7A6A905FC7}"/>
    <cellStyle name="Normal 11 3 3 7 5 2 2 2" xfId="44712" xr:uid="{18E8C09C-900C-4C25-99E8-2DDAB380DC7D}"/>
    <cellStyle name="Normal 11 3 3 7 5 2 3" xfId="44713" xr:uid="{F269A84F-7028-4638-A0AB-77FF9ED8EE95}"/>
    <cellStyle name="Normal 11 3 3 7 5 3" xfId="44714" xr:uid="{24DF54F7-D17E-4E5E-9F5C-D979B0E9DCF9}"/>
    <cellStyle name="Normal 11 3 3 7 5 3 2" xfId="44715" xr:uid="{B76CCB67-4B57-4100-ADFC-805EB55D1FD3}"/>
    <cellStyle name="Normal 11 3 3 7 5 4" xfId="44716" xr:uid="{8F121A9D-705D-4261-8B5E-800044D5C535}"/>
    <cellStyle name="Normal 11 3 3 7 6" xfId="44717" xr:uid="{5EBB0B71-9038-48A9-AC5A-0BF6DFE4B5CD}"/>
    <cellStyle name="Normal 11 3 3 7 6 2" xfId="44718" xr:uid="{611A76B7-D93A-4DF2-B6C6-96C650EDF89A}"/>
    <cellStyle name="Normal 11 3 3 7 6 2 2" xfId="44719" xr:uid="{B2292236-1FB3-4B86-8072-1A350F3EAF59}"/>
    <cellStyle name="Normal 11 3 3 7 6 3" xfId="44720" xr:uid="{D9F6464A-59CF-42DC-A0F2-7AC2E2CE3526}"/>
    <cellStyle name="Normal 11 3 3 7 7" xfId="44721" xr:uid="{13DCC498-B72E-4431-A765-D9949D1BAD04}"/>
    <cellStyle name="Normal 11 3 3 7 7 2" xfId="44722" xr:uid="{734FAF8C-33C0-4492-B35C-EEDBEBB2610F}"/>
    <cellStyle name="Normal 11 3 3 7 8" xfId="44723" xr:uid="{1AEB3CC1-A2A3-4963-83C9-1CAA706316D8}"/>
    <cellStyle name="Normal 11 3 3 7 9" xfId="44596" xr:uid="{505D306D-328A-49D3-B8CE-7B7402D9B69E}"/>
    <cellStyle name="Normal 11 3 3 8" xfId="44724" xr:uid="{F299E141-DE0F-4A12-B770-DC1FBD092F5F}"/>
    <cellStyle name="Normal 11 3 3 8 2" xfId="44725" xr:uid="{7E7C0665-8488-4932-AC13-5E72F9F3EB4F}"/>
    <cellStyle name="Normal 11 3 3 8 2 2" xfId="44726" xr:uid="{2609899F-7BE3-49AB-A87F-5C1D94878D99}"/>
    <cellStyle name="Normal 11 3 3 8 2 2 2" xfId="44727" xr:uid="{6BFAB88F-2255-4C90-A933-11315F7CF323}"/>
    <cellStyle name="Normal 11 3 3 8 2 2 2 2" xfId="44728" xr:uid="{FBE18127-CE8E-4B5A-A9C1-13138930E044}"/>
    <cellStyle name="Normal 11 3 3 8 2 2 2 2 2" xfId="44729" xr:uid="{A83181E5-D0E3-4A08-8A58-F95317BC6E42}"/>
    <cellStyle name="Normal 11 3 3 8 2 2 2 2 2 2" xfId="44730" xr:uid="{498DB3F8-F61C-46BB-8E0D-A2707535D2E5}"/>
    <cellStyle name="Normal 11 3 3 8 2 2 2 2 3" xfId="44731" xr:uid="{D5B8B40E-06B2-4D22-964D-C21AAFB4E442}"/>
    <cellStyle name="Normal 11 3 3 8 2 2 2 3" xfId="44732" xr:uid="{E09BE906-BEF6-4758-8A4C-4C018BDA7CE9}"/>
    <cellStyle name="Normal 11 3 3 8 2 2 2 3 2" xfId="44733" xr:uid="{37E62C88-5BB7-4099-AAFB-D78A5455380F}"/>
    <cellStyle name="Normal 11 3 3 8 2 2 2 4" xfId="44734" xr:uid="{31AFFD01-BD82-400A-9859-850A3950CEF8}"/>
    <cellStyle name="Normal 11 3 3 8 2 2 3" xfId="44735" xr:uid="{33ACF70B-B602-4E1F-9359-D4D2F20F6140}"/>
    <cellStyle name="Normal 11 3 3 8 2 2 3 2" xfId="44736" xr:uid="{33978A55-EE5D-4EFD-98BB-9B6B2F2871B5}"/>
    <cellStyle name="Normal 11 3 3 8 2 2 3 2 2" xfId="44737" xr:uid="{42F88BF4-A38D-41E3-B52B-CC0278987505}"/>
    <cellStyle name="Normal 11 3 3 8 2 2 3 3" xfId="44738" xr:uid="{BA61D7A7-657D-4E12-A188-3FA52D463DDD}"/>
    <cellStyle name="Normal 11 3 3 8 2 2 4" xfId="44739" xr:uid="{80DA2710-FA27-4813-B4B4-F61E2966E6AF}"/>
    <cellStyle name="Normal 11 3 3 8 2 2 4 2" xfId="44740" xr:uid="{A6042DF0-0E33-498C-A601-D7CCD024E436}"/>
    <cellStyle name="Normal 11 3 3 8 2 2 5" xfId="44741" xr:uid="{EF19F503-2C5E-4C75-BCE9-EDD7E4A54F65}"/>
    <cellStyle name="Normal 11 3 3 8 2 3" xfId="44742" xr:uid="{943D84C8-6CD0-4660-A987-8D1E6AE6BB51}"/>
    <cellStyle name="Normal 11 3 3 8 2 3 2" xfId="44743" xr:uid="{AD054AFC-F660-4862-BA7F-0E676B3FE35E}"/>
    <cellStyle name="Normal 11 3 3 8 2 3 2 2" xfId="44744" xr:uid="{96CD2DA3-FD0A-4C20-A577-EE00B7BE7480}"/>
    <cellStyle name="Normal 11 3 3 8 2 3 2 2 2" xfId="44745" xr:uid="{9EB1E3A0-C8F5-47FA-A97C-4F89988F0966}"/>
    <cellStyle name="Normal 11 3 3 8 2 3 2 3" xfId="44746" xr:uid="{9CA818A5-B9E5-4EBD-9ABA-78623F8A4D8E}"/>
    <cellStyle name="Normal 11 3 3 8 2 3 3" xfId="44747" xr:uid="{3FDD6B33-DE2C-49E9-B280-DC37E7375BF6}"/>
    <cellStyle name="Normal 11 3 3 8 2 3 3 2" xfId="44748" xr:uid="{B2E2E51E-7365-4709-ADD0-A3031FE8F9CC}"/>
    <cellStyle name="Normal 11 3 3 8 2 3 4" xfId="44749" xr:uid="{C9265510-8C60-469A-B434-0B6F85D83D26}"/>
    <cellStyle name="Normal 11 3 3 8 2 4" xfId="44750" xr:uid="{54A57287-37D3-4F71-8784-5AA96B45EDE8}"/>
    <cellStyle name="Normal 11 3 3 8 2 4 2" xfId="44751" xr:uid="{0523B5C7-F4A0-4355-B6EB-290A04EAEB27}"/>
    <cellStyle name="Normal 11 3 3 8 2 4 2 2" xfId="44752" xr:uid="{8CCB7D24-79C7-4773-905E-EA2D7D757F20}"/>
    <cellStyle name="Normal 11 3 3 8 2 4 3" xfId="44753" xr:uid="{DE7BFB2E-3D7C-4ADF-BB10-744693949C60}"/>
    <cellStyle name="Normal 11 3 3 8 2 5" xfId="44754" xr:uid="{12C2F12B-20EE-40B1-8C8C-212F6E554B22}"/>
    <cellStyle name="Normal 11 3 3 8 2 5 2" xfId="44755" xr:uid="{8500492A-DCAE-4B94-BB4F-CE3A21485E16}"/>
    <cellStyle name="Normal 11 3 3 8 2 6" xfId="44756" xr:uid="{AC2B1DEE-F676-4313-97B4-DF7341F24A21}"/>
    <cellStyle name="Normal 11 3 3 8 3" xfId="44757" xr:uid="{B521199C-D21F-4A09-8AB9-8D4F8FC688C9}"/>
    <cellStyle name="Normal 11 3 3 8 3 2" xfId="44758" xr:uid="{780C612B-49C6-47D9-9006-5E7204E6F419}"/>
    <cellStyle name="Normal 11 3 3 8 3 2 2" xfId="44759" xr:uid="{4F4F5019-73DF-4F25-A680-2BF6703BD704}"/>
    <cellStyle name="Normal 11 3 3 8 3 2 2 2" xfId="44760" xr:uid="{E4F490CE-720F-43F6-8302-B37383899F39}"/>
    <cellStyle name="Normal 11 3 3 8 3 2 2 2 2" xfId="44761" xr:uid="{B8DCEFB8-7BDB-418B-ADD4-187773E28B85}"/>
    <cellStyle name="Normal 11 3 3 8 3 2 2 3" xfId="44762" xr:uid="{6AA47024-B6B4-4D34-A702-8DF17B3CBB0A}"/>
    <cellStyle name="Normal 11 3 3 8 3 2 3" xfId="44763" xr:uid="{40860259-BC79-42A8-94E8-C4809562E105}"/>
    <cellStyle name="Normal 11 3 3 8 3 2 3 2" xfId="44764" xr:uid="{65CA9BFF-4F94-4C48-80D5-ACCBEEABB2F2}"/>
    <cellStyle name="Normal 11 3 3 8 3 2 4" xfId="44765" xr:uid="{213E8883-F13E-4B3C-8956-E2D653F874F5}"/>
    <cellStyle name="Normal 11 3 3 8 3 3" xfId="44766" xr:uid="{42256DB7-D9AC-4E13-904E-586223B2D16B}"/>
    <cellStyle name="Normal 11 3 3 8 3 3 2" xfId="44767" xr:uid="{50054CB4-9EA2-4D13-90A0-3B76AF5D7D22}"/>
    <cellStyle name="Normal 11 3 3 8 3 3 2 2" xfId="44768" xr:uid="{9A2BB4F4-E41B-4C11-9683-4BCF71CCBC36}"/>
    <cellStyle name="Normal 11 3 3 8 3 3 3" xfId="44769" xr:uid="{9C661AD6-D599-4912-990F-03D3A5BF31CE}"/>
    <cellStyle name="Normal 11 3 3 8 3 4" xfId="44770" xr:uid="{1151B270-E597-4C6D-8479-4AD6457CF1AD}"/>
    <cellStyle name="Normal 11 3 3 8 3 4 2" xfId="44771" xr:uid="{DB5808F2-8943-4BC1-8352-124CF8F8A7C1}"/>
    <cellStyle name="Normal 11 3 3 8 3 5" xfId="44772" xr:uid="{6159A430-3BFC-409F-A465-CAD6832407B6}"/>
    <cellStyle name="Normal 11 3 3 8 4" xfId="44773" xr:uid="{6A12AAC3-2723-45A5-B140-950BE854BC48}"/>
    <cellStyle name="Normal 11 3 3 8 4 2" xfId="44774" xr:uid="{64570BCE-D6B4-4791-8694-C020B3464628}"/>
    <cellStyle name="Normal 11 3 3 8 4 2 2" xfId="44775" xr:uid="{A213ADEB-AF5E-438B-9602-69959AC1E817}"/>
    <cellStyle name="Normal 11 3 3 8 4 2 2 2" xfId="44776" xr:uid="{BDBA1C93-62A9-4370-A952-BF68668EF45B}"/>
    <cellStyle name="Normal 11 3 3 8 4 2 3" xfId="44777" xr:uid="{1D57B08B-46B8-45A0-B115-889A6C2800EB}"/>
    <cellStyle name="Normal 11 3 3 8 4 3" xfId="44778" xr:uid="{0B3FACEA-D86D-4007-ABA3-C2B715FA3E1F}"/>
    <cellStyle name="Normal 11 3 3 8 4 3 2" xfId="44779" xr:uid="{9B4B2336-788A-438C-89DB-F957A926D148}"/>
    <cellStyle name="Normal 11 3 3 8 4 4" xfId="44780" xr:uid="{29820878-B76B-430C-9F26-7DAC6477B9B9}"/>
    <cellStyle name="Normal 11 3 3 8 5" xfId="44781" xr:uid="{2B3E3D22-2FE1-46CF-A6B3-BED47B375FB7}"/>
    <cellStyle name="Normal 11 3 3 8 5 2" xfId="44782" xr:uid="{9E4BA3F6-8A3E-456C-B175-CF3564CAE806}"/>
    <cellStyle name="Normal 11 3 3 8 5 2 2" xfId="44783" xr:uid="{06C1DD1F-7212-4E27-8BD7-6E392B5DF68D}"/>
    <cellStyle name="Normal 11 3 3 8 5 3" xfId="44784" xr:uid="{E935F546-8E69-4730-9487-67E62225536E}"/>
    <cellStyle name="Normal 11 3 3 8 6" xfId="44785" xr:uid="{ADC37AC2-3F39-492F-917E-EB5C7B639180}"/>
    <cellStyle name="Normal 11 3 3 8 6 2" xfId="44786" xr:uid="{AF4719A5-DE6E-4ABD-90A7-0E04A52E2231}"/>
    <cellStyle name="Normal 11 3 3 8 7" xfId="44787" xr:uid="{9A370D44-1676-44DB-BD47-6D4644F196DD}"/>
    <cellStyle name="Normal 11 3 3 9" xfId="44788" xr:uid="{6D30C55A-BF4F-49C5-8441-A493509B2099}"/>
    <cellStyle name="Normal 11 3 3 9 2" xfId="44789" xr:uid="{3877914C-AFFB-4B53-9E98-DEE59FB77003}"/>
    <cellStyle name="Normal 11 3 3 9 2 2" xfId="44790" xr:uid="{F8BFF67C-0EEB-4D04-ADAA-91DD5DB1DCFF}"/>
    <cellStyle name="Normal 11 3 3 9 2 2 2" xfId="44791" xr:uid="{550D5183-7BE4-4D0D-A74F-D2759A1DE9C0}"/>
    <cellStyle name="Normal 11 3 3 9 2 2 2 2" xfId="44792" xr:uid="{7B65AEB2-2592-4CA7-9811-D580AF1C03C5}"/>
    <cellStyle name="Normal 11 3 3 9 2 2 2 2 2" xfId="44793" xr:uid="{C46F5005-A138-44DC-822F-3F3D5F08E2AC}"/>
    <cellStyle name="Normal 11 3 3 9 2 2 2 3" xfId="44794" xr:uid="{AEED7C0D-5E12-494A-8622-FE1BC9109BAA}"/>
    <cellStyle name="Normal 11 3 3 9 2 2 3" xfId="44795" xr:uid="{CAE9DA14-3090-41EC-878E-3FF6C4BBA308}"/>
    <cellStyle name="Normal 11 3 3 9 2 2 3 2" xfId="44796" xr:uid="{7AA12002-B5CE-41F8-B192-243977164AE5}"/>
    <cellStyle name="Normal 11 3 3 9 2 2 4" xfId="44797" xr:uid="{7F0B0843-D4FE-4B80-AB65-BB59D4CAA8F7}"/>
    <cellStyle name="Normal 11 3 3 9 2 3" xfId="44798" xr:uid="{348E464B-ABB0-450D-94A7-5BC118319013}"/>
    <cellStyle name="Normal 11 3 3 9 2 3 2" xfId="44799" xr:uid="{71AC83EE-D1F4-40EF-A536-6B154670AC42}"/>
    <cellStyle name="Normal 11 3 3 9 2 3 2 2" xfId="44800" xr:uid="{6210B77A-4A5B-4459-B3AC-63617EAFAB8F}"/>
    <cellStyle name="Normal 11 3 3 9 2 3 3" xfId="44801" xr:uid="{A5F72300-3E42-462F-BEC0-3C4D8A015F0E}"/>
    <cellStyle name="Normal 11 3 3 9 2 4" xfId="44802" xr:uid="{2171BD65-87EC-4451-A43C-52A08BF351EF}"/>
    <cellStyle name="Normal 11 3 3 9 2 4 2" xfId="44803" xr:uid="{018E3D16-6C0F-4A19-81A1-BBD5F494A97F}"/>
    <cellStyle name="Normal 11 3 3 9 2 5" xfId="44804" xr:uid="{50E5F2D7-8779-4735-B4AA-5EA2F834DCD8}"/>
    <cellStyle name="Normal 11 3 3 9 3" xfId="44805" xr:uid="{CC9D26BF-09BF-44E9-A2B4-10A8D6F701B0}"/>
    <cellStyle name="Normal 11 3 3 9 3 2" xfId="44806" xr:uid="{6C0F2AE9-E925-48D3-8FF7-92A927CBDC72}"/>
    <cellStyle name="Normal 11 3 3 9 3 2 2" xfId="44807" xr:uid="{EFD4A056-80CB-4549-A97B-AFA72FABF7CE}"/>
    <cellStyle name="Normal 11 3 3 9 3 2 2 2" xfId="44808" xr:uid="{216D8E9A-944B-401C-9C26-A48A5311E785}"/>
    <cellStyle name="Normal 11 3 3 9 3 2 3" xfId="44809" xr:uid="{E5EA4477-95EF-4907-967B-20F57C376CDE}"/>
    <cellStyle name="Normal 11 3 3 9 3 3" xfId="44810" xr:uid="{F565624A-C3E8-45D3-9C44-88887663B7E2}"/>
    <cellStyle name="Normal 11 3 3 9 3 3 2" xfId="44811" xr:uid="{DF7356E4-0D28-4BAF-8024-4767A5B4BACC}"/>
    <cellStyle name="Normal 11 3 3 9 3 4" xfId="44812" xr:uid="{47BF1BBB-51E3-4872-81AD-7E8E737A9602}"/>
    <cellStyle name="Normal 11 3 3 9 4" xfId="44813" xr:uid="{202C784B-6D79-4408-8157-3B178D3794FA}"/>
    <cellStyle name="Normal 11 3 3 9 4 2" xfId="44814" xr:uid="{7C8349EF-1614-4BAC-962D-7962A567BC0D}"/>
    <cellStyle name="Normal 11 3 3 9 4 2 2" xfId="44815" xr:uid="{A84FC74F-F1FB-4E4D-A790-7E5601F231AD}"/>
    <cellStyle name="Normal 11 3 3 9 4 3" xfId="44816" xr:uid="{46F9FD6E-9264-4A1B-9504-C1AE19A4F1B0}"/>
    <cellStyle name="Normal 11 3 3 9 5" xfId="44817" xr:uid="{FE6905FE-DD93-4FE7-8B05-33FE05E3FC09}"/>
    <cellStyle name="Normal 11 3 3 9 5 2" xfId="44818" xr:uid="{6A6B20D5-A663-4D94-BAEF-E0FA304ABA40}"/>
    <cellStyle name="Normal 11 3 3 9 6" xfId="44819" xr:uid="{844ADE72-4F88-45AA-81E5-DCBF073BFB06}"/>
    <cellStyle name="Normal 11 3 4" xfId="139" xr:uid="{372C9CB0-0947-4C8D-801E-7CAA0CBDE737}"/>
    <cellStyle name="Normal 11 3 4 10" xfId="44820" xr:uid="{FF43B2B7-EB9A-49A2-A399-C0449C1D6198}"/>
    <cellStyle name="Normal 11 3 4 11" xfId="528" xr:uid="{3140BA00-A1B0-43B1-9824-0E6D0B5E68EC}"/>
    <cellStyle name="Normal 11 3 4 2" xfId="386" xr:uid="{35607B0B-814F-4354-A2DE-094476325612}"/>
    <cellStyle name="Normal 11 3 4 2 10" xfId="44821" xr:uid="{7F9A3991-038F-43D0-BAA2-B47BA630CB2A}"/>
    <cellStyle name="Normal 11 3 4 2 2" xfId="44822" xr:uid="{374E1392-7F8B-4A44-A51F-727BF86DF6BD}"/>
    <cellStyle name="Normal 11 3 4 2 2 2" xfId="44823" xr:uid="{1503B8E9-AAC0-4A39-BD24-02601D4C7E4E}"/>
    <cellStyle name="Normal 11 3 4 2 2 2 2" xfId="44824" xr:uid="{8AC70292-9CEA-4AAA-B45B-37435F9B66B1}"/>
    <cellStyle name="Normal 11 3 4 2 2 2 2 2" xfId="44825" xr:uid="{E2756409-F61B-4DFD-8B5C-8F930D4AA733}"/>
    <cellStyle name="Normal 11 3 4 2 2 2 2 2 2" xfId="44826" xr:uid="{3613090E-4E53-48A2-A77A-3E39040387BE}"/>
    <cellStyle name="Normal 11 3 4 2 2 2 2 2 2 2" xfId="44827" xr:uid="{BDCD1009-7E74-4FB2-B75F-2040112F88CD}"/>
    <cellStyle name="Normal 11 3 4 2 2 2 2 2 2 2 2" xfId="44828" xr:uid="{B9B9D49C-8123-4488-B387-4C7A7A3FA5D5}"/>
    <cellStyle name="Normal 11 3 4 2 2 2 2 2 2 2 2 2" xfId="44829" xr:uid="{0D4287BD-4E3A-4C6C-A516-E7ABF6478E21}"/>
    <cellStyle name="Normal 11 3 4 2 2 2 2 2 2 2 3" xfId="44830" xr:uid="{7DBE6997-B531-40E9-B2DD-06D97D165D14}"/>
    <cellStyle name="Normal 11 3 4 2 2 2 2 2 2 3" xfId="44831" xr:uid="{00611277-E9CA-4028-B1F2-594DB46B8969}"/>
    <cellStyle name="Normal 11 3 4 2 2 2 2 2 2 3 2" xfId="44832" xr:uid="{EB652F0E-AF4A-4154-AB05-75D13F58E1A4}"/>
    <cellStyle name="Normal 11 3 4 2 2 2 2 2 2 4" xfId="44833" xr:uid="{C190E6B4-D8DB-4D42-A19E-1E66E49F4094}"/>
    <cellStyle name="Normal 11 3 4 2 2 2 2 2 3" xfId="44834" xr:uid="{86CE670A-B8E1-467F-B635-D7C3DE3FFA18}"/>
    <cellStyle name="Normal 11 3 4 2 2 2 2 2 3 2" xfId="44835" xr:uid="{68FBAD36-173A-466C-BEB1-D152A32DC5C7}"/>
    <cellStyle name="Normal 11 3 4 2 2 2 2 2 3 2 2" xfId="44836" xr:uid="{DF7604C9-42C1-4EDC-8FDA-8C163B533B10}"/>
    <cellStyle name="Normal 11 3 4 2 2 2 2 2 3 3" xfId="44837" xr:uid="{F52F291C-2F70-4D73-A77E-84BA0C8ECD0A}"/>
    <cellStyle name="Normal 11 3 4 2 2 2 2 2 4" xfId="44838" xr:uid="{B9BC2A0D-033D-40DA-95AE-6BD57547BF79}"/>
    <cellStyle name="Normal 11 3 4 2 2 2 2 2 4 2" xfId="44839" xr:uid="{97D3FA69-5583-4916-AB26-5C949C71C51E}"/>
    <cellStyle name="Normal 11 3 4 2 2 2 2 2 5" xfId="44840" xr:uid="{3C327BE2-FB8C-4ED8-B6F3-382FBC21D4D3}"/>
    <cellStyle name="Normal 11 3 4 2 2 2 2 3" xfId="44841" xr:uid="{E01B598A-8562-41C4-9531-220DC0C6BB56}"/>
    <cellStyle name="Normal 11 3 4 2 2 2 2 3 2" xfId="44842" xr:uid="{E73FF321-2800-41B8-843B-FC353C4C3FDB}"/>
    <cellStyle name="Normal 11 3 4 2 2 2 2 3 2 2" xfId="44843" xr:uid="{E48240FF-2D52-475D-9288-28031BC64AE0}"/>
    <cellStyle name="Normal 11 3 4 2 2 2 2 3 2 2 2" xfId="44844" xr:uid="{E3C8095E-4D2B-4BA3-9D97-D7014AAB0835}"/>
    <cellStyle name="Normal 11 3 4 2 2 2 2 3 2 3" xfId="44845" xr:uid="{B5535820-4CA1-48E3-A2CD-3DEC91AE49B7}"/>
    <cellStyle name="Normal 11 3 4 2 2 2 2 3 3" xfId="44846" xr:uid="{5CAFC21D-EA67-416B-AD8F-1E146C1C9173}"/>
    <cellStyle name="Normal 11 3 4 2 2 2 2 3 3 2" xfId="44847" xr:uid="{4ACCDAF6-9F6B-49C7-B27E-31E8832B0994}"/>
    <cellStyle name="Normal 11 3 4 2 2 2 2 3 4" xfId="44848" xr:uid="{80D07497-FBDD-4167-83E9-1F270014FDC4}"/>
    <cellStyle name="Normal 11 3 4 2 2 2 2 4" xfId="44849" xr:uid="{EAF8CA3B-7694-4A9D-BE4B-8454342DB59F}"/>
    <cellStyle name="Normal 11 3 4 2 2 2 2 4 2" xfId="44850" xr:uid="{21ADF1BE-24EA-41BA-B3FF-2A52FC9C50B4}"/>
    <cellStyle name="Normal 11 3 4 2 2 2 2 4 2 2" xfId="44851" xr:uid="{86F0F93D-B45C-4D33-AF23-8748470E7CD2}"/>
    <cellStyle name="Normal 11 3 4 2 2 2 2 4 3" xfId="44852" xr:uid="{B4C340BA-011E-4A07-9281-564161DAF4AF}"/>
    <cellStyle name="Normal 11 3 4 2 2 2 2 5" xfId="44853" xr:uid="{44029FA9-2E17-45CB-AA86-3B19C7580B4A}"/>
    <cellStyle name="Normal 11 3 4 2 2 2 2 5 2" xfId="44854" xr:uid="{EF31B894-4FDA-4910-B7E1-8F3F30CC991B}"/>
    <cellStyle name="Normal 11 3 4 2 2 2 2 6" xfId="44855" xr:uid="{B2AFCCB6-E8D0-4EAF-ACF6-523489F2A6A4}"/>
    <cellStyle name="Normal 11 3 4 2 2 2 3" xfId="44856" xr:uid="{954F5891-C6CB-4E50-B6E2-3D307178C402}"/>
    <cellStyle name="Normal 11 3 4 2 2 2 3 2" xfId="44857" xr:uid="{BAC4CE93-C16E-4994-AF92-C72883C4FA3C}"/>
    <cellStyle name="Normal 11 3 4 2 2 2 3 2 2" xfId="44858" xr:uid="{C41711FF-86EE-4A94-A013-6F20D749D2F3}"/>
    <cellStyle name="Normal 11 3 4 2 2 2 3 2 2 2" xfId="44859" xr:uid="{1FC7126F-4288-4FBA-AF34-2A09B95A5DD3}"/>
    <cellStyle name="Normal 11 3 4 2 2 2 3 2 2 2 2" xfId="44860" xr:uid="{EA1E2ED0-963C-429C-93C4-C088069C50B7}"/>
    <cellStyle name="Normal 11 3 4 2 2 2 3 2 2 3" xfId="44861" xr:uid="{56C787F1-37B6-472F-97AD-DCA291993B95}"/>
    <cellStyle name="Normal 11 3 4 2 2 2 3 2 3" xfId="44862" xr:uid="{69AD30A5-312D-42A1-AF1C-4C4635B8131A}"/>
    <cellStyle name="Normal 11 3 4 2 2 2 3 2 3 2" xfId="44863" xr:uid="{77044C22-450E-42FA-B82E-45D8521D9429}"/>
    <cellStyle name="Normal 11 3 4 2 2 2 3 2 4" xfId="44864" xr:uid="{A9E4E8EF-4204-41B1-B622-6D4303D94CB1}"/>
    <cellStyle name="Normal 11 3 4 2 2 2 3 3" xfId="44865" xr:uid="{83B067BA-242A-4F5E-B4B1-49A222746AD5}"/>
    <cellStyle name="Normal 11 3 4 2 2 2 3 3 2" xfId="44866" xr:uid="{5EF2C505-5A89-4A5C-B379-BF8A2CE89DE6}"/>
    <cellStyle name="Normal 11 3 4 2 2 2 3 3 2 2" xfId="44867" xr:uid="{62EAA123-37A9-4E96-9DE7-8AB0B452913A}"/>
    <cellStyle name="Normal 11 3 4 2 2 2 3 3 3" xfId="44868" xr:uid="{AAA1545D-2DCD-4FEC-8BD1-59BF38877195}"/>
    <cellStyle name="Normal 11 3 4 2 2 2 3 4" xfId="44869" xr:uid="{E91E73A4-BC76-4A34-84B8-D7545817420A}"/>
    <cellStyle name="Normal 11 3 4 2 2 2 3 4 2" xfId="44870" xr:uid="{91C27BAE-463C-4594-A442-1BFA9C70E561}"/>
    <cellStyle name="Normal 11 3 4 2 2 2 3 5" xfId="44871" xr:uid="{098F5B02-86B3-4665-8D2C-7F57A5E81F59}"/>
    <cellStyle name="Normal 11 3 4 2 2 2 4" xfId="44872" xr:uid="{C4D05BB4-ACCF-4744-B86C-48416C58DF87}"/>
    <cellStyle name="Normal 11 3 4 2 2 2 4 2" xfId="44873" xr:uid="{06A523ED-6E9A-405C-ABC1-CABBE1D5E648}"/>
    <cellStyle name="Normal 11 3 4 2 2 2 4 2 2" xfId="44874" xr:uid="{153528A7-F876-41E8-9C50-455FA31DC8B6}"/>
    <cellStyle name="Normal 11 3 4 2 2 2 4 2 2 2" xfId="44875" xr:uid="{7D69171C-9127-4903-B5A3-869D96AC8AFC}"/>
    <cellStyle name="Normal 11 3 4 2 2 2 4 2 3" xfId="44876" xr:uid="{7CB6DAB7-6560-4343-9F71-E93061276736}"/>
    <cellStyle name="Normal 11 3 4 2 2 2 4 3" xfId="44877" xr:uid="{8D7FB5E2-A1D3-4490-AC11-CC79EF4135FF}"/>
    <cellStyle name="Normal 11 3 4 2 2 2 4 3 2" xfId="44878" xr:uid="{BE4ECA3E-892C-43B3-A7DD-04A000FE07AE}"/>
    <cellStyle name="Normal 11 3 4 2 2 2 4 4" xfId="44879" xr:uid="{1706336C-57EB-4EB4-8843-8899B3E46238}"/>
    <cellStyle name="Normal 11 3 4 2 2 2 5" xfId="44880" xr:uid="{B2A26DC0-37F6-4EBE-A619-11448CC5285E}"/>
    <cellStyle name="Normal 11 3 4 2 2 2 5 2" xfId="44881" xr:uid="{9C57A841-1993-4CCC-A8DF-2985E5AA2458}"/>
    <cellStyle name="Normal 11 3 4 2 2 2 5 2 2" xfId="44882" xr:uid="{83DF1E50-9280-4AB3-A973-88FD3B2EC72D}"/>
    <cellStyle name="Normal 11 3 4 2 2 2 5 3" xfId="44883" xr:uid="{79D327C0-3267-4491-8376-1A2FBBA99276}"/>
    <cellStyle name="Normal 11 3 4 2 2 2 6" xfId="44884" xr:uid="{6BDF64FB-0C61-4298-B8D0-AD1218051EF3}"/>
    <cellStyle name="Normal 11 3 4 2 2 2 6 2" xfId="44885" xr:uid="{2CBEF145-7580-48BD-8A1A-7077F19C5DAD}"/>
    <cellStyle name="Normal 11 3 4 2 2 2 7" xfId="44886" xr:uid="{2B85834A-E754-4F4D-B3BF-8736A846BD8A}"/>
    <cellStyle name="Normal 11 3 4 2 2 3" xfId="44887" xr:uid="{95A3E732-03BA-4105-AD09-19196438E6D7}"/>
    <cellStyle name="Normal 11 3 4 2 2 3 2" xfId="44888" xr:uid="{E4A10DC3-619C-4E8A-AAFF-CF7FF75B06B8}"/>
    <cellStyle name="Normal 11 3 4 2 2 3 2 2" xfId="44889" xr:uid="{B2664C14-BD19-4611-A5E3-9311DEF3427A}"/>
    <cellStyle name="Normal 11 3 4 2 2 3 2 2 2" xfId="44890" xr:uid="{EAFE4985-AE6D-4F80-95C0-FFB856DE2B63}"/>
    <cellStyle name="Normal 11 3 4 2 2 3 2 2 2 2" xfId="44891" xr:uid="{BA303732-CFD8-4F0D-AEF3-F784AEDEB3D1}"/>
    <cellStyle name="Normal 11 3 4 2 2 3 2 2 2 2 2" xfId="44892" xr:uid="{148A8393-A694-4E1A-94FB-51DD67368CE1}"/>
    <cellStyle name="Normal 11 3 4 2 2 3 2 2 2 3" xfId="44893" xr:uid="{7F712E30-ED4A-44AA-88A6-C955B5FCC296}"/>
    <cellStyle name="Normal 11 3 4 2 2 3 2 2 3" xfId="44894" xr:uid="{7EBE908F-D421-41BE-9470-41D4DAD3E158}"/>
    <cellStyle name="Normal 11 3 4 2 2 3 2 2 3 2" xfId="44895" xr:uid="{7274142F-CD56-4B17-A033-E0E8EE25CAAE}"/>
    <cellStyle name="Normal 11 3 4 2 2 3 2 2 4" xfId="44896" xr:uid="{49C7C907-124E-4A35-BE1F-1A6ED19A2232}"/>
    <cellStyle name="Normal 11 3 4 2 2 3 2 3" xfId="44897" xr:uid="{A138A8BB-1A3A-41B7-BA23-E21CF537B25E}"/>
    <cellStyle name="Normal 11 3 4 2 2 3 2 3 2" xfId="44898" xr:uid="{23168A0B-65A2-4F35-A043-F42A2ACEF3E7}"/>
    <cellStyle name="Normal 11 3 4 2 2 3 2 3 2 2" xfId="44899" xr:uid="{158F555D-1EC5-42C6-9E3B-B35B9A2913E3}"/>
    <cellStyle name="Normal 11 3 4 2 2 3 2 3 3" xfId="44900" xr:uid="{B97FBB79-B626-45CD-8139-4F2F2B95F04B}"/>
    <cellStyle name="Normal 11 3 4 2 2 3 2 4" xfId="44901" xr:uid="{5D121362-5278-4099-B740-D6BBAAA7F070}"/>
    <cellStyle name="Normal 11 3 4 2 2 3 2 4 2" xfId="44902" xr:uid="{6E57BAF8-70AD-4515-ADB8-5842EF740EFA}"/>
    <cellStyle name="Normal 11 3 4 2 2 3 2 5" xfId="44903" xr:uid="{C635A9C0-E0B7-414B-A682-FA815692CB73}"/>
    <cellStyle name="Normal 11 3 4 2 2 3 3" xfId="44904" xr:uid="{8C902F0B-5425-458C-B6C6-D67D3761C96A}"/>
    <cellStyle name="Normal 11 3 4 2 2 3 3 2" xfId="44905" xr:uid="{CCB97761-0017-4033-8F6D-E456D90EE2C5}"/>
    <cellStyle name="Normal 11 3 4 2 2 3 3 2 2" xfId="44906" xr:uid="{B5B0033F-B410-404F-89A9-55E3B341F45C}"/>
    <cellStyle name="Normal 11 3 4 2 2 3 3 2 2 2" xfId="44907" xr:uid="{B1EC65EE-5164-4018-BF18-935C74E69490}"/>
    <cellStyle name="Normal 11 3 4 2 2 3 3 2 3" xfId="44908" xr:uid="{5A1431D2-522E-4C9D-A9CA-530C62BFDF43}"/>
    <cellStyle name="Normal 11 3 4 2 2 3 3 3" xfId="44909" xr:uid="{F39B00F9-BBA4-41A9-9290-74346DD7D342}"/>
    <cellStyle name="Normal 11 3 4 2 2 3 3 3 2" xfId="44910" xr:uid="{8FA0C79F-104D-4C76-996A-9A465E5EFB63}"/>
    <cellStyle name="Normal 11 3 4 2 2 3 3 4" xfId="44911" xr:uid="{CE1F4EE3-07DE-4A93-8F0F-7BEC652CB075}"/>
    <cellStyle name="Normal 11 3 4 2 2 3 4" xfId="44912" xr:uid="{7AFAAD17-A09C-496E-B937-C5488CD8CD17}"/>
    <cellStyle name="Normal 11 3 4 2 2 3 4 2" xfId="44913" xr:uid="{C72464F1-66CC-4144-AF13-CF1F0840A46A}"/>
    <cellStyle name="Normal 11 3 4 2 2 3 4 2 2" xfId="44914" xr:uid="{D3210FDD-578B-4C47-B2BE-BE2C0280683C}"/>
    <cellStyle name="Normal 11 3 4 2 2 3 4 3" xfId="44915" xr:uid="{69C7813D-80B0-4420-B72E-2E70FC6C203A}"/>
    <cellStyle name="Normal 11 3 4 2 2 3 5" xfId="44916" xr:uid="{21BCFB45-15CF-4868-A196-3D25E0090531}"/>
    <cellStyle name="Normal 11 3 4 2 2 3 5 2" xfId="44917" xr:uid="{2A86A272-39CD-49E7-A06A-607F832584FD}"/>
    <cellStyle name="Normal 11 3 4 2 2 3 6" xfId="44918" xr:uid="{ACFEDC7A-A703-444A-9030-187C601A6519}"/>
    <cellStyle name="Normal 11 3 4 2 2 4" xfId="44919" xr:uid="{84561BB1-AA21-4E3C-AAAD-FEFB7533C662}"/>
    <cellStyle name="Normal 11 3 4 2 2 4 2" xfId="44920" xr:uid="{B899F1A4-863C-4126-8D55-68D5117A49DC}"/>
    <cellStyle name="Normal 11 3 4 2 2 4 2 2" xfId="44921" xr:uid="{E0FC3502-32D4-478C-8585-E77210EA9E1F}"/>
    <cellStyle name="Normal 11 3 4 2 2 4 2 2 2" xfId="44922" xr:uid="{656B0210-9B79-41D3-ACEA-B33A9594072D}"/>
    <cellStyle name="Normal 11 3 4 2 2 4 2 2 2 2" xfId="44923" xr:uid="{55717D19-D88B-4B6A-9852-CD628445B61D}"/>
    <cellStyle name="Normal 11 3 4 2 2 4 2 2 3" xfId="44924" xr:uid="{56B4977A-1631-4757-A865-E4A5F06499A7}"/>
    <cellStyle name="Normal 11 3 4 2 2 4 2 3" xfId="44925" xr:uid="{EAF04581-FD28-4F3C-BC47-7C79D5B2F5ED}"/>
    <cellStyle name="Normal 11 3 4 2 2 4 2 3 2" xfId="44926" xr:uid="{AAF8BB47-3315-4050-AD8B-B54F516FEEE1}"/>
    <cellStyle name="Normal 11 3 4 2 2 4 2 4" xfId="44927" xr:uid="{F5CE2133-4DFD-447A-9A6D-EF8141C04646}"/>
    <cellStyle name="Normal 11 3 4 2 2 4 3" xfId="44928" xr:uid="{E12DF182-9194-44AD-9CAB-AFE742F6AE33}"/>
    <cellStyle name="Normal 11 3 4 2 2 4 3 2" xfId="44929" xr:uid="{859260D1-054C-44D9-A22D-19369DE6417A}"/>
    <cellStyle name="Normal 11 3 4 2 2 4 3 2 2" xfId="44930" xr:uid="{5D96589C-E4AA-40E0-8B2D-0012B18C4D7F}"/>
    <cellStyle name="Normal 11 3 4 2 2 4 3 3" xfId="44931" xr:uid="{4059B0CC-9409-442F-B073-9A86F228ACE0}"/>
    <cellStyle name="Normal 11 3 4 2 2 4 4" xfId="44932" xr:uid="{461FCED9-F0DC-4169-BBC3-2F51833F8A2F}"/>
    <cellStyle name="Normal 11 3 4 2 2 4 4 2" xfId="44933" xr:uid="{76669B55-9D94-46F6-B707-CA89E365AA65}"/>
    <cellStyle name="Normal 11 3 4 2 2 4 5" xfId="44934" xr:uid="{DEAD8259-0A19-490D-B9D8-C5AF777A224B}"/>
    <cellStyle name="Normal 11 3 4 2 2 5" xfId="44935" xr:uid="{6CDBECF2-7B3D-44DC-8392-C3D2D1C25679}"/>
    <cellStyle name="Normal 11 3 4 2 2 5 2" xfId="44936" xr:uid="{E1D8A26C-035A-48C1-A702-4B5FEF570A20}"/>
    <cellStyle name="Normal 11 3 4 2 2 5 2 2" xfId="44937" xr:uid="{C52500B8-0C83-41CF-956F-5AAFBCF84905}"/>
    <cellStyle name="Normal 11 3 4 2 2 5 2 2 2" xfId="44938" xr:uid="{1428BCD9-A1DA-47D0-AD4D-B7CA3AA8C660}"/>
    <cellStyle name="Normal 11 3 4 2 2 5 2 3" xfId="44939" xr:uid="{47C74101-C87E-463C-A9C9-053FF764521B}"/>
    <cellStyle name="Normal 11 3 4 2 2 5 3" xfId="44940" xr:uid="{02250D4D-7E70-40B5-9170-621D59190C78}"/>
    <cellStyle name="Normal 11 3 4 2 2 5 3 2" xfId="44941" xr:uid="{12B6EEE5-C077-4798-AF05-6040E54C09E5}"/>
    <cellStyle name="Normal 11 3 4 2 2 5 4" xfId="44942" xr:uid="{22CF5CD1-A747-4D9E-A2E0-C29688BEE412}"/>
    <cellStyle name="Normal 11 3 4 2 2 6" xfId="44943" xr:uid="{56250CBF-0D47-4381-8349-029A87A11FCA}"/>
    <cellStyle name="Normal 11 3 4 2 2 6 2" xfId="44944" xr:uid="{F7892E78-2B66-440C-B6AA-C473845C2C8A}"/>
    <cellStyle name="Normal 11 3 4 2 2 6 2 2" xfId="44945" xr:uid="{76236CAC-D46A-47F0-85D9-973622214274}"/>
    <cellStyle name="Normal 11 3 4 2 2 6 3" xfId="44946" xr:uid="{5EF393F7-1B27-42E1-B294-C1DFC5A6E9F9}"/>
    <cellStyle name="Normal 11 3 4 2 2 7" xfId="44947" xr:uid="{557AC96E-3AFF-4F97-8322-AF38BBB6452D}"/>
    <cellStyle name="Normal 11 3 4 2 2 7 2" xfId="44948" xr:uid="{B49FFE01-FA90-4803-99B7-7D7BB49AC903}"/>
    <cellStyle name="Normal 11 3 4 2 2 8" xfId="44949" xr:uid="{E01277BE-DCD6-43A1-991A-F7846CCC9205}"/>
    <cellStyle name="Normal 11 3 4 2 3" xfId="44950" xr:uid="{CD9944E7-2E06-479E-BD21-448CA98339D2}"/>
    <cellStyle name="Normal 11 3 4 2 3 2" xfId="44951" xr:uid="{9918C6DD-E06D-459D-A265-4BE9BA3B6F81}"/>
    <cellStyle name="Normal 11 3 4 2 3 2 2" xfId="44952" xr:uid="{B7FDCA22-AA89-4054-B6D4-0161542A6738}"/>
    <cellStyle name="Normal 11 3 4 2 3 2 2 2" xfId="44953" xr:uid="{691B1000-658E-4CC9-8DA6-2BECE1654FF5}"/>
    <cellStyle name="Normal 11 3 4 2 3 2 2 2 2" xfId="44954" xr:uid="{681FB748-6F32-4019-912C-B7173FDD8D46}"/>
    <cellStyle name="Normal 11 3 4 2 3 2 2 2 2 2" xfId="44955" xr:uid="{5AB0E4EF-0664-4616-A2D7-A04A7181168E}"/>
    <cellStyle name="Normal 11 3 4 2 3 2 2 2 2 2 2" xfId="44956" xr:uid="{7234382E-1E65-4707-BADC-92DCB436658B}"/>
    <cellStyle name="Normal 11 3 4 2 3 2 2 2 2 3" xfId="44957" xr:uid="{289D1639-309A-42AD-BABF-27043E492570}"/>
    <cellStyle name="Normal 11 3 4 2 3 2 2 2 3" xfId="44958" xr:uid="{7B860C08-B4A6-4CAB-AE93-C5FB1E7582B8}"/>
    <cellStyle name="Normal 11 3 4 2 3 2 2 2 3 2" xfId="44959" xr:uid="{CEC1B669-76EA-48D0-9D35-D1B7AED55379}"/>
    <cellStyle name="Normal 11 3 4 2 3 2 2 2 4" xfId="44960" xr:uid="{9BB46989-C1D3-41CD-AB57-C1A77ED0B80C}"/>
    <cellStyle name="Normal 11 3 4 2 3 2 2 3" xfId="44961" xr:uid="{20EA36F8-ACCB-4AA6-A6C2-C06EA41FFE9D}"/>
    <cellStyle name="Normal 11 3 4 2 3 2 2 3 2" xfId="44962" xr:uid="{F51CE897-4E39-4C54-A2FF-494A9DC9DE00}"/>
    <cellStyle name="Normal 11 3 4 2 3 2 2 3 2 2" xfId="44963" xr:uid="{FDA330E8-18F6-4379-B4E8-2CF19B198D8A}"/>
    <cellStyle name="Normal 11 3 4 2 3 2 2 3 3" xfId="44964" xr:uid="{4C02B731-7CDD-488D-B4DE-1B740F557B83}"/>
    <cellStyle name="Normal 11 3 4 2 3 2 2 4" xfId="44965" xr:uid="{F11E83C0-69FA-4FD5-8632-0F179659224B}"/>
    <cellStyle name="Normal 11 3 4 2 3 2 2 4 2" xfId="44966" xr:uid="{5EED6797-BF06-4AAF-8B9B-518ABAFC7441}"/>
    <cellStyle name="Normal 11 3 4 2 3 2 2 5" xfId="44967" xr:uid="{DB44F2DB-C064-4F80-B9A8-016AC41A0B97}"/>
    <cellStyle name="Normal 11 3 4 2 3 2 3" xfId="44968" xr:uid="{2B1A193A-9524-405A-BEAA-91B5674BA2E8}"/>
    <cellStyle name="Normal 11 3 4 2 3 2 3 2" xfId="44969" xr:uid="{F02460D7-291C-44FA-9D3B-0B23713E8C1C}"/>
    <cellStyle name="Normal 11 3 4 2 3 2 3 2 2" xfId="44970" xr:uid="{495C9E7C-322A-4497-8561-6D62AC962194}"/>
    <cellStyle name="Normal 11 3 4 2 3 2 3 2 2 2" xfId="44971" xr:uid="{6A974FE1-182A-4F5B-B655-C435057D4887}"/>
    <cellStyle name="Normal 11 3 4 2 3 2 3 2 3" xfId="44972" xr:uid="{32EB456C-B1EA-4930-8E0F-BA03BBEC2892}"/>
    <cellStyle name="Normal 11 3 4 2 3 2 3 3" xfId="44973" xr:uid="{126D060E-BC78-42EC-8F73-CAEF577AB867}"/>
    <cellStyle name="Normal 11 3 4 2 3 2 3 3 2" xfId="44974" xr:uid="{5E32F3BD-BE9E-4482-8F32-70441146BB9A}"/>
    <cellStyle name="Normal 11 3 4 2 3 2 3 4" xfId="44975" xr:uid="{D8B2F4C3-C456-40D6-BB29-D72B179981BC}"/>
    <cellStyle name="Normal 11 3 4 2 3 2 4" xfId="44976" xr:uid="{23CCD319-9126-441C-B630-9C9F4BEBC7C3}"/>
    <cellStyle name="Normal 11 3 4 2 3 2 4 2" xfId="44977" xr:uid="{58F958D8-767F-4696-A62F-3C483C6D7147}"/>
    <cellStyle name="Normal 11 3 4 2 3 2 4 2 2" xfId="44978" xr:uid="{65F2C6A2-29D6-4109-9297-D2AD3C9E8559}"/>
    <cellStyle name="Normal 11 3 4 2 3 2 4 3" xfId="44979" xr:uid="{59877668-2242-467A-85F7-176666D2F205}"/>
    <cellStyle name="Normal 11 3 4 2 3 2 5" xfId="44980" xr:uid="{3E5470B4-0A69-4535-9C8B-7D5979384466}"/>
    <cellStyle name="Normal 11 3 4 2 3 2 5 2" xfId="44981" xr:uid="{7663CA17-938C-4D4D-9CB4-3050ED031409}"/>
    <cellStyle name="Normal 11 3 4 2 3 2 6" xfId="44982" xr:uid="{50D5089D-9F5E-4F37-AEA0-A2A0728C893C}"/>
    <cellStyle name="Normal 11 3 4 2 3 3" xfId="44983" xr:uid="{DBAFDE07-79F9-46C6-9619-1752CFE819E9}"/>
    <cellStyle name="Normal 11 3 4 2 3 3 2" xfId="44984" xr:uid="{925FD607-90E0-42AE-9AF9-8A7DEE2C0F26}"/>
    <cellStyle name="Normal 11 3 4 2 3 3 2 2" xfId="44985" xr:uid="{E0393D8D-A77D-41C0-A424-A18263F2290F}"/>
    <cellStyle name="Normal 11 3 4 2 3 3 2 2 2" xfId="44986" xr:uid="{359A26F8-E34F-4DD6-A6EF-06BF63984792}"/>
    <cellStyle name="Normal 11 3 4 2 3 3 2 2 2 2" xfId="44987" xr:uid="{B919C6C3-02FF-48D4-8166-04C43375254F}"/>
    <cellStyle name="Normal 11 3 4 2 3 3 2 2 3" xfId="44988" xr:uid="{942EC569-8CAD-4339-950A-94EB89C10510}"/>
    <cellStyle name="Normal 11 3 4 2 3 3 2 3" xfId="44989" xr:uid="{5B208D80-B959-461D-850A-9611B91C5C90}"/>
    <cellStyle name="Normal 11 3 4 2 3 3 2 3 2" xfId="44990" xr:uid="{F82D35C9-2EAD-4EB8-8615-91B8C9B5828D}"/>
    <cellStyle name="Normal 11 3 4 2 3 3 2 4" xfId="44991" xr:uid="{5AD19261-6CBE-40CC-9B62-1AD9B4E5FB4F}"/>
    <cellStyle name="Normal 11 3 4 2 3 3 3" xfId="44992" xr:uid="{3BC50629-77C3-4D7E-93F1-F3592C328D5E}"/>
    <cellStyle name="Normal 11 3 4 2 3 3 3 2" xfId="44993" xr:uid="{8089B3EB-7904-4EA7-B6D0-516DB1DFDA07}"/>
    <cellStyle name="Normal 11 3 4 2 3 3 3 2 2" xfId="44994" xr:uid="{1D82FC46-7345-4606-99C5-4AFBD6A0A64D}"/>
    <cellStyle name="Normal 11 3 4 2 3 3 3 3" xfId="44995" xr:uid="{AAC128C9-CF17-4BFB-9EBB-15627F645FE2}"/>
    <cellStyle name="Normal 11 3 4 2 3 3 4" xfId="44996" xr:uid="{91A1BEDA-CB52-4760-A977-9B6DCF55DDF1}"/>
    <cellStyle name="Normal 11 3 4 2 3 3 4 2" xfId="44997" xr:uid="{CAB228F4-D51A-4112-B7FD-F8ECF4307505}"/>
    <cellStyle name="Normal 11 3 4 2 3 3 5" xfId="44998" xr:uid="{25D967A1-002B-4B80-9FAA-E1B15E742DDA}"/>
    <cellStyle name="Normal 11 3 4 2 3 4" xfId="44999" xr:uid="{0B1C0BFD-9561-434F-9595-542594155EEB}"/>
    <cellStyle name="Normal 11 3 4 2 3 4 2" xfId="45000" xr:uid="{3E345D4B-C9B4-4831-A11E-9BB50387802B}"/>
    <cellStyle name="Normal 11 3 4 2 3 4 2 2" xfId="45001" xr:uid="{54FD597A-83BD-4F3C-843B-A74313A82E6E}"/>
    <cellStyle name="Normal 11 3 4 2 3 4 2 2 2" xfId="45002" xr:uid="{79831B57-DBCD-43F6-B1F8-4B565708FE30}"/>
    <cellStyle name="Normal 11 3 4 2 3 4 2 3" xfId="45003" xr:uid="{B87FB0B4-7B8A-4D99-9720-AF14F92EED2A}"/>
    <cellStyle name="Normal 11 3 4 2 3 4 3" xfId="45004" xr:uid="{61F0F854-4ED5-4AA5-BF30-B0B6F8E07F16}"/>
    <cellStyle name="Normal 11 3 4 2 3 4 3 2" xfId="45005" xr:uid="{EF57B814-C263-4975-80B1-2D83124428F7}"/>
    <cellStyle name="Normal 11 3 4 2 3 4 4" xfId="45006" xr:uid="{C14C2D5B-D043-4D1B-9D9F-BFBCD1D75967}"/>
    <cellStyle name="Normal 11 3 4 2 3 5" xfId="45007" xr:uid="{12D26043-3432-4BCD-82D3-EB3746AF4AB1}"/>
    <cellStyle name="Normal 11 3 4 2 3 5 2" xfId="45008" xr:uid="{2689B827-8A10-4FE6-BE7D-ADC2DF6B91B9}"/>
    <cellStyle name="Normal 11 3 4 2 3 5 2 2" xfId="45009" xr:uid="{DCC85789-1BDE-47CA-9702-C9C56A8549B4}"/>
    <cellStyle name="Normal 11 3 4 2 3 5 3" xfId="45010" xr:uid="{135A8E1F-68C0-4E24-8014-C6CCE6DB099D}"/>
    <cellStyle name="Normal 11 3 4 2 3 6" xfId="45011" xr:uid="{C9C5A0DC-4A95-4426-9E67-899E6C1F6FE6}"/>
    <cellStyle name="Normal 11 3 4 2 3 6 2" xfId="45012" xr:uid="{C0B570BB-2CCA-4191-BD8A-EAAF4238538C}"/>
    <cellStyle name="Normal 11 3 4 2 3 7" xfId="45013" xr:uid="{3F8C923E-C497-4668-B93D-FACABB68BA13}"/>
    <cellStyle name="Normal 11 3 4 2 4" xfId="45014" xr:uid="{E8511E00-DDE4-4891-BB29-227FB8B3482D}"/>
    <cellStyle name="Normal 11 3 4 2 4 2" xfId="45015" xr:uid="{E95402FD-C3E9-4A68-82CE-289D2D80D5D4}"/>
    <cellStyle name="Normal 11 3 4 2 4 2 2" xfId="45016" xr:uid="{25AA68C1-13E1-4897-B4FF-8F006D1507B3}"/>
    <cellStyle name="Normal 11 3 4 2 4 2 2 2" xfId="45017" xr:uid="{257BC27A-9ED3-4717-8A81-5E62104960C9}"/>
    <cellStyle name="Normal 11 3 4 2 4 2 2 2 2" xfId="45018" xr:uid="{B4C29C11-CAAC-4A59-A29E-DCC4766C81D5}"/>
    <cellStyle name="Normal 11 3 4 2 4 2 2 2 2 2" xfId="45019" xr:uid="{9C788F1A-2BD1-401E-912F-1851998C0D41}"/>
    <cellStyle name="Normal 11 3 4 2 4 2 2 2 3" xfId="45020" xr:uid="{F938E244-2B39-438B-8318-1D46E5AF69DF}"/>
    <cellStyle name="Normal 11 3 4 2 4 2 2 3" xfId="45021" xr:uid="{B4196940-2AB4-4F2F-98FD-79B502FD8540}"/>
    <cellStyle name="Normal 11 3 4 2 4 2 2 3 2" xfId="45022" xr:uid="{127E43E0-497A-4A39-AEBF-153DDF18AB5C}"/>
    <cellStyle name="Normal 11 3 4 2 4 2 2 4" xfId="45023" xr:uid="{EBD80150-D3B8-43A5-B941-608978DC0DF7}"/>
    <cellStyle name="Normal 11 3 4 2 4 2 3" xfId="45024" xr:uid="{D22C6531-D4B0-4AA1-BAEA-83EE74A445A7}"/>
    <cellStyle name="Normal 11 3 4 2 4 2 3 2" xfId="45025" xr:uid="{F3E9137B-651E-4104-819B-9C31FB47E4A5}"/>
    <cellStyle name="Normal 11 3 4 2 4 2 3 2 2" xfId="45026" xr:uid="{5395C59D-EB7F-4EEC-9286-121D7DE14C28}"/>
    <cellStyle name="Normal 11 3 4 2 4 2 3 3" xfId="45027" xr:uid="{E139F3F8-76DF-4D33-9725-DBA812ED2AB6}"/>
    <cellStyle name="Normal 11 3 4 2 4 2 4" xfId="45028" xr:uid="{9C1EADC9-B90F-4646-A728-4F00FB0B0796}"/>
    <cellStyle name="Normal 11 3 4 2 4 2 4 2" xfId="45029" xr:uid="{4ED60610-58B8-4C90-87D4-635F0DFD965D}"/>
    <cellStyle name="Normal 11 3 4 2 4 2 5" xfId="45030" xr:uid="{A06C3A6F-C767-484F-B119-703CFB5FFFAE}"/>
    <cellStyle name="Normal 11 3 4 2 4 3" xfId="45031" xr:uid="{71264177-38DF-47A5-9F62-4ECFFE4DF66C}"/>
    <cellStyle name="Normal 11 3 4 2 4 3 2" xfId="45032" xr:uid="{F69D85CB-62C7-41F1-9864-6401CF403354}"/>
    <cellStyle name="Normal 11 3 4 2 4 3 2 2" xfId="45033" xr:uid="{6D8387C0-00C4-4A1F-8D78-D49D528B59F1}"/>
    <cellStyle name="Normal 11 3 4 2 4 3 2 2 2" xfId="45034" xr:uid="{0467728F-4B06-4DDC-B488-D4EB87D6653E}"/>
    <cellStyle name="Normal 11 3 4 2 4 3 2 3" xfId="45035" xr:uid="{A4BE77C5-5B00-4791-90B2-AF8E6F775F15}"/>
    <cellStyle name="Normal 11 3 4 2 4 3 3" xfId="45036" xr:uid="{691BACDC-0754-47A7-85AA-10112A78596D}"/>
    <cellStyle name="Normal 11 3 4 2 4 3 3 2" xfId="45037" xr:uid="{25EEDECB-7D4A-4866-B32D-8C417C95366A}"/>
    <cellStyle name="Normal 11 3 4 2 4 3 4" xfId="45038" xr:uid="{F862402B-7049-4087-9D12-E6C53426326D}"/>
    <cellStyle name="Normal 11 3 4 2 4 4" xfId="45039" xr:uid="{AA05CB46-5FA1-4CB6-9FAC-379537D3524C}"/>
    <cellStyle name="Normal 11 3 4 2 4 4 2" xfId="45040" xr:uid="{6B6E15F8-28AF-4702-9748-14986335FBE0}"/>
    <cellStyle name="Normal 11 3 4 2 4 4 2 2" xfId="45041" xr:uid="{789CA06D-F803-4562-8DD7-5703B5E2D976}"/>
    <cellStyle name="Normal 11 3 4 2 4 4 3" xfId="45042" xr:uid="{3A58B21A-B60C-4730-91BB-6FBD1D880467}"/>
    <cellStyle name="Normal 11 3 4 2 4 5" xfId="45043" xr:uid="{B15CA13F-BF7C-4CBE-862F-2A43ECC9B606}"/>
    <cellStyle name="Normal 11 3 4 2 4 5 2" xfId="45044" xr:uid="{F52E5DEE-D621-4FF2-BD4E-9BE20A1500A4}"/>
    <cellStyle name="Normal 11 3 4 2 4 6" xfId="45045" xr:uid="{930970F2-195E-4528-809F-418F36C44E17}"/>
    <cellStyle name="Normal 11 3 4 2 5" xfId="45046" xr:uid="{16AFDBE5-500A-4FE0-B134-1A53DC52DC72}"/>
    <cellStyle name="Normal 11 3 4 2 5 2" xfId="45047" xr:uid="{87FDC85B-A14B-4B1E-B150-AA799AC0CF8C}"/>
    <cellStyle name="Normal 11 3 4 2 5 2 2" xfId="45048" xr:uid="{A38154B4-B77C-468A-A78D-B3440163423F}"/>
    <cellStyle name="Normal 11 3 4 2 5 2 2 2" xfId="45049" xr:uid="{60F63A16-D219-41CE-A713-1BF944B6067A}"/>
    <cellStyle name="Normal 11 3 4 2 5 2 2 2 2" xfId="45050" xr:uid="{57A28DFB-9DF7-46DA-A31A-2DAAA7F5D320}"/>
    <cellStyle name="Normal 11 3 4 2 5 2 2 3" xfId="45051" xr:uid="{9A657B5F-05C9-4B72-AA2A-8869991A2B9B}"/>
    <cellStyle name="Normal 11 3 4 2 5 2 3" xfId="45052" xr:uid="{E1F673C5-3ADC-46F2-A53B-6251EF151B5E}"/>
    <cellStyle name="Normal 11 3 4 2 5 2 3 2" xfId="45053" xr:uid="{1A8604B4-30A1-47DE-8B08-07F624D4EC05}"/>
    <cellStyle name="Normal 11 3 4 2 5 2 4" xfId="45054" xr:uid="{913776D3-9DAC-42A4-B750-F28CB081F8BA}"/>
    <cellStyle name="Normal 11 3 4 2 5 3" xfId="45055" xr:uid="{B0D865E2-7DCF-4B59-9177-E6AD732E5008}"/>
    <cellStyle name="Normal 11 3 4 2 5 3 2" xfId="45056" xr:uid="{AE5F7EC3-B8A9-4AF2-B0D2-8B5C74999C41}"/>
    <cellStyle name="Normal 11 3 4 2 5 3 2 2" xfId="45057" xr:uid="{8BC839A0-6B31-4E2A-82F4-F3DD18A64092}"/>
    <cellStyle name="Normal 11 3 4 2 5 3 3" xfId="45058" xr:uid="{47B3FE09-5715-4437-9E20-F2BFE29CC39B}"/>
    <cellStyle name="Normal 11 3 4 2 5 4" xfId="45059" xr:uid="{22961D9B-1945-40E0-AEE5-1726A57CE8A4}"/>
    <cellStyle name="Normal 11 3 4 2 5 4 2" xfId="45060" xr:uid="{41D21D74-0B6C-4F9A-A130-F3346C110F5C}"/>
    <cellStyle name="Normal 11 3 4 2 5 5" xfId="45061" xr:uid="{4DC2D225-B317-45D5-AE47-479C535BC41E}"/>
    <cellStyle name="Normal 11 3 4 2 6" xfId="45062" xr:uid="{30D08481-E5C8-48E0-8A0D-F494F9A7BC19}"/>
    <cellStyle name="Normal 11 3 4 2 6 2" xfId="45063" xr:uid="{605DEF6E-0B25-40B5-95B0-2E40A41ADCBD}"/>
    <cellStyle name="Normal 11 3 4 2 6 2 2" xfId="45064" xr:uid="{13C028F1-F7AC-4927-A49C-574B8FD8FCBA}"/>
    <cellStyle name="Normal 11 3 4 2 6 2 2 2" xfId="45065" xr:uid="{B49730F5-A63A-48BA-BE39-47E76C757064}"/>
    <cellStyle name="Normal 11 3 4 2 6 2 3" xfId="45066" xr:uid="{782C5823-D0DF-4741-8165-E9CB85E76030}"/>
    <cellStyle name="Normal 11 3 4 2 6 3" xfId="45067" xr:uid="{D4CCB5A9-B533-4CAB-A235-49AC333665B4}"/>
    <cellStyle name="Normal 11 3 4 2 6 3 2" xfId="45068" xr:uid="{DE45E821-4E29-4533-962E-EF74FB191F54}"/>
    <cellStyle name="Normal 11 3 4 2 6 4" xfId="45069" xr:uid="{FF625127-4346-4FA6-8D97-10D4039D72C3}"/>
    <cellStyle name="Normal 11 3 4 2 7" xfId="45070" xr:uid="{E769624A-411C-47C9-AC3E-2A906742E23A}"/>
    <cellStyle name="Normal 11 3 4 2 7 2" xfId="45071" xr:uid="{8BF3BD66-802C-4B5E-9AA1-B544E1D1F7DA}"/>
    <cellStyle name="Normal 11 3 4 2 7 2 2" xfId="45072" xr:uid="{6BFC2B79-60DC-4EDC-AC79-DC8A718D89A4}"/>
    <cellStyle name="Normal 11 3 4 2 7 3" xfId="45073" xr:uid="{935DEDD1-21BA-4B4E-B038-2DFF4CA2B430}"/>
    <cellStyle name="Normal 11 3 4 2 8" xfId="45074" xr:uid="{1E64E522-75FC-427B-AB7B-C347B36C80EF}"/>
    <cellStyle name="Normal 11 3 4 2 8 2" xfId="45075" xr:uid="{FE8C39E0-7752-4636-8B0F-93F1EFE784F4}"/>
    <cellStyle name="Normal 11 3 4 2 9" xfId="45076" xr:uid="{9D4C2144-3327-4C2D-A498-3094C5FD7677}"/>
    <cellStyle name="Normal 11 3 4 3" xfId="440" xr:uid="{D1A18130-A4A2-4509-828B-8E1034CB79E9}"/>
    <cellStyle name="Normal 11 3 4 3 2" xfId="45078" xr:uid="{D5D9FB7D-C045-4BB0-893F-1D0F854935B4}"/>
    <cellStyle name="Normal 11 3 4 3 2 2" xfId="45079" xr:uid="{2E7B025D-7FCC-4583-B1D5-EE54722E7C26}"/>
    <cellStyle name="Normal 11 3 4 3 2 2 2" xfId="45080" xr:uid="{15F5E385-08ED-46A3-9BF5-17042D945CAC}"/>
    <cellStyle name="Normal 11 3 4 3 2 2 2 2" xfId="45081" xr:uid="{F74567AC-A670-4118-8BFB-E82E4BB618D2}"/>
    <cellStyle name="Normal 11 3 4 3 2 2 2 2 2" xfId="45082" xr:uid="{B7358A04-9208-4C03-8DA2-00EBE6F9305F}"/>
    <cellStyle name="Normal 11 3 4 3 2 2 2 2 2 2" xfId="45083" xr:uid="{72274C81-C8F7-4C15-BCCB-AB915F24BE94}"/>
    <cellStyle name="Normal 11 3 4 3 2 2 2 2 2 2 2" xfId="45084" xr:uid="{FE7BDC9A-38B6-4E8B-AC2A-21AF75412B75}"/>
    <cellStyle name="Normal 11 3 4 3 2 2 2 2 2 3" xfId="45085" xr:uid="{40CA7EB6-0DB2-4324-BE23-43B57F7FAB66}"/>
    <cellStyle name="Normal 11 3 4 3 2 2 2 2 3" xfId="45086" xr:uid="{544E1971-3974-4C2D-ADA3-636ACE053CA3}"/>
    <cellStyle name="Normal 11 3 4 3 2 2 2 2 3 2" xfId="45087" xr:uid="{B948C703-79CC-4785-81DD-D5B601C71EE9}"/>
    <cellStyle name="Normal 11 3 4 3 2 2 2 2 4" xfId="45088" xr:uid="{15D2C174-EEC0-493E-8751-F90F2484019B}"/>
    <cellStyle name="Normal 11 3 4 3 2 2 2 3" xfId="45089" xr:uid="{53DD52C9-228C-44C3-82C4-DB1E2EE6BC72}"/>
    <cellStyle name="Normal 11 3 4 3 2 2 2 3 2" xfId="45090" xr:uid="{58844A51-FC82-4837-9D54-708798D7A3D9}"/>
    <cellStyle name="Normal 11 3 4 3 2 2 2 3 2 2" xfId="45091" xr:uid="{54F5D19B-5FB0-43B9-8EAC-49A10C0A4EE2}"/>
    <cellStyle name="Normal 11 3 4 3 2 2 2 3 3" xfId="45092" xr:uid="{226F7D88-2B6C-4AB4-B551-1221F76A2227}"/>
    <cellStyle name="Normal 11 3 4 3 2 2 2 4" xfId="45093" xr:uid="{5EB236B9-2C15-43B6-A858-D177A54698B8}"/>
    <cellStyle name="Normal 11 3 4 3 2 2 2 4 2" xfId="45094" xr:uid="{42F210FC-4137-4F63-9CDF-EF85ED1DB137}"/>
    <cellStyle name="Normal 11 3 4 3 2 2 2 5" xfId="45095" xr:uid="{7EC42EB4-D208-45CA-9650-AE54937FE8E0}"/>
    <cellStyle name="Normal 11 3 4 3 2 2 3" xfId="45096" xr:uid="{9709D143-14F6-4EA4-93B0-F65CDFCEDDEA}"/>
    <cellStyle name="Normal 11 3 4 3 2 2 3 2" xfId="45097" xr:uid="{6DF456C6-35A3-47A8-973C-D3D59F3D7F9A}"/>
    <cellStyle name="Normal 11 3 4 3 2 2 3 2 2" xfId="45098" xr:uid="{25175D58-40D3-4569-B127-9DF3FF70D127}"/>
    <cellStyle name="Normal 11 3 4 3 2 2 3 2 2 2" xfId="45099" xr:uid="{89F25AA8-F0CD-45CC-9140-A767A17BE8BC}"/>
    <cellStyle name="Normal 11 3 4 3 2 2 3 2 3" xfId="45100" xr:uid="{C91115E9-6482-412C-871A-D1877D1C6812}"/>
    <cellStyle name="Normal 11 3 4 3 2 2 3 3" xfId="45101" xr:uid="{DB6D4A03-DB4E-4BC1-B6E9-349D4064DE7F}"/>
    <cellStyle name="Normal 11 3 4 3 2 2 3 3 2" xfId="45102" xr:uid="{8E2D2EA9-9CDF-4C29-B428-3F7358D3B03B}"/>
    <cellStyle name="Normal 11 3 4 3 2 2 3 4" xfId="45103" xr:uid="{8F1545A9-45A3-4561-B167-AC64573AC7E6}"/>
    <cellStyle name="Normal 11 3 4 3 2 2 4" xfId="45104" xr:uid="{1AA4D252-44B8-4DEC-9A1B-4ABAD729C9D7}"/>
    <cellStyle name="Normal 11 3 4 3 2 2 4 2" xfId="45105" xr:uid="{94659E44-1DEC-42D6-9C17-621569D7D9F9}"/>
    <cellStyle name="Normal 11 3 4 3 2 2 4 2 2" xfId="45106" xr:uid="{A975A1F0-2ECF-47F6-8083-98FEF228FADF}"/>
    <cellStyle name="Normal 11 3 4 3 2 2 4 3" xfId="45107" xr:uid="{FAC3B239-A2E7-47CA-ACA8-851ACA23EB14}"/>
    <cellStyle name="Normal 11 3 4 3 2 2 5" xfId="45108" xr:uid="{5B7640C7-DD72-4519-A1C9-3FB690EF69C7}"/>
    <cellStyle name="Normal 11 3 4 3 2 2 5 2" xfId="45109" xr:uid="{4187ABD8-274D-4175-A886-A505EA1BFA06}"/>
    <cellStyle name="Normal 11 3 4 3 2 2 6" xfId="45110" xr:uid="{DC297482-6B85-4D83-B101-E19A85AF8443}"/>
    <cellStyle name="Normal 11 3 4 3 2 3" xfId="45111" xr:uid="{05D25AAD-B043-4513-A307-BB7E94E92815}"/>
    <cellStyle name="Normal 11 3 4 3 2 3 2" xfId="45112" xr:uid="{1E87AD20-8966-42BA-AC3A-5115A25968F3}"/>
    <cellStyle name="Normal 11 3 4 3 2 3 2 2" xfId="45113" xr:uid="{C433C0A3-0A83-41CC-81A8-EE2E4AFF7069}"/>
    <cellStyle name="Normal 11 3 4 3 2 3 2 2 2" xfId="45114" xr:uid="{CC56F447-0E39-4B56-9D69-4256012E8C1C}"/>
    <cellStyle name="Normal 11 3 4 3 2 3 2 2 2 2" xfId="45115" xr:uid="{7E56AADD-9754-42C4-98EF-47462A020780}"/>
    <cellStyle name="Normal 11 3 4 3 2 3 2 2 3" xfId="45116" xr:uid="{C6304354-C017-4199-8849-CF3DA992CE09}"/>
    <cellStyle name="Normal 11 3 4 3 2 3 2 3" xfId="45117" xr:uid="{D9F9FCD4-1CB3-4686-A137-2B921F2F24AF}"/>
    <cellStyle name="Normal 11 3 4 3 2 3 2 3 2" xfId="45118" xr:uid="{54C63A5B-9285-434E-A16E-1591C1A798BF}"/>
    <cellStyle name="Normal 11 3 4 3 2 3 2 4" xfId="45119" xr:uid="{2D0B20BF-AC22-4ED5-BA6B-A48BF717C944}"/>
    <cellStyle name="Normal 11 3 4 3 2 3 3" xfId="45120" xr:uid="{0617CF7A-D427-4E20-8FAA-500A10C570D2}"/>
    <cellStyle name="Normal 11 3 4 3 2 3 3 2" xfId="45121" xr:uid="{30A0E8CE-08FF-4562-BA1E-D5D2434A1B84}"/>
    <cellStyle name="Normal 11 3 4 3 2 3 3 2 2" xfId="45122" xr:uid="{3CCC60BC-B635-4ADA-851F-DDB7DC81994D}"/>
    <cellStyle name="Normal 11 3 4 3 2 3 3 3" xfId="45123" xr:uid="{DCE96A8D-5205-4D60-9147-0028DFE0F2B7}"/>
    <cellStyle name="Normal 11 3 4 3 2 3 4" xfId="45124" xr:uid="{563A074F-9E98-4364-BB48-E9CB7D2480E4}"/>
    <cellStyle name="Normal 11 3 4 3 2 3 4 2" xfId="45125" xr:uid="{88B42D95-A048-4C36-AE01-C87876217608}"/>
    <cellStyle name="Normal 11 3 4 3 2 3 5" xfId="45126" xr:uid="{B612CDF5-3821-4F69-8EE5-4C7BD26FCBBD}"/>
    <cellStyle name="Normal 11 3 4 3 2 4" xfId="45127" xr:uid="{1C792FDA-D7FB-4C76-982D-9761D80AE628}"/>
    <cellStyle name="Normal 11 3 4 3 2 4 2" xfId="45128" xr:uid="{CDB1BD4E-54C1-42D8-A5DE-31AF0FC200CC}"/>
    <cellStyle name="Normal 11 3 4 3 2 4 2 2" xfId="45129" xr:uid="{4DD39F7F-E4F6-4644-A9D8-157EA0C692A4}"/>
    <cellStyle name="Normal 11 3 4 3 2 4 2 2 2" xfId="45130" xr:uid="{E58254A4-3417-4361-A94A-265DA0E3E420}"/>
    <cellStyle name="Normal 11 3 4 3 2 4 2 3" xfId="45131" xr:uid="{EB9149A3-A714-41C9-88E5-BBE7717E3A53}"/>
    <cellStyle name="Normal 11 3 4 3 2 4 3" xfId="45132" xr:uid="{D22EDA91-3D3F-457D-8E29-48A2350230EF}"/>
    <cellStyle name="Normal 11 3 4 3 2 4 3 2" xfId="45133" xr:uid="{915F2F10-0E80-4937-8A6B-6989D2F7E138}"/>
    <cellStyle name="Normal 11 3 4 3 2 4 4" xfId="45134" xr:uid="{24031C4A-E462-4BE7-B192-5BB898492A95}"/>
    <cellStyle name="Normal 11 3 4 3 2 5" xfId="45135" xr:uid="{1B0A4498-42BC-457B-B398-6991240BE483}"/>
    <cellStyle name="Normal 11 3 4 3 2 5 2" xfId="45136" xr:uid="{DA68FE5C-1473-4B71-9A91-07BF291FB3C4}"/>
    <cellStyle name="Normal 11 3 4 3 2 5 2 2" xfId="45137" xr:uid="{DA0031E7-5347-41C7-9C1D-7D97F063F008}"/>
    <cellStyle name="Normal 11 3 4 3 2 5 3" xfId="45138" xr:uid="{7F16D8DE-6B78-4D56-8477-ED7156D72192}"/>
    <cellStyle name="Normal 11 3 4 3 2 6" xfId="45139" xr:uid="{4B507AA6-141C-4764-AEF1-DD7D41C0EB61}"/>
    <cellStyle name="Normal 11 3 4 3 2 6 2" xfId="45140" xr:uid="{8E14A40C-A9A6-42CD-9983-5FAF08F7D31C}"/>
    <cellStyle name="Normal 11 3 4 3 2 7" xfId="45141" xr:uid="{54A09F02-22F6-43E3-811F-2C24D2BCCCDA}"/>
    <cellStyle name="Normal 11 3 4 3 3" xfId="45142" xr:uid="{4610ECB4-B1C9-4093-9309-7CB610F2C7C8}"/>
    <cellStyle name="Normal 11 3 4 3 3 2" xfId="45143" xr:uid="{CB8BA5F2-77DF-4ED0-911E-997325038E9F}"/>
    <cellStyle name="Normal 11 3 4 3 3 2 2" xfId="45144" xr:uid="{F0B59DD5-AA4E-43BA-B436-D47B0BC2324C}"/>
    <cellStyle name="Normal 11 3 4 3 3 2 2 2" xfId="45145" xr:uid="{84255452-1516-4A02-9490-86512E4C5D85}"/>
    <cellStyle name="Normal 11 3 4 3 3 2 2 2 2" xfId="45146" xr:uid="{669611BD-6422-4891-9487-813E4A1A6660}"/>
    <cellStyle name="Normal 11 3 4 3 3 2 2 2 2 2" xfId="45147" xr:uid="{BFA3704E-970F-49F8-B071-3EE915B9E94A}"/>
    <cellStyle name="Normal 11 3 4 3 3 2 2 2 3" xfId="45148" xr:uid="{457C5C40-BFEF-4320-B07D-7A8F46309147}"/>
    <cellStyle name="Normal 11 3 4 3 3 2 2 3" xfId="45149" xr:uid="{B02527E2-3846-4DB9-9DDD-3BFBE58FCE42}"/>
    <cellStyle name="Normal 11 3 4 3 3 2 2 3 2" xfId="45150" xr:uid="{089F8F14-E585-46B2-8DB5-401AD370AB89}"/>
    <cellStyle name="Normal 11 3 4 3 3 2 2 4" xfId="45151" xr:uid="{E123AD1E-1758-4B51-AABB-0BFB35FF7F59}"/>
    <cellStyle name="Normal 11 3 4 3 3 2 3" xfId="45152" xr:uid="{0F743C5F-6366-4F52-A743-599FA3DB0365}"/>
    <cellStyle name="Normal 11 3 4 3 3 2 3 2" xfId="45153" xr:uid="{3EBC33A9-2AC1-4C61-AD2C-D526214AC0BC}"/>
    <cellStyle name="Normal 11 3 4 3 3 2 3 2 2" xfId="45154" xr:uid="{EE58FBBA-8375-43EC-9E2A-1990FC6D8DB8}"/>
    <cellStyle name="Normal 11 3 4 3 3 2 3 3" xfId="45155" xr:uid="{EA649693-281F-4F8A-B445-833F9C16B36C}"/>
    <cellStyle name="Normal 11 3 4 3 3 2 4" xfId="45156" xr:uid="{01C88B61-90A5-4829-9FA3-FD54665B6ABB}"/>
    <cellStyle name="Normal 11 3 4 3 3 2 4 2" xfId="45157" xr:uid="{347EB101-3900-4FDA-ACB8-BB1B3D178233}"/>
    <cellStyle name="Normal 11 3 4 3 3 2 5" xfId="45158" xr:uid="{44EC3726-94DA-401F-A459-375A74B87F89}"/>
    <cellStyle name="Normal 11 3 4 3 3 3" xfId="45159" xr:uid="{9507A09D-D841-4B92-99BB-9705A313D013}"/>
    <cellStyle name="Normal 11 3 4 3 3 3 2" xfId="45160" xr:uid="{5DC8A0B0-0071-4938-A38D-45E6983D5736}"/>
    <cellStyle name="Normal 11 3 4 3 3 3 2 2" xfId="45161" xr:uid="{6E210B71-9CF9-4FB9-AF64-5ADC962A178E}"/>
    <cellStyle name="Normal 11 3 4 3 3 3 2 2 2" xfId="45162" xr:uid="{9B0F5C0F-6148-4D38-84B9-CCAC3B7CD3AC}"/>
    <cellStyle name="Normal 11 3 4 3 3 3 2 3" xfId="45163" xr:uid="{353BF498-1CA2-4FA0-8F01-91212118A0D6}"/>
    <cellStyle name="Normal 11 3 4 3 3 3 3" xfId="45164" xr:uid="{2184EBB6-3528-4B64-B670-BA3ABE64AD9D}"/>
    <cellStyle name="Normal 11 3 4 3 3 3 3 2" xfId="45165" xr:uid="{66B7E645-DC75-45C6-9B2C-0DC9B12C3BC0}"/>
    <cellStyle name="Normal 11 3 4 3 3 3 4" xfId="45166" xr:uid="{F590AA08-F4A7-4C30-82C9-C0F090EC6D89}"/>
    <cellStyle name="Normal 11 3 4 3 3 4" xfId="45167" xr:uid="{D64D470B-CCEE-4AF3-AD97-ED07F596D38E}"/>
    <cellStyle name="Normal 11 3 4 3 3 4 2" xfId="45168" xr:uid="{18634E9B-AB5D-4DBE-9C4F-84B3E90C41B5}"/>
    <cellStyle name="Normal 11 3 4 3 3 4 2 2" xfId="45169" xr:uid="{D2715266-F52B-4684-AC4A-1AD712CD322D}"/>
    <cellStyle name="Normal 11 3 4 3 3 4 3" xfId="45170" xr:uid="{2DA7A819-099E-4CBB-AAA2-2CD34123D47C}"/>
    <cellStyle name="Normal 11 3 4 3 3 5" xfId="45171" xr:uid="{40BFA14C-2ECC-4B0F-AAE2-0A1B5D1873EE}"/>
    <cellStyle name="Normal 11 3 4 3 3 5 2" xfId="45172" xr:uid="{290154C7-9D9B-4755-9910-FC4A6E00E6F8}"/>
    <cellStyle name="Normal 11 3 4 3 3 6" xfId="45173" xr:uid="{20984D3D-FCE1-4A24-8A48-E4C335C4E3C7}"/>
    <cellStyle name="Normal 11 3 4 3 4" xfId="45174" xr:uid="{4C088B20-4FEE-4BC2-832A-3956D5BE4921}"/>
    <cellStyle name="Normal 11 3 4 3 4 2" xfId="45175" xr:uid="{BD5E1E60-8941-40B1-92C5-7FF7C1A2D3D7}"/>
    <cellStyle name="Normal 11 3 4 3 4 2 2" xfId="45176" xr:uid="{C1E44168-F330-456F-9F02-DD0322A9C907}"/>
    <cellStyle name="Normal 11 3 4 3 4 2 2 2" xfId="45177" xr:uid="{83C945A0-5472-4567-9B4D-45A576DFAD9B}"/>
    <cellStyle name="Normal 11 3 4 3 4 2 2 2 2" xfId="45178" xr:uid="{5B622A1D-1720-4FBD-8500-4BC9E95FF8B3}"/>
    <cellStyle name="Normal 11 3 4 3 4 2 2 3" xfId="45179" xr:uid="{569DAE18-9AD5-4DA3-B692-A4F6660FE327}"/>
    <cellStyle name="Normal 11 3 4 3 4 2 3" xfId="45180" xr:uid="{1B6AF8A7-1A1A-4D8D-AA10-785118762808}"/>
    <cellStyle name="Normal 11 3 4 3 4 2 3 2" xfId="45181" xr:uid="{13D355E8-BEB9-4E92-8BFB-20FD8BADBF40}"/>
    <cellStyle name="Normal 11 3 4 3 4 2 4" xfId="45182" xr:uid="{23D8CA28-4C70-4EA2-96C0-AEDD5BD63F19}"/>
    <cellStyle name="Normal 11 3 4 3 4 3" xfId="45183" xr:uid="{7C01552B-FEEA-4854-97F6-7941DB4601F2}"/>
    <cellStyle name="Normal 11 3 4 3 4 3 2" xfId="45184" xr:uid="{3B6EBA11-3243-403C-855E-67943BF4BE83}"/>
    <cellStyle name="Normal 11 3 4 3 4 3 2 2" xfId="45185" xr:uid="{996A5320-A537-4C7D-8AE3-A41708F81EF4}"/>
    <cellStyle name="Normal 11 3 4 3 4 3 3" xfId="45186" xr:uid="{BC90D55B-E356-4950-A3D1-B9ADD163B229}"/>
    <cellStyle name="Normal 11 3 4 3 4 4" xfId="45187" xr:uid="{C863CD8C-EF7F-46CA-AC8F-67C74156A250}"/>
    <cellStyle name="Normal 11 3 4 3 4 4 2" xfId="45188" xr:uid="{C1947F41-DCA6-4A1F-A5CA-F3D8AFDB6546}"/>
    <cellStyle name="Normal 11 3 4 3 4 5" xfId="45189" xr:uid="{0970CC95-0E7F-4DD2-A9A7-13850B9D7C62}"/>
    <cellStyle name="Normal 11 3 4 3 5" xfId="45190" xr:uid="{0C79D99C-F172-43A7-9823-36AF0D72905F}"/>
    <cellStyle name="Normal 11 3 4 3 5 2" xfId="45191" xr:uid="{3071C21D-FB79-4559-8DDE-43D0F737ABEC}"/>
    <cellStyle name="Normal 11 3 4 3 5 2 2" xfId="45192" xr:uid="{05CFD3A9-1360-4357-981D-229EA7A73DE4}"/>
    <cellStyle name="Normal 11 3 4 3 5 2 2 2" xfId="45193" xr:uid="{4F0D58ED-1D0B-4BAE-915C-6BA953BB4E5F}"/>
    <cellStyle name="Normal 11 3 4 3 5 2 3" xfId="45194" xr:uid="{C7234215-9AEC-4BB9-8374-20E4AB97DE4A}"/>
    <cellStyle name="Normal 11 3 4 3 5 3" xfId="45195" xr:uid="{D37EEBB8-4538-4E30-B059-7505ADCB5486}"/>
    <cellStyle name="Normal 11 3 4 3 5 3 2" xfId="45196" xr:uid="{1EC862B8-5FBC-451C-BB14-FA1909107510}"/>
    <cellStyle name="Normal 11 3 4 3 5 4" xfId="45197" xr:uid="{BF3DE085-0990-42B6-BE39-3B691FE14E78}"/>
    <cellStyle name="Normal 11 3 4 3 6" xfId="45198" xr:uid="{32694D74-2609-4975-84D0-CD50A5599BE9}"/>
    <cellStyle name="Normal 11 3 4 3 6 2" xfId="45199" xr:uid="{21142E9D-794D-4DBF-91F7-7326EA888EEE}"/>
    <cellStyle name="Normal 11 3 4 3 6 2 2" xfId="45200" xr:uid="{A1D6BCC1-1DE1-4E0A-927D-29D7546D0D9C}"/>
    <cellStyle name="Normal 11 3 4 3 6 3" xfId="45201" xr:uid="{824BCC4C-79F9-470E-8EE0-ADFD0F0F4D03}"/>
    <cellStyle name="Normal 11 3 4 3 7" xfId="45202" xr:uid="{FE200037-088F-40CE-865C-D1B69CA20969}"/>
    <cellStyle name="Normal 11 3 4 3 7 2" xfId="45203" xr:uid="{AAA3DAE6-E72F-47F0-8223-271795038F76}"/>
    <cellStyle name="Normal 11 3 4 3 8" xfId="45204" xr:uid="{CCDC0F1F-D5E7-4E4D-B8B2-E909AD2B0938}"/>
    <cellStyle name="Normal 11 3 4 3 9" xfId="45077" xr:uid="{A0C180B3-E7A0-45BF-A2E0-365479AB26E8}"/>
    <cellStyle name="Normal 11 3 4 4" xfId="45205" xr:uid="{A0F8AE37-8295-4DFE-BFF7-215C9A533F5E}"/>
    <cellStyle name="Normal 11 3 4 4 2" xfId="45206" xr:uid="{64B3A5BE-6958-4398-BA68-0327676D9FB2}"/>
    <cellStyle name="Normal 11 3 4 4 2 2" xfId="45207" xr:uid="{4B6B563B-8633-4B75-BA28-274F6326CB9C}"/>
    <cellStyle name="Normal 11 3 4 4 2 2 2" xfId="45208" xr:uid="{2ABAB082-6083-41DD-96FD-0CF8FE4C05A6}"/>
    <cellStyle name="Normal 11 3 4 4 2 2 2 2" xfId="45209" xr:uid="{48C437B3-F2FB-4495-90B0-A6628C9455E9}"/>
    <cellStyle name="Normal 11 3 4 4 2 2 2 2 2" xfId="45210" xr:uid="{02641981-5EE7-413D-B57D-613F374F298F}"/>
    <cellStyle name="Normal 11 3 4 4 2 2 2 2 2 2" xfId="45211" xr:uid="{6373F82F-E203-4D05-B78F-4E330D87FBE4}"/>
    <cellStyle name="Normal 11 3 4 4 2 2 2 2 3" xfId="45212" xr:uid="{5AD577AC-62D6-44C9-B34B-D1A2E1CE356A}"/>
    <cellStyle name="Normal 11 3 4 4 2 2 2 3" xfId="45213" xr:uid="{C590EF10-46E8-4A54-9B22-1B18695DBF59}"/>
    <cellStyle name="Normal 11 3 4 4 2 2 2 3 2" xfId="45214" xr:uid="{E71CD18D-B653-4EF1-873E-68A25E135793}"/>
    <cellStyle name="Normal 11 3 4 4 2 2 2 4" xfId="45215" xr:uid="{141FE524-B0FD-4930-8E8B-5D21E694F240}"/>
    <cellStyle name="Normal 11 3 4 4 2 2 3" xfId="45216" xr:uid="{69EE50F6-1DD3-49A9-A05C-CA788074A596}"/>
    <cellStyle name="Normal 11 3 4 4 2 2 3 2" xfId="45217" xr:uid="{AF34F6A7-61F3-4A9F-9B36-61C741F1561E}"/>
    <cellStyle name="Normal 11 3 4 4 2 2 3 2 2" xfId="45218" xr:uid="{A6B19BD8-00E2-4248-9CDC-453AD9251D78}"/>
    <cellStyle name="Normal 11 3 4 4 2 2 3 3" xfId="45219" xr:uid="{7373E07B-0C02-4097-AAAB-356091F6EE31}"/>
    <cellStyle name="Normal 11 3 4 4 2 2 4" xfId="45220" xr:uid="{A9827D13-CF97-4EBB-96D5-0AC28CA43F02}"/>
    <cellStyle name="Normal 11 3 4 4 2 2 4 2" xfId="45221" xr:uid="{35050208-6CB8-4930-A67D-178E4D2F503E}"/>
    <cellStyle name="Normal 11 3 4 4 2 2 5" xfId="45222" xr:uid="{D4D329E4-D268-479E-9908-E200C9AE702A}"/>
    <cellStyle name="Normal 11 3 4 4 2 3" xfId="45223" xr:uid="{F69CC187-C215-4E76-88A4-614F3D1A7520}"/>
    <cellStyle name="Normal 11 3 4 4 2 3 2" xfId="45224" xr:uid="{FF7B3EA9-66DA-4C89-B62B-A1A4A300BBC9}"/>
    <cellStyle name="Normal 11 3 4 4 2 3 2 2" xfId="45225" xr:uid="{7F2B0310-5538-40BB-A1AD-37889659F9A1}"/>
    <cellStyle name="Normal 11 3 4 4 2 3 2 2 2" xfId="45226" xr:uid="{65B1CC7D-5852-4E98-B65A-136D3382CEB2}"/>
    <cellStyle name="Normal 11 3 4 4 2 3 2 3" xfId="45227" xr:uid="{0999C3F5-5011-40DB-90A7-4C066740B34C}"/>
    <cellStyle name="Normal 11 3 4 4 2 3 3" xfId="45228" xr:uid="{1BE6B44B-6328-4CB0-BB0E-EBBF0CCFC029}"/>
    <cellStyle name="Normal 11 3 4 4 2 3 3 2" xfId="45229" xr:uid="{3C5AB05C-BC59-4735-98EF-4F7C8D387EA6}"/>
    <cellStyle name="Normal 11 3 4 4 2 3 4" xfId="45230" xr:uid="{5107060E-639D-43DC-956C-825028D6810C}"/>
    <cellStyle name="Normal 11 3 4 4 2 4" xfId="45231" xr:uid="{1A246B78-7C88-41AE-B784-9ED4A14D18E1}"/>
    <cellStyle name="Normal 11 3 4 4 2 4 2" xfId="45232" xr:uid="{491E1E35-E954-4F27-A6A6-5C338B8499E8}"/>
    <cellStyle name="Normal 11 3 4 4 2 4 2 2" xfId="45233" xr:uid="{5A6FE3E6-E429-4955-8B44-44A5B29A7175}"/>
    <cellStyle name="Normal 11 3 4 4 2 4 3" xfId="45234" xr:uid="{38212868-9F23-4C0C-8476-1C0B2A97A473}"/>
    <cellStyle name="Normal 11 3 4 4 2 5" xfId="45235" xr:uid="{7C9D19F5-908C-41A2-A722-B1DCD24985DF}"/>
    <cellStyle name="Normal 11 3 4 4 2 5 2" xfId="45236" xr:uid="{740BF900-7EF2-4813-BA84-9D04985B2463}"/>
    <cellStyle name="Normal 11 3 4 4 2 6" xfId="45237" xr:uid="{6B354F76-96A9-464F-B0BF-25160992646E}"/>
    <cellStyle name="Normal 11 3 4 4 3" xfId="45238" xr:uid="{0E38CCF1-6659-4EC2-94D8-94478E2A1A29}"/>
    <cellStyle name="Normal 11 3 4 4 3 2" xfId="45239" xr:uid="{7F543D99-6154-4801-B804-3F66B5E46411}"/>
    <cellStyle name="Normal 11 3 4 4 3 2 2" xfId="45240" xr:uid="{392ED71C-0A4C-4DBF-B28B-1D666FECA846}"/>
    <cellStyle name="Normal 11 3 4 4 3 2 2 2" xfId="45241" xr:uid="{1309E7D0-C4DA-4D97-BBFE-67BFBE0133D0}"/>
    <cellStyle name="Normal 11 3 4 4 3 2 2 2 2" xfId="45242" xr:uid="{55F8F8EF-1755-4935-9CD4-56620155B0D0}"/>
    <cellStyle name="Normal 11 3 4 4 3 2 2 3" xfId="45243" xr:uid="{E821FC0D-3BEB-4052-8764-585E9E85A3B9}"/>
    <cellStyle name="Normal 11 3 4 4 3 2 3" xfId="45244" xr:uid="{6670EC7A-3BDA-4065-9638-CD99EAF1E920}"/>
    <cellStyle name="Normal 11 3 4 4 3 2 3 2" xfId="45245" xr:uid="{9853CD15-7982-45B3-ADB3-B362E4DA527A}"/>
    <cellStyle name="Normal 11 3 4 4 3 2 4" xfId="45246" xr:uid="{D660D5BB-A79C-465B-97F0-B436E7C761F9}"/>
    <cellStyle name="Normal 11 3 4 4 3 3" xfId="45247" xr:uid="{F82C620C-3A7F-450D-B45F-FF2C07D45DBC}"/>
    <cellStyle name="Normal 11 3 4 4 3 3 2" xfId="45248" xr:uid="{F20A3F91-F6E2-44D5-A065-C7A5A72A7CA7}"/>
    <cellStyle name="Normal 11 3 4 4 3 3 2 2" xfId="45249" xr:uid="{80E80C90-89FC-4665-9EAB-7ACB63EE111D}"/>
    <cellStyle name="Normal 11 3 4 4 3 3 3" xfId="45250" xr:uid="{E9526BDE-B659-4895-8415-BC4CAC6E248C}"/>
    <cellStyle name="Normal 11 3 4 4 3 4" xfId="45251" xr:uid="{90C6AA3C-8CA3-4FBA-8542-EC068E0E0601}"/>
    <cellStyle name="Normal 11 3 4 4 3 4 2" xfId="45252" xr:uid="{B7E84D76-4A07-4A5D-B218-CD382420DFC5}"/>
    <cellStyle name="Normal 11 3 4 4 3 5" xfId="45253" xr:uid="{9BC973BE-6AEB-4842-A969-CF45D069015B}"/>
    <cellStyle name="Normal 11 3 4 4 4" xfId="45254" xr:uid="{37D5AE74-8A62-43C1-B17D-235376B50DE4}"/>
    <cellStyle name="Normal 11 3 4 4 4 2" xfId="45255" xr:uid="{ED7E2ECF-3216-4B0E-BA6E-A84D49DE2E6D}"/>
    <cellStyle name="Normal 11 3 4 4 4 2 2" xfId="45256" xr:uid="{F788F827-9611-4E4D-9A46-54AF0178834F}"/>
    <cellStyle name="Normal 11 3 4 4 4 2 2 2" xfId="45257" xr:uid="{9CCD8E62-DAAC-4ECF-AC10-8FEC5408FCEB}"/>
    <cellStyle name="Normal 11 3 4 4 4 2 3" xfId="45258" xr:uid="{66BFE605-1B80-4CE4-AE5C-A200856C82A3}"/>
    <cellStyle name="Normal 11 3 4 4 4 3" xfId="45259" xr:uid="{CDF8F69E-01B3-4E18-A4C3-69EE57B83353}"/>
    <cellStyle name="Normal 11 3 4 4 4 3 2" xfId="45260" xr:uid="{5FCB6CE6-F0C8-41B6-B538-93CCBB15EAEE}"/>
    <cellStyle name="Normal 11 3 4 4 4 4" xfId="45261" xr:uid="{71013B9F-09A4-42F2-AF6F-67617E23DCC6}"/>
    <cellStyle name="Normal 11 3 4 4 5" xfId="45262" xr:uid="{F627C817-7E50-481D-9354-A6D9A9C1FFFA}"/>
    <cellStyle name="Normal 11 3 4 4 5 2" xfId="45263" xr:uid="{B152E91D-3EFB-4060-AC56-C0D6BF0E0C18}"/>
    <cellStyle name="Normal 11 3 4 4 5 2 2" xfId="45264" xr:uid="{BF6AF2FA-8479-4B3D-9D91-082D2ED73324}"/>
    <cellStyle name="Normal 11 3 4 4 5 3" xfId="45265" xr:uid="{856E16E6-A9D9-4674-87D0-3E2159B9987C}"/>
    <cellStyle name="Normal 11 3 4 4 6" xfId="45266" xr:uid="{BE002829-64A7-48BA-A7C5-DBD23DF662D4}"/>
    <cellStyle name="Normal 11 3 4 4 6 2" xfId="45267" xr:uid="{71C126C1-BDFC-46EE-BB42-9C089E48A96F}"/>
    <cellStyle name="Normal 11 3 4 4 7" xfId="45268" xr:uid="{6FFBDFFB-B323-47F2-8A44-7A0B8E893E93}"/>
    <cellStyle name="Normal 11 3 4 5" xfId="45269" xr:uid="{50A3EFC9-C402-4C33-9EFA-50A6560422AE}"/>
    <cellStyle name="Normal 11 3 4 5 2" xfId="45270" xr:uid="{DCB640B8-3F2B-4C95-B02A-9F456AA08736}"/>
    <cellStyle name="Normal 11 3 4 5 2 2" xfId="45271" xr:uid="{ED3BE57B-8AA6-41AD-A0BC-715A75AB0FC4}"/>
    <cellStyle name="Normal 11 3 4 5 2 2 2" xfId="45272" xr:uid="{BAB177C4-F6BD-4DC5-A113-5C7549737C25}"/>
    <cellStyle name="Normal 11 3 4 5 2 2 2 2" xfId="45273" xr:uid="{107A52C5-0602-4D95-86BC-16309ABEF9E4}"/>
    <cellStyle name="Normal 11 3 4 5 2 2 2 2 2" xfId="45274" xr:uid="{8C523549-E651-4198-BE1D-FD9762BFD6EC}"/>
    <cellStyle name="Normal 11 3 4 5 2 2 2 3" xfId="45275" xr:uid="{CA780FFC-2B4C-4C5A-8C08-7D85BAB9DC2B}"/>
    <cellStyle name="Normal 11 3 4 5 2 2 3" xfId="45276" xr:uid="{1E479633-7475-4CD2-8FE9-932E6FA6EC4C}"/>
    <cellStyle name="Normal 11 3 4 5 2 2 3 2" xfId="45277" xr:uid="{89C1E92E-80B1-40B1-9FC8-E8A34079920F}"/>
    <cellStyle name="Normal 11 3 4 5 2 2 4" xfId="45278" xr:uid="{A2049A70-C90D-4360-AE60-24A03B5613E9}"/>
    <cellStyle name="Normal 11 3 4 5 2 3" xfId="45279" xr:uid="{71F255F6-2B3C-4E02-A91D-39460A6D1393}"/>
    <cellStyle name="Normal 11 3 4 5 2 3 2" xfId="45280" xr:uid="{601A019D-1CEF-475E-B107-BA575A5F8474}"/>
    <cellStyle name="Normal 11 3 4 5 2 3 2 2" xfId="45281" xr:uid="{C57860E8-E741-4368-89FA-968B30ED5ED4}"/>
    <cellStyle name="Normal 11 3 4 5 2 3 3" xfId="45282" xr:uid="{A3246532-CF39-4A05-993F-1FA09227546C}"/>
    <cellStyle name="Normal 11 3 4 5 2 4" xfId="45283" xr:uid="{9D01E6F0-E911-408A-9430-AA30456BCAFB}"/>
    <cellStyle name="Normal 11 3 4 5 2 4 2" xfId="45284" xr:uid="{0CE794C6-5C02-47E1-AD7D-2AB82A621C84}"/>
    <cellStyle name="Normal 11 3 4 5 2 5" xfId="45285" xr:uid="{B1689E65-92CC-4333-A990-BD3E8062B103}"/>
    <cellStyle name="Normal 11 3 4 5 3" xfId="45286" xr:uid="{3891AF2E-17E0-4CE1-B7C7-73BFF00AEC31}"/>
    <cellStyle name="Normal 11 3 4 5 3 2" xfId="45287" xr:uid="{4C8F4A0C-BF86-4F04-821E-7E18921DA8C4}"/>
    <cellStyle name="Normal 11 3 4 5 3 2 2" xfId="45288" xr:uid="{E6F9DA07-2963-4D66-BE56-DEF49E840258}"/>
    <cellStyle name="Normal 11 3 4 5 3 2 2 2" xfId="45289" xr:uid="{12B601D9-A835-4DA4-8240-1C7D4FFB7155}"/>
    <cellStyle name="Normal 11 3 4 5 3 2 3" xfId="45290" xr:uid="{5C590AA2-B043-4A83-8793-93FC00BDBEBF}"/>
    <cellStyle name="Normal 11 3 4 5 3 3" xfId="45291" xr:uid="{A063FC01-BAE4-446A-8F96-C948C1004FF6}"/>
    <cellStyle name="Normal 11 3 4 5 3 3 2" xfId="45292" xr:uid="{2754EDAE-A283-4C62-A8E5-4C5FBC1D997A}"/>
    <cellStyle name="Normal 11 3 4 5 3 4" xfId="45293" xr:uid="{7A7C0C71-2289-48CE-BEA8-B76C0930DE0F}"/>
    <cellStyle name="Normal 11 3 4 5 4" xfId="45294" xr:uid="{4FE8FD51-ECF1-4B32-92E7-F7C25120CAA1}"/>
    <cellStyle name="Normal 11 3 4 5 4 2" xfId="45295" xr:uid="{7B67694C-EF85-4D39-8089-84B861DB194B}"/>
    <cellStyle name="Normal 11 3 4 5 4 2 2" xfId="45296" xr:uid="{3C614771-50A0-4C34-811A-C27BECB52CC4}"/>
    <cellStyle name="Normal 11 3 4 5 4 3" xfId="45297" xr:uid="{1A0E8EEA-1A98-4144-97D2-C4745BA9BD6F}"/>
    <cellStyle name="Normal 11 3 4 5 5" xfId="45298" xr:uid="{525605F2-9418-45BB-936B-0D1040108B6C}"/>
    <cellStyle name="Normal 11 3 4 5 5 2" xfId="45299" xr:uid="{CA934DAD-3037-4EB1-A79B-8BF06A6CC954}"/>
    <cellStyle name="Normal 11 3 4 5 6" xfId="45300" xr:uid="{68270508-9235-405A-A2C4-8522DDDECB3A}"/>
    <cellStyle name="Normal 11 3 4 6" xfId="45301" xr:uid="{D3010A60-C002-4B62-9EC3-F93BE2DF97AB}"/>
    <cellStyle name="Normal 11 3 4 6 2" xfId="45302" xr:uid="{4970F382-E7A4-419C-82A7-48CBCB9CF866}"/>
    <cellStyle name="Normal 11 3 4 6 2 2" xfId="45303" xr:uid="{B66A69A1-7D1B-437B-BD98-0CE73A64B811}"/>
    <cellStyle name="Normal 11 3 4 6 2 2 2" xfId="45304" xr:uid="{41D8D030-7D68-47D3-B366-41925E7B9EB6}"/>
    <cellStyle name="Normal 11 3 4 6 2 2 2 2" xfId="45305" xr:uid="{4F670CDC-1AE2-4923-9073-5A214E7DC897}"/>
    <cellStyle name="Normal 11 3 4 6 2 2 3" xfId="45306" xr:uid="{57D29F10-5E56-42BC-8892-1D99CCAB8693}"/>
    <cellStyle name="Normal 11 3 4 6 2 3" xfId="45307" xr:uid="{67D1E619-C54E-4FD1-AE3F-8751B6816D44}"/>
    <cellStyle name="Normal 11 3 4 6 2 3 2" xfId="45308" xr:uid="{5D8DEF9D-CE77-47B0-883C-3B2070547327}"/>
    <cellStyle name="Normal 11 3 4 6 2 4" xfId="45309" xr:uid="{C88A727E-05BD-4416-BBE4-40FF642FC6D5}"/>
    <cellStyle name="Normal 11 3 4 6 3" xfId="45310" xr:uid="{542BF3C9-5308-441D-B698-E381F49A558F}"/>
    <cellStyle name="Normal 11 3 4 6 3 2" xfId="45311" xr:uid="{E6204445-C2AE-41DD-8E2F-A1671E95B189}"/>
    <cellStyle name="Normal 11 3 4 6 3 2 2" xfId="45312" xr:uid="{938FEBCC-05EC-4532-96EC-6F03CD71DD9D}"/>
    <cellStyle name="Normal 11 3 4 6 3 3" xfId="45313" xr:uid="{06804BAC-BC3D-419A-9336-ECA1FB6F31E7}"/>
    <cellStyle name="Normal 11 3 4 6 4" xfId="45314" xr:uid="{6C0DA7B5-A063-4F2A-B8C8-0C1738A98CB3}"/>
    <cellStyle name="Normal 11 3 4 6 4 2" xfId="45315" xr:uid="{A1D5EAD8-4FD4-432D-B052-7EC8B9FC783F}"/>
    <cellStyle name="Normal 11 3 4 6 5" xfId="45316" xr:uid="{0141ADBD-B2F3-4E63-99FD-68EDEE26711D}"/>
    <cellStyle name="Normal 11 3 4 7" xfId="45317" xr:uid="{F0FAD638-D50B-4D13-BE56-9294E98FC610}"/>
    <cellStyle name="Normal 11 3 4 7 2" xfId="45318" xr:uid="{E4557F62-54ED-42DF-B51A-6D2AB344BFA9}"/>
    <cellStyle name="Normal 11 3 4 7 2 2" xfId="45319" xr:uid="{374E5E0D-44EB-4AF0-8465-BA7E86B8EC4E}"/>
    <cellStyle name="Normal 11 3 4 7 2 2 2" xfId="45320" xr:uid="{5178C727-4237-43C4-8BF4-8E731B7E9941}"/>
    <cellStyle name="Normal 11 3 4 7 2 3" xfId="45321" xr:uid="{474CDCF8-7E4A-40FE-A8C3-50B1D135540A}"/>
    <cellStyle name="Normal 11 3 4 7 3" xfId="45322" xr:uid="{E7CB5571-5DF2-4BD5-9B12-579A3529C7B0}"/>
    <cellStyle name="Normal 11 3 4 7 3 2" xfId="45323" xr:uid="{E48327EF-83A7-47F1-AA9B-75A3844BB59B}"/>
    <cellStyle name="Normal 11 3 4 7 4" xfId="45324" xr:uid="{F611573D-B127-4702-9452-3276F998E763}"/>
    <cellStyle name="Normal 11 3 4 8" xfId="45325" xr:uid="{9EB136F6-3976-4E19-86C7-23156E2EEA17}"/>
    <cellStyle name="Normal 11 3 4 8 2" xfId="45326" xr:uid="{30DA3D57-6807-4368-AE44-9AB281108177}"/>
    <cellStyle name="Normal 11 3 4 8 2 2" xfId="45327" xr:uid="{7B7D2211-C22F-4AFE-B5E2-63E654C47032}"/>
    <cellStyle name="Normal 11 3 4 8 3" xfId="45328" xr:uid="{D0B474C7-9878-4463-AA3F-C3B180B92C54}"/>
    <cellStyle name="Normal 11 3 4 9" xfId="45329" xr:uid="{67F0EC2C-172D-4AAA-B437-85EE124D7B66}"/>
    <cellStyle name="Normal 11 3 4 9 2" xfId="45330" xr:uid="{4E5C6BAE-3E06-446F-991F-873FD123C32B}"/>
    <cellStyle name="Normal 11 3 5" xfId="221" xr:uid="{610B8145-F897-4131-B969-6E43D7B018BE}"/>
    <cellStyle name="Normal 11 3 5 10" xfId="45331" xr:uid="{71FD545F-5B30-4624-9C30-61BDF2163F0F}"/>
    <cellStyle name="Normal 11 3 5 11" xfId="603" xr:uid="{A2AD2F37-7185-4B24-840B-2F9011118CFD}"/>
    <cellStyle name="Normal 11 3 5 2" xfId="387" xr:uid="{BD0F3C89-CBBE-448A-910D-F0ACC1DC4B0F}"/>
    <cellStyle name="Normal 11 3 5 2 10" xfId="45332" xr:uid="{CAD0B367-41BC-4886-9345-40EC35E59EFE}"/>
    <cellStyle name="Normal 11 3 5 2 2" xfId="45333" xr:uid="{FD62EEBC-8162-48AB-8A90-3D34183912B5}"/>
    <cellStyle name="Normal 11 3 5 2 2 2" xfId="45334" xr:uid="{4621FDD1-27A7-4EB5-AE75-A0455CEAE1A7}"/>
    <cellStyle name="Normal 11 3 5 2 2 2 2" xfId="45335" xr:uid="{F9A1C7F9-1119-4BC9-BDE8-40D0560C96C5}"/>
    <cellStyle name="Normal 11 3 5 2 2 2 2 2" xfId="45336" xr:uid="{D2FD7933-2E67-4E4E-A475-DEE7DE58F265}"/>
    <cellStyle name="Normal 11 3 5 2 2 2 2 2 2" xfId="45337" xr:uid="{BD581344-52B4-45A3-91A6-5A06E390D9FB}"/>
    <cellStyle name="Normal 11 3 5 2 2 2 2 2 2 2" xfId="45338" xr:uid="{35768E2D-1FFF-4B28-95BC-A02FA6E64CB3}"/>
    <cellStyle name="Normal 11 3 5 2 2 2 2 2 2 2 2" xfId="45339" xr:uid="{A78052A5-0565-441C-900B-A3A0C68AF28B}"/>
    <cellStyle name="Normal 11 3 5 2 2 2 2 2 2 2 2 2" xfId="45340" xr:uid="{D66FEE5F-E7AC-4E77-B3A0-3AEF05A68348}"/>
    <cellStyle name="Normal 11 3 5 2 2 2 2 2 2 2 3" xfId="45341" xr:uid="{78FCF5C7-B358-427A-BCAE-370371539F9A}"/>
    <cellStyle name="Normal 11 3 5 2 2 2 2 2 2 3" xfId="45342" xr:uid="{FC709535-6E14-4816-AF94-72DB9FC72DA4}"/>
    <cellStyle name="Normal 11 3 5 2 2 2 2 2 2 3 2" xfId="45343" xr:uid="{9CA3462D-E56F-43E4-822D-AE0443780DDD}"/>
    <cellStyle name="Normal 11 3 5 2 2 2 2 2 2 4" xfId="45344" xr:uid="{6752CFB3-EBE0-4F4F-B0E1-651550DF5B32}"/>
    <cellStyle name="Normal 11 3 5 2 2 2 2 2 3" xfId="45345" xr:uid="{5A800E6C-C3B9-4467-96C3-94A9CD5FDB17}"/>
    <cellStyle name="Normal 11 3 5 2 2 2 2 2 3 2" xfId="45346" xr:uid="{10E786BD-0D5C-4C77-8A17-3CA23348C23B}"/>
    <cellStyle name="Normal 11 3 5 2 2 2 2 2 3 2 2" xfId="45347" xr:uid="{6206810B-E84C-4BCF-8140-ED5F235FEEF1}"/>
    <cellStyle name="Normal 11 3 5 2 2 2 2 2 3 3" xfId="45348" xr:uid="{2CF9008C-2BA4-4931-B2EB-E5739B479570}"/>
    <cellStyle name="Normal 11 3 5 2 2 2 2 2 4" xfId="45349" xr:uid="{F0603969-41F5-4AC5-BB07-EFFA1B4AFBD9}"/>
    <cellStyle name="Normal 11 3 5 2 2 2 2 2 4 2" xfId="45350" xr:uid="{9FADAB0A-6D47-48D7-B515-AECBCE495FF5}"/>
    <cellStyle name="Normal 11 3 5 2 2 2 2 2 5" xfId="45351" xr:uid="{3AF24F85-6544-4BF0-8418-317B08392F29}"/>
    <cellStyle name="Normal 11 3 5 2 2 2 2 3" xfId="45352" xr:uid="{A99F74EC-6AF5-4D9F-A8DB-5F6DF42DB387}"/>
    <cellStyle name="Normal 11 3 5 2 2 2 2 3 2" xfId="45353" xr:uid="{BE773F2D-A85F-4C30-BFD0-9D4F64B58180}"/>
    <cellStyle name="Normal 11 3 5 2 2 2 2 3 2 2" xfId="45354" xr:uid="{7C08FD3A-C4E5-4D10-AECE-657228DAF884}"/>
    <cellStyle name="Normal 11 3 5 2 2 2 2 3 2 2 2" xfId="45355" xr:uid="{AAC69781-1E26-45C8-BD8A-34E27D43F310}"/>
    <cellStyle name="Normal 11 3 5 2 2 2 2 3 2 3" xfId="45356" xr:uid="{3CEB79B4-ECAF-4D65-8663-7E02CE265F97}"/>
    <cellStyle name="Normal 11 3 5 2 2 2 2 3 3" xfId="45357" xr:uid="{FE7C12DC-C664-42ED-B4BF-C9355A4036BD}"/>
    <cellStyle name="Normal 11 3 5 2 2 2 2 3 3 2" xfId="45358" xr:uid="{009B9ADA-D3E9-4634-B6F6-FC1A3DF1FADD}"/>
    <cellStyle name="Normal 11 3 5 2 2 2 2 3 4" xfId="45359" xr:uid="{E0390AA4-0197-4BCC-91E6-44D3DE5DF3C3}"/>
    <cellStyle name="Normal 11 3 5 2 2 2 2 4" xfId="45360" xr:uid="{028628F9-06A3-466D-B53D-21C896FD3395}"/>
    <cellStyle name="Normal 11 3 5 2 2 2 2 4 2" xfId="45361" xr:uid="{F28EDFD4-979E-4644-BB19-11CE2C14AB32}"/>
    <cellStyle name="Normal 11 3 5 2 2 2 2 4 2 2" xfId="45362" xr:uid="{DAB83498-DDB7-462D-93DC-E7BEC6166DF3}"/>
    <cellStyle name="Normal 11 3 5 2 2 2 2 4 3" xfId="45363" xr:uid="{7C912DC4-5789-4A91-9FCB-299871BC9AD0}"/>
    <cellStyle name="Normal 11 3 5 2 2 2 2 5" xfId="45364" xr:uid="{3521A41F-ED11-4D58-ABEC-E70763D5A8A0}"/>
    <cellStyle name="Normal 11 3 5 2 2 2 2 5 2" xfId="45365" xr:uid="{8EAADB5E-1E5C-4DDB-BA73-9B94F57E53FC}"/>
    <cellStyle name="Normal 11 3 5 2 2 2 2 6" xfId="45366" xr:uid="{692EF832-3423-480A-97D0-737A38AA1A3D}"/>
    <cellStyle name="Normal 11 3 5 2 2 2 3" xfId="45367" xr:uid="{6C398ED7-332F-4D0B-B04F-5DFE791EBA4A}"/>
    <cellStyle name="Normal 11 3 5 2 2 2 3 2" xfId="45368" xr:uid="{6DC0DB07-EBFD-4D92-A7E5-B695DF59FB5A}"/>
    <cellStyle name="Normal 11 3 5 2 2 2 3 2 2" xfId="45369" xr:uid="{01C64C4D-8179-4A97-ADA2-77DD159C338C}"/>
    <cellStyle name="Normal 11 3 5 2 2 2 3 2 2 2" xfId="45370" xr:uid="{8A5BBDD9-8709-4E0E-9B73-C3BADE0086B1}"/>
    <cellStyle name="Normal 11 3 5 2 2 2 3 2 2 2 2" xfId="45371" xr:uid="{AEDD07CE-2EF9-45E1-B9AA-089D63BCE9E9}"/>
    <cellStyle name="Normal 11 3 5 2 2 2 3 2 2 3" xfId="45372" xr:uid="{A1B8C163-755A-47A1-A0FE-B2F5C1A14A03}"/>
    <cellStyle name="Normal 11 3 5 2 2 2 3 2 3" xfId="45373" xr:uid="{EA9310FE-5157-4EB8-9DA7-E5CE79996B90}"/>
    <cellStyle name="Normal 11 3 5 2 2 2 3 2 3 2" xfId="45374" xr:uid="{EE73D548-D6D2-4BDA-BAED-81F2AD9751FE}"/>
    <cellStyle name="Normal 11 3 5 2 2 2 3 2 4" xfId="45375" xr:uid="{364B2600-73CC-4EEE-93E5-19622C429FD6}"/>
    <cellStyle name="Normal 11 3 5 2 2 2 3 3" xfId="45376" xr:uid="{60303BC9-26D8-4726-BCD0-81A3966C66B7}"/>
    <cellStyle name="Normal 11 3 5 2 2 2 3 3 2" xfId="45377" xr:uid="{A40C11B7-028E-4919-99D1-20A1FA35A95A}"/>
    <cellStyle name="Normal 11 3 5 2 2 2 3 3 2 2" xfId="45378" xr:uid="{C25BD8A2-24A3-4D72-9E4E-F5C9E1AB1396}"/>
    <cellStyle name="Normal 11 3 5 2 2 2 3 3 3" xfId="45379" xr:uid="{061B68A2-19DD-4805-AC60-9F78FE94A725}"/>
    <cellStyle name="Normal 11 3 5 2 2 2 3 4" xfId="45380" xr:uid="{C4124479-0B79-48B9-8006-0A654951C87E}"/>
    <cellStyle name="Normal 11 3 5 2 2 2 3 4 2" xfId="45381" xr:uid="{847C7E12-1A5A-4567-93C9-D7BEAE40E4B8}"/>
    <cellStyle name="Normal 11 3 5 2 2 2 3 5" xfId="45382" xr:uid="{AB9363AC-695E-4BBB-8240-6C308C33E7D6}"/>
    <cellStyle name="Normal 11 3 5 2 2 2 4" xfId="45383" xr:uid="{D5737656-99AA-4A93-A8E4-C474C4149F54}"/>
    <cellStyle name="Normal 11 3 5 2 2 2 4 2" xfId="45384" xr:uid="{B843B5D4-3B7A-4CB8-B309-7FE7BF8EB54C}"/>
    <cellStyle name="Normal 11 3 5 2 2 2 4 2 2" xfId="45385" xr:uid="{54BE7DB0-BBF2-47A1-9931-2C084984EED3}"/>
    <cellStyle name="Normal 11 3 5 2 2 2 4 2 2 2" xfId="45386" xr:uid="{976F9385-7C3D-474B-85D3-9425440BEDCC}"/>
    <cellStyle name="Normal 11 3 5 2 2 2 4 2 3" xfId="45387" xr:uid="{CA42EB18-18A4-4A4D-B712-F8B950D85AC2}"/>
    <cellStyle name="Normal 11 3 5 2 2 2 4 3" xfId="45388" xr:uid="{C1C65193-0976-427C-91F7-6E95B618A2E6}"/>
    <cellStyle name="Normal 11 3 5 2 2 2 4 3 2" xfId="45389" xr:uid="{666F6C2A-053F-49FA-B17B-C6FF484747C7}"/>
    <cellStyle name="Normal 11 3 5 2 2 2 4 4" xfId="45390" xr:uid="{3A2E2FAF-6B38-465A-B169-3F8C5FDD56E4}"/>
    <cellStyle name="Normal 11 3 5 2 2 2 5" xfId="45391" xr:uid="{E955A688-BADB-4DF7-9984-D3EB6D8ABFCC}"/>
    <cellStyle name="Normal 11 3 5 2 2 2 5 2" xfId="45392" xr:uid="{970BE360-C485-42B2-9312-E6875C5FFEA4}"/>
    <cellStyle name="Normal 11 3 5 2 2 2 5 2 2" xfId="45393" xr:uid="{00572850-48D5-4C5C-93FE-F4A61AC3DC0A}"/>
    <cellStyle name="Normal 11 3 5 2 2 2 5 3" xfId="45394" xr:uid="{8CA71F8D-0ABC-4015-843E-BC13A55E4536}"/>
    <cellStyle name="Normal 11 3 5 2 2 2 6" xfId="45395" xr:uid="{46624B74-7AA9-4D76-964B-ECC3A7DB1987}"/>
    <cellStyle name="Normal 11 3 5 2 2 2 6 2" xfId="45396" xr:uid="{208FE44D-BEC0-42FF-B0EE-3A6AF24B0AD2}"/>
    <cellStyle name="Normal 11 3 5 2 2 2 7" xfId="45397" xr:uid="{737CB139-260C-471A-80E7-EDEEEB895053}"/>
    <cellStyle name="Normal 11 3 5 2 2 3" xfId="45398" xr:uid="{BD03B533-7623-4235-AE1A-4C6E7C2B8C4D}"/>
    <cellStyle name="Normal 11 3 5 2 2 3 2" xfId="45399" xr:uid="{31CC3ACF-A9C8-46BB-BD20-F8D94A441873}"/>
    <cellStyle name="Normal 11 3 5 2 2 3 2 2" xfId="45400" xr:uid="{47B47BE0-DE10-4519-A089-9D56C7DD5C59}"/>
    <cellStyle name="Normal 11 3 5 2 2 3 2 2 2" xfId="45401" xr:uid="{175A5860-B38C-4BFA-A4CA-A3EBC1FF7E30}"/>
    <cellStyle name="Normal 11 3 5 2 2 3 2 2 2 2" xfId="45402" xr:uid="{F06ED077-DBCD-4C10-8052-0812E84C9342}"/>
    <cellStyle name="Normal 11 3 5 2 2 3 2 2 2 2 2" xfId="45403" xr:uid="{DB086975-4EC1-493A-AF69-9D47383A3D5F}"/>
    <cellStyle name="Normal 11 3 5 2 2 3 2 2 2 3" xfId="45404" xr:uid="{F0352CBB-CCF1-4396-A141-FC371F089480}"/>
    <cellStyle name="Normal 11 3 5 2 2 3 2 2 3" xfId="45405" xr:uid="{2D67A43A-52B8-4924-B944-CF277460FFA0}"/>
    <cellStyle name="Normal 11 3 5 2 2 3 2 2 3 2" xfId="45406" xr:uid="{15A2B202-2DB0-465C-8467-BC013353ACD6}"/>
    <cellStyle name="Normal 11 3 5 2 2 3 2 2 4" xfId="45407" xr:uid="{75BC1218-882E-475A-862B-AC7BB4FFC552}"/>
    <cellStyle name="Normal 11 3 5 2 2 3 2 3" xfId="45408" xr:uid="{15566BC5-8AFC-4512-AFCB-29158291F21C}"/>
    <cellStyle name="Normal 11 3 5 2 2 3 2 3 2" xfId="45409" xr:uid="{8B6C1B3B-1B96-43A7-BEA5-8457CF039DAA}"/>
    <cellStyle name="Normal 11 3 5 2 2 3 2 3 2 2" xfId="45410" xr:uid="{278774A7-0801-4EA9-A7B1-AB409F64CF07}"/>
    <cellStyle name="Normal 11 3 5 2 2 3 2 3 3" xfId="45411" xr:uid="{3C1BD004-B72F-48C8-97CD-3065F244F84D}"/>
    <cellStyle name="Normal 11 3 5 2 2 3 2 4" xfId="45412" xr:uid="{6FF6EA7A-28D8-4F50-967E-941F29601199}"/>
    <cellStyle name="Normal 11 3 5 2 2 3 2 4 2" xfId="45413" xr:uid="{C47097EB-B094-4E66-8F48-94A907B73886}"/>
    <cellStyle name="Normal 11 3 5 2 2 3 2 5" xfId="45414" xr:uid="{A6B2A553-4F8E-4190-B31E-9ECF9E0BA003}"/>
    <cellStyle name="Normal 11 3 5 2 2 3 3" xfId="45415" xr:uid="{8E1875FC-7D4D-492C-81F7-8303E166722F}"/>
    <cellStyle name="Normal 11 3 5 2 2 3 3 2" xfId="45416" xr:uid="{34417D14-785F-4B5A-8FC1-37142400BF0E}"/>
    <cellStyle name="Normal 11 3 5 2 2 3 3 2 2" xfId="45417" xr:uid="{594C2173-D388-4BFE-8948-2C219D130A8C}"/>
    <cellStyle name="Normal 11 3 5 2 2 3 3 2 2 2" xfId="45418" xr:uid="{6A5C268A-12F5-42F6-88CC-02F14BC289EC}"/>
    <cellStyle name="Normal 11 3 5 2 2 3 3 2 3" xfId="45419" xr:uid="{B3E53F29-84E7-4EFA-8E6C-0369B260E632}"/>
    <cellStyle name="Normal 11 3 5 2 2 3 3 3" xfId="45420" xr:uid="{E0EC8AFB-93DB-4264-AE9F-98D686EC091D}"/>
    <cellStyle name="Normal 11 3 5 2 2 3 3 3 2" xfId="45421" xr:uid="{5EC16CD1-1E74-4E0B-A523-1FA7A102E60B}"/>
    <cellStyle name="Normal 11 3 5 2 2 3 3 4" xfId="45422" xr:uid="{D8B7E7BD-4D30-4D72-93FE-B657B570C7B8}"/>
    <cellStyle name="Normal 11 3 5 2 2 3 4" xfId="45423" xr:uid="{FFFF85B1-0BDD-41B1-9330-8A6D6DB119C5}"/>
    <cellStyle name="Normal 11 3 5 2 2 3 4 2" xfId="45424" xr:uid="{1F61E01A-753B-493E-8E2C-A1F1D66840B7}"/>
    <cellStyle name="Normal 11 3 5 2 2 3 4 2 2" xfId="45425" xr:uid="{AC2B8830-12A9-40CF-ABE9-EB19C45BB51F}"/>
    <cellStyle name="Normal 11 3 5 2 2 3 4 3" xfId="45426" xr:uid="{51ED479F-716C-46C2-854E-195A09D588AC}"/>
    <cellStyle name="Normal 11 3 5 2 2 3 5" xfId="45427" xr:uid="{CA0CEB94-51BE-4DC9-B6D0-F2B1E3ACE1B3}"/>
    <cellStyle name="Normal 11 3 5 2 2 3 5 2" xfId="45428" xr:uid="{DCB91C38-3263-4E03-9883-A996DFCE8407}"/>
    <cellStyle name="Normal 11 3 5 2 2 3 6" xfId="45429" xr:uid="{3009E627-F233-425C-BD27-C617831B8088}"/>
    <cellStyle name="Normal 11 3 5 2 2 4" xfId="45430" xr:uid="{AAAF7A76-FB49-4394-A4AF-66199F6A3AF7}"/>
    <cellStyle name="Normal 11 3 5 2 2 4 2" xfId="45431" xr:uid="{02EA4980-4C80-4250-8733-2140A837A367}"/>
    <cellStyle name="Normal 11 3 5 2 2 4 2 2" xfId="45432" xr:uid="{CCD359B0-6B52-48C6-9B9D-C105CAD1ABBE}"/>
    <cellStyle name="Normal 11 3 5 2 2 4 2 2 2" xfId="45433" xr:uid="{5F6C4914-9FF8-490B-ACE5-B3EFEBA36E26}"/>
    <cellStyle name="Normal 11 3 5 2 2 4 2 2 2 2" xfId="45434" xr:uid="{91738A3D-C82B-4166-B189-A9374477C893}"/>
    <cellStyle name="Normal 11 3 5 2 2 4 2 2 3" xfId="45435" xr:uid="{08F0C181-F9DD-48B6-9940-7D82ED01E4DA}"/>
    <cellStyle name="Normal 11 3 5 2 2 4 2 3" xfId="45436" xr:uid="{5EC3EB16-01CF-4E41-B937-63139667E049}"/>
    <cellStyle name="Normal 11 3 5 2 2 4 2 3 2" xfId="45437" xr:uid="{1FABEC3D-44AC-49EA-82E9-FB1C15E4136B}"/>
    <cellStyle name="Normal 11 3 5 2 2 4 2 4" xfId="45438" xr:uid="{B06B1132-8648-430E-AABC-42ABB54B1C9D}"/>
    <cellStyle name="Normal 11 3 5 2 2 4 3" xfId="45439" xr:uid="{BFF2E62E-8BDB-437D-8AC0-766A506CD877}"/>
    <cellStyle name="Normal 11 3 5 2 2 4 3 2" xfId="45440" xr:uid="{B5E4E6AD-F20E-455A-9700-628BC60A0F3D}"/>
    <cellStyle name="Normal 11 3 5 2 2 4 3 2 2" xfId="45441" xr:uid="{BD9104CE-2CAF-42DC-993A-F5BC2327F7A9}"/>
    <cellStyle name="Normal 11 3 5 2 2 4 3 3" xfId="45442" xr:uid="{D329A742-07D2-437B-BB48-0C431DDCFDFD}"/>
    <cellStyle name="Normal 11 3 5 2 2 4 4" xfId="45443" xr:uid="{AC71B860-3340-469F-AE5B-F1DFFE03A470}"/>
    <cellStyle name="Normal 11 3 5 2 2 4 4 2" xfId="45444" xr:uid="{BD5F9CB0-50F0-42C7-850F-767A94689FA5}"/>
    <cellStyle name="Normal 11 3 5 2 2 4 5" xfId="45445" xr:uid="{C08F40F5-57B2-438A-8ADB-250AB738ACB1}"/>
    <cellStyle name="Normal 11 3 5 2 2 5" xfId="45446" xr:uid="{911F3B0B-3350-4DE2-88E4-71D07E9938D1}"/>
    <cellStyle name="Normal 11 3 5 2 2 5 2" xfId="45447" xr:uid="{DBF6E8E8-9A6A-4063-AAE1-8CBE03942614}"/>
    <cellStyle name="Normal 11 3 5 2 2 5 2 2" xfId="45448" xr:uid="{7F69541A-C9D0-41C1-8DEA-F6CD0009BAD9}"/>
    <cellStyle name="Normal 11 3 5 2 2 5 2 2 2" xfId="45449" xr:uid="{132860E4-826B-4E13-883A-EC548418B30F}"/>
    <cellStyle name="Normal 11 3 5 2 2 5 2 3" xfId="45450" xr:uid="{D738F933-CA66-4E0D-8E62-FC55F1C7ABEF}"/>
    <cellStyle name="Normal 11 3 5 2 2 5 3" xfId="45451" xr:uid="{0621B125-4AB2-4E02-AE9F-AD66C30B2D7F}"/>
    <cellStyle name="Normal 11 3 5 2 2 5 3 2" xfId="45452" xr:uid="{D5E26629-A463-421C-ACCA-3781EB80C823}"/>
    <cellStyle name="Normal 11 3 5 2 2 5 4" xfId="45453" xr:uid="{726EEA57-6247-4D45-963D-F664A5B28AE6}"/>
    <cellStyle name="Normal 11 3 5 2 2 6" xfId="45454" xr:uid="{D9C8DF3B-55ED-44D4-B609-A295FE352087}"/>
    <cellStyle name="Normal 11 3 5 2 2 6 2" xfId="45455" xr:uid="{1F384999-8E91-4D31-B984-E39D7EC7D734}"/>
    <cellStyle name="Normal 11 3 5 2 2 6 2 2" xfId="45456" xr:uid="{8E213292-71B2-4AEE-8E14-44A23B0EE116}"/>
    <cellStyle name="Normal 11 3 5 2 2 6 3" xfId="45457" xr:uid="{5E0F455E-3135-42E3-A60E-50287D71FB0D}"/>
    <cellStyle name="Normal 11 3 5 2 2 7" xfId="45458" xr:uid="{10364542-CD5B-4C94-90FE-B7C09D6235E8}"/>
    <cellStyle name="Normal 11 3 5 2 2 7 2" xfId="45459" xr:uid="{3386FEA7-0F34-44A5-8B00-7D23027647C9}"/>
    <cellStyle name="Normal 11 3 5 2 2 8" xfId="45460" xr:uid="{0DA70950-D9F4-4E8E-AC7E-86524B7DAC47}"/>
    <cellStyle name="Normal 11 3 5 2 3" xfId="45461" xr:uid="{E2288EB3-2E3C-4EBF-81AE-0EAD3015B179}"/>
    <cellStyle name="Normal 11 3 5 2 3 2" xfId="45462" xr:uid="{23638FA3-3929-4101-9A88-8FE3B686B82B}"/>
    <cellStyle name="Normal 11 3 5 2 3 2 2" xfId="45463" xr:uid="{52352249-372D-4CCB-892D-2592AE2D4D9D}"/>
    <cellStyle name="Normal 11 3 5 2 3 2 2 2" xfId="45464" xr:uid="{CC54B5D8-D3C1-43B0-A9C7-86300ED7F4B2}"/>
    <cellStyle name="Normal 11 3 5 2 3 2 2 2 2" xfId="45465" xr:uid="{B69601AD-B15B-4BC5-AB1B-A80CD84BDAFC}"/>
    <cellStyle name="Normal 11 3 5 2 3 2 2 2 2 2" xfId="45466" xr:uid="{CFB222E8-5871-4A1D-9EDD-FC30B1E54244}"/>
    <cellStyle name="Normal 11 3 5 2 3 2 2 2 2 2 2" xfId="45467" xr:uid="{7CBE125A-9FA0-4F9A-8601-2A1B122C9033}"/>
    <cellStyle name="Normal 11 3 5 2 3 2 2 2 2 3" xfId="45468" xr:uid="{A62845CA-8B0B-4B6A-B4D8-832F9F7AADB1}"/>
    <cellStyle name="Normal 11 3 5 2 3 2 2 2 3" xfId="45469" xr:uid="{1D59DF9E-EF5C-4446-ACB9-E28B7ECED616}"/>
    <cellStyle name="Normal 11 3 5 2 3 2 2 2 3 2" xfId="45470" xr:uid="{6854406B-72B8-48BA-BC27-5542358FA87A}"/>
    <cellStyle name="Normal 11 3 5 2 3 2 2 2 4" xfId="45471" xr:uid="{674E420E-4E63-4D7C-B96B-9E20C9456FE0}"/>
    <cellStyle name="Normal 11 3 5 2 3 2 2 3" xfId="45472" xr:uid="{6D0B7DDD-78A1-4ED6-A02B-0847FFD61B0C}"/>
    <cellStyle name="Normal 11 3 5 2 3 2 2 3 2" xfId="45473" xr:uid="{C1E19E57-CF74-49DA-88C6-FC608FAC10DD}"/>
    <cellStyle name="Normal 11 3 5 2 3 2 2 3 2 2" xfId="45474" xr:uid="{9A376FAD-DD54-427D-9884-077BE137DDAD}"/>
    <cellStyle name="Normal 11 3 5 2 3 2 2 3 3" xfId="45475" xr:uid="{47B1A8A9-AF84-4A92-AEA3-C5637079AD3D}"/>
    <cellStyle name="Normal 11 3 5 2 3 2 2 4" xfId="45476" xr:uid="{CC8AC723-88E0-4103-BED4-EA72629D88E7}"/>
    <cellStyle name="Normal 11 3 5 2 3 2 2 4 2" xfId="45477" xr:uid="{E56FADAA-9F41-4C88-838A-825D97905A04}"/>
    <cellStyle name="Normal 11 3 5 2 3 2 2 5" xfId="45478" xr:uid="{18C6EF2D-A3A2-4200-88A3-915D7ED86F25}"/>
    <cellStyle name="Normal 11 3 5 2 3 2 3" xfId="45479" xr:uid="{C1349073-DACE-40BC-870E-928EA8801F71}"/>
    <cellStyle name="Normal 11 3 5 2 3 2 3 2" xfId="45480" xr:uid="{4F4DF402-57B8-45EC-B282-D89AB4B29EB7}"/>
    <cellStyle name="Normal 11 3 5 2 3 2 3 2 2" xfId="45481" xr:uid="{50CB60C5-62FD-4DCE-8879-C526CB5E0F52}"/>
    <cellStyle name="Normal 11 3 5 2 3 2 3 2 2 2" xfId="45482" xr:uid="{5099B5CD-792F-445B-9BAF-BAB171BB80AD}"/>
    <cellStyle name="Normal 11 3 5 2 3 2 3 2 3" xfId="45483" xr:uid="{9022D2AA-E57A-4DB8-AE7B-DE8197C68949}"/>
    <cellStyle name="Normal 11 3 5 2 3 2 3 3" xfId="45484" xr:uid="{538A468E-B72E-474C-B209-EDE844F6EADE}"/>
    <cellStyle name="Normal 11 3 5 2 3 2 3 3 2" xfId="45485" xr:uid="{296C65E8-3AD6-4BD6-81E4-4B4B5D199320}"/>
    <cellStyle name="Normal 11 3 5 2 3 2 3 4" xfId="45486" xr:uid="{EE317E1F-11FC-43F9-966A-EADD69BF5C8F}"/>
    <cellStyle name="Normal 11 3 5 2 3 2 4" xfId="45487" xr:uid="{896BEABA-3D8C-4A82-B992-9BCB7AF674E3}"/>
    <cellStyle name="Normal 11 3 5 2 3 2 4 2" xfId="45488" xr:uid="{1A218732-25A6-4EF9-9752-ECDCD5CECB2E}"/>
    <cellStyle name="Normal 11 3 5 2 3 2 4 2 2" xfId="45489" xr:uid="{492B0EDC-711A-4814-A95C-92421748C31D}"/>
    <cellStyle name="Normal 11 3 5 2 3 2 4 3" xfId="45490" xr:uid="{30060166-315F-49BF-B55B-A0C3FDA75701}"/>
    <cellStyle name="Normal 11 3 5 2 3 2 5" xfId="45491" xr:uid="{8FDE099B-C281-4409-B1F7-76231835A4E1}"/>
    <cellStyle name="Normal 11 3 5 2 3 2 5 2" xfId="45492" xr:uid="{FDADFBE2-7FF7-44FF-AD16-9C74F0172324}"/>
    <cellStyle name="Normal 11 3 5 2 3 2 6" xfId="45493" xr:uid="{24339403-2FC8-42A5-997D-278FA54E8207}"/>
    <cellStyle name="Normal 11 3 5 2 3 3" xfId="45494" xr:uid="{E69633B5-AA79-43A1-BC73-7C7183BF95FB}"/>
    <cellStyle name="Normal 11 3 5 2 3 3 2" xfId="45495" xr:uid="{65366DF8-7F98-4E12-A1CA-E96C51460D1C}"/>
    <cellStyle name="Normal 11 3 5 2 3 3 2 2" xfId="45496" xr:uid="{49971A3D-C759-4C92-8619-5BDBBE13FA40}"/>
    <cellStyle name="Normal 11 3 5 2 3 3 2 2 2" xfId="45497" xr:uid="{97D23992-D4F3-40EB-A249-95BF7F0FFE6B}"/>
    <cellStyle name="Normal 11 3 5 2 3 3 2 2 2 2" xfId="45498" xr:uid="{069AE00B-691C-4CFE-9DC0-4EA807068997}"/>
    <cellStyle name="Normal 11 3 5 2 3 3 2 2 3" xfId="45499" xr:uid="{74AF7037-F6E6-4692-A2F4-41EE6AA9913A}"/>
    <cellStyle name="Normal 11 3 5 2 3 3 2 3" xfId="45500" xr:uid="{C25616FC-52C6-42C0-BD20-CE3EBA7FA525}"/>
    <cellStyle name="Normal 11 3 5 2 3 3 2 3 2" xfId="45501" xr:uid="{5808DFA3-479F-40D2-B287-306AEB5BB331}"/>
    <cellStyle name="Normal 11 3 5 2 3 3 2 4" xfId="45502" xr:uid="{C27D8839-2038-4048-8C11-B689193A276F}"/>
    <cellStyle name="Normal 11 3 5 2 3 3 3" xfId="45503" xr:uid="{1B7E039F-70F7-4FB0-A8E3-8313EB09166B}"/>
    <cellStyle name="Normal 11 3 5 2 3 3 3 2" xfId="45504" xr:uid="{6D74BB7E-0D5F-4FBC-B5D7-451C6E437E72}"/>
    <cellStyle name="Normal 11 3 5 2 3 3 3 2 2" xfId="45505" xr:uid="{29864D35-A7B7-44DC-9106-25E1EABD769C}"/>
    <cellStyle name="Normal 11 3 5 2 3 3 3 3" xfId="45506" xr:uid="{66D793CE-3B73-4879-BCD1-8BF3130E47F8}"/>
    <cellStyle name="Normal 11 3 5 2 3 3 4" xfId="45507" xr:uid="{C30BE10E-5F4B-48A5-9B49-69249683EB45}"/>
    <cellStyle name="Normal 11 3 5 2 3 3 4 2" xfId="45508" xr:uid="{654E0F4B-9B69-44D7-B685-E0DD6D991349}"/>
    <cellStyle name="Normal 11 3 5 2 3 3 5" xfId="45509" xr:uid="{9B69A253-6A6C-4029-A243-309C9E52C853}"/>
    <cellStyle name="Normal 11 3 5 2 3 4" xfId="45510" xr:uid="{5912B852-D993-4219-B7FC-6235E6D50E0F}"/>
    <cellStyle name="Normal 11 3 5 2 3 4 2" xfId="45511" xr:uid="{0F797346-92D6-4DDF-8026-78605D24DE86}"/>
    <cellStyle name="Normal 11 3 5 2 3 4 2 2" xfId="45512" xr:uid="{E81276E2-4E31-4260-8693-2E5AD81E2025}"/>
    <cellStyle name="Normal 11 3 5 2 3 4 2 2 2" xfId="45513" xr:uid="{1936F114-6574-40A8-92A8-87C1E4F0180E}"/>
    <cellStyle name="Normal 11 3 5 2 3 4 2 3" xfId="45514" xr:uid="{A51E228F-311D-465C-AC3A-D0EA2B1C6FCB}"/>
    <cellStyle name="Normal 11 3 5 2 3 4 3" xfId="45515" xr:uid="{52EF2D65-573C-4B4C-998F-89A32FC94B07}"/>
    <cellStyle name="Normal 11 3 5 2 3 4 3 2" xfId="45516" xr:uid="{C4CD5D4C-9860-49BE-9677-EA2A86A25EE8}"/>
    <cellStyle name="Normal 11 3 5 2 3 4 4" xfId="45517" xr:uid="{6C56228F-B21C-432C-BE37-D9D4CC1F2695}"/>
    <cellStyle name="Normal 11 3 5 2 3 5" xfId="45518" xr:uid="{97F83C3A-7B57-44D4-A1AE-77F2866896AC}"/>
    <cellStyle name="Normal 11 3 5 2 3 5 2" xfId="45519" xr:uid="{3BF647FE-9DB8-41CC-876A-D820A0216365}"/>
    <cellStyle name="Normal 11 3 5 2 3 5 2 2" xfId="45520" xr:uid="{6FEAFCF7-9CA7-4022-AED0-90E0B88BD935}"/>
    <cellStyle name="Normal 11 3 5 2 3 5 3" xfId="45521" xr:uid="{592FDA31-A5D8-4822-9B7D-6243B42F052D}"/>
    <cellStyle name="Normal 11 3 5 2 3 6" xfId="45522" xr:uid="{7ED6C13F-0A1F-407C-AB3C-F917CBB9C99E}"/>
    <cellStyle name="Normal 11 3 5 2 3 6 2" xfId="45523" xr:uid="{202832D1-4F0D-41B2-85F2-4CDF262B4EE1}"/>
    <cellStyle name="Normal 11 3 5 2 3 7" xfId="45524" xr:uid="{7975706C-958F-44EB-A2EE-A3BB6D121AA4}"/>
    <cellStyle name="Normal 11 3 5 2 4" xfId="45525" xr:uid="{122BAD93-5402-47BE-87FE-5C7C5E7D3752}"/>
    <cellStyle name="Normal 11 3 5 2 4 2" xfId="45526" xr:uid="{FF902EFF-3ADE-4AA0-9899-91257B3E128E}"/>
    <cellStyle name="Normal 11 3 5 2 4 2 2" xfId="45527" xr:uid="{7B2C67A3-CE55-4386-B804-12AA767CDE6E}"/>
    <cellStyle name="Normal 11 3 5 2 4 2 2 2" xfId="45528" xr:uid="{5CD12B1D-E476-4969-9FDD-F013783019DD}"/>
    <cellStyle name="Normal 11 3 5 2 4 2 2 2 2" xfId="45529" xr:uid="{7486168D-6F90-4D67-A2C0-886B85E776E4}"/>
    <cellStyle name="Normal 11 3 5 2 4 2 2 2 2 2" xfId="45530" xr:uid="{C07CD079-34CE-41AF-B003-96BB376DD3D2}"/>
    <cellStyle name="Normal 11 3 5 2 4 2 2 2 3" xfId="45531" xr:uid="{2AC68AA4-0C48-4343-8885-A0F95E8924A8}"/>
    <cellStyle name="Normal 11 3 5 2 4 2 2 3" xfId="45532" xr:uid="{F4DE22ED-8165-4E1D-BC54-BB341F0A69A6}"/>
    <cellStyle name="Normal 11 3 5 2 4 2 2 3 2" xfId="45533" xr:uid="{43E823A8-0D12-42DF-BD1E-A035CF864AE9}"/>
    <cellStyle name="Normal 11 3 5 2 4 2 2 4" xfId="45534" xr:uid="{CD2C424F-2650-455C-B021-2551B56F06B3}"/>
    <cellStyle name="Normal 11 3 5 2 4 2 3" xfId="45535" xr:uid="{B63F2510-6BF5-4817-BC0D-E450DDBAF8A9}"/>
    <cellStyle name="Normal 11 3 5 2 4 2 3 2" xfId="45536" xr:uid="{4D697E11-A707-4E2E-AA72-50429BDE057F}"/>
    <cellStyle name="Normal 11 3 5 2 4 2 3 2 2" xfId="45537" xr:uid="{DB050CBF-0131-4C79-B827-3842225C01E7}"/>
    <cellStyle name="Normal 11 3 5 2 4 2 3 3" xfId="45538" xr:uid="{E0D25AE3-DAB5-41EC-884D-90CC847A26E3}"/>
    <cellStyle name="Normal 11 3 5 2 4 2 4" xfId="45539" xr:uid="{AAD09FBD-1C5E-442C-BC39-1B93F87116FF}"/>
    <cellStyle name="Normal 11 3 5 2 4 2 4 2" xfId="45540" xr:uid="{3AAEDA67-8044-4C7B-A1D0-6C17317B582A}"/>
    <cellStyle name="Normal 11 3 5 2 4 2 5" xfId="45541" xr:uid="{43068614-3869-44B9-980D-455712D2CD62}"/>
    <cellStyle name="Normal 11 3 5 2 4 3" xfId="45542" xr:uid="{1FB1A8D8-949B-412F-91CB-C0B492ECAFAE}"/>
    <cellStyle name="Normal 11 3 5 2 4 3 2" xfId="45543" xr:uid="{DB5BBD32-E647-42BC-80D0-DDA4B8818D53}"/>
    <cellStyle name="Normal 11 3 5 2 4 3 2 2" xfId="45544" xr:uid="{F8AD834A-18DA-46D1-900C-90F00BD381D7}"/>
    <cellStyle name="Normal 11 3 5 2 4 3 2 2 2" xfId="45545" xr:uid="{23EEB8A8-C7FD-4DD1-BE9F-6521F78C3B43}"/>
    <cellStyle name="Normal 11 3 5 2 4 3 2 3" xfId="45546" xr:uid="{E0ACD797-D068-4059-9E2C-5D7F4CEAC72F}"/>
    <cellStyle name="Normal 11 3 5 2 4 3 3" xfId="45547" xr:uid="{2D8C369F-746B-46B0-9577-39FD51037911}"/>
    <cellStyle name="Normal 11 3 5 2 4 3 3 2" xfId="45548" xr:uid="{45D77632-CBE1-49B2-B154-685991FE8D90}"/>
    <cellStyle name="Normal 11 3 5 2 4 3 4" xfId="45549" xr:uid="{9A9878D9-89F8-41B7-BEDD-9C376D26965C}"/>
    <cellStyle name="Normal 11 3 5 2 4 4" xfId="45550" xr:uid="{3A218576-C898-4F3B-80A9-D9F93DDB0309}"/>
    <cellStyle name="Normal 11 3 5 2 4 4 2" xfId="45551" xr:uid="{24F8E318-28D8-4618-8A7D-E5896D21EE7E}"/>
    <cellStyle name="Normal 11 3 5 2 4 4 2 2" xfId="45552" xr:uid="{D1E3D04D-8541-4427-8C48-09DDE5651AEF}"/>
    <cellStyle name="Normal 11 3 5 2 4 4 3" xfId="45553" xr:uid="{396B4684-4AAB-4609-9A98-7BF2EAABFBBD}"/>
    <cellStyle name="Normal 11 3 5 2 4 5" xfId="45554" xr:uid="{DD15E2E4-DF81-48C5-AFC4-6E410C28BC01}"/>
    <cellStyle name="Normal 11 3 5 2 4 5 2" xfId="45555" xr:uid="{F574FB68-CD02-4551-AA50-B1C79FB2A8B2}"/>
    <cellStyle name="Normal 11 3 5 2 4 6" xfId="45556" xr:uid="{4BCB40D2-AE88-4A91-B16A-81D6882D9AEE}"/>
    <cellStyle name="Normal 11 3 5 2 5" xfId="45557" xr:uid="{AF6660BF-7ADC-4616-BA36-EED7D719D34A}"/>
    <cellStyle name="Normal 11 3 5 2 5 2" xfId="45558" xr:uid="{6F932E49-35F4-4EE0-B3A8-15EC795B3260}"/>
    <cellStyle name="Normal 11 3 5 2 5 2 2" xfId="45559" xr:uid="{EB5AA4BD-8C7C-41A4-8A41-FE03DA4A3E38}"/>
    <cellStyle name="Normal 11 3 5 2 5 2 2 2" xfId="45560" xr:uid="{998484E8-7BBC-4F4B-AEB2-B98CC4EB96A7}"/>
    <cellStyle name="Normal 11 3 5 2 5 2 2 2 2" xfId="45561" xr:uid="{BBA1C4A9-C728-47B3-AE20-62017EB1C928}"/>
    <cellStyle name="Normal 11 3 5 2 5 2 2 3" xfId="45562" xr:uid="{ACE4A314-4439-4525-8324-40BFEA54998A}"/>
    <cellStyle name="Normal 11 3 5 2 5 2 3" xfId="45563" xr:uid="{975E5047-2578-4100-8F8F-1A08C9F06ADC}"/>
    <cellStyle name="Normal 11 3 5 2 5 2 3 2" xfId="45564" xr:uid="{93098052-3323-4F7F-A06C-AD857E72C97B}"/>
    <cellStyle name="Normal 11 3 5 2 5 2 4" xfId="45565" xr:uid="{0E92EF6C-9D7C-451A-A1BE-54E30A62D8ED}"/>
    <cellStyle name="Normal 11 3 5 2 5 3" xfId="45566" xr:uid="{B650E4C9-4E40-44AE-8CF0-6D30EC07F649}"/>
    <cellStyle name="Normal 11 3 5 2 5 3 2" xfId="45567" xr:uid="{FA933334-8E83-4960-8CB8-AD2241A2B42A}"/>
    <cellStyle name="Normal 11 3 5 2 5 3 2 2" xfId="45568" xr:uid="{3FF5D76A-9F2E-428C-9E08-67FC815CE35A}"/>
    <cellStyle name="Normal 11 3 5 2 5 3 3" xfId="45569" xr:uid="{C859A87B-DD50-45FD-84AC-FDE648F56E67}"/>
    <cellStyle name="Normal 11 3 5 2 5 4" xfId="45570" xr:uid="{ED1ADA0A-FD5C-4148-9246-88C11518B7A8}"/>
    <cellStyle name="Normal 11 3 5 2 5 4 2" xfId="45571" xr:uid="{D9BA8B26-81A9-4ACD-9EB5-0128A29E7597}"/>
    <cellStyle name="Normal 11 3 5 2 5 5" xfId="45572" xr:uid="{1FF4B75C-ACF0-46D0-BCEE-F4F7287B1EB0}"/>
    <cellStyle name="Normal 11 3 5 2 6" xfId="45573" xr:uid="{B64B64CB-5142-4EC1-94AC-457E019F1658}"/>
    <cellStyle name="Normal 11 3 5 2 6 2" xfId="45574" xr:uid="{3F510A33-6030-45D5-A5E6-6D01A02F937B}"/>
    <cellStyle name="Normal 11 3 5 2 6 2 2" xfId="45575" xr:uid="{7D2B618C-239E-432C-A86B-E211670E553F}"/>
    <cellStyle name="Normal 11 3 5 2 6 2 2 2" xfId="45576" xr:uid="{F5032722-7CDE-48C0-A728-B965DC121D2F}"/>
    <cellStyle name="Normal 11 3 5 2 6 2 3" xfId="45577" xr:uid="{EA38C601-3ACF-4180-88C3-C26B6AC950C4}"/>
    <cellStyle name="Normal 11 3 5 2 6 3" xfId="45578" xr:uid="{11E83A3D-D1F1-4FC2-8D6F-5F8B11524DBF}"/>
    <cellStyle name="Normal 11 3 5 2 6 3 2" xfId="45579" xr:uid="{125E00A6-8D40-420D-812B-8A3A1B66EB6B}"/>
    <cellStyle name="Normal 11 3 5 2 6 4" xfId="45580" xr:uid="{29B1C30F-EFBB-4406-99B3-252893CB7B34}"/>
    <cellStyle name="Normal 11 3 5 2 7" xfId="45581" xr:uid="{C123E53D-B923-46F1-8F6D-A61A4DC9E79B}"/>
    <cellStyle name="Normal 11 3 5 2 7 2" xfId="45582" xr:uid="{DCBEC741-71D4-4129-AC25-90F400A3CCCD}"/>
    <cellStyle name="Normal 11 3 5 2 7 2 2" xfId="45583" xr:uid="{1D4750D6-EBDB-4394-A3F2-F86D3C268563}"/>
    <cellStyle name="Normal 11 3 5 2 7 3" xfId="45584" xr:uid="{45F454FF-35EF-4FA6-8FA2-9304A46E453D}"/>
    <cellStyle name="Normal 11 3 5 2 8" xfId="45585" xr:uid="{E9C31948-CFE3-4556-A38C-D080A86A21B4}"/>
    <cellStyle name="Normal 11 3 5 2 8 2" xfId="45586" xr:uid="{E0113657-7716-45B4-95C2-719DB4FD5668}"/>
    <cellStyle name="Normal 11 3 5 2 9" xfId="45587" xr:uid="{9B69A271-1499-4A3D-8465-A173D9973656}"/>
    <cellStyle name="Normal 11 3 5 3" xfId="456" xr:uid="{3ADE24DC-EBA0-4E5C-A8CA-5C8BE57B22DC}"/>
    <cellStyle name="Normal 11 3 5 3 2" xfId="45589" xr:uid="{17B6F7ED-B825-44B5-BFF5-D777D8B01414}"/>
    <cellStyle name="Normal 11 3 5 3 2 2" xfId="45590" xr:uid="{E2DE6476-4219-4317-B809-313BC85ECFA5}"/>
    <cellStyle name="Normal 11 3 5 3 2 2 2" xfId="45591" xr:uid="{72B82027-EE48-420E-87D6-C98B565787BA}"/>
    <cellStyle name="Normal 11 3 5 3 2 2 2 2" xfId="45592" xr:uid="{A2DD61B5-2AF7-43DD-8AEF-185E33D16C53}"/>
    <cellStyle name="Normal 11 3 5 3 2 2 2 2 2" xfId="45593" xr:uid="{FF028FB8-F43C-4CBB-9B10-D19A4CD141B5}"/>
    <cellStyle name="Normal 11 3 5 3 2 2 2 2 2 2" xfId="45594" xr:uid="{2CCBCC62-B6AD-4700-8471-9B309A5F4E84}"/>
    <cellStyle name="Normal 11 3 5 3 2 2 2 2 2 2 2" xfId="45595" xr:uid="{7108392E-CA04-492A-A776-8A5C939A40FC}"/>
    <cellStyle name="Normal 11 3 5 3 2 2 2 2 2 3" xfId="45596" xr:uid="{13CE560C-3793-4A5F-9716-92B1B34CEBD1}"/>
    <cellStyle name="Normal 11 3 5 3 2 2 2 2 3" xfId="45597" xr:uid="{CA6298E3-6657-4F18-91A8-54D5AF3843FF}"/>
    <cellStyle name="Normal 11 3 5 3 2 2 2 2 3 2" xfId="45598" xr:uid="{8F1C118A-08CB-4351-899D-17E4F40EDE59}"/>
    <cellStyle name="Normal 11 3 5 3 2 2 2 2 4" xfId="45599" xr:uid="{7BDCCFB6-2806-4202-8EA5-7009A3EC9778}"/>
    <cellStyle name="Normal 11 3 5 3 2 2 2 3" xfId="45600" xr:uid="{92787C88-6CFC-44E6-9835-6F24B423071A}"/>
    <cellStyle name="Normal 11 3 5 3 2 2 2 3 2" xfId="45601" xr:uid="{B5FA0424-6300-4033-B508-96126CC7E02C}"/>
    <cellStyle name="Normal 11 3 5 3 2 2 2 3 2 2" xfId="45602" xr:uid="{E6EDD7BD-425E-4267-AEBD-17DA7DF53C55}"/>
    <cellStyle name="Normal 11 3 5 3 2 2 2 3 3" xfId="45603" xr:uid="{E0DEF404-CFFF-4787-8EF5-6CE9804F3602}"/>
    <cellStyle name="Normal 11 3 5 3 2 2 2 4" xfId="45604" xr:uid="{7F7DC948-1D1E-45AF-8236-EEE0D7CCE1BA}"/>
    <cellStyle name="Normal 11 3 5 3 2 2 2 4 2" xfId="45605" xr:uid="{9714097E-C674-4012-A224-915768F61792}"/>
    <cellStyle name="Normal 11 3 5 3 2 2 2 5" xfId="45606" xr:uid="{19368326-6E03-4E49-976F-D6517D3BE849}"/>
    <cellStyle name="Normal 11 3 5 3 2 2 3" xfId="45607" xr:uid="{A6C578C7-8F93-447C-A33D-F40BB09293A3}"/>
    <cellStyle name="Normal 11 3 5 3 2 2 3 2" xfId="45608" xr:uid="{39A3E680-3F61-4ACB-A7EA-928F2449AD8C}"/>
    <cellStyle name="Normal 11 3 5 3 2 2 3 2 2" xfId="45609" xr:uid="{649D0B75-1C09-4519-BD18-7F15322315CB}"/>
    <cellStyle name="Normal 11 3 5 3 2 2 3 2 2 2" xfId="45610" xr:uid="{52BC3345-83E0-4508-8190-3B7BE2BCAFED}"/>
    <cellStyle name="Normal 11 3 5 3 2 2 3 2 3" xfId="45611" xr:uid="{05AE1E2F-E9FB-4D09-9292-68BF918A5704}"/>
    <cellStyle name="Normal 11 3 5 3 2 2 3 3" xfId="45612" xr:uid="{FBE14A4E-3FE3-4F90-A1F5-2E17D632773D}"/>
    <cellStyle name="Normal 11 3 5 3 2 2 3 3 2" xfId="45613" xr:uid="{D9D9E824-34EA-4E7D-9955-10EB7670D0A6}"/>
    <cellStyle name="Normal 11 3 5 3 2 2 3 4" xfId="45614" xr:uid="{24210F02-89B0-493B-8E6D-F5627ECC1CDB}"/>
    <cellStyle name="Normal 11 3 5 3 2 2 4" xfId="45615" xr:uid="{8064C72C-DD40-4298-BF31-E79026220EC9}"/>
    <cellStyle name="Normal 11 3 5 3 2 2 4 2" xfId="45616" xr:uid="{5170C55A-5CFB-43E5-956F-EECA76311618}"/>
    <cellStyle name="Normal 11 3 5 3 2 2 4 2 2" xfId="45617" xr:uid="{49932B32-942B-4ADD-9E37-AA9B36352A07}"/>
    <cellStyle name="Normal 11 3 5 3 2 2 4 3" xfId="45618" xr:uid="{4E5011D0-FF96-48FF-A068-5C4292F6F8CA}"/>
    <cellStyle name="Normal 11 3 5 3 2 2 5" xfId="45619" xr:uid="{206828A1-3D22-4B84-80C4-CFE2DBDF5071}"/>
    <cellStyle name="Normal 11 3 5 3 2 2 5 2" xfId="45620" xr:uid="{C43C395B-DB30-4E2C-9ED5-0D4C98364829}"/>
    <cellStyle name="Normal 11 3 5 3 2 2 6" xfId="45621" xr:uid="{7F419B43-7632-4DAC-8A2F-7D76AE733C43}"/>
    <cellStyle name="Normal 11 3 5 3 2 3" xfId="45622" xr:uid="{F4B11C80-BBAC-4025-A052-2DB5F2E6BAB0}"/>
    <cellStyle name="Normal 11 3 5 3 2 3 2" xfId="45623" xr:uid="{1799660C-52AF-4821-B596-9C6B56A11199}"/>
    <cellStyle name="Normal 11 3 5 3 2 3 2 2" xfId="45624" xr:uid="{7443A257-DB04-4DC9-9A37-09DD94D2254D}"/>
    <cellStyle name="Normal 11 3 5 3 2 3 2 2 2" xfId="45625" xr:uid="{CFDF0B32-BF74-42E7-85AA-6EEC3D39808B}"/>
    <cellStyle name="Normal 11 3 5 3 2 3 2 2 2 2" xfId="45626" xr:uid="{61B4BD46-E46B-4D72-8F3D-A811558D1949}"/>
    <cellStyle name="Normal 11 3 5 3 2 3 2 2 3" xfId="45627" xr:uid="{38E21103-2D32-49A3-9FEE-0E7489A2534B}"/>
    <cellStyle name="Normal 11 3 5 3 2 3 2 3" xfId="45628" xr:uid="{BD3A5FBC-B1F3-4E5E-9C5F-317331F09217}"/>
    <cellStyle name="Normal 11 3 5 3 2 3 2 3 2" xfId="45629" xr:uid="{3F836B47-A850-4E41-9721-03C82B22742D}"/>
    <cellStyle name="Normal 11 3 5 3 2 3 2 4" xfId="45630" xr:uid="{FBD48629-3733-475C-9E7B-0C72B7168D7D}"/>
    <cellStyle name="Normal 11 3 5 3 2 3 3" xfId="45631" xr:uid="{7B1BA149-380B-4839-80EE-5BDD492EDED3}"/>
    <cellStyle name="Normal 11 3 5 3 2 3 3 2" xfId="45632" xr:uid="{CEFE136D-44C2-4F73-8372-23EFC9654675}"/>
    <cellStyle name="Normal 11 3 5 3 2 3 3 2 2" xfId="45633" xr:uid="{8C68C7DF-5E04-486A-AE24-947A694A2BA1}"/>
    <cellStyle name="Normal 11 3 5 3 2 3 3 3" xfId="45634" xr:uid="{F0E2B73A-E14F-4C8F-AA99-0BC4A1F8FCE7}"/>
    <cellStyle name="Normal 11 3 5 3 2 3 4" xfId="45635" xr:uid="{CAC2CBBD-8184-464B-840D-95505179D8CC}"/>
    <cellStyle name="Normal 11 3 5 3 2 3 4 2" xfId="45636" xr:uid="{72E33FBF-ACED-463A-BC08-C948C7F7DC5D}"/>
    <cellStyle name="Normal 11 3 5 3 2 3 5" xfId="45637" xr:uid="{79A95FE2-6186-474F-8EAB-32B68094077A}"/>
    <cellStyle name="Normal 11 3 5 3 2 4" xfId="45638" xr:uid="{4C523E19-5C2B-406F-A822-FF9F82F20B81}"/>
    <cellStyle name="Normal 11 3 5 3 2 4 2" xfId="45639" xr:uid="{FCA88EB2-9667-438F-A0F1-5CF3B9609601}"/>
    <cellStyle name="Normal 11 3 5 3 2 4 2 2" xfId="45640" xr:uid="{FEA8F9FE-C984-496E-AE4A-BEA0ECFC6B7C}"/>
    <cellStyle name="Normal 11 3 5 3 2 4 2 2 2" xfId="45641" xr:uid="{0A9F5D8D-274D-4A12-B441-7A93601D1BF4}"/>
    <cellStyle name="Normal 11 3 5 3 2 4 2 3" xfId="45642" xr:uid="{8416DAD7-4C4B-4AD5-B34A-E0AECEB5629A}"/>
    <cellStyle name="Normal 11 3 5 3 2 4 3" xfId="45643" xr:uid="{D6EA683F-340D-4B72-94EC-581C878A5DBE}"/>
    <cellStyle name="Normal 11 3 5 3 2 4 3 2" xfId="45644" xr:uid="{B22B64FD-C68F-41C3-B741-728B99EF49D3}"/>
    <cellStyle name="Normal 11 3 5 3 2 4 4" xfId="45645" xr:uid="{F3362662-8689-46D0-B25B-12B892491C54}"/>
    <cellStyle name="Normal 11 3 5 3 2 5" xfId="45646" xr:uid="{DBDC4A1C-7E42-42C3-B1FF-27891C345B7B}"/>
    <cellStyle name="Normal 11 3 5 3 2 5 2" xfId="45647" xr:uid="{E94D8435-4095-462D-A753-3A46F43BD019}"/>
    <cellStyle name="Normal 11 3 5 3 2 5 2 2" xfId="45648" xr:uid="{BCC15503-0288-494E-B0B3-F9AA932C9859}"/>
    <cellStyle name="Normal 11 3 5 3 2 5 3" xfId="45649" xr:uid="{6AF4FEFA-2544-44E1-8DBE-F1BD00C3037C}"/>
    <cellStyle name="Normal 11 3 5 3 2 6" xfId="45650" xr:uid="{98905488-8AF8-4BAD-9CDB-4045AB325657}"/>
    <cellStyle name="Normal 11 3 5 3 2 6 2" xfId="45651" xr:uid="{E6F8C015-C523-47A3-AB2B-3A9458DF295F}"/>
    <cellStyle name="Normal 11 3 5 3 2 7" xfId="45652" xr:uid="{D5C9D775-7829-4622-A290-7FAE5110FB30}"/>
    <cellStyle name="Normal 11 3 5 3 3" xfId="45653" xr:uid="{F8042A53-BA1C-4893-928F-6A4A6FF4D666}"/>
    <cellStyle name="Normal 11 3 5 3 3 2" xfId="45654" xr:uid="{FC81BFE8-2731-4D4A-8B25-F7B3F65F4FD7}"/>
    <cellStyle name="Normal 11 3 5 3 3 2 2" xfId="45655" xr:uid="{DEDDE448-222A-4B45-A1BB-BDF4C58BA425}"/>
    <cellStyle name="Normal 11 3 5 3 3 2 2 2" xfId="45656" xr:uid="{30523517-4971-491B-85FC-173A37207079}"/>
    <cellStyle name="Normal 11 3 5 3 3 2 2 2 2" xfId="45657" xr:uid="{E0CF62CF-7E88-4255-AA7E-41698D14B635}"/>
    <cellStyle name="Normal 11 3 5 3 3 2 2 2 2 2" xfId="45658" xr:uid="{B103284E-D4D7-4BE2-A425-53AB7150A3E3}"/>
    <cellStyle name="Normal 11 3 5 3 3 2 2 2 3" xfId="45659" xr:uid="{A8762B3B-7F5E-4DD7-BDA7-5D40E2075CF6}"/>
    <cellStyle name="Normal 11 3 5 3 3 2 2 3" xfId="45660" xr:uid="{236C8330-B1DF-44A5-A072-E6C07F3C8DE2}"/>
    <cellStyle name="Normal 11 3 5 3 3 2 2 3 2" xfId="45661" xr:uid="{8062DBFC-54A9-4CF1-A1AD-AA00CC851368}"/>
    <cellStyle name="Normal 11 3 5 3 3 2 2 4" xfId="45662" xr:uid="{AA41FDA8-38B7-4C06-B92B-B37633134C45}"/>
    <cellStyle name="Normal 11 3 5 3 3 2 3" xfId="45663" xr:uid="{B9A87E58-E13B-4DF0-ADD2-E749DE6789C2}"/>
    <cellStyle name="Normal 11 3 5 3 3 2 3 2" xfId="45664" xr:uid="{A1F76983-EE23-4446-9D24-9093D9EF767E}"/>
    <cellStyle name="Normal 11 3 5 3 3 2 3 2 2" xfId="45665" xr:uid="{0B1DD117-7EC2-49CE-96B5-2706F07040C4}"/>
    <cellStyle name="Normal 11 3 5 3 3 2 3 3" xfId="45666" xr:uid="{10A3422B-E3AB-4D8C-A935-74427B7101D3}"/>
    <cellStyle name="Normal 11 3 5 3 3 2 4" xfId="45667" xr:uid="{A39A5647-3B53-4BD9-AEE5-9568CDAEBA3A}"/>
    <cellStyle name="Normal 11 3 5 3 3 2 4 2" xfId="45668" xr:uid="{4CB7E0E2-76A7-4C64-992A-EDE50F087C7C}"/>
    <cellStyle name="Normal 11 3 5 3 3 2 5" xfId="45669" xr:uid="{CFAA124A-5BC6-4901-84DA-FCE77DE0BD4C}"/>
    <cellStyle name="Normal 11 3 5 3 3 3" xfId="45670" xr:uid="{8F1AE622-48A4-4390-B839-5FCD9CD84295}"/>
    <cellStyle name="Normal 11 3 5 3 3 3 2" xfId="45671" xr:uid="{F618A91F-5FE9-4990-BAF0-BDD343828CD0}"/>
    <cellStyle name="Normal 11 3 5 3 3 3 2 2" xfId="45672" xr:uid="{696536AE-DC01-448E-AFB5-6A512D53EF93}"/>
    <cellStyle name="Normal 11 3 5 3 3 3 2 2 2" xfId="45673" xr:uid="{1F7E752C-4DCD-43E6-8B2E-34AFEA0E94AA}"/>
    <cellStyle name="Normal 11 3 5 3 3 3 2 3" xfId="45674" xr:uid="{04265825-1533-49B3-8A2E-9B7F7A689EEF}"/>
    <cellStyle name="Normal 11 3 5 3 3 3 3" xfId="45675" xr:uid="{D1E4D7FE-E064-4BC2-AEF4-0123033C2D1A}"/>
    <cellStyle name="Normal 11 3 5 3 3 3 3 2" xfId="45676" xr:uid="{A55B8B01-D24E-4F7D-9ADD-3AD7DE18844B}"/>
    <cellStyle name="Normal 11 3 5 3 3 3 4" xfId="45677" xr:uid="{9417091B-2664-4FD7-9617-5EEEDACDAF06}"/>
    <cellStyle name="Normal 11 3 5 3 3 4" xfId="45678" xr:uid="{47D71834-F14B-4972-8D27-93ADBCDCCF79}"/>
    <cellStyle name="Normal 11 3 5 3 3 4 2" xfId="45679" xr:uid="{B6A513B0-10AE-4235-90A3-EEC04CCB87E9}"/>
    <cellStyle name="Normal 11 3 5 3 3 4 2 2" xfId="45680" xr:uid="{CC181E6D-B241-466F-A171-507EA13B8142}"/>
    <cellStyle name="Normal 11 3 5 3 3 4 3" xfId="45681" xr:uid="{BD0E9768-CE44-4CF3-879F-DDECF1A84DF3}"/>
    <cellStyle name="Normal 11 3 5 3 3 5" xfId="45682" xr:uid="{9755F47F-AA61-4C84-8214-18993C27EC64}"/>
    <cellStyle name="Normal 11 3 5 3 3 5 2" xfId="45683" xr:uid="{434313F6-C762-4699-9614-470D495382A7}"/>
    <cellStyle name="Normal 11 3 5 3 3 6" xfId="45684" xr:uid="{FE3BC202-0FE7-45E8-B3AF-2C0BF348B217}"/>
    <cellStyle name="Normal 11 3 5 3 4" xfId="45685" xr:uid="{178BBFE0-4CB3-46E0-A91F-B074E5076552}"/>
    <cellStyle name="Normal 11 3 5 3 4 2" xfId="45686" xr:uid="{ECDCB3F3-3314-46D6-9967-937C8F6C32AD}"/>
    <cellStyle name="Normal 11 3 5 3 4 2 2" xfId="45687" xr:uid="{4280B79C-639B-436E-90A8-693FF692C21E}"/>
    <cellStyle name="Normal 11 3 5 3 4 2 2 2" xfId="45688" xr:uid="{6A73EC4D-6B0E-4A80-A235-107B2761A5BA}"/>
    <cellStyle name="Normal 11 3 5 3 4 2 2 2 2" xfId="45689" xr:uid="{01CA4B7D-5505-4AD5-B842-B9DD019C650F}"/>
    <cellStyle name="Normal 11 3 5 3 4 2 2 3" xfId="45690" xr:uid="{6AB7562C-96BA-4BFA-BAB0-F8A637847459}"/>
    <cellStyle name="Normal 11 3 5 3 4 2 3" xfId="45691" xr:uid="{ABCECC13-8526-4672-8F30-9D35165481E1}"/>
    <cellStyle name="Normal 11 3 5 3 4 2 3 2" xfId="45692" xr:uid="{D778F2E1-F7E7-471C-97C5-8508A1B0F4DE}"/>
    <cellStyle name="Normal 11 3 5 3 4 2 4" xfId="45693" xr:uid="{3F484F82-A697-46E7-B061-DB6335BA598A}"/>
    <cellStyle name="Normal 11 3 5 3 4 3" xfId="45694" xr:uid="{BF27ADB7-1714-4BA5-A44C-583CBB3B9211}"/>
    <cellStyle name="Normal 11 3 5 3 4 3 2" xfId="45695" xr:uid="{A24B4C56-7B40-413B-9803-E8D6A18EC7B0}"/>
    <cellStyle name="Normal 11 3 5 3 4 3 2 2" xfId="45696" xr:uid="{275A2203-27CB-4A93-B0AA-D5730EF4DB99}"/>
    <cellStyle name="Normal 11 3 5 3 4 3 3" xfId="45697" xr:uid="{3A647A37-F16B-436B-9BD0-452372A62F3D}"/>
    <cellStyle name="Normal 11 3 5 3 4 4" xfId="45698" xr:uid="{A22D99DE-C682-4867-9A98-760093FEBBB6}"/>
    <cellStyle name="Normal 11 3 5 3 4 4 2" xfId="45699" xr:uid="{21D9FD75-A29F-4BBA-8343-C270048AA753}"/>
    <cellStyle name="Normal 11 3 5 3 4 5" xfId="45700" xr:uid="{847A4BAA-8765-4969-A79D-EC9C267E5878}"/>
    <cellStyle name="Normal 11 3 5 3 5" xfId="45701" xr:uid="{DBACFD35-C66D-4B0E-AFBD-50F77EE4C028}"/>
    <cellStyle name="Normal 11 3 5 3 5 2" xfId="45702" xr:uid="{1A01A7C1-6D9C-4901-91FF-CBED4ECF16AE}"/>
    <cellStyle name="Normal 11 3 5 3 5 2 2" xfId="45703" xr:uid="{D752963A-D4D0-481B-9103-895677868B77}"/>
    <cellStyle name="Normal 11 3 5 3 5 2 2 2" xfId="45704" xr:uid="{FC4A203C-EBA9-477E-92B2-18048720DD73}"/>
    <cellStyle name="Normal 11 3 5 3 5 2 3" xfId="45705" xr:uid="{7B9AFA80-AB91-42BA-A72B-D718A18CCD26}"/>
    <cellStyle name="Normal 11 3 5 3 5 3" xfId="45706" xr:uid="{D7526086-E730-4129-BC51-295C320FF692}"/>
    <cellStyle name="Normal 11 3 5 3 5 3 2" xfId="45707" xr:uid="{9C70C671-AEE0-438D-810B-A033C83C06B9}"/>
    <cellStyle name="Normal 11 3 5 3 5 4" xfId="45708" xr:uid="{7537CD6F-C11D-4B23-9FC3-4DDA162992D1}"/>
    <cellStyle name="Normal 11 3 5 3 6" xfId="45709" xr:uid="{CDC22052-7F51-470E-9F53-B884650E6118}"/>
    <cellStyle name="Normal 11 3 5 3 6 2" xfId="45710" xr:uid="{C572B6EA-67E5-4D49-95A3-B68BE003D289}"/>
    <cellStyle name="Normal 11 3 5 3 6 2 2" xfId="45711" xr:uid="{38ED47C2-93B0-4335-916E-B241F564FC8E}"/>
    <cellStyle name="Normal 11 3 5 3 6 3" xfId="45712" xr:uid="{FE5E11C9-5B11-4FC8-B5A4-3DE1FF062B03}"/>
    <cellStyle name="Normal 11 3 5 3 7" xfId="45713" xr:uid="{4E70D197-682B-49B8-BF38-ABDBCED73F50}"/>
    <cellStyle name="Normal 11 3 5 3 7 2" xfId="45714" xr:uid="{977708C4-3165-4784-90D8-D0A42AD63A9E}"/>
    <cellStyle name="Normal 11 3 5 3 8" xfId="45715" xr:uid="{98685D05-1D1B-4B8E-B48B-34366621095A}"/>
    <cellStyle name="Normal 11 3 5 3 9" xfId="45588" xr:uid="{49AC3C52-1D21-44AD-9267-986AA81D0075}"/>
    <cellStyle name="Normal 11 3 5 4" xfId="45716" xr:uid="{9D834E20-87E4-4A9F-B1D1-0C0ACD7152EA}"/>
    <cellStyle name="Normal 11 3 5 4 2" xfId="45717" xr:uid="{4F4D872A-F8BE-4E4B-8602-193E333ADBF1}"/>
    <cellStyle name="Normal 11 3 5 4 2 2" xfId="45718" xr:uid="{CE2BFF69-4156-49F1-AEB0-7F36DF48912C}"/>
    <cellStyle name="Normal 11 3 5 4 2 2 2" xfId="45719" xr:uid="{1401D584-5BFD-42A9-997C-916DEE1C3CC0}"/>
    <cellStyle name="Normal 11 3 5 4 2 2 2 2" xfId="45720" xr:uid="{4083EC41-8565-4D36-B3F6-C462B196FA1F}"/>
    <cellStyle name="Normal 11 3 5 4 2 2 2 2 2" xfId="45721" xr:uid="{07332510-1E7C-4F12-B6FA-6E7636B79CF0}"/>
    <cellStyle name="Normal 11 3 5 4 2 2 2 2 2 2" xfId="45722" xr:uid="{5E014C2E-F8D3-43D1-839B-CD73496230F9}"/>
    <cellStyle name="Normal 11 3 5 4 2 2 2 2 3" xfId="45723" xr:uid="{17AE4239-0B18-4F8D-BC8F-A310BEAFF5C2}"/>
    <cellStyle name="Normal 11 3 5 4 2 2 2 3" xfId="45724" xr:uid="{13091344-2883-4195-8732-2A7A1D5E290A}"/>
    <cellStyle name="Normal 11 3 5 4 2 2 2 3 2" xfId="45725" xr:uid="{8DC2E2BA-FF51-4DAA-95A0-CE3B3C4CA713}"/>
    <cellStyle name="Normal 11 3 5 4 2 2 2 4" xfId="45726" xr:uid="{E4685387-00AA-46ED-8A9C-685C2CB48C03}"/>
    <cellStyle name="Normal 11 3 5 4 2 2 3" xfId="45727" xr:uid="{FD5E4F50-21AF-4D03-AABB-AFFAC1B15ADD}"/>
    <cellStyle name="Normal 11 3 5 4 2 2 3 2" xfId="45728" xr:uid="{E1776B29-2612-41D8-A0A3-8B38096819F7}"/>
    <cellStyle name="Normal 11 3 5 4 2 2 3 2 2" xfId="45729" xr:uid="{0F58B60B-C35C-4D91-9142-E0AEB4CDA6D8}"/>
    <cellStyle name="Normal 11 3 5 4 2 2 3 3" xfId="45730" xr:uid="{41417A0E-1D54-46D6-A0E1-149C629D9871}"/>
    <cellStyle name="Normal 11 3 5 4 2 2 4" xfId="45731" xr:uid="{07192636-190F-4D3D-9F25-0486D3FDA06F}"/>
    <cellStyle name="Normal 11 3 5 4 2 2 4 2" xfId="45732" xr:uid="{31CE8492-CB94-4A4E-8CDF-8541F1C55892}"/>
    <cellStyle name="Normal 11 3 5 4 2 2 5" xfId="45733" xr:uid="{C3B5658E-11B7-4252-BFA8-C09C8A2B9048}"/>
    <cellStyle name="Normal 11 3 5 4 2 3" xfId="45734" xr:uid="{F8FE8355-0B68-4335-A604-177CED993CEB}"/>
    <cellStyle name="Normal 11 3 5 4 2 3 2" xfId="45735" xr:uid="{33BDE45E-E588-4E4F-9E92-C5B0973E0451}"/>
    <cellStyle name="Normal 11 3 5 4 2 3 2 2" xfId="45736" xr:uid="{DA6570C9-9018-4C48-A500-DC64D6ABFC4A}"/>
    <cellStyle name="Normal 11 3 5 4 2 3 2 2 2" xfId="45737" xr:uid="{F39A7828-8C36-4C38-AB70-157F3F94A3D1}"/>
    <cellStyle name="Normal 11 3 5 4 2 3 2 3" xfId="45738" xr:uid="{8DBB1B27-D463-4F4D-ADBC-5C7054EAD285}"/>
    <cellStyle name="Normal 11 3 5 4 2 3 3" xfId="45739" xr:uid="{110F37FE-CAE4-40CB-944F-DD5AB5FF27BC}"/>
    <cellStyle name="Normal 11 3 5 4 2 3 3 2" xfId="45740" xr:uid="{71929508-0F51-4347-BF86-189AEF9040F5}"/>
    <cellStyle name="Normal 11 3 5 4 2 3 4" xfId="45741" xr:uid="{3A8B9E5D-E290-4CB1-86D3-6EA53A1FD798}"/>
    <cellStyle name="Normal 11 3 5 4 2 4" xfId="45742" xr:uid="{7CE475B8-A685-4DA7-9CE5-7233058B0329}"/>
    <cellStyle name="Normal 11 3 5 4 2 4 2" xfId="45743" xr:uid="{363EA313-89A0-43EA-A0AE-16B407ABB794}"/>
    <cellStyle name="Normal 11 3 5 4 2 4 2 2" xfId="45744" xr:uid="{315AD64F-BE78-4A75-808F-07A7E5E969CF}"/>
    <cellStyle name="Normal 11 3 5 4 2 4 3" xfId="45745" xr:uid="{F855B559-6F78-4C4B-8FF8-BED4CE70651C}"/>
    <cellStyle name="Normal 11 3 5 4 2 5" xfId="45746" xr:uid="{52DCFCDC-F9A3-4015-A153-09394C4E214A}"/>
    <cellStyle name="Normal 11 3 5 4 2 5 2" xfId="45747" xr:uid="{05CAD882-06C0-4963-BD84-FE0FB726849B}"/>
    <cellStyle name="Normal 11 3 5 4 2 6" xfId="45748" xr:uid="{9D14D54B-4DD2-4E57-A60C-F1B730DE122E}"/>
    <cellStyle name="Normal 11 3 5 4 3" xfId="45749" xr:uid="{23432BC6-39D5-44DD-AF02-EF15524D0903}"/>
    <cellStyle name="Normal 11 3 5 4 3 2" xfId="45750" xr:uid="{07C2526E-B01E-460E-B23D-B90CAE503311}"/>
    <cellStyle name="Normal 11 3 5 4 3 2 2" xfId="45751" xr:uid="{A3DE8730-A57C-4693-9D93-6DB99A652380}"/>
    <cellStyle name="Normal 11 3 5 4 3 2 2 2" xfId="45752" xr:uid="{AAEA15BE-ED6F-487D-AD01-7ED7C0734605}"/>
    <cellStyle name="Normal 11 3 5 4 3 2 2 2 2" xfId="45753" xr:uid="{BDD4E79B-D9D6-405B-BC39-D3F55B83A836}"/>
    <cellStyle name="Normal 11 3 5 4 3 2 2 3" xfId="45754" xr:uid="{0544AAC1-E433-463B-9AA4-164373A6E6F7}"/>
    <cellStyle name="Normal 11 3 5 4 3 2 3" xfId="45755" xr:uid="{43571094-BAAD-41B3-9FEF-C05E9CE9F77D}"/>
    <cellStyle name="Normal 11 3 5 4 3 2 3 2" xfId="45756" xr:uid="{13D3CA8A-4BF2-4FDF-91B3-39A01EFAEBB1}"/>
    <cellStyle name="Normal 11 3 5 4 3 2 4" xfId="45757" xr:uid="{C310B92C-17E3-4B55-94ED-C35A658FE47C}"/>
    <cellStyle name="Normal 11 3 5 4 3 3" xfId="45758" xr:uid="{FE792006-246B-4401-A9C6-A6D314F07A16}"/>
    <cellStyle name="Normal 11 3 5 4 3 3 2" xfId="45759" xr:uid="{61AE6841-0D59-427A-B59B-4ED07BABFD55}"/>
    <cellStyle name="Normal 11 3 5 4 3 3 2 2" xfId="45760" xr:uid="{41A207B5-6CCD-4F91-8ED0-6506ECF52D28}"/>
    <cellStyle name="Normal 11 3 5 4 3 3 3" xfId="45761" xr:uid="{C56D03DE-4BC4-4AC1-8983-E29AECEB7A51}"/>
    <cellStyle name="Normal 11 3 5 4 3 4" xfId="45762" xr:uid="{0288664B-8545-430E-8185-E58BD262D61A}"/>
    <cellStyle name="Normal 11 3 5 4 3 4 2" xfId="45763" xr:uid="{D5EBC2F7-F710-43D0-8352-8036F8533FDC}"/>
    <cellStyle name="Normal 11 3 5 4 3 5" xfId="45764" xr:uid="{7CB64154-73D5-4560-A620-CB45E60AE4D0}"/>
    <cellStyle name="Normal 11 3 5 4 4" xfId="45765" xr:uid="{447DEE08-D039-43F7-91ED-2D7B72A372CF}"/>
    <cellStyle name="Normal 11 3 5 4 4 2" xfId="45766" xr:uid="{D14A5F64-C234-4A8F-828D-555FF7AEC8B5}"/>
    <cellStyle name="Normal 11 3 5 4 4 2 2" xfId="45767" xr:uid="{4F471D7E-761F-4A31-BC7F-ED0F0E0EED67}"/>
    <cellStyle name="Normal 11 3 5 4 4 2 2 2" xfId="45768" xr:uid="{858850CE-BC1F-4AA3-B501-EF1166A24EDB}"/>
    <cellStyle name="Normal 11 3 5 4 4 2 3" xfId="45769" xr:uid="{70240953-2163-4F33-9448-37B018BFFCD4}"/>
    <cellStyle name="Normal 11 3 5 4 4 3" xfId="45770" xr:uid="{EDE14672-6161-4ECD-A945-03C7835AC463}"/>
    <cellStyle name="Normal 11 3 5 4 4 3 2" xfId="45771" xr:uid="{16C5D2A8-8E1D-43EF-B8F1-2637B5C444EE}"/>
    <cellStyle name="Normal 11 3 5 4 4 4" xfId="45772" xr:uid="{9EAF898E-EDDB-44DB-9636-BDF3E8114500}"/>
    <cellStyle name="Normal 11 3 5 4 5" xfId="45773" xr:uid="{2D971C8A-0680-4D1F-BB5B-415B77FA5BE7}"/>
    <cellStyle name="Normal 11 3 5 4 5 2" xfId="45774" xr:uid="{25084542-3D27-4BDD-9E95-C24CDA30BBF4}"/>
    <cellStyle name="Normal 11 3 5 4 5 2 2" xfId="45775" xr:uid="{09B482BB-1CE9-4F3B-85B8-F24AF8455C67}"/>
    <cellStyle name="Normal 11 3 5 4 5 3" xfId="45776" xr:uid="{8671239A-FDD5-4B8C-8BC9-731EA450553A}"/>
    <cellStyle name="Normal 11 3 5 4 6" xfId="45777" xr:uid="{8CF38781-73B3-4B86-AB1C-BD85EEB6E9D3}"/>
    <cellStyle name="Normal 11 3 5 4 6 2" xfId="45778" xr:uid="{3EFC3820-9288-4F8F-9E5B-5CDD10D0DF80}"/>
    <cellStyle name="Normal 11 3 5 4 7" xfId="45779" xr:uid="{EA732800-3AC2-4D49-AA47-4D078C639523}"/>
    <cellStyle name="Normal 11 3 5 5" xfId="45780" xr:uid="{27CC096D-765E-4D54-811B-372C2CC00B7A}"/>
    <cellStyle name="Normal 11 3 5 5 2" xfId="45781" xr:uid="{E7E0D82F-26CB-41F1-A5DD-4F6A9C9849B1}"/>
    <cellStyle name="Normal 11 3 5 5 2 2" xfId="45782" xr:uid="{92E073A3-A19A-4CE8-85D1-DC330079C4D1}"/>
    <cellStyle name="Normal 11 3 5 5 2 2 2" xfId="45783" xr:uid="{FFA8EC7A-55CE-4679-B495-EA7A0E73F1D8}"/>
    <cellStyle name="Normal 11 3 5 5 2 2 2 2" xfId="45784" xr:uid="{46C86CBC-A5F9-435D-A350-4E9F8109BA68}"/>
    <cellStyle name="Normal 11 3 5 5 2 2 2 2 2" xfId="45785" xr:uid="{2EA8E958-F0E4-4F3A-B669-3FB4C058777A}"/>
    <cellStyle name="Normal 11 3 5 5 2 2 2 3" xfId="45786" xr:uid="{181A9CCE-B80D-4312-93A4-E7FEDCD4A4FB}"/>
    <cellStyle name="Normal 11 3 5 5 2 2 3" xfId="45787" xr:uid="{EBF26FD7-F6DB-4A44-9096-9DEB63573CC9}"/>
    <cellStyle name="Normal 11 3 5 5 2 2 3 2" xfId="45788" xr:uid="{DC946657-136C-42FD-BFC6-4516D8E3C39C}"/>
    <cellStyle name="Normal 11 3 5 5 2 2 4" xfId="45789" xr:uid="{46893541-8424-4495-A196-3F5F4CE5B429}"/>
    <cellStyle name="Normal 11 3 5 5 2 3" xfId="45790" xr:uid="{E6F547A5-2674-430B-ADA9-517FF19E31AA}"/>
    <cellStyle name="Normal 11 3 5 5 2 3 2" xfId="45791" xr:uid="{FDAEF450-33C2-489A-AD5A-0BAAEC1C3E52}"/>
    <cellStyle name="Normal 11 3 5 5 2 3 2 2" xfId="45792" xr:uid="{7CBEDF92-8CC3-4DA9-BBBC-D6B0C5A9398C}"/>
    <cellStyle name="Normal 11 3 5 5 2 3 3" xfId="45793" xr:uid="{6071C488-1A1D-4B74-A87F-F0D23450553F}"/>
    <cellStyle name="Normal 11 3 5 5 2 4" xfId="45794" xr:uid="{DD79A11D-7CF4-4C04-91E7-26DA671D3E27}"/>
    <cellStyle name="Normal 11 3 5 5 2 4 2" xfId="45795" xr:uid="{FD8094AB-1146-48ED-8891-156685488787}"/>
    <cellStyle name="Normal 11 3 5 5 2 5" xfId="45796" xr:uid="{9127302F-C7C7-422E-964B-0DFADFC338DF}"/>
    <cellStyle name="Normal 11 3 5 5 3" xfId="45797" xr:uid="{DD63C2C4-31D5-4DA8-8F3B-808ED97395C1}"/>
    <cellStyle name="Normal 11 3 5 5 3 2" xfId="45798" xr:uid="{FF894AF7-B1CA-46B2-B98D-3B848DD0E4D3}"/>
    <cellStyle name="Normal 11 3 5 5 3 2 2" xfId="45799" xr:uid="{5C6F7C23-04B6-4B2C-8EF7-561C63D0BD4D}"/>
    <cellStyle name="Normal 11 3 5 5 3 2 2 2" xfId="45800" xr:uid="{849746CB-C681-4DCB-8641-9F72C0A64AC9}"/>
    <cellStyle name="Normal 11 3 5 5 3 2 3" xfId="45801" xr:uid="{3D29E042-61A1-4DEC-B4C1-DCCED8A11AE5}"/>
    <cellStyle name="Normal 11 3 5 5 3 3" xfId="45802" xr:uid="{827BB5C5-A493-4309-8638-3BA63A6E0938}"/>
    <cellStyle name="Normal 11 3 5 5 3 3 2" xfId="45803" xr:uid="{7080426C-1644-4E7F-8F71-C6FD7A161618}"/>
    <cellStyle name="Normal 11 3 5 5 3 4" xfId="45804" xr:uid="{A9109B4F-E7D8-4473-9BF2-00F1731468BA}"/>
    <cellStyle name="Normal 11 3 5 5 4" xfId="45805" xr:uid="{482FEF43-E522-4EA7-89DB-123391307659}"/>
    <cellStyle name="Normal 11 3 5 5 4 2" xfId="45806" xr:uid="{48BB4109-00D4-4034-8763-A5307B8C2CB2}"/>
    <cellStyle name="Normal 11 3 5 5 4 2 2" xfId="45807" xr:uid="{0DBF6C47-F36A-4769-B288-A51CBBD51564}"/>
    <cellStyle name="Normal 11 3 5 5 4 3" xfId="45808" xr:uid="{6812DBB9-0C44-4255-B954-9422F2B6D173}"/>
    <cellStyle name="Normal 11 3 5 5 5" xfId="45809" xr:uid="{97468863-247A-4D60-A3B3-F2EED20F3212}"/>
    <cellStyle name="Normal 11 3 5 5 5 2" xfId="45810" xr:uid="{3AE534EB-14FC-4E18-9629-B82BA64C6330}"/>
    <cellStyle name="Normal 11 3 5 5 6" xfId="45811" xr:uid="{2473DEC2-13CD-4688-9F70-6C4BB4D275A4}"/>
    <cellStyle name="Normal 11 3 5 6" xfId="45812" xr:uid="{90388FA5-E4ED-4CEC-95CE-E7E3375034FE}"/>
    <cellStyle name="Normal 11 3 5 6 2" xfId="45813" xr:uid="{D5FD252E-BE46-4C1C-8D27-1C44809D6319}"/>
    <cellStyle name="Normal 11 3 5 6 2 2" xfId="45814" xr:uid="{89522B24-1326-4402-A9DA-D9F601EFCB7F}"/>
    <cellStyle name="Normal 11 3 5 6 2 2 2" xfId="45815" xr:uid="{6C9092DA-A7C5-41C7-8E25-FF3F94A91E47}"/>
    <cellStyle name="Normal 11 3 5 6 2 2 2 2" xfId="45816" xr:uid="{1432F97E-AE7B-49C7-B9FB-DB89ABA03E14}"/>
    <cellStyle name="Normal 11 3 5 6 2 2 3" xfId="45817" xr:uid="{FEDC2781-8218-4220-9100-D2E5FBA3D238}"/>
    <cellStyle name="Normal 11 3 5 6 2 3" xfId="45818" xr:uid="{629D0741-37EA-4C69-9418-DF115DFD9AB2}"/>
    <cellStyle name="Normal 11 3 5 6 2 3 2" xfId="45819" xr:uid="{AB99116E-6167-4148-A498-8DF30CBD812C}"/>
    <cellStyle name="Normal 11 3 5 6 2 4" xfId="45820" xr:uid="{5535A2FE-5635-4C0F-8D75-CC31CBB96753}"/>
    <cellStyle name="Normal 11 3 5 6 3" xfId="45821" xr:uid="{31909458-C8C3-4108-B008-F460B433837B}"/>
    <cellStyle name="Normal 11 3 5 6 3 2" xfId="45822" xr:uid="{B264D2B9-C311-4055-87AF-B274189E457D}"/>
    <cellStyle name="Normal 11 3 5 6 3 2 2" xfId="45823" xr:uid="{8BF2C177-E04C-43AB-96CF-909033D2F44C}"/>
    <cellStyle name="Normal 11 3 5 6 3 3" xfId="45824" xr:uid="{F04358D0-C8FE-4A98-B1C2-8FF1315EAC67}"/>
    <cellStyle name="Normal 11 3 5 6 4" xfId="45825" xr:uid="{9FE70E84-5331-4A56-8615-1F7B6B539BDE}"/>
    <cellStyle name="Normal 11 3 5 6 4 2" xfId="45826" xr:uid="{50C2331B-EB74-4266-B467-7D4BB25E3CBD}"/>
    <cellStyle name="Normal 11 3 5 6 5" xfId="45827" xr:uid="{7C3EC825-C5B6-484B-B33C-3B0058CD4218}"/>
    <cellStyle name="Normal 11 3 5 7" xfId="45828" xr:uid="{8E0F0A37-5747-4292-9DD3-3BD4A92A8AA6}"/>
    <cellStyle name="Normal 11 3 5 7 2" xfId="45829" xr:uid="{9C2529C1-88BA-466C-8FEB-7FCB447D014C}"/>
    <cellStyle name="Normal 11 3 5 7 2 2" xfId="45830" xr:uid="{78D73F71-60C7-4433-8439-2F1274C4F6F3}"/>
    <cellStyle name="Normal 11 3 5 7 2 2 2" xfId="45831" xr:uid="{F11A8641-7153-4094-8039-FE8DCD4278BF}"/>
    <cellStyle name="Normal 11 3 5 7 2 3" xfId="45832" xr:uid="{5659ACEF-5EE7-4FF1-92D7-6E2120DD2271}"/>
    <cellStyle name="Normal 11 3 5 7 3" xfId="45833" xr:uid="{C7E761BE-68BA-4335-A0C6-61CEECCB4200}"/>
    <cellStyle name="Normal 11 3 5 7 3 2" xfId="45834" xr:uid="{9E19B6B2-6B0E-48DE-9178-4FEA915E025D}"/>
    <cellStyle name="Normal 11 3 5 7 4" xfId="45835" xr:uid="{EFEF9AFE-E430-4EAD-AC68-46C796FD094D}"/>
    <cellStyle name="Normal 11 3 5 8" xfId="45836" xr:uid="{0665F641-89CA-4266-99A0-1AA8CB030179}"/>
    <cellStyle name="Normal 11 3 5 8 2" xfId="45837" xr:uid="{20F8C9E1-4E12-4778-874C-3295352E9DE3}"/>
    <cellStyle name="Normal 11 3 5 8 2 2" xfId="45838" xr:uid="{2E49E76F-B0C5-488E-A710-12A903A3751A}"/>
    <cellStyle name="Normal 11 3 5 8 3" xfId="45839" xr:uid="{7D687529-422A-4966-A5BE-9794AE82A9DB}"/>
    <cellStyle name="Normal 11 3 5 9" xfId="45840" xr:uid="{DCA11205-B430-4A4B-9A07-8C9BB54DFC5C}"/>
    <cellStyle name="Normal 11 3 5 9 2" xfId="45841" xr:uid="{FD43231E-E0F2-4331-9E5D-06BFD1D4D2F8}"/>
    <cellStyle name="Normal 11 3 6" xfId="237" xr:uid="{F5219E48-3070-4EFA-9425-1D67718187C6}"/>
    <cellStyle name="Normal 11 3 6 10" xfId="45842" xr:uid="{1C0BB36C-31FE-49E3-BFA4-2D8C9B8A052D}"/>
    <cellStyle name="Normal 11 3 6 11" xfId="604" xr:uid="{23673F01-DB19-44FA-9AD5-FDD6040B022D}"/>
    <cellStyle name="Normal 11 3 6 2" xfId="388" xr:uid="{B5BA505D-60C0-4D30-8611-61CB704BE220}"/>
    <cellStyle name="Normal 11 3 6 2 10" xfId="45843" xr:uid="{54D7EE08-D3D2-4598-8D0F-C620186CD465}"/>
    <cellStyle name="Normal 11 3 6 2 2" xfId="45844" xr:uid="{A1722049-DB23-42FB-B15D-31CCDADB87A2}"/>
    <cellStyle name="Normal 11 3 6 2 2 2" xfId="45845" xr:uid="{EEE843DB-4DC9-41B5-AA63-18129729FBC9}"/>
    <cellStyle name="Normal 11 3 6 2 2 2 2" xfId="45846" xr:uid="{9D8D4CAE-C0D0-4BC6-A64F-6D61AD8F5577}"/>
    <cellStyle name="Normal 11 3 6 2 2 2 2 2" xfId="45847" xr:uid="{7876202F-8EF4-4359-909D-0BB54DF1DFB1}"/>
    <cellStyle name="Normal 11 3 6 2 2 2 2 2 2" xfId="45848" xr:uid="{1CC99CD5-19F7-487B-B16F-6470A4708520}"/>
    <cellStyle name="Normal 11 3 6 2 2 2 2 2 2 2" xfId="45849" xr:uid="{470E47E7-5A91-40BE-8DA0-7A8378A4FF75}"/>
    <cellStyle name="Normal 11 3 6 2 2 2 2 2 2 2 2" xfId="45850" xr:uid="{79FC977D-F063-469D-9F54-98781D821760}"/>
    <cellStyle name="Normal 11 3 6 2 2 2 2 2 2 2 2 2" xfId="45851" xr:uid="{F205E7C9-9437-42B2-B0F2-9BAFBCDEA922}"/>
    <cellStyle name="Normal 11 3 6 2 2 2 2 2 2 2 3" xfId="45852" xr:uid="{CA08A126-AD72-4741-ACF4-992B9DA19371}"/>
    <cellStyle name="Normal 11 3 6 2 2 2 2 2 2 3" xfId="45853" xr:uid="{A7E17534-6E83-4CC3-BEF4-122BD9E36F50}"/>
    <cellStyle name="Normal 11 3 6 2 2 2 2 2 2 3 2" xfId="45854" xr:uid="{52CCC56E-404C-4CCC-82B4-1DE0C32E0363}"/>
    <cellStyle name="Normal 11 3 6 2 2 2 2 2 2 4" xfId="45855" xr:uid="{6AB94476-CB70-4811-B4CD-FEF6AE60119C}"/>
    <cellStyle name="Normal 11 3 6 2 2 2 2 2 3" xfId="45856" xr:uid="{629BD0C7-BC36-4A61-A46C-B7602E280C5A}"/>
    <cellStyle name="Normal 11 3 6 2 2 2 2 2 3 2" xfId="45857" xr:uid="{082E90D9-1A2D-4A32-8082-C55AC876A54D}"/>
    <cellStyle name="Normal 11 3 6 2 2 2 2 2 3 2 2" xfId="45858" xr:uid="{F3B89136-0BF6-4D65-AE00-46C1247852D4}"/>
    <cellStyle name="Normal 11 3 6 2 2 2 2 2 3 3" xfId="45859" xr:uid="{3182BF50-6A7F-478C-BD03-FB5B0EB520E1}"/>
    <cellStyle name="Normal 11 3 6 2 2 2 2 2 4" xfId="45860" xr:uid="{8033D734-8A0E-43BA-901F-06374021634D}"/>
    <cellStyle name="Normal 11 3 6 2 2 2 2 2 4 2" xfId="45861" xr:uid="{857B14FB-860D-4679-83BF-DE2874479E3D}"/>
    <cellStyle name="Normal 11 3 6 2 2 2 2 2 5" xfId="45862" xr:uid="{607B9587-5FD6-418E-AC60-CEF1FD43A438}"/>
    <cellStyle name="Normal 11 3 6 2 2 2 2 3" xfId="45863" xr:uid="{1D381A6A-E27A-40D8-8FF3-C850B90A5389}"/>
    <cellStyle name="Normal 11 3 6 2 2 2 2 3 2" xfId="45864" xr:uid="{66FAF9F2-4C2A-47CF-A7C2-02415DD6AFD7}"/>
    <cellStyle name="Normal 11 3 6 2 2 2 2 3 2 2" xfId="45865" xr:uid="{0EA40ACC-3CED-4981-8405-3099F1113703}"/>
    <cellStyle name="Normal 11 3 6 2 2 2 2 3 2 2 2" xfId="45866" xr:uid="{F2ACAF17-DE75-4E07-AD33-AB59167F7673}"/>
    <cellStyle name="Normal 11 3 6 2 2 2 2 3 2 3" xfId="45867" xr:uid="{AEEA3876-B3DF-40C2-889A-2F521AB99FB6}"/>
    <cellStyle name="Normal 11 3 6 2 2 2 2 3 3" xfId="45868" xr:uid="{A1068E5D-5D44-4EAA-A804-95B557BDC3D2}"/>
    <cellStyle name="Normal 11 3 6 2 2 2 2 3 3 2" xfId="45869" xr:uid="{C67ABCFA-55C4-4A37-8028-CB3C96B7A53C}"/>
    <cellStyle name="Normal 11 3 6 2 2 2 2 3 4" xfId="45870" xr:uid="{8B01C924-280D-4C8D-A6E6-C7EBC24B329B}"/>
    <cellStyle name="Normal 11 3 6 2 2 2 2 4" xfId="45871" xr:uid="{74BB86D6-CCB9-437A-BA6F-A303651B1732}"/>
    <cellStyle name="Normal 11 3 6 2 2 2 2 4 2" xfId="45872" xr:uid="{708073B3-2C0E-4BE5-A36A-70D2AAAB393B}"/>
    <cellStyle name="Normal 11 3 6 2 2 2 2 4 2 2" xfId="45873" xr:uid="{6A0F6DFA-EF69-427B-82D5-40E94DCE0FBA}"/>
    <cellStyle name="Normal 11 3 6 2 2 2 2 4 3" xfId="45874" xr:uid="{1502D8B5-EF26-4A5E-AADF-3D1E68489A24}"/>
    <cellStyle name="Normal 11 3 6 2 2 2 2 5" xfId="45875" xr:uid="{C5AAAC44-4D29-4CB5-B103-9123597C00E3}"/>
    <cellStyle name="Normal 11 3 6 2 2 2 2 5 2" xfId="45876" xr:uid="{A6D94F15-98D4-442A-8F7F-0A85F44205FD}"/>
    <cellStyle name="Normal 11 3 6 2 2 2 2 6" xfId="45877" xr:uid="{4EF47956-75B3-4973-A007-4C05CAB497E8}"/>
    <cellStyle name="Normal 11 3 6 2 2 2 3" xfId="45878" xr:uid="{8F9995A7-1E07-4F8E-AE7A-A1CC36D59CD5}"/>
    <cellStyle name="Normal 11 3 6 2 2 2 3 2" xfId="45879" xr:uid="{519575D7-4CDF-4362-9AD8-30308F2254B9}"/>
    <cellStyle name="Normal 11 3 6 2 2 2 3 2 2" xfId="45880" xr:uid="{B8FAD2C9-7472-4F9E-8D26-087F9AA6BFA7}"/>
    <cellStyle name="Normal 11 3 6 2 2 2 3 2 2 2" xfId="45881" xr:uid="{07C52A89-F633-4CEE-AA9A-A6493163076D}"/>
    <cellStyle name="Normal 11 3 6 2 2 2 3 2 2 2 2" xfId="45882" xr:uid="{1C4F3D87-8F50-4983-A53C-F199D12A962C}"/>
    <cellStyle name="Normal 11 3 6 2 2 2 3 2 2 3" xfId="45883" xr:uid="{9F2AAE0F-6413-4EBD-B06E-60DFE69C2E3A}"/>
    <cellStyle name="Normal 11 3 6 2 2 2 3 2 3" xfId="45884" xr:uid="{9C97B20F-A87C-47E5-969A-FF3A99C92D75}"/>
    <cellStyle name="Normal 11 3 6 2 2 2 3 2 3 2" xfId="45885" xr:uid="{A58A18DB-D926-40F2-A46E-1F48A79CB98A}"/>
    <cellStyle name="Normal 11 3 6 2 2 2 3 2 4" xfId="45886" xr:uid="{32E59BE5-3169-40AC-A221-612FDD4FA1E2}"/>
    <cellStyle name="Normal 11 3 6 2 2 2 3 3" xfId="45887" xr:uid="{0BB3E351-0E63-4ABF-AA60-FDBF79636FF5}"/>
    <cellStyle name="Normal 11 3 6 2 2 2 3 3 2" xfId="45888" xr:uid="{AD6F6D62-0090-44D1-80C3-472426601BE7}"/>
    <cellStyle name="Normal 11 3 6 2 2 2 3 3 2 2" xfId="45889" xr:uid="{446A8A12-A067-4235-AA7E-FA24864FDF56}"/>
    <cellStyle name="Normal 11 3 6 2 2 2 3 3 3" xfId="45890" xr:uid="{8E1E3E7A-C0B1-4555-A9C9-C065BE0F1216}"/>
    <cellStyle name="Normal 11 3 6 2 2 2 3 4" xfId="45891" xr:uid="{8E5CA245-C289-452D-8AE3-B14EF884C6E5}"/>
    <cellStyle name="Normal 11 3 6 2 2 2 3 4 2" xfId="45892" xr:uid="{127D1FF8-0281-41CC-880B-73288F2F84F0}"/>
    <cellStyle name="Normal 11 3 6 2 2 2 3 5" xfId="45893" xr:uid="{0F2E6869-400E-4BD2-B737-A13759E53139}"/>
    <cellStyle name="Normal 11 3 6 2 2 2 4" xfId="45894" xr:uid="{68690AE9-0A6F-4A5B-8438-863CE29F0601}"/>
    <cellStyle name="Normal 11 3 6 2 2 2 4 2" xfId="45895" xr:uid="{D5D05200-4C5B-4EDC-BA05-265B4FE5D0B8}"/>
    <cellStyle name="Normal 11 3 6 2 2 2 4 2 2" xfId="45896" xr:uid="{BA460FD6-C22F-4DB1-AD3E-491E9E036441}"/>
    <cellStyle name="Normal 11 3 6 2 2 2 4 2 2 2" xfId="45897" xr:uid="{A5D9A06A-A081-4BE1-B3EA-E9FC511AD149}"/>
    <cellStyle name="Normal 11 3 6 2 2 2 4 2 3" xfId="45898" xr:uid="{EB9CC1D7-EF78-43C1-8F49-C73D9055A3DA}"/>
    <cellStyle name="Normal 11 3 6 2 2 2 4 3" xfId="45899" xr:uid="{1E31CAFD-73D8-4F6B-BBED-4F04EE0FDB25}"/>
    <cellStyle name="Normal 11 3 6 2 2 2 4 3 2" xfId="45900" xr:uid="{280180D1-72D0-45B7-9A2C-A0828447779D}"/>
    <cellStyle name="Normal 11 3 6 2 2 2 4 4" xfId="45901" xr:uid="{CD180393-6E2E-424B-967E-2811A6CD50C8}"/>
    <cellStyle name="Normal 11 3 6 2 2 2 5" xfId="45902" xr:uid="{7EB7AC90-A9DF-4927-9D29-BED60D7C0DAE}"/>
    <cellStyle name="Normal 11 3 6 2 2 2 5 2" xfId="45903" xr:uid="{02F1AC30-6376-4DAE-A99B-7558A1F71ECC}"/>
    <cellStyle name="Normal 11 3 6 2 2 2 5 2 2" xfId="45904" xr:uid="{3458C57A-E6F8-4E38-B454-EEDE4EBEA286}"/>
    <cellStyle name="Normal 11 3 6 2 2 2 5 3" xfId="45905" xr:uid="{8506E0C7-0979-457C-A8C4-DE88F0CADD52}"/>
    <cellStyle name="Normal 11 3 6 2 2 2 6" xfId="45906" xr:uid="{770F3977-935C-4909-B41F-4A0AB3EC5896}"/>
    <cellStyle name="Normal 11 3 6 2 2 2 6 2" xfId="45907" xr:uid="{A2992B36-3E0A-435F-82EA-7F48DE5B27FE}"/>
    <cellStyle name="Normal 11 3 6 2 2 2 7" xfId="45908" xr:uid="{D978585E-BEA0-43F8-B8C9-3344E147B6E8}"/>
    <cellStyle name="Normal 11 3 6 2 2 3" xfId="45909" xr:uid="{B0D1E4B4-B099-4A0F-A5BB-2BE258707512}"/>
    <cellStyle name="Normal 11 3 6 2 2 3 2" xfId="45910" xr:uid="{02A7421F-06FC-4F84-818F-BE64BFE7AA34}"/>
    <cellStyle name="Normal 11 3 6 2 2 3 2 2" xfId="45911" xr:uid="{C7A83EEA-AAA2-44C8-B8BD-1947B2F98024}"/>
    <cellStyle name="Normal 11 3 6 2 2 3 2 2 2" xfId="45912" xr:uid="{D96EC980-2513-40E3-AED0-D424C64DD2A5}"/>
    <cellStyle name="Normal 11 3 6 2 2 3 2 2 2 2" xfId="45913" xr:uid="{D1ED1AD2-5E1C-419B-98AA-B1FFF9980034}"/>
    <cellStyle name="Normal 11 3 6 2 2 3 2 2 2 2 2" xfId="45914" xr:uid="{54661AF0-C401-4D6B-BB03-B92483E77AFD}"/>
    <cellStyle name="Normal 11 3 6 2 2 3 2 2 2 3" xfId="45915" xr:uid="{CF221771-6DAA-4EF7-8501-9E274B7F4C91}"/>
    <cellStyle name="Normal 11 3 6 2 2 3 2 2 3" xfId="45916" xr:uid="{8DA090F7-C68E-4197-9E4B-C02870AF6437}"/>
    <cellStyle name="Normal 11 3 6 2 2 3 2 2 3 2" xfId="45917" xr:uid="{2B446F0B-A99C-4627-B72D-9D8A2B250C75}"/>
    <cellStyle name="Normal 11 3 6 2 2 3 2 2 4" xfId="45918" xr:uid="{38CA11D2-F5C3-4060-A6DA-46F499A8F906}"/>
    <cellStyle name="Normal 11 3 6 2 2 3 2 3" xfId="45919" xr:uid="{487C73E6-156A-472B-A351-7F50643DC305}"/>
    <cellStyle name="Normal 11 3 6 2 2 3 2 3 2" xfId="45920" xr:uid="{90E86964-B31D-49D3-B081-2B11FA1BBBD6}"/>
    <cellStyle name="Normal 11 3 6 2 2 3 2 3 2 2" xfId="45921" xr:uid="{A57ABC11-EF03-4086-A537-57C152D619FE}"/>
    <cellStyle name="Normal 11 3 6 2 2 3 2 3 3" xfId="45922" xr:uid="{DD40F37D-A790-4462-B490-C0C938546E02}"/>
    <cellStyle name="Normal 11 3 6 2 2 3 2 4" xfId="45923" xr:uid="{FC6EDD5D-8B9C-4957-9965-9A945329BDC2}"/>
    <cellStyle name="Normal 11 3 6 2 2 3 2 4 2" xfId="45924" xr:uid="{9997F03C-0295-484A-B52B-D7FD62A9F1C0}"/>
    <cellStyle name="Normal 11 3 6 2 2 3 2 5" xfId="45925" xr:uid="{EF6A67EB-5AB0-4E5E-B046-E6D3C20AA48F}"/>
    <cellStyle name="Normal 11 3 6 2 2 3 3" xfId="45926" xr:uid="{70C163BF-285E-431B-93C4-907F8E24BA45}"/>
    <cellStyle name="Normal 11 3 6 2 2 3 3 2" xfId="45927" xr:uid="{5E272ED2-0BD5-4BD3-9E4F-D3CB49BCA5C8}"/>
    <cellStyle name="Normal 11 3 6 2 2 3 3 2 2" xfId="45928" xr:uid="{470ED0ED-921A-4BEA-8D62-D5445357A90F}"/>
    <cellStyle name="Normal 11 3 6 2 2 3 3 2 2 2" xfId="45929" xr:uid="{2583FA99-EFD9-446C-861E-34846E346EE9}"/>
    <cellStyle name="Normal 11 3 6 2 2 3 3 2 3" xfId="45930" xr:uid="{5DCFFDC1-545F-464F-8602-33EFE066A965}"/>
    <cellStyle name="Normal 11 3 6 2 2 3 3 3" xfId="45931" xr:uid="{2A7B3B2D-E9A9-457C-80B6-AB0D22D26387}"/>
    <cellStyle name="Normal 11 3 6 2 2 3 3 3 2" xfId="45932" xr:uid="{72A11288-C6C6-4B49-90AB-A139AEC784B8}"/>
    <cellStyle name="Normal 11 3 6 2 2 3 3 4" xfId="45933" xr:uid="{51719178-2613-422B-A434-9E3F242B589E}"/>
    <cellStyle name="Normal 11 3 6 2 2 3 4" xfId="45934" xr:uid="{2AFAB25A-6B9B-4A32-BA1B-F6FA6EC5ACAA}"/>
    <cellStyle name="Normal 11 3 6 2 2 3 4 2" xfId="45935" xr:uid="{B9CB415B-4439-4C27-8FAE-6DACFA50212B}"/>
    <cellStyle name="Normal 11 3 6 2 2 3 4 2 2" xfId="45936" xr:uid="{F8D84B28-873A-4751-A914-D51E04DF360D}"/>
    <cellStyle name="Normal 11 3 6 2 2 3 4 3" xfId="45937" xr:uid="{6D7408D8-B3F0-421E-97A5-380741EDD12D}"/>
    <cellStyle name="Normal 11 3 6 2 2 3 5" xfId="45938" xr:uid="{15548ABB-B067-498D-8CCD-7E83B5625A56}"/>
    <cellStyle name="Normal 11 3 6 2 2 3 5 2" xfId="45939" xr:uid="{0DB60B1F-1125-42A9-858A-AA10D0AA4B56}"/>
    <cellStyle name="Normal 11 3 6 2 2 3 6" xfId="45940" xr:uid="{B77C5B81-4260-474F-BE31-B27613A05597}"/>
    <cellStyle name="Normal 11 3 6 2 2 4" xfId="45941" xr:uid="{276E942C-E0F3-4BC0-9682-4E03CE5AD578}"/>
    <cellStyle name="Normal 11 3 6 2 2 4 2" xfId="45942" xr:uid="{A522CD61-9F70-4BA0-8C75-75C23A0CBE4B}"/>
    <cellStyle name="Normal 11 3 6 2 2 4 2 2" xfId="45943" xr:uid="{053F9345-CAEF-4929-B63F-38156D2A532E}"/>
    <cellStyle name="Normal 11 3 6 2 2 4 2 2 2" xfId="45944" xr:uid="{BC49ABD5-55A9-4872-AE48-6F678452C2B2}"/>
    <cellStyle name="Normal 11 3 6 2 2 4 2 2 2 2" xfId="45945" xr:uid="{68A9223E-CF05-4838-83A1-F3F9AE2614DA}"/>
    <cellStyle name="Normal 11 3 6 2 2 4 2 2 3" xfId="45946" xr:uid="{D77DB8C9-CB62-45CF-9CB8-345FE7D85F2C}"/>
    <cellStyle name="Normal 11 3 6 2 2 4 2 3" xfId="45947" xr:uid="{2CFD4C5F-973F-4F7A-B9DB-7E7BEC89BF1E}"/>
    <cellStyle name="Normal 11 3 6 2 2 4 2 3 2" xfId="45948" xr:uid="{75EAAB86-B7F4-4923-B5AE-AF5783B83DB0}"/>
    <cellStyle name="Normal 11 3 6 2 2 4 2 4" xfId="45949" xr:uid="{7E5842B3-72D7-4AAE-B19F-A95A8038871B}"/>
    <cellStyle name="Normal 11 3 6 2 2 4 3" xfId="45950" xr:uid="{82829F36-64A6-47A3-9194-729332F5F23C}"/>
    <cellStyle name="Normal 11 3 6 2 2 4 3 2" xfId="45951" xr:uid="{2ECF81D8-B9E9-4090-BE24-B553C59DDE3C}"/>
    <cellStyle name="Normal 11 3 6 2 2 4 3 2 2" xfId="45952" xr:uid="{F475D29A-6DA0-4852-BE8E-88F1A2CF6FC5}"/>
    <cellStyle name="Normal 11 3 6 2 2 4 3 3" xfId="45953" xr:uid="{5505AACB-1ECE-4BB2-A806-8CF1C674FDAA}"/>
    <cellStyle name="Normal 11 3 6 2 2 4 4" xfId="45954" xr:uid="{71901D2E-4D2F-4007-85E5-8F6135FADCA6}"/>
    <cellStyle name="Normal 11 3 6 2 2 4 4 2" xfId="45955" xr:uid="{552FA5AC-3792-4EF6-A78A-FD2454F79F63}"/>
    <cellStyle name="Normal 11 3 6 2 2 4 5" xfId="45956" xr:uid="{392DD32E-7A3A-4C87-80DD-09BF2D6ADDB3}"/>
    <cellStyle name="Normal 11 3 6 2 2 5" xfId="45957" xr:uid="{1B78DBD1-6989-4EF0-B438-DBCBFABDC3DE}"/>
    <cellStyle name="Normal 11 3 6 2 2 5 2" xfId="45958" xr:uid="{0D7AC244-2E1C-44F0-9ED4-3E596C1D60B9}"/>
    <cellStyle name="Normal 11 3 6 2 2 5 2 2" xfId="45959" xr:uid="{EEA78715-957A-4970-8D02-E48F19EDE4E0}"/>
    <cellStyle name="Normal 11 3 6 2 2 5 2 2 2" xfId="45960" xr:uid="{978B7D9B-F20E-418A-892A-A60725B71610}"/>
    <cellStyle name="Normal 11 3 6 2 2 5 2 3" xfId="45961" xr:uid="{C1FFEC96-3F0D-4F31-BE40-2AB4DD26F03C}"/>
    <cellStyle name="Normal 11 3 6 2 2 5 3" xfId="45962" xr:uid="{135B56CD-D4A6-4248-9458-E5992902599B}"/>
    <cellStyle name="Normal 11 3 6 2 2 5 3 2" xfId="45963" xr:uid="{52E94733-3B66-4F97-980A-AD8092ABF204}"/>
    <cellStyle name="Normal 11 3 6 2 2 5 4" xfId="45964" xr:uid="{641B650A-33E9-490C-B2A9-FD5C3E4EF565}"/>
    <cellStyle name="Normal 11 3 6 2 2 6" xfId="45965" xr:uid="{756CD1FB-7E15-4C7E-B220-BD13AF0E988E}"/>
    <cellStyle name="Normal 11 3 6 2 2 6 2" xfId="45966" xr:uid="{2998865E-36D4-4667-A5E4-7DD0D47720C5}"/>
    <cellStyle name="Normal 11 3 6 2 2 6 2 2" xfId="45967" xr:uid="{E7C71E3F-AE1F-494F-A618-D044FCF39FB2}"/>
    <cellStyle name="Normal 11 3 6 2 2 6 3" xfId="45968" xr:uid="{0627C433-C531-43FD-B03B-0FC6A67112C8}"/>
    <cellStyle name="Normal 11 3 6 2 2 7" xfId="45969" xr:uid="{546DBC5B-8E9F-466B-89A4-0297A8E0FCC4}"/>
    <cellStyle name="Normal 11 3 6 2 2 7 2" xfId="45970" xr:uid="{E4545AE9-69A0-47B5-98E9-F0A16D4CCD4C}"/>
    <cellStyle name="Normal 11 3 6 2 2 8" xfId="45971" xr:uid="{EC7E1AEB-0ABA-446E-8B9E-D7B22725BF03}"/>
    <cellStyle name="Normal 11 3 6 2 3" xfId="45972" xr:uid="{A22C2FE8-AD80-4D26-9DD0-0D7856622F7A}"/>
    <cellStyle name="Normal 11 3 6 2 3 2" xfId="45973" xr:uid="{AF3E71DA-6FDD-4356-9628-59993610AB73}"/>
    <cellStyle name="Normal 11 3 6 2 3 2 2" xfId="45974" xr:uid="{995FC166-E1B4-4BF6-8687-F6C735C9784E}"/>
    <cellStyle name="Normal 11 3 6 2 3 2 2 2" xfId="45975" xr:uid="{6050EC21-EAB1-4C71-B65A-D16878DEEF4D}"/>
    <cellStyle name="Normal 11 3 6 2 3 2 2 2 2" xfId="45976" xr:uid="{D5A83E4E-D179-4A66-B73C-83487E037724}"/>
    <cellStyle name="Normal 11 3 6 2 3 2 2 2 2 2" xfId="45977" xr:uid="{242E74CA-0CFE-4357-B8FA-977822C348EF}"/>
    <cellStyle name="Normal 11 3 6 2 3 2 2 2 2 2 2" xfId="45978" xr:uid="{EC35FA34-7D47-40BB-AE9E-73A3480E4F3F}"/>
    <cellStyle name="Normal 11 3 6 2 3 2 2 2 2 3" xfId="45979" xr:uid="{409B9ECE-B827-42E9-B928-52B53C33F4AC}"/>
    <cellStyle name="Normal 11 3 6 2 3 2 2 2 3" xfId="45980" xr:uid="{8DB5BACC-9941-42C1-8A33-B42FE64F38E7}"/>
    <cellStyle name="Normal 11 3 6 2 3 2 2 2 3 2" xfId="45981" xr:uid="{AC1E11EF-0715-4499-9877-AFAC09B75238}"/>
    <cellStyle name="Normal 11 3 6 2 3 2 2 2 4" xfId="45982" xr:uid="{F312002E-71A1-4A8F-A983-7F7F17DD11EA}"/>
    <cellStyle name="Normal 11 3 6 2 3 2 2 3" xfId="45983" xr:uid="{9AA90341-5A0C-451D-B86A-3635DE4FF160}"/>
    <cellStyle name="Normal 11 3 6 2 3 2 2 3 2" xfId="45984" xr:uid="{4D30C2FC-43E4-472B-AF6B-72A84E998020}"/>
    <cellStyle name="Normal 11 3 6 2 3 2 2 3 2 2" xfId="45985" xr:uid="{2C149F84-2741-4A45-9311-9D2345FFADAA}"/>
    <cellStyle name="Normal 11 3 6 2 3 2 2 3 3" xfId="45986" xr:uid="{66CECA36-4A11-4655-9D48-5ADD6407CAC1}"/>
    <cellStyle name="Normal 11 3 6 2 3 2 2 4" xfId="45987" xr:uid="{051B8C22-A511-46B0-8593-C4C3D7829307}"/>
    <cellStyle name="Normal 11 3 6 2 3 2 2 4 2" xfId="45988" xr:uid="{92642066-2C1D-4CDB-B028-2C994930F4E0}"/>
    <cellStyle name="Normal 11 3 6 2 3 2 2 5" xfId="45989" xr:uid="{A618B00A-0901-4874-8358-3322FDFA6855}"/>
    <cellStyle name="Normal 11 3 6 2 3 2 3" xfId="45990" xr:uid="{B2E9EB81-730E-4257-9A24-6058E358649D}"/>
    <cellStyle name="Normal 11 3 6 2 3 2 3 2" xfId="45991" xr:uid="{5163597D-D84F-4FCA-A9CC-57C676098647}"/>
    <cellStyle name="Normal 11 3 6 2 3 2 3 2 2" xfId="45992" xr:uid="{BCAAC8B2-B2BB-4DE9-B3E0-27C52173D3D8}"/>
    <cellStyle name="Normal 11 3 6 2 3 2 3 2 2 2" xfId="45993" xr:uid="{0E8DFE1F-FDC0-4828-A05B-A1B99DCA46C0}"/>
    <cellStyle name="Normal 11 3 6 2 3 2 3 2 3" xfId="45994" xr:uid="{410EB557-10B9-40BD-8E9C-BF2996A1D539}"/>
    <cellStyle name="Normal 11 3 6 2 3 2 3 3" xfId="45995" xr:uid="{329B35E3-671E-484A-B1FC-232D9D3FC030}"/>
    <cellStyle name="Normal 11 3 6 2 3 2 3 3 2" xfId="45996" xr:uid="{0BA09BD8-5E76-4081-991F-7EFB20C92383}"/>
    <cellStyle name="Normal 11 3 6 2 3 2 3 4" xfId="45997" xr:uid="{6212D98E-9DBA-4DC6-BC65-6DDA545E00F1}"/>
    <cellStyle name="Normal 11 3 6 2 3 2 4" xfId="45998" xr:uid="{5157C492-CEDD-4A56-9A55-B42E8DAD229D}"/>
    <cellStyle name="Normal 11 3 6 2 3 2 4 2" xfId="45999" xr:uid="{66C6687F-4532-4C68-8139-9E2BA865CD73}"/>
    <cellStyle name="Normal 11 3 6 2 3 2 4 2 2" xfId="46000" xr:uid="{B9CF1F31-422D-4B04-97D6-E3E7AA9A4EA8}"/>
    <cellStyle name="Normal 11 3 6 2 3 2 4 3" xfId="46001" xr:uid="{D3F7B63F-D433-4F8E-8CBF-5B4CB88EC24B}"/>
    <cellStyle name="Normal 11 3 6 2 3 2 5" xfId="46002" xr:uid="{6984F4D0-2460-4977-9793-111345B23652}"/>
    <cellStyle name="Normal 11 3 6 2 3 2 5 2" xfId="46003" xr:uid="{34F3609C-B743-49AE-BB82-DAE10FD3FE38}"/>
    <cellStyle name="Normal 11 3 6 2 3 2 6" xfId="46004" xr:uid="{B924B19B-071C-4FDD-8287-261F0795334A}"/>
    <cellStyle name="Normal 11 3 6 2 3 3" xfId="46005" xr:uid="{1F2876C1-4490-4680-95EE-2F28FC80382A}"/>
    <cellStyle name="Normal 11 3 6 2 3 3 2" xfId="46006" xr:uid="{405C1331-7DCC-4DD0-85D3-3820DA1AFDC9}"/>
    <cellStyle name="Normal 11 3 6 2 3 3 2 2" xfId="46007" xr:uid="{0E107C2A-13EB-4FB3-968D-D8A408484D82}"/>
    <cellStyle name="Normal 11 3 6 2 3 3 2 2 2" xfId="46008" xr:uid="{93968382-8A67-4B27-B3E7-7D38F056E625}"/>
    <cellStyle name="Normal 11 3 6 2 3 3 2 2 2 2" xfId="46009" xr:uid="{DBD04295-5325-421C-BF3C-8045687B81CE}"/>
    <cellStyle name="Normal 11 3 6 2 3 3 2 2 3" xfId="46010" xr:uid="{52E2560F-60B1-4264-BB01-45CA6C3C3520}"/>
    <cellStyle name="Normal 11 3 6 2 3 3 2 3" xfId="46011" xr:uid="{9C27FAE9-167E-477F-BD36-F6B6B63472BF}"/>
    <cellStyle name="Normal 11 3 6 2 3 3 2 3 2" xfId="46012" xr:uid="{1BCF02BD-95E4-4AD2-A2FF-C0CE96546A31}"/>
    <cellStyle name="Normal 11 3 6 2 3 3 2 4" xfId="46013" xr:uid="{89B656C8-9364-4F9C-8C09-3371FC4C7BC1}"/>
    <cellStyle name="Normal 11 3 6 2 3 3 3" xfId="46014" xr:uid="{BB80950E-DC85-405F-899C-EAF26697A00D}"/>
    <cellStyle name="Normal 11 3 6 2 3 3 3 2" xfId="46015" xr:uid="{78005A7B-3665-49D4-AB8E-F144D1719640}"/>
    <cellStyle name="Normal 11 3 6 2 3 3 3 2 2" xfId="46016" xr:uid="{A47F1B08-C4B5-41A1-8F22-DB9DE43C92B7}"/>
    <cellStyle name="Normal 11 3 6 2 3 3 3 3" xfId="46017" xr:uid="{DE58132B-F6FB-44A4-98A7-173CD2C3F04C}"/>
    <cellStyle name="Normal 11 3 6 2 3 3 4" xfId="46018" xr:uid="{C084D795-5917-4A31-9B2B-120C5325DA3F}"/>
    <cellStyle name="Normal 11 3 6 2 3 3 4 2" xfId="46019" xr:uid="{050DAC2D-0D6D-4697-A48C-987108765AE8}"/>
    <cellStyle name="Normal 11 3 6 2 3 3 5" xfId="46020" xr:uid="{E5064E82-A86F-4455-8F53-8AC6BB3D1AF0}"/>
    <cellStyle name="Normal 11 3 6 2 3 4" xfId="46021" xr:uid="{480E70BD-BEA8-47A9-9959-EC96A1CD2363}"/>
    <cellStyle name="Normal 11 3 6 2 3 4 2" xfId="46022" xr:uid="{B4994F67-B46E-4B3D-AEE8-B55127C023D0}"/>
    <cellStyle name="Normal 11 3 6 2 3 4 2 2" xfId="46023" xr:uid="{2B63CA87-B40E-414F-BD7D-694EABE9183F}"/>
    <cellStyle name="Normal 11 3 6 2 3 4 2 2 2" xfId="46024" xr:uid="{EE9D12E1-8712-4D0D-AD89-2216DECB4CEB}"/>
    <cellStyle name="Normal 11 3 6 2 3 4 2 3" xfId="46025" xr:uid="{20B9BE21-8E19-422A-BF3D-370C1A0D563C}"/>
    <cellStyle name="Normal 11 3 6 2 3 4 3" xfId="46026" xr:uid="{C1A74977-69D7-4C28-928F-FBA2AEF5D518}"/>
    <cellStyle name="Normal 11 3 6 2 3 4 3 2" xfId="46027" xr:uid="{03E8FBDF-827D-4113-9AD1-F61A52DB30C7}"/>
    <cellStyle name="Normal 11 3 6 2 3 4 4" xfId="46028" xr:uid="{42814BE1-8E99-4497-9D30-9802E1825866}"/>
    <cellStyle name="Normal 11 3 6 2 3 5" xfId="46029" xr:uid="{0001DBF3-B84C-4A79-88CB-CA9292075B78}"/>
    <cellStyle name="Normal 11 3 6 2 3 5 2" xfId="46030" xr:uid="{23F31BDC-6821-400D-ACEA-B41CF2C370F5}"/>
    <cellStyle name="Normal 11 3 6 2 3 5 2 2" xfId="46031" xr:uid="{D4C7B586-1134-46FD-A552-D9F024EF2484}"/>
    <cellStyle name="Normal 11 3 6 2 3 5 3" xfId="46032" xr:uid="{717D502A-DB8B-4FF8-BD72-4524792B1D7B}"/>
    <cellStyle name="Normal 11 3 6 2 3 6" xfId="46033" xr:uid="{714339CC-9BAE-40EB-B7C8-9587633F55D2}"/>
    <cellStyle name="Normal 11 3 6 2 3 6 2" xfId="46034" xr:uid="{8835F0D2-4564-44C4-AE1B-68E58E4A7E2C}"/>
    <cellStyle name="Normal 11 3 6 2 3 7" xfId="46035" xr:uid="{2509ECC6-FBA3-4B16-B0FE-E5491C57A40F}"/>
    <cellStyle name="Normal 11 3 6 2 4" xfId="46036" xr:uid="{63554A00-99C6-4B84-B6FF-FDE36F658BFB}"/>
    <cellStyle name="Normal 11 3 6 2 4 2" xfId="46037" xr:uid="{C5034F27-23B0-4F37-B8A0-3367022F7AFC}"/>
    <cellStyle name="Normal 11 3 6 2 4 2 2" xfId="46038" xr:uid="{47945940-9F4E-4E84-9CBE-78F4604E2E08}"/>
    <cellStyle name="Normal 11 3 6 2 4 2 2 2" xfId="46039" xr:uid="{89BBC580-810C-499B-A68C-BB67BD3B7395}"/>
    <cellStyle name="Normal 11 3 6 2 4 2 2 2 2" xfId="46040" xr:uid="{2C5A4058-9167-4985-B585-911ED100A8E4}"/>
    <cellStyle name="Normal 11 3 6 2 4 2 2 2 2 2" xfId="46041" xr:uid="{DF19621F-F430-4204-98FA-3E323D53998E}"/>
    <cellStyle name="Normal 11 3 6 2 4 2 2 2 3" xfId="46042" xr:uid="{DDDF7E2C-B97F-45E6-8BD3-4A0499D47AB9}"/>
    <cellStyle name="Normal 11 3 6 2 4 2 2 3" xfId="46043" xr:uid="{05E4C473-9A31-4D58-8613-E23A1027EFE7}"/>
    <cellStyle name="Normal 11 3 6 2 4 2 2 3 2" xfId="46044" xr:uid="{9DFC451A-FE57-46C1-BCF3-2BAA8BA090FA}"/>
    <cellStyle name="Normal 11 3 6 2 4 2 2 4" xfId="46045" xr:uid="{AA584B6A-B99E-4CD2-8F31-A9240388D24C}"/>
    <cellStyle name="Normal 11 3 6 2 4 2 3" xfId="46046" xr:uid="{5F6F7505-CB83-4409-8CF6-AC900853E5EA}"/>
    <cellStyle name="Normal 11 3 6 2 4 2 3 2" xfId="46047" xr:uid="{5BAFAF77-8513-4990-AFFC-2FCABA7CC2B5}"/>
    <cellStyle name="Normal 11 3 6 2 4 2 3 2 2" xfId="46048" xr:uid="{CD11DE61-B5EA-4A54-8F3A-260867BE37A6}"/>
    <cellStyle name="Normal 11 3 6 2 4 2 3 3" xfId="46049" xr:uid="{59CA80E2-0CE6-4F91-B6EB-0A41519BAF26}"/>
    <cellStyle name="Normal 11 3 6 2 4 2 4" xfId="46050" xr:uid="{18CED16B-35C3-405A-9F04-C01CCD58A50C}"/>
    <cellStyle name="Normal 11 3 6 2 4 2 4 2" xfId="46051" xr:uid="{6222A671-B298-482C-BBA6-F68649073105}"/>
    <cellStyle name="Normal 11 3 6 2 4 2 5" xfId="46052" xr:uid="{DCB0121E-BB85-4A3F-B9FE-83EAE27D51FE}"/>
    <cellStyle name="Normal 11 3 6 2 4 3" xfId="46053" xr:uid="{75798C3E-E6C7-44E3-B83E-9A2828767AB5}"/>
    <cellStyle name="Normal 11 3 6 2 4 3 2" xfId="46054" xr:uid="{15623E61-0D34-4626-88F1-4884E365BFAA}"/>
    <cellStyle name="Normal 11 3 6 2 4 3 2 2" xfId="46055" xr:uid="{937C2583-1EF9-4DD7-8B67-C3DB2B61E212}"/>
    <cellStyle name="Normal 11 3 6 2 4 3 2 2 2" xfId="46056" xr:uid="{76432A24-FDAB-4B64-92C7-FAF505B73686}"/>
    <cellStyle name="Normal 11 3 6 2 4 3 2 3" xfId="46057" xr:uid="{90031C0D-1858-415D-91B3-C7051ECA19E9}"/>
    <cellStyle name="Normal 11 3 6 2 4 3 3" xfId="46058" xr:uid="{6DC77462-5165-467B-B65C-6B04AC0A61F4}"/>
    <cellStyle name="Normal 11 3 6 2 4 3 3 2" xfId="46059" xr:uid="{CB4D9381-16DC-414D-AA07-07A7E7FB6062}"/>
    <cellStyle name="Normal 11 3 6 2 4 3 4" xfId="46060" xr:uid="{F3EC3CF4-8625-4D2C-B720-C69BB6562B32}"/>
    <cellStyle name="Normal 11 3 6 2 4 4" xfId="46061" xr:uid="{6B004CF5-E973-445A-837D-CD6311239C65}"/>
    <cellStyle name="Normal 11 3 6 2 4 4 2" xfId="46062" xr:uid="{F47D7E79-4B59-489C-B5BD-C935E8ECD775}"/>
    <cellStyle name="Normal 11 3 6 2 4 4 2 2" xfId="46063" xr:uid="{28F9D461-3CCD-4FDF-86E1-C32955B26550}"/>
    <cellStyle name="Normal 11 3 6 2 4 4 3" xfId="46064" xr:uid="{7BFA5993-52CF-4878-8D90-A4EB588C200A}"/>
    <cellStyle name="Normal 11 3 6 2 4 5" xfId="46065" xr:uid="{7BDF22E5-8C16-478B-BA76-3185F96AA708}"/>
    <cellStyle name="Normal 11 3 6 2 4 5 2" xfId="46066" xr:uid="{F6B6ED52-318D-425E-B709-EFFA10C9B7F4}"/>
    <cellStyle name="Normal 11 3 6 2 4 6" xfId="46067" xr:uid="{F13B6AAE-86CE-464D-A5DF-51A90C028D15}"/>
    <cellStyle name="Normal 11 3 6 2 5" xfId="46068" xr:uid="{89915F78-FD6D-4998-AC39-9AC6537BF35C}"/>
    <cellStyle name="Normal 11 3 6 2 5 2" xfId="46069" xr:uid="{EE823741-4C50-4DED-B6E7-6B5638212286}"/>
    <cellStyle name="Normal 11 3 6 2 5 2 2" xfId="46070" xr:uid="{5B8B9C39-F9EA-45F3-919F-D4FCCDF67BA4}"/>
    <cellStyle name="Normal 11 3 6 2 5 2 2 2" xfId="46071" xr:uid="{474646D9-3EDC-4159-8060-3E0733DADD28}"/>
    <cellStyle name="Normal 11 3 6 2 5 2 2 2 2" xfId="46072" xr:uid="{41469395-C972-4593-BA04-45C313ED79B3}"/>
    <cellStyle name="Normal 11 3 6 2 5 2 2 3" xfId="46073" xr:uid="{684A04B3-63DE-4F52-8730-6F3813065C1B}"/>
    <cellStyle name="Normal 11 3 6 2 5 2 3" xfId="46074" xr:uid="{87636303-1221-4395-B8F9-787B0C6CB413}"/>
    <cellStyle name="Normal 11 3 6 2 5 2 3 2" xfId="46075" xr:uid="{F534DF3E-1A6B-45DF-AF9A-33FCAB54626F}"/>
    <cellStyle name="Normal 11 3 6 2 5 2 4" xfId="46076" xr:uid="{9EF437D9-60A5-4376-AF75-F8A45EBD9924}"/>
    <cellStyle name="Normal 11 3 6 2 5 3" xfId="46077" xr:uid="{50E4F1DD-7A4F-4EE0-A744-8A0ED814EA36}"/>
    <cellStyle name="Normal 11 3 6 2 5 3 2" xfId="46078" xr:uid="{64A2FC14-F16A-4397-BDB9-27D9DE5D8E42}"/>
    <cellStyle name="Normal 11 3 6 2 5 3 2 2" xfId="46079" xr:uid="{70B1324F-B554-4B96-AAE3-6621305CB0CC}"/>
    <cellStyle name="Normal 11 3 6 2 5 3 3" xfId="46080" xr:uid="{55C5F27D-4E9F-4C85-927F-CCE6AB868454}"/>
    <cellStyle name="Normal 11 3 6 2 5 4" xfId="46081" xr:uid="{29772AA8-2E16-49CD-87DF-CF78B28D9FE8}"/>
    <cellStyle name="Normal 11 3 6 2 5 4 2" xfId="46082" xr:uid="{A216504C-5F02-485B-BF16-D8A8A2A47252}"/>
    <cellStyle name="Normal 11 3 6 2 5 5" xfId="46083" xr:uid="{EF1DA6E6-5C98-4563-84BE-8E07F4C0C17F}"/>
    <cellStyle name="Normal 11 3 6 2 6" xfId="46084" xr:uid="{5C0CDFB1-4C19-4D93-AA4D-51EB838306AE}"/>
    <cellStyle name="Normal 11 3 6 2 6 2" xfId="46085" xr:uid="{A58131F5-BA82-4673-8CFB-56C987DB4EC1}"/>
    <cellStyle name="Normal 11 3 6 2 6 2 2" xfId="46086" xr:uid="{476BD299-DD43-4625-9265-6ABDBB42983D}"/>
    <cellStyle name="Normal 11 3 6 2 6 2 2 2" xfId="46087" xr:uid="{6E2C78EA-ABE4-485E-A6B2-E53B91EBC80E}"/>
    <cellStyle name="Normal 11 3 6 2 6 2 3" xfId="46088" xr:uid="{B9061BAC-71F9-4BE8-8D48-2A5CE96B3667}"/>
    <cellStyle name="Normal 11 3 6 2 6 3" xfId="46089" xr:uid="{F00B6563-BE93-4BB2-99DD-36D209B62D20}"/>
    <cellStyle name="Normal 11 3 6 2 6 3 2" xfId="46090" xr:uid="{5D54D15D-EED0-4AE1-98F3-4ED0685FD4A2}"/>
    <cellStyle name="Normal 11 3 6 2 6 4" xfId="46091" xr:uid="{4AEB0082-A7A4-42FE-8C26-A1B86D271F2E}"/>
    <cellStyle name="Normal 11 3 6 2 7" xfId="46092" xr:uid="{2ED332D7-A253-4F52-81A8-15448404DE25}"/>
    <cellStyle name="Normal 11 3 6 2 7 2" xfId="46093" xr:uid="{E7318D38-1145-416D-A6B0-1F4CB049CD28}"/>
    <cellStyle name="Normal 11 3 6 2 7 2 2" xfId="46094" xr:uid="{CDF292FE-F7D7-4820-92C2-E749CFF910FC}"/>
    <cellStyle name="Normal 11 3 6 2 7 3" xfId="46095" xr:uid="{17B084BC-A5C8-452E-8F35-EE13FB6F5372}"/>
    <cellStyle name="Normal 11 3 6 2 8" xfId="46096" xr:uid="{4D4F31C6-3E1E-401B-97A6-ABC79D8D35C8}"/>
    <cellStyle name="Normal 11 3 6 2 8 2" xfId="46097" xr:uid="{56C8C059-4E33-4AA7-BB28-EFEE065719A8}"/>
    <cellStyle name="Normal 11 3 6 2 9" xfId="46098" xr:uid="{2B0703A3-B964-454E-98BF-87D24168D555}"/>
    <cellStyle name="Normal 11 3 6 3" xfId="472" xr:uid="{28ADA1FF-3D42-4B55-9BEF-56245C9FFC90}"/>
    <cellStyle name="Normal 11 3 6 3 2" xfId="46100" xr:uid="{B3660D86-E3A2-4B40-ACC9-D40FDCEC3006}"/>
    <cellStyle name="Normal 11 3 6 3 2 2" xfId="46101" xr:uid="{39C246B1-EF2C-4DB2-BB5F-09B13CABD492}"/>
    <cellStyle name="Normal 11 3 6 3 2 2 2" xfId="46102" xr:uid="{D8301D48-7F52-4222-99E4-2C1CE3D9ADC0}"/>
    <cellStyle name="Normal 11 3 6 3 2 2 2 2" xfId="46103" xr:uid="{4870AE32-547E-4027-8C02-6D11858ADC29}"/>
    <cellStyle name="Normal 11 3 6 3 2 2 2 2 2" xfId="46104" xr:uid="{E9986727-18AC-46F1-BDA0-8A737CFD7481}"/>
    <cellStyle name="Normal 11 3 6 3 2 2 2 2 2 2" xfId="46105" xr:uid="{415B49B4-B8B8-460D-8094-3F61BA4AC4FF}"/>
    <cellStyle name="Normal 11 3 6 3 2 2 2 2 2 2 2" xfId="46106" xr:uid="{779DC987-BE45-4E7A-85A1-B17F7B7320CC}"/>
    <cellStyle name="Normal 11 3 6 3 2 2 2 2 2 3" xfId="46107" xr:uid="{2C6564E5-0A92-4B9B-AA17-E8727FBE5ED2}"/>
    <cellStyle name="Normal 11 3 6 3 2 2 2 2 3" xfId="46108" xr:uid="{1FF6FBE5-A5F5-4058-9105-EE3CAA963516}"/>
    <cellStyle name="Normal 11 3 6 3 2 2 2 2 3 2" xfId="46109" xr:uid="{8907EBF5-913F-4182-8595-06579E307B15}"/>
    <cellStyle name="Normal 11 3 6 3 2 2 2 2 4" xfId="46110" xr:uid="{5D0DF636-0A35-4A5D-B852-19376C0A5CC9}"/>
    <cellStyle name="Normal 11 3 6 3 2 2 2 3" xfId="46111" xr:uid="{B4224731-6B4F-46EF-86D2-6E4FD3F77642}"/>
    <cellStyle name="Normal 11 3 6 3 2 2 2 3 2" xfId="46112" xr:uid="{FDCFABFA-698C-47FB-BA63-F284F13BA8B4}"/>
    <cellStyle name="Normal 11 3 6 3 2 2 2 3 2 2" xfId="46113" xr:uid="{0751B539-1699-4B1D-B088-3044EFC62D72}"/>
    <cellStyle name="Normal 11 3 6 3 2 2 2 3 3" xfId="46114" xr:uid="{2CDB9A8F-2B1B-49E9-A57C-A67FF4604DD3}"/>
    <cellStyle name="Normal 11 3 6 3 2 2 2 4" xfId="46115" xr:uid="{0E536447-6F16-4911-9770-1F8CDEE6F6B2}"/>
    <cellStyle name="Normal 11 3 6 3 2 2 2 4 2" xfId="46116" xr:uid="{FBFFD3B3-289A-444D-BB8E-4C08810D479D}"/>
    <cellStyle name="Normal 11 3 6 3 2 2 2 5" xfId="46117" xr:uid="{F7118CC2-740D-49B1-BFF0-E8B14BE321F3}"/>
    <cellStyle name="Normal 11 3 6 3 2 2 3" xfId="46118" xr:uid="{474D18DA-184E-4723-B90F-EF3C4A2FD665}"/>
    <cellStyle name="Normal 11 3 6 3 2 2 3 2" xfId="46119" xr:uid="{90C2DA22-B16C-4E53-B6FA-10E312E52129}"/>
    <cellStyle name="Normal 11 3 6 3 2 2 3 2 2" xfId="46120" xr:uid="{2759A25D-1A59-4C9B-883A-BA8FA649A63B}"/>
    <cellStyle name="Normal 11 3 6 3 2 2 3 2 2 2" xfId="46121" xr:uid="{508D2346-0037-4277-B8C0-9F5F0204B203}"/>
    <cellStyle name="Normal 11 3 6 3 2 2 3 2 3" xfId="46122" xr:uid="{2142FA23-F581-4ED4-A870-19705348A0CE}"/>
    <cellStyle name="Normal 11 3 6 3 2 2 3 3" xfId="46123" xr:uid="{CAB97FC6-06AB-4978-94C9-AF6B5C733F00}"/>
    <cellStyle name="Normal 11 3 6 3 2 2 3 3 2" xfId="46124" xr:uid="{C0787AA7-D6FC-450C-8EAE-3F9F66866493}"/>
    <cellStyle name="Normal 11 3 6 3 2 2 3 4" xfId="46125" xr:uid="{6AB34B79-D96D-425E-A9BC-2099A5B4F98A}"/>
    <cellStyle name="Normal 11 3 6 3 2 2 4" xfId="46126" xr:uid="{C19F8C9B-0A11-494D-9440-8D8CC0A11E87}"/>
    <cellStyle name="Normal 11 3 6 3 2 2 4 2" xfId="46127" xr:uid="{16E8A974-3603-4A91-9315-28CC6DC8F14E}"/>
    <cellStyle name="Normal 11 3 6 3 2 2 4 2 2" xfId="46128" xr:uid="{EDD4082B-FEC8-483B-BA69-D19910C030B1}"/>
    <cellStyle name="Normal 11 3 6 3 2 2 4 3" xfId="46129" xr:uid="{27430A5E-4B01-4C14-B228-77C5F742F3ED}"/>
    <cellStyle name="Normal 11 3 6 3 2 2 5" xfId="46130" xr:uid="{942225A8-8878-432F-B18D-7F598FADABFB}"/>
    <cellStyle name="Normal 11 3 6 3 2 2 5 2" xfId="46131" xr:uid="{8E4DCDAA-9D98-4595-9F9F-41CE35599AEE}"/>
    <cellStyle name="Normal 11 3 6 3 2 2 6" xfId="46132" xr:uid="{F5907CA3-5B70-4022-9346-B42787B04B98}"/>
    <cellStyle name="Normal 11 3 6 3 2 3" xfId="46133" xr:uid="{2D505DFE-C804-4CC9-AF2F-3918247715CC}"/>
    <cellStyle name="Normal 11 3 6 3 2 3 2" xfId="46134" xr:uid="{D2E8EA17-4651-45D0-8939-CA3D2E0D98EE}"/>
    <cellStyle name="Normal 11 3 6 3 2 3 2 2" xfId="46135" xr:uid="{EB2489F7-AFE6-49C9-8A2E-355EE30049E7}"/>
    <cellStyle name="Normal 11 3 6 3 2 3 2 2 2" xfId="46136" xr:uid="{6A0154E2-C268-4678-81C0-2B4E39D2001D}"/>
    <cellStyle name="Normal 11 3 6 3 2 3 2 2 2 2" xfId="46137" xr:uid="{EF808640-D268-4B12-B631-1370199F0BDD}"/>
    <cellStyle name="Normal 11 3 6 3 2 3 2 2 3" xfId="46138" xr:uid="{DC11FF25-7728-4CE1-AF6E-09E40B5A1D8D}"/>
    <cellStyle name="Normal 11 3 6 3 2 3 2 3" xfId="46139" xr:uid="{288928D7-BBAE-457E-9C98-663164E86FB1}"/>
    <cellStyle name="Normal 11 3 6 3 2 3 2 3 2" xfId="46140" xr:uid="{EF6DA95C-BE5D-48D0-8B6E-3859F1E7DA1C}"/>
    <cellStyle name="Normal 11 3 6 3 2 3 2 4" xfId="46141" xr:uid="{1E0898A8-3AF5-47A6-900C-809C64C571F3}"/>
    <cellStyle name="Normal 11 3 6 3 2 3 3" xfId="46142" xr:uid="{A30738CC-DA30-4AEF-8090-379A305A9B4A}"/>
    <cellStyle name="Normal 11 3 6 3 2 3 3 2" xfId="46143" xr:uid="{BBDAF025-AD8E-45FB-9BD7-CA7E53903C14}"/>
    <cellStyle name="Normal 11 3 6 3 2 3 3 2 2" xfId="46144" xr:uid="{114F1ED8-A281-49F1-A89A-6BC547A90240}"/>
    <cellStyle name="Normal 11 3 6 3 2 3 3 3" xfId="46145" xr:uid="{7727D4E6-E1E8-4B7B-B3D4-7CDE3123C83A}"/>
    <cellStyle name="Normal 11 3 6 3 2 3 4" xfId="46146" xr:uid="{730B5E4D-5C09-4304-AAB3-3BD9F71AC318}"/>
    <cellStyle name="Normal 11 3 6 3 2 3 4 2" xfId="46147" xr:uid="{DCF662BB-CB37-49DE-A8D6-2368BFEC2BBE}"/>
    <cellStyle name="Normal 11 3 6 3 2 3 5" xfId="46148" xr:uid="{85C6007D-D629-41A6-BACE-DF261817BD78}"/>
    <cellStyle name="Normal 11 3 6 3 2 4" xfId="46149" xr:uid="{318DAB35-0184-457E-B11C-80557C9A041C}"/>
    <cellStyle name="Normal 11 3 6 3 2 4 2" xfId="46150" xr:uid="{00448645-C027-4C11-BFA5-2887F1EE3107}"/>
    <cellStyle name="Normal 11 3 6 3 2 4 2 2" xfId="46151" xr:uid="{281C99A6-2379-45F4-BC07-EB2E1D0C2F59}"/>
    <cellStyle name="Normal 11 3 6 3 2 4 2 2 2" xfId="46152" xr:uid="{C61C117F-0185-40EF-8898-A49AB73A265B}"/>
    <cellStyle name="Normal 11 3 6 3 2 4 2 3" xfId="46153" xr:uid="{A3BCCEB3-CFC2-407D-A153-F12CC2B6FF57}"/>
    <cellStyle name="Normal 11 3 6 3 2 4 3" xfId="46154" xr:uid="{D74C69C7-F7E1-4BE6-82AE-98E4E16174C9}"/>
    <cellStyle name="Normal 11 3 6 3 2 4 3 2" xfId="46155" xr:uid="{62B606DE-4B20-4808-A378-04226DC6D9A8}"/>
    <cellStyle name="Normal 11 3 6 3 2 4 4" xfId="46156" xr:uid="{80E45716-290F-4FCD-BC40-752E2B576516}"/>
    <cellStyle name="Normal 11 3 6 3 2 5" xfId="46157" xr:uid="{6987069E-F377-4822-8CB8-C059ED167990}"/>
    <cellStyle name="Normal 11 3 6 3 2 5 2" xfId="46158" xr:uid="{CABDC319-6BFB-40D4-A035-DD9F296DD4AE}"/>
    <cellStyle name="Normal 11 3 6 3 2 5 2 2" xfId="46159" xr:uid="{AEE771BD-6CAC-409F-8E6C-084844F646AF}"/>
    <cellStyle name="Normal 11 3 6 3 2 5 3" xfId="46160" xr:uid="{7562E144-1CE1-49A0-8BAD-780F6567C217}"/>
    <cellStyle name="Normal 11 3 6 3 2 6" xfId="46161" xr:uid="{16B1C827-98E2-48FF-991B-235B16FABDCB}"/>
    <cellStyle name="Normal 11 3 6 3 2 6 2" xfId="46162" xr:uid="{BA23E0C0-3425-4DAC-B22B-3097785A9CE9}"/>
    <cellStyle name="Normal 11 3 6 3 2 7" xfId="46163" xr:uid="{B1C7E04D-60AF-47A6-9137-79E3CD6A1934}"/>
    <cellStyle name="Normal 11 3 6 3 3" xfId="46164" xr:uid="{EDC0B459-EC93-4E0A-B5C2-AE15F1E8CDBA}"/>
    <cellStyle name="Normal 11 3 6 3 3 2" xfId="46165" xr:uid="{B2C337D7-AFC3-4E4C-8041-0E780F1A011C}"/>
    <cellStyle name="Normal 11 3 6 3 3 2 2" xfId="46166" xr:uid="{C7CE75C6-E263-42DC-9A19-7F73DA23D3D0}"/>
    <cellStyle name="Normal 11 3 6 3 3 2 2 2" xfId="46167" xr:uid="{4838103C-8366-469D-AB7E-0436A42CEBC1}"/>
    <cellStyle name="Normal 11 3 6 3 3 2 2 2 2" xfId="46168" xr:uid="{1861E01C-83CE-4D1D-84E2-2CE799306D20}"/>
    <cellStyle name="Normal 11 3 6 3 3 2 2 2 2 2" xfId="46169" xr:uid="{6AD2E1B6-EA4C-4D12-8B04-4027CEF8DA9E}"/>
    <cellStyle name="Normal 11 3 6 3 3 2 2 2 3" xfId="46170" xr:uid="{89E33F3D-C9D3-45F8-AFB2-B15ABC06376E}"/>
    <cellStyle name="Normal 11 3 6 3 3 2 2 3" xfId="46171" xr:uid="{E5C7E5A0-BF39-4BCF-8A65-A0A869135C15}"/>
    <cellStyle name="Normal 11 3 6 3 3 2 2 3 2" xfId="46172" xr:uid="{2B6FD369-D93D-4306-B2AA-8B0C53AE0E40}"/>
    <cellStyle name="Normal 11 3 6 3 3 2 2 4" xfId="46173" xr:uid="{282A3144-4BBF-4500-9683-73DE3F88CBB6}"/>
    <cellStyle name="Normal 11 3 6 3 3 2 3" xfId="46174" xr:uid="{3F898C66-95D2-444C-97B8-F022F218A306}"/>
    <cellStyle name="Normal 11 3 6 3 3 2 3 2" xfId="46175" xr:uid="{37FAB9D0-3A72-426E-86B1-79BD80FC1C9E}"/>
    <cellStyle name="Normal 11 3 6 3 3 2 3 2 2" xfId="46176" xr:uid="{8DD77B2C-DDFF-40DC-9CA9-95D895DB9DB7}"/>
    <cellStyle name="Normal 11 3 6 3 3 2 3 3" xfId="46177" xr:uid="{744F1DF3-962B-4E9F-863C-6CFEEEF54BE1}"/>
    <cellStyle name="Normal 11 3 6 3 3 2 4" xfId="46178" xr:uid="{6FDF9745-B793-461D-B2F8-6D078D4F1951}"/>
    <cellStyle name="Normal 11 3 6 3 3 2 4 2" xfId="46179" xr:uid="{4A40CEF6-B16D-43C9-9F8D-7AB29D0E3E38}"/>
    <cellStyle name="Normal 11 3 6 3 3 2 5" xfId="46180" xr:uid="{584C3640-4936-4EC0-A91B-49F371552BAF}"/>
    <cellStyle name="Normal 11 3 6 3 3 3" xfId="46181" xr:uid="{9957A095-CEC6-46A1-9B1A-C3A5A9ADDB77}"/>
    <cellStyle name="Normal 11 3 6 3 3 3 2" xfId="46182" xr:uid="{5686A04E-C75F-4AB8-B06E-52458732B0C3}"/>
    <cellStyle name="Normal 11 3 6 3 3 3 2 2" xfId="46183" xr:uid="{8861C9D0-658F-4B23-A5F4-906473338A3D}"/>
    <cellStyle name="Normal 11 3 6 3 3 3 2 2 2" xfId="46184" xr:uid="{60A42F8D-5041-45EF-91E5-93C79B9CB6D0}"/>
    <cellStyle name="Normal 11 3 6 3 3 3 2 3" xfId="46185" xr:uid="{B7C4A3C2-9EC5-49B5-9754-5F734E28462A}"/>
    <cellStyle name="Normal 11 3 6 3 3 3 3" xfId="46186" xr:uid="{5CA0895A-1439-4601-A4F8-F305230D5408}"/>
    <cellStyle name="Normal 11 3 6 3 3 3 3 2" xfId="46187" xr:uid="{B890A8BF-423A-4EC6-8C30-451C8488F6EA}"/>
    <cellStyle name="Normal 11 3 6 3 3 3 4" xfId="46188" xr:uid="{6E946E3B-46DF-4957-A4B5-26A51B47B49C}"/>
    <cellStyle name="Normal 11 3 6 3 3 4" xfId="46189" xr:uid="{78411396-9527-426D-A7A0-07A7E0077986}"/>
    <cellStyle name="Normal 11 3 6 3 3 4 2" xfId="46190" xr:uid="{18CE295B-3B72-4D2D-9ACA-901A4F00EA8F}"/>
    <cellStyle name="Normal 11 3 6 3 3 4 2 2" xfId="46191" xr:uid="{D53CDD3A-8CD3-4EEB-91C1-40FCB1ACD149}"/>
    <cellStyle name="Normal 11 3 6 3 3 4 3" xfId="46192" xr:uid="{F03ACC85-6E7A-4828-A6D7-D27E487C4CD6}"/>
    <cellStyle name="Normal 11 3 6 3 3 5" xfId="46193" xr:uid="{36B0A3F7-BB6F-4A0B-9AEB-706CCC86A7B5}"/>
    <cellStyle name="Normal 11 3 6 3 3 5 2" xfId="46194" xr:uid="{A5602A77-EF7E-49C1-AC02-FC686B357A70}"/>
    <cellStyle name="Normal 11 3 6 3 3 6" xfId="46195" xr:uid="{5C73F801-E4D0-4541-89CC-460D3F9766E5}"/>
    <cellStyle name="Normal 11 3 6 3 4" xfId="46196" xr:uid="{46F2B0B6-8E39-43BD-B826-35803D08A047}"/>
    <cellStyle name="Normal 11 3 6 3 4 2" xfId="46197" xr:uid="{D0AA8ADC-CEA7-4D2F-8EE2-7D3EB674E9A8}"/>
    <cellStyle name="Normal 11 3 6 3 4 2 2" xfId="46198" xr:uid="{95FF4306-71BC-453D-9DED-5666B850AE24}"/>
    <cellStyle name="Normal 11 3 6 3 4 2 2 2" xfId="46199" xr:uid="{BD39AED9-996D-4DD5-B1E4-87A228F33136}"/>
    <cellStyle name="Normal 11 3 6 3 4 2 2 2 2" xfId="46200" xr:uid="{B6C9E010-EF48-4F43-ACB1-940DFCD83AFB}"/>
    <cellStyle name="Normal 11 3 6 3 4 2 2 3" xfId="46201" xr:uid="{2302DB11-21D6-4900-87E6-CE3DF7EDAD75}"/>
    <cellStyle name="Normal 11 3 6 3 4 2 3" xfId="46202" xr:uid="{BE75334F-C8A7-4029-9AA9-08DD08B92E1D}"/>
    <cellStyle name="Normal 11 3 6 3 4 2 3 2" xfId="46203" xr:uid="{167ECE72-688C-45F2-9C8E-F8C7B02A5AD0}"/>
    <cellStyle name="Normal 11 3 6 3 4 2 4" xfId="46204" xr:uid="{D6FC0427-4BB3-4B9F-9342-B80D43DB6BD6}"/>
    <cellStyle name="Normal 11 3 6 3 4 3" xfId="46205" xr:uid="{9E2819B7-A464-4686-9DE9-C038E14014E1}"/>
    <cellStyle name="Normal 11 3 6 3 4 3 2" xfId="46206" xr:uid="{D9CE0B94-B7D3-4D46-9E1D-9FF06AE0EDC8}"/>
    <cellStyle name="Normal 11 3 6 3 4 3 2 2" xfId="46207" xr:uid="{C97BACA8-7E0E-45F4-940E-1F618724312D}"/>
    <cellStyle name="Normal 11 3 6 3 4 3 3" xfId="46208" xr:uid="{A04ABAFD-0A9C-4188-9876-58A79D974A27}"/>
    <cellStyle name="Normal 11 3 6 3 4 4" xfId="46209" xr:uid="{864BC074-E455-4770-AF1B-567D5D4E1AF8}"/>
    <cellStyle name="Normal 11 3 6 3 4 4 2" xfId="46210" xr:uid="{34C4B7AC-C229-4AD5-ACC5-4E1D20C4CDBB}"/>
    <cellStyle name="Normal 11 3 6 3 4 5" xfId="46211" xr:uid="{65041F4C-D7FA-416B-8FF9-9065573F72A1}"/>
    <cellStyle name="Normal 11 3 6 3 5" xfId="46212" xr:uid="{EF4261EF-98E1-40D5-929F-6A9A9452C35C}"/>
    <cellStyle name="Normal 11 3 6 3 5 2" xfId="46213" xr:uid="{2B754585-55E8-49C1-94C2-6484073CB678}"/>
    <cellStyle name="Normal 11 3 6 3 5 2 2" xfId="46214" xr:uid="{4F9D7A8A-66FC-4579-A30A-9DCFDFD046F7}"/>
    <cellStyle name="Normal 11 3 6 3 5 2 2 2" xfId="46215" xr:uid="{0229B35F-2C59-4C70-B17C-507AFDF6F004}"/>
    <cellStyle name="Normal 11 3 6 3 5 2 3" xfId="46216" xr:uid="{DFC1C407-9268-4D8F-8CEB-96D3EA93CF23}"/>
    <cellStyle name="Normal 11 3 6 3 5 3" xfId="46217" xr:uid="{6CB541D8-B7A9-4797-A0C8-0A2FEEC28AC6}"/>
    <cellStyle name="Normal 11 3 6 3 5 3 2" xfId="46218" xr:uid="{CC8371EE-CE73-4068-AEB4-22ECF8F00A39}"/>
    <cellStyle name="Normal 11 3 6 3 5 4" xfId="46219" xr:uid="{1051B5A4-7ACF-4F1B-AD5F-B98D5F231993}"/>
    <cellStyle name="Normal 11 3 6 3 6" xfId="46220" xr:uid="{0EDAC930-7F2E-414B-9E55-CDD1396160A4}"/>
    <cellStyle name="Normal 11 3 6 3 6 2" xfId="46221" xr:uid="{E934FD70-7F14-4B3A-B539-AEE84A840190}"/>
    <cellStyle name="Normal 11 3 6 3 6 2 2" xfId="46222" xr:uid="{B9BB87B4-4841-4AAE-ABB8-C18BE82D8A5B}"/>
    <cellStyle name="Normal 11 3 6 3 6 3" xfId="46223" xr:uid="{D560AA99-7A0F-4242-B24E-A236DEBF390E}"/>
    <cellStyle name="Normal 11 3 6 3 7" xfId="46224" xr:uid="{7B8F491F-577B-4AE5-BF85-9E4B9C9765F0}"/>
    <cellStyle name="Normal 11 3 6 3 7 2" xfId="46225" xr:uid="{A25D4A8F-2AB8-44A8-9E17-A5846A2CF6D7}"/>
    <cellStyle name="Normal 11 3 6 3 8" xfId="46226" xr:uid="{6A5A8104-E7DD-45F9-8B9E-62E6BAAEF722}"/>
    <cellStyle name="Normal 11 3 6 3 9" xfId="46099" xr:uid="{C0740026-B086-4C8F-82EB-2F7F984FA6A7}"/>
    <cellStyle name="Normal 11 3 6 4" xfId="46227" xr:uid="{08BF7E75-B93D-425B-AC74-9D7472F9CEFB}"/>
    <cellStyle name="Normal 11 3 6 4 2" xfId="46228" xr:uid="{669CECF6-576A-4DCC-B94D-82C2805EB596}"/>
    <cellStyle name="Normal 11 3 6 4 2 2" xfId="46229" xr:uid="{A021F59C-7D3C-4BC8-B079-2F4416CC0E94}"/>
    <cellStyle name="Normal 11 3 6 4 2 2 2" xfId="46230" xr:uid="{C936604A-A71E-4977-AD05-8F8B4974E2C1}"/>
    <cellStyle name="Normal 11 3 6 4 2 2 2 2" xfId="46231" xr:uid="{1CA8B118-BDEB-4C5B-BCF1-136922D07950}"/>
    <cellStyle name="Normal 11 3 6 4 2 2 2 2 2" xfId="46232" xr:uid="{03AABE2C-2FED-4A36-8CC3-06660412BF9F}"/>
    <cellStyle name="Normal 11 3 6 4 2 2 2 2 2 2" xfId="46233" xr:uid="{A273B917-B6D7-4912-AD7E-C81D188EE7A3}"/>
    <cellStyle name="Normal 11 3 6 4 2 2 2 2 3" xfId="46234" xr:uid="{430C6700-CC43-41C8-9E80-BE20F86CC61B}"/>
    <cellStyle name="Normal 11 3 6 4 2 2 2 3" xfId="46235" xr:uid="{275561D5-AF59-40F0-A80A-43162A6E4A00}"/>
    <cellStyle name="Normal 11 3 6 4 2 2 2 3 2" xfId="46236" xr:uid="{D85FF1E9-02BA-4E95-9CED-7E7D3775D115}"/>
    <cellStyle name="Normal 11 3 6 4 2 2 2 4" xfId="46237" xr:uid="{C7A99ACA-30C3-4244-BA5E-DA8450AD35CD}"/>
    <cellStyle name="Normal 11 3 6 4 2 2 3" xfId="46238" xr:uid="{38D3AAB1-9C41-4EB3-889D-8B31FE6CB3C3}"/>
    <cellStyle name="Normal 11 3 6 4 2 2 3 2" xfId="46239" xr:uid="{268CD4D1-4FA6-48A6-B9CE-D82D993E4712}"/>
    <cellStyle name="Normal 11 3 6 4 2 2 3 2 2" xfId="46240" xr:uid="{B3D3B959-9776-4EA1-B8D2-91B82AD1FEDD}"/>
    <cellStyle name="Normal 11 3 6 4 2 2 3 3" xfId="46241" xr:uid="{3426C680-957D-4D61-8B0A-095D318A7747}"/>
    <cellStyle name="Normal 11 3 6 4 2 2 4" xfId="46242" xr:uid="{9E0D0F42-FF78-4777-98F0-4D932B13EDD2}"/>
    <cellStyle name="Normal 11 3 6 4 2 2 4 2" xfId="46243" xr:uid="{AEAF0A75-6C0D-46A0-AB87-06158A77C6F8}"/>
    <cellStyle name="Normal 11 3 6 4 2 2 5" xfId="46244" xr:uid="{2E0E1DCE-05FB-48AF-A230-59E5CAC9C1FA}"/>
    <cellStyle name="Normal 11 3 6 4 2 3" xfId="46245" xr:uid="{5D4FD59B-CFA1-4622-B6CD-060376EB1044}"/>
    <cellStyle name="Normal 11 3 6 4 2 3 2" xfId="46246" xr:uid="{E33B64B3-68E9-4D9F-B198-F951F135660D}"/>
    <cellStyle name="Normal 11 3 6 4 2 3 2 2" xfId="46247" xr:uid="{582B6CCB-7533-429C-925B-B98580D6C65C}"/>
    <cellStyle name="Normal 11 3 6 4 2 3 2 2 2" xfId="46248" xr:uid="{CB93BA17-5E7D-4D9B-ADE0-6F75388EF7D4}"/>
    <cellStyle name="Normal 11 3 6 4 2 3 2 3" xfId="46249" xr:uid="{A260A73C-4FCA-444F-9AD1-1A2A7A4020F1}"/>
    <cellStyle name="Normal 11 3 6 4 2 3 3" xfId="46250" xr:uid="{4CF0AFE5-FC8F-4DBF-BC74-613C22B36B3A}"/>
    <cellStyle name="Normal 11 3 6 4 2 3 3 2" xfId="46251" xr:uid="{F08F04E9-C4B9-41A3-933F-CFB034808F5C}"/>
    <cellStyle name="Normal 11 3 6 4 2 3 4" xfId="46252" xr:uid="{82491081-3938-4CFA-B97D-F732AE0E4584}"/>
    <cellStyle name="Normal 11 3 6 4 2 4" xfId="46253" xr:uid="{4344DDBA-E715-4C2B-A539-B7DBFAEBFB90}"/>
    <cellStyle name="Normal 11 3 6 4 2 4 2" xfId="46254" xr:uid="{D9F212F4-F9A7-4CB6-929F-844F8C3F3BAD}"/>
    <cellStyle name="Normal 11 3 6 4 2 4 2 2" xfId="46255" xr:uid="{77C55C6C-2370-4256-A35B-37FF6D71A07B}"/>
    <cellStyle name="Normal 11 3 6 4 2 4 3" xfId="46256" xr:uid="{8038C3B1-461E-49BF-BC10-7A499B326BB5}"/>
    <cellStyle name="Normal 11 3 6 4 2 5" xfId="46257" xr:uid="{A3749478-5CD3-421A-BEDF-F7EE9F35F096}"/>
    <cellStyle name="Normal 11 3 6 4 2 5 2" xfId="46258" xr:uid="{BA89184C-1068-4237-B92A-78BD427ACE93}"/>
    <cellStyle name="Normal 11 3 6 4 2 6" xfId="46259" xr:uid="{5A66F5BD-C10B-48AC-AB78-662D5CE78132}"/>
    <cellStyle name="Normal 11 3 6 4 3" xfId="46260" xr:uid="{1047769C-9CA3-4AB8-9B86-24DDD61EE782}"/>
    <cellStyle name="Normal 11 3 6 4 3 2" xfId="46261" xr:uid="{E19CD4F0-72B8-432F-AAF5-E47E34E8E87E}"/>
    <cellStyle name="Normal 11 3 6 4 3 2 2" xfId="46262" xr:uid="{F9ECC410-498E-418E-94E2-022FCBBF7C9C}"/>
    <cellStyle name="Normal 11 3 6 4 3 2 2 2" xfId="46263" xr:uid="{59542A18-058A-43B0-B0F5-33B7CEBC9EAB}"/>
    <cellStyle name="Normal 11 3 6 4 3 2 2 2 2" xfId="46264" xr:uid="{01FAF36D-3F4C-4DDE-95F4-012589165841}"/>
    <cellStyle name="Normal 11 3 6 4 3 2 2 3" xfId="46265" xr:uid="{92B2F039-367B-4AE2-8D3B-027DA863CA96}"/>
    <cellStyle name="Normal 11 3 6 4 3 2 3" xfId="46266" xr:uid="{F53CB460-7887-4921-8C2F-43A3BF5CC742}"/>
    <cellStyle name="Normal 11 3 6 4 3 2 3 2" xfId="46267" xr:uid="{91F0A70C-BC95-4FCD-80C4-8EF57BBD3F37}"/>
    <cellStyle name="Normal 11 3 6 4 3 2 4" xfId="46268" xr:uid="{3EBD9C22-92D4-4578-9EA2-E4D407814010}"/>
    <cellStyle name="Normal 11 3 6 4 3 3" xfId="46269" xr:uid="{096E2395-C33A-45A5-A912-0DAC8F5FE548}"/>
    <cellStyle name="Normal 11 3 6 4 3 3 2" xfId="46270" xr:uid="{01C84424-3A18-4D73-B596-7808CF44BB70}"/>
    <cellStyle name="Normal 11 3 6 4 3 3 2 2" xfId="46271" xr:uid="{98C8ED3E-5238-4EA5-A52E-257E3C63639E}"/>
    <cellStyle name="Normal 11 3 6 4 3 3 3" xfId="46272" xr:uid="{2FC3FDA3-7B4C-4918-B9E5-34D028B8DC99}"/>
    <cellStyle name="Normal 11 3 6 4 3 4" xfId="46273" xr:uid="{8AE54D37-2EA6-4A0D-9087-6F8C5328E33F}"/>
    <cellStyle name="Normal 11 3 6 4 3 4 2" xfId="46274" xr:uid="{3F926205-4AA1-457A-A2A7-0990ED5C31F9}"/>
    <cellStyle name="Normal 11 3 6 4 3 5" xfId="46275" xr:uid="{68F9E5AF-8C22-45D6-AE2F-0789DC5E428E}"/>
    <cellStyle name="Normal 11 3 6 4 4" xfId="46276" xr:uid="{B4E4481A-076E-4D86-B98A-3A814306C5E8}"/>
    <cellStyle name="Normal 11 3 6 4 4 2" xfId="46277" xr:uid="{14E74F0C-CE41-4836-BEBC-3D1F5A574B4C}"/>
    <cellStyle name="Normal 11 3 6 4 4 2 2" xfId="46278" xr:uid="{1B1A8B2B-B62E-4161-877F-8ECC29E18A0C}"/>
    <cellStyle name="Normal 11 3 6 4 4 2 2 2" xfId="46279" xr:uid="{D1BCB237-8782-4B3D-AD8D-E7BB5EBD3698}"/>
    <cellStyle name="Normal 11 3 6 4 4 2 3" xfId="46280" xr:uid="{1F2D3359-F034-4D5A-9B53-D1596F6DC0F8}"/>
    <cellStyle name="Normal 11 3 6 4 4 3" xfId="46281" xr:uid="{972D823E-98F1-48F1-8001-E2D2C50370B5}"/>
    <cellStyle name="Normal 11 3 6 4 4 3 2" xfId="46282" xr:uid="{7545D35F-568C-4008-9E98-6D5B2998373A}"/>
    <cellStyle name="Normal 11 3 6 4 4 4" xfId="46283" xr:uid="{023AB2B9-88E2-4B28-BB90-805D63AD3C8A}"/>
    <cellStyle name="Normal 11 3 6 4 5" xfId="46284" xr:uid="{390B2430-91DB-468D-9CC4-B9E8C3B08EEA}"/>
    <cellStyle name="Normal 11 3 6 4 5 2" xfId="46285" xr:uid="{3A92F359-9BBE-4C20-A2F3-43A6D077769F}"/>
    <cellStyle name="Normal 11 3 6 4 5 2 2" xfId="46286" xr:uid="{FEC7D314-3236-4E7B-A077-95ACD6732128}"/>
    <cellStyle name="Normal 11 3 6 4 5 3" xfId="46287" xr:uid="{33DFC322-1C41-4A1F-93D9-6F1E91CBBC45}"/>
    <cellStyle name="Normal 11 3 6 4 6" xfId="46288" xr:uid="{32CB830A-DCBB-4E31-B927-B9F567130007}"/>
    <cellStyle name="Normal 11 3 6 4 6 2" xfId="46289" xr:uid="{E7881CDA-51E3-4882-BDC3-DB6946874705}"/>
    <cellStyle name="Normal 11 3 6 4 7" xfId="46290" xr:uid="{AE2C0B19-684E-490C-B257-297DCE82CF69}"/>
    <cellStyle name="Normal 11 3 6 5" xfId="46291" xr:uid="{D8502F9C-EC28-4ED9-AE2E-F8B9A930CC47}"/>
    <cellStyle name="Normal 11 3 6 5 2" xfId="46292" xr:uid="{80B4F817-1E4E-4A09-8E27-D1EEA2A1CB58}"/>
    <cellStyle name="Normal 11 3 6 5 2 2" xfId="46293" xr:uid="{B5DD58E8-C88A-4749-BC4A-2645C3E0DD1B}"/>
    <cellStyle name="Normal 11 3 6 5 2 2 2" xfId="46294" xr:uid="{C57EBD40-2C77-4601-8500-4C067F6C527E}"/>
    <cellStyle name="Normal 11 3 6 5 2 2 2 2" xfId="46295" xr:uid="{C110DB21-D2C5-46EB-8543-6088B3E275F3}"/>
    <cellStyle name="Normal 11 3 6 5 2 2 2 2 2" xfId="46296" xr:uid="{98D7BF77-49F5-4105-AD01-7241AD96293F}"/>
    <cellStyle name="Normal 11 3 6 5 2 2 2 3" xfId="46297" xr:uid="{3C27CB44-278A-48F5-9A98-65FB1990781B}"/>
    <cellStyle name="Normal 11 3 6 5 2 2 3" xfId="46298" xr:uid="{023A734F-7DAB-46B6-9B81-E994EB6C6333}"/>
    <cellStyle name="Normal 11 3 6 5 2 2 3 2" xfId="46299" xr:uid="{D5BE8E5B-2445-49EC-8490-C6BE0568F808}"/>
    <cellStyle name="Normal 11 3 6 5 2 2 4" xfId="46300" xr:uid="{1042B151-14B7-49CE-B39D-5558B598A8CC}"/>
    <cellStyle name="Normal 11 3 6 5 2 3" xfId="46301" xr:uid="{0D387636-E098-4F8F-8CA8-B2A4514556D8}"/>
    <cellStyle name="Normal 11 3 6 5 2 3 2" xfId="46302" xr:uid="{20FDFC47-3647-4806-BF02-613FD54B6B40}"/>
    <cellStyle name="Normal 11 3 6 5 2 3 2 2" xfId="46303" xr:uid="{30D6B6C1-294B-4F90-BD42-0B1717E689C9}"/>
    <cellStyle name="Normal 11 3 6 5 2 3 3" xfId="46304" xr:uid="{BD84940C-700F-4363-BF63-9A993C44A38E}"/>
    <cellStyle name="Normal 11 3 6 5 2 4" xfId="46305" xr:uid="{ABF71914-CE87-4713-B7EF-F9FED4C4C0EF}"/>
    <cellStyle name="Normal 11 3 6 5 2 4 2" xfId="46306" xr:uid="{D5B1EDAE-DBC7-4F19-8399-946C762626CB}"/>
    <cellStyle name="Normal 11 3 6 5 2 5" xfId="46307" xr:uid="{6BA8F060-12AB-4168-91C3-6B6B065FF13E}"/>
    <cellStyle name="Normal 11 3 6 5 3" xfId="46308" xr:uid="{E7A35A4C-07AC-4C70-984F-C8C88897D2F8}"/>
    <cellStyle name="Normal 11 3 6 5 3 2" xfId="46309" xr:uid="{438F82BA-AB2D-4F7D-992D-D2E8000B283F}"/>
    <cellStyle name="Normal 11 3 6 5 3 2 2" xfId="46310" xr:uid="{44C5874E-3A95-48DA-BE04-BC20864E26F7}"/>
    <cellStyle name="Normal 11 3 6 5 3 2 2 2" xfId="46311" xr:uid="{303E14E0-ABA3-49CE-BA20-51B4C9F4FC6B}"/>
    <cellStyle name="Normal 11 3 6 5 3 2 3" xfId="46312" xr:uid="{76A97511-4C98-4D85-B140-C6A7FC2CAC35}"/>
    <cellStyle name="Normal 11 3 6 5 3 3" xfId="46313" xr:uid="{B9A25188-AE54-4CEB-A2AE-CB538FF18B25}"/>
    <cellStyle name="Normal 11 3 6 5 3 3 2" xfId="46314" xr:uid="{92BC2287-3179-491D-AB02-EDF6351EDAE0}"/>
    <cellStyle name="Normal 11 3 6 5 3 4" xfId="46315" xr:uid="{C716EFC6-5674-4758-B897-F4B3170562DE}"/>
    <cellStyle name="Normal 11 3 6 5 4" xfId="46316" xr:uid="{F9C8D708-6CD0-4CD9-9C5D-DF0BC1F0CF31}"/>
    <cellStyle name="Normal 11 3 6 5 4 2" xfId="46317" xr:uid="{5302282F-F9B0-4C6B-BB7D-E2460F8B5E05}"/>
    <cellStyle name="Normal 11 3 6 5 4 2 2" xfId="46318" xr:uid="{5932357C-A8F8-4862-AE80-721287A48049}"/>
    <cellStyle name="Normal 11 3 6 5 4 3" xfId="46319" xr:uid="{0B37FB1C-0F23-4451-86B4-B065F2460930}"/>
    <cellStyle name="Normal 11 3 6 5 5" xfId="46320" xr:uid="{80B070BD-3C79-4A90-BBC5-E41B997D4373}"/>
    <cellStyle name="Normal 11 3 6 5 5 2" xfId="46321" xr:uid="{E4289FDC-E437-4F06-BFD5-D20422A932B0}"/>
    <cellStyle name="Normal 11 3 6 5 6" xfId="46322" xr:uid="{E0626C41-393E-4444-98A8-9CAB3164CAC8}"/>
    <cellStyle name="Normal 11 3 6 6" xfId="46323" xr:uid="{6907415E-781D-45DE-91A9-D9FC1FC245EE}"/>
    <cellStyle name="Normal 11 3 6 6 2" xfId="46324" xr:uid="{DEBD992E-40F7-4BD9-8F4F-B8E47E680AC0}"/>
    <cellStyle name="Normal 11 3 6 6 2 2" xfId="46325" xr:uid="{FB30E133-6396-4E67-B928-63971ABA7E03}"/>
    <cellStyle name="Normal 11 3 6 6 2 2 2" xfId="46326" xr:uid="{68FB4D03-7E4A-4DB2-A39D-8A9769B3BA7B}"/>
    <cellStyle name="Normal 11 3 6 6 2 2 2 2" xfId="46327" xr:uid="{993FBD40-AE4A-4779-99EB-418BEDFF351F}"/>
    <cellStyle name="Normal 11 3 6 6 2 2 3" xfId="46328" xr:uid="{5467301F-B7AC-4F20-99E1-EA071F0B9CD9}"/>
    <cellStyle name="Normal 11 3 6 6 2 3" xfId="46329" xr:uid="{A6ADF653-2B25-4D89-8C3D-DE4E891C391B}"/>
    <cellStyle name="Normal 11 3 6 6 2 3 2" xfId="46330" xr:uid="{85FD815B-443E-4BD5-9997-1D613CB05A58}"/>
    <cellStyle name="Normal 11 3 6 6 2 4" xfId="46331" xr:uid="{22905ECA-32CC-4C2D-A112-4DECC2681DB0}"/>
    <cellStyle name="Normal 11 3 6 6 3" xfId="46332" xr:uid="{95D8F72B-DA55-4E69-8673-304F0714C2BE}"/>
    <cellStyle name="Normal 11 3 6 6 3 2" xfId="46333" xr:uid="{43BF8120-62F1-4D3E-9E54-626A204A5B4C}"/>
    <cellStyle name="Normal 11 3 6 6 3 2 2" xfId="46334" xr:uid="{2E7158CF-B512-4A50-B0A3-2EA233525518}"/>
    <cellStyle name="Normal 11 3 6 6 3 3" xfId="46335" xr:uid="{8CEFCAA9-B1FE-464A-B97E-724101EA6838}"/>
    <cellStyle name="Normal 11 3 6 6 4" xfId="46336" xr:uid="{6679CB52-AF8D-4F4F-9F24-35126E3679AD}"/>
    <cellStyle name="Normal 11 3 6 6 4 2" xfId="46337" xr:uid="{30B2B91A-0617-40A3-A4CE-8E93EEDA920F}"/>
    <cellStyle name="Normal 11 3 6 6 5" xfId="46338" xr:uid="{00CFEFD2-C77B-49A5-8FC7-79542C51A7CB}"/>
    <cellStyle name="Normal 11 3 6 7" xfId="46339" xr:uid="{0AF164DE-B119-4912-89F8-4CA03DB62377}"/>
    <cellStyle name="Normal 11 3 6 7 2" xfId="46340" xr:uid="{06471B36-5916-4948-8186-57319738A1EE}"/>
    <cellStyle name="Normal 11 3 6 7 2 2" xfId="46341" xr:uid="{C9308D52-7A39-42A7-A3D5-AAD2ADE12068}"/>
    <cellStyle name="Normal 11 3 6 7 2 2 2" xfId="46342" xr:uid="{B15B591C-9EC8-4E99-8016-8D6C4F0CA028}"/>
    <cellStyle name="Normal 11 3 6 7 2 3" xfId="46343" xr:uid="{36669C92-E763-42FF-A426-5086502E93B8}"/>
    <cellStyle name="Normal 11 3 6 7 3" xfId="46344" xr:uid="{986D619F-DE84-4374-849C-4F24BF5117DB}"/>
    <cellStyle name="Normal 11 3 6 7 3 2" xfId="46345" xr:uid="{DA323AD8-8628-4F48-AF34-6B7A99A2A3EA}"/>
    <cellStyle name="Normal 11 3 6 7 4" xfId="46346" xr:uid="{2C8B9B7D-AE7A-48F0-92AB-7D628BF554BB}"/>
    <cellStyle name="Normal 11 3 6 8" xfId="46347" xr:uid="{AFFC1E3D-0C3B-427F-B94B-AE1BE3DD979B}"/>
    <cellStyle name="Normal 11 3 6 8 2" xfId="46348" xr:uid="{4AB690A1-7BD6-4427-A6C0-B47AE1A743BC}"/>
    <cellStyle name="Normal 11 3 6 8 2 2" xfId="46349" xr:uid="{20F30034-C6E4-4CA0-A728-75263E07088F}"/>
    <cellStyle name="Normal 11 3 6 8 3" xfId="46350" xr:uid="{C4B3BE0C-655D-4F47-9059-A89801CE4B69}"/>
    <cellStyle name="Normal 11 3 6 9" xfId="46351" xr:uid="{AB97D545-2899-4142-A735-84DE763604F3}"/>
    <cellStyle name="Normal 11 3 6 9 2" xfId="46352" xr:uid="{57B2505F-DDB7-4140-9611-FC2ECD243784}"/>
    <cellStyle name="Normal 11 3 7" xfId="253" xr:uid="{A517493D-BDF0-491B-A387-1ACF22D45339}"/>
    <cellStyle name="Normal 11 3 7 10" xfId="46353" xr:uid="{93C16F05-0202-4F16-BA15-AE9CD5C6DC34}"/>
    <cellStyle name="Normal 11 3 7 11" xfId="605" xr:uid="{442C5C8A-CDBA-42CD-930E-F6E2BB357CFD}"/>
    <cellStyle name="Normal 11 3 7 2" xfId="389" xr:uid="{BDC91CB0-5686-45FB-B1A3-AE287EACE6AE}"/>
    <cellStyle name="Normal 11 3 7 2 10" xfId="46354" xr:uid="{ECCB0AAF-D736-4A18-B31E-42729F2E808B}"/>
    <cellStyle name="Normal 11 3 7 2 2" xfId="46355" xr:uid="{43A71CA4-2703-40B9-9261-978ECEF3DAF1}"/>
    <cellStyle name="Normal 11 3 7 2 2 2" xfId="46356" xr:uid="{D085B58C-C311-4A6B-8045-406E74493EB2}"/>
    <cellStyle name="Normal 11 3 7 2 2 2 2" xfId="46357" xr:uid="{A8A97000-85BE-45AC-A591-51D86ECB4685}"/>
    <cellStyle name="Normal 11 3 7 2 2 2 2 2" xfId="46358" xr:uid="{F1120BDE-D09C-4996-8102-C4E11E06F4C5}"/>
    <cellStyle name="Normal 11 3 7 2 2 2 2 2 2" xfId="46359" xr:uid="{0892EBE5-445E-4E0E-A5C3-17FD6F30CCDC}"/>
    <cellStyle name="Normal 11 3 7 2 2 2 2 2 2 2" xfId="46360" xr:uid="{1DB516E9-F72E-4F0D-98B4-5487AA8BE02E}"/>
    <cellStyle name="Normal 11 3 7 2 2 2 2 2 2 2 2" xfId="46361" xr:uid="{68B7DAB6-BA6B-4C53-B8CA-4032ABAEE506}"/>
    <cellStyle name="Normal 11 3 7 2 2 2 2 2 2 2 2 2" xfId="46362" xr:uid="{57EDC3AC-8134-4C1E-9E4B-DA0356B9E60F}"/>
    <cellStyle name="Normal 11 3 7 2 2 2 2 2 2 2 3" xfId="46363" xr:uid="{7444D085-D069-4058-9872-D941E5176EF3}"/>
    <cellStyle name="Normal 11 3 7 2 2 2 2 2 2 3" xfId="46364" xr:uid="{9B9623CC-BAD9-46EE-BACF-2792B1E8E8C5}"/>
    <cellStyle name="Normal 11 3 7 2 2 2 2 2 2 3 2" xfId="46365" xr:uid="{1C8593A0-C30E-409F-A027-7F3BC40ACAA3}"/>
    <cellStyle name="Normal 11 3 7 2 2 2 2 2 2 4" xfId="46366" xr:uid="{D40C7E87-5F2C-43E5-B7F2-A4E5AA49DC69}"/>
    <cellStyle name="Normal 11 3 7 2 2 2 2 2 3" xfId="46367" xr:uid="{DEC98950-ABEE-4152-87AD-249CA8CE5A50}"/>
    <cellStyle name="Normal 11 3 7 2 2 2 2 2 3 2" xfId="46368" xr:uid="{35005217-21A7-413A-A869-C7367A53F191}"/>
    <cellStyle name="Normal 11 3 7 2 2 2 2 2 3 2 2" xfId="46369" xr:uid="{C668C1F0-94C0-4EA4-B904-FF141A97CC6C}"/>
    <cellStyle name="Normal 11 3 7 2 2 2 2 2 3 3" xfId="46370" xr:uid="{375E9FD1-7119-4465-8EE3-0B3F94951A2F}"/>
    <cellStyle name="Normal 11 3 7 2 2 2 2 2 4" xfId="46371" xr:uid="{3B4F0762-FDD0-4D70-BC8C-BA229A236701}"/>
    <cellStyle name="Normal 11 3 7 2 2 2 2 2 4 2" xfId="46372" xr:uid="{7C71C7BC-4911-4005-AC60-A8D5D86761C9}"/>
    <cellStyle name="Normal 11 3 7 2 2 2 2 2 5" xfId="46373" xr:uid="{0AD1550B-1170-464D-8CFF-2A3700B3BB8F}"/>
    <cellStyle name="Normal 11 3 7 2 2 2 2 3" xfId="46374" xr:uid="{DEE89924-4559-4CF5-AE16-CD67E6E2CECF}"/>
    <cellStyle name="Normal 11 3 7 2 2 2 2 3 2" xfId="46375" xr:uid="{FB0F65F9-ECF4-4F3A-95F2-8217AC9AE4EC}"/>
    <cellStyle name="Normal 11 3 7 2 2 2 2 3 2 2" xfId="46376" xr:uid="{1C435714-1763-41D0-BA95-7971D39EF514}"/>
    <cellStyle name="Normal 11 3 7 2 2 2 2 3 2 2 2" xfId="46377" xr:uid="{2C07DE30-9DA5-47EC-B5B9-434232FAFA62}"/>
    <cellStyle name="Normal 11 3 7 2 2 2 2 3 2 3" xfId="46378" xr:uid="{EB93F95B-5B02-4312-9E46-0E33C1CD3485}"/>
    <cellStyle name="Normal 11 3 7 2 2 2 2 3 3" xfId="46379" xr:uid="{8ED7E0B4-D75C-41F1-95CE-312B41DFA00D}"/>
    <cellStyle name="Normal 11 3 7 2 2 2 2 3 3 2" xfId="46380" xr:uid="{8ADD8DE5-120D-49A1-AC21-A6356F80A26D}"/>
    <cellStyle name="Normal 11 3 7 2 2 2 2 3 4" xfId="46381" xr:uid="{D745F1B2-C71A-48CC-A5A1-9C0ABD4BBD3C}"/>
    <cellStyle name="Normal 11 3 7 2 2 2 2 4" xfId="46382" xr:uid="{80C6658C-83C3-4DD9-BCDC-6E7D561FF815}"/>
    <cellStyle name="Normal 11 3 7 2 2 2 2 4 2" xfId="46383" xr:uid="{6822811D-4440-4077-A21D-CC63404BD397}"/>
    <cellStyle name="Normal 11 3 7 2 2 2 2 4 2 2" xfId="46384" xr:uid="{08FC73A2-841D-47B2-A2B5-13A7439B8AD1}"/>
    <cellStyle name="Normal 11 3 7 2 2 2 2 4 3" xfId="46385" xr:uid="{468BBD3F-8913-4714-80EA-CB48293F8AE4}"/>
    <cellStyle name="Normal 11 3 7 2 2 2 2 5" xfId="46386" xr:uid="{3EB5F016-5242-45CF-B820-8C665538EF09}"/>
    <cellStyle name="Normal 11 3 7 2 2 2 2 5 2" xfId="46387" xr:uid="{EC3A817D-6BAB-483D-BF25-5B16B7079FE1}"/>
    <cellStyle name="Normal 11 3 7 2 2 2 2 6" xfId="46388" xr:uid="{AB0CB838-B7F7-4DC7-B5BD-C62300EB329A}"/>
    <cellStyle name="Normal 11 3 7 2 2 2 3" xfId="46389" xr:uid="{51F96A53-700E-4288-BC4E-6073E9429F41}"/>
    <cellStyle name="Normal 11 3 7 2 2 2 3 2" xfId="46390" xr:uid="{A0595B3E-120A-47D1-9B63-65FA0EB7D42D}"/>
    <cellStyle name="Normal 11 3 7 2 2 2 3 2 2" xfId="46391" xr:uid="{5083FCAF-F913-489F-81B8-C7DA6CE35B2A}"/>
    <cellStyle name="Normal 11 3 7 2 2 2 3 2 2 2" xfId="46392" xr:uid="{72CC8B25-03C0-45D2-B0D9-47E3C10C0306}"/>
    <cellStyle name="Normal 11 3 7 2 2 2 3 2 2 2 2" xfId="46393" xr:uid="{4C1540FB-907D-4919-AC2E-19EFDD6536D3}"/>
    <cellStyle name="Normal 11 3 7 2 2 2 3 2 2 3" xfId="46394" xr:uid="{2E0DC700-E1F6-43B4-943F-0548F0C34780}"/>
    <cellStyle name="Normal 11 3 7 2 2 2 3 2 3" xfId="46395" xr:uid="{94DB432A-56F1-4A38-B3BC-0D76C75E9F6A}"/>
    <cellStyle name="Normal 11 3 7 2 2 2 3 2 3 2" xfId="46396" xr:uid="{8F9CBAEE-7933-4101-BC61-7F48CBFCB64F}"/>
    <cellStyle name="Normal 11 3 7 2 2 2 3 2 4" xfId="46397" xr:uid="{07F31C50-C2AB-4E27-B994-46B627742791}"/>
    <cellStyle name="Normal 11 3 7 2 2 2 3 3" xfId="46398" xr:uid="{A62A2595-445E-49F4-B20F-057A6D1F4F0A}"/>
    <cellStyle name="Normal 11 3 7 2 2 2 3 3 2" xfId="46399" xr:uid="{54709488-8351-46C7-AD02-969CA00092C6}"/>
    <cellStyle name="Normal 11 3 7 2 2 2 3 3 2 2" xfId="46400" xr:uid="{DA65D5CC-7208-4E67-8189-914631F968FC}"/>
    <cellStyle name="Normal 11 3 7 2 2 2 3 3 3" xfId="46401" xr:uid="{9CD02FDC-734F-4B5A-8106-4F7A8C692FEC}"/>
    <cellStyle name="Normal 11 3 7 2 2 2 3 4" xfId="46402" xr:uid="{7BBF6BFB-2741-4165-A840-759192DAD65A}"/>
    <cellStyle name="Normal 11 3 7 2 2 2 3 4 2" xfId="46403" xr:uid="{E705BC37-AADA-42F0-BFE5-01E0C9D7C9E4}"/>
    <cellStyle name="Normal 11 3 7 2 2 2 3 5" xfId="46404" xr:uid="{FC68AE43-7DE1-46AD-857A-94F51B906360}"/>
    <cellStyle name="Normal 11 3 7 2 2 2 4" xfId="46405" xr:uid="{0D298212-2765-479B-A669-56CA9703DA77}"/>
    <cellStyle name="Normal 11 3 7 2 2 2 4 2" xfId="46406" xr:uid="{8D776A0C-0397-4AEB-9AF4-2F453573951C}"/>
    <cellStyle name="Normal 11 3 7 2 2 2 4 2 2" xfId="46407" xr:uid="{4207E27F-BAEC-42D1-A99D-5640EA3278A6}"/>
    <cellStyle name="Normal 11 3 7 2 2 2 4 2 2 2" xfId="46408" xr:uid="{0B76F918-32D6-49FA-9400-663AF36E0DDD}"/>
    <cellStyle name="Normal 11 3 7 2 2 2 4 2 3" xfId="46409" xr:uid="{5483B3A8-245F-4826-8F62-A77BA5186CED}"/>
    <cellStyle name="Normal 11 3 7 2 2 2 4 3" xfId="46410" xr:uid="{BF9D01E3-1C87-414A-B86D-31F7E9B3221A}"/>
    <cellStyle name="Normal 11 3 7 2 2 2 4 3 2" xfId="46411" xr:uid="{B2F1F12B-8DD5-4A75-AFEC-0B44F8886EF5}"/>
    <cellStyle name="Normal 11 3 7 2 2 2 4 4" xfId="46412" xr:uid="{523E4870-4B75-497F-A711-ECF36EE0E73C}"/>
    <cellStyle name="Normal 11 3 7 2 2 2 5" xfId="46413" xr:uid="{64CCA4ED-89E5-49AE-B801-1ADC9CC8F58A}"/>
    <cellStyle name="Normal 11 3 7 2 2 2 5 2" xfId="46414" xr:uid="{79FBD51C-FE14-43AF-84DA-7FDCF1C19103}"/>
    <cellStyle name="Normal 11 3 7 2 2 2 5 2 2" xfId="46415" xr:uid="{00BA7757-85A8-4BED-8BBF-FB583D6D253B}"/>
    <cellStyle name="Normal 11 3 7 2 2 2 5 3" xfId="46416" xr:uid="{E58D4926-0057-4D07-A594-744B2A215597}"/>
    <cellStyle name="Normal 11 3 7 2 2 2 6" xfId="46417" xr:uid="{9418C1D2-A805-4E65-9B05-D5927058233C}"/>
    <cellStyle name="Normal 11 3 7 2 2 2 6 2" xfId="46418" xr:uid="{3DD0C6B9-81EE-43C9-9824-5778759FA818}"/>
    <cellStyle name="Normal 11 3 7 2 2 2 7" xfId="46419" xr:uid="{A14C365D-4E2D-4224-9C93-89E0343A8B57}"/>
    <cellStyle name="Normal 11 3 7 2 2 3" xfId="46420" xr:uid="{5D04FC0F-3006-4412-8D78-03263300149F}"/>
    <cellStyle name="Normal 11 3 7 2 2 3 2" xfId="46421" xr:uid="{C18D6CEA-89BF-476E-835F-2AFC710DCFEE}"/>
    <cellStyle name="Normal 11 3 7 2 2 3 2 2" xfId="46422" xr:uid="{817B4223-DB26-44B8-ACB3-EA89F04B1891}"/>
    <cellStyle name="Normal 11 3 7 2 2 3 2 2 2" xfId="46423" xr:uid="{5EEEEBAD-7E6D-4B1F-8AC1-0F177A64D61D}"/>
    <cellStyle name="Normal 11 3 7 2 2 3 2 2 2 2" xfId="46424" xr:uid="{704C6541-78C3-4B03-844E-1809CBF02E37}"/>
    <cellStyle name="Normal 11 3 7 2 2 3 2 2 2 2 2" xfId="46425" xr:uid="{E18F0325-774A-496C-972E-C516348D79C6}"/>
    <cellStyle name="Normal 11 3 7 2 2 3 2 2 2 3" xfId="46426" xr:uid="{97D90E3F-0412-4218-BCEA-63A37E8DB403}"/>
    <cellStyle name="Normal 11 3 7 2 2 3 2 2 3" xfId="46427" xr:uid="{A4B3C62F-490F-426A-ADB8-C9CB69A3BC73}"/>
    <cellStyle name="Normal 11 3 7 2 2 3 2 2 3 2" xfId="46428" xr:uid="{FD3B14A2-52F2-4829-B509-3BD23B5D338C}"/>
    <cellStyle name="Normal 11 3 7 2 2 3 2 2 4" xfId="46429" xr:uid="{768D81BA-6C3C-4DA4-B924-5E71038F68B9}"/>
    <cellStyle name="Normal 11 3 7 2 2 3 2 3" xfId="46430" xr:uid="{E449DDC3-80CD-4D46-8E2A-16064FC52E2E}"/>
    <cellStyle name="Normal 11 3 7 2 2 3 2 3 2" xfId="46431" xr:uid="{42DC4D93-8F8A-4EB2-808E-48196E312211}"/>
    <cellStyle name="Normal 11 3 7 2 2 3 2 3 2 2" xfId="46432" xr:uid="{A109B29D-F19A-49A9-9F30-36E8CF4CC008}"/>
    <cellStyle name="Normal 11 3 7 2 2 3 2 3 3" xfId="46433" xr:uid="{70D12BB2-D2AF-401F-A017-6842D8C7FE5D}"/>
    <cellStyle name="Normal 11 3 7 2 2 3 2 4" xfId="46434" xr:uid="{9EEC17EA-3EBE-4CED-8D9B-B75B9131F47A}"/>
    <cellStyle name="Normal 11 3 7 2 2 3 2 4 2" xfId="46435" xr:uid="{E7B93C14-7E2E-480C-B5B3-BD0A881CFA6C}"/>
    <cellStyle name="Normal 11 3 7 2 2 3 2 5" xfId="46436" xr:uid="{98D05921-0834-4C7E-9ED5-57A6E04B6160}"/>
    <cellStyle name="Normal 11 3 7 2 2 3 3" xfId="46437" xr:uid="{7230CDA8-C40B-4F44-AD35-C66ABC6D77F2}"/>
    <cellStyle name="Normal 11 3 7 2 2 3 3 2" xfId="46438" xr:uid="{B640BD22-7403-4FCE-835C-364DD3CD561B}"/>
    <cellStyle name="Normal 11 3 7 2 2 3 3 2 2" xfId="46439" xr:uid="{5B397D4F-3979-43AA-9171-46ADEA1A15D8}"/>
    <cellStyle name="Normal 11 3 7 2 2 3 3 2 2 2" xfId="46440" xr:uid="{A171ABCE-3748-4CAD-AD2E-1C322D7358BB}"/>
    <cellStyle name="Normal 11 3 7 2 2 3 3 2 3" xfId="46441" xr:uid="{22291898-17EB-4C60-BA58-80296858EBBB}"/>
    <cellStyle name="Normal 11 3 7 2 2 3 3 3" xfId="46442" xr:uid="{8C7E16EA-D4DF-45BC-8F98-E238EF0AB661}"/>
    <cellStyle name="Normal 11 3 7 2 2 3 3 3 2" xfId="46443" xr:uid="{43F064F8-DAA5-44DA-A32B-52D477793061}"/>
    <cellStyle name="Normal 11 3 7 2 2 3 3 4" xfId="46444" xr:uid="{A1C8D9AC-C3E0-4145-9068-B9EC8D8DB415}"/>
    <cellStyle name="Normal 11 3 7 2 2 3 4" xfId="46445" xr:uid="{88D601FE-7EF6-43B1-A1A1-8163F381F3DB}"/>
    <cellStyle name="Normal 11 3 7 2 2 3 4 2" xfId="46446" xr:uid="{0A1C5DE0-3D6C-4043-A99E-D21C42908BB5}"/>
    <cellStyle name="Normal 11 3 7 2 2 3 4 2 2" xfId="46447" xr:uid="{E0E39095-1365-42DE-AFC0-AADB2D1A3E07}"/>
    <cellStyle name="Normal 11 3 7 2 2 3 4 3" xfId="46448" xr:uid="{94D77004-DA64-4870-A4A7-308CBE451AAB}"/>
    <cellStyle name="Normal 11 3 7 2 2 3 5" xfId="46449" xr:uid="{6AE6164E-45E7-469D-8229-D21900E9453B}"/>
    <cellStyle name="Normal 11 3 7 2 2 3 5 2" xfId="46450" xr:uid="{90E62E41-E138-40E5-BA69-BD8CDDD18B96}"/>
    <cellStyle name="Normal 11 3 7 2 2 3 6" xfId="46451" xr:uid="{C33C3990-B58C-459F-8D97-18DEFE705BF8}"/>
    <cellStyle name="Normal 11 3 7 2 2 4" xfId="46452" xr:uid="{470CF6DA-5494-4F9D-A2DC-B264C40E6838}"/>
    <cellStyle name="Normal 11 3 7 2 2 4 2" xfId="46453" xr:uid="{AD831536-497D-4709-8332-9A7E3DB5A476}"/>
    <cellStyle name="Normal 11 3 7 2 2 4 2 2" xfId="46454" xr:uid="{117C24FD-9982-4830-A5CC-4DDF68BA7AC4}"/>
    <cellStyle name="Normal 11 3 7 2 2 4 2 2 2" xfId="46455" xr:uid="{C55B4211-0CF4-4FF6-B4FD-A2BA8CDC8926}"/>
    <cellStyle name="Normal 11 3 7 2 2 4 2 2 2 2" xfId="46456" xr:uid="{D282A054-AEDE-4776-A1E6-0AE30972DE4F}"/>
    <cellStyle name="Normal 11 3 7 2 2 4 2 2 3" xfId="46457" xr:uid="{FD6B0C63-CB8C-4EFD-B693-0779A37D262B}"/>
    <cellStyle name="Normal 11 3 7 2 2 4 2 3" xfId="46458" xr:uid="{84B46E09-077D-4C44-91F2-4BEB97718112}"/>
    <cellStyle name="Normal 11 3 7 2 2 4 2 3 2" xfId="46459" xr:uid="{97FDC63B-84E0-4CC2-A10E-F397728E047F}"/>
    <cellStyle name="Normal 11 3 7 2 2 4 2 4" xfId="46460" xr:uid="{0002009E-7092-4C75-91F2-61EEDC86615A}"/>
    <cellStyle name="Normal 11 3 7 2 2 4 3" xfId="46461" xr:uid="{C330F431-EF4D-4F28-9047-52439D29D5E8}"/>
    <cellStyle name="Normal 11 3 7 2 2 4 3 2" xfId="46462" xr:uid="{292FF883-9BE9-4ED9-9FB7-704E7D75DA27}"/>
    <cellStyle name="Normal 11 3 7 2 2 4 3 2 2" xfId="46463" xr:uid="{37A4EB1C-71E7-4C74-A5F4-790B5A754F8B}"/>
    <cellStyle name="Normal 11 3 7 2 2 4 3 3" xfId="46464" xr:uid="{3E209F5A-A343-42B0-AEED-CDFE323D1528}"/>
    <cellStyle name="Normal 11 3 7 2 2 4 4" xfId="46465" xr:uid="{9B0B64C7-E6B2-455F-A4CC-1BF91088FEF2}"/>
    <cellStyle name="Normal 11 3 7 2 2 4 4 2" xfId="46466" xr:uid="{69F60686-FB98-4539-92B5-D600B27E44E7}"/>
    <cellStyle name="Normal 11 3 7 2 2 4 5" xfId="46467" xr:uid="{FBD51821-B422-40C1-9234-9B27E7EA1418}"/>
    <cellStyle name="Normal 11 3 7 2 2 5" xfId="46468" xr:uid="{CBD81CDE-1C9E-49BE-8760-CA3900801591}"/>
    <cellStyle name="Normal 11 3 7 2 2 5 2" xfId="46469" xr:uid="{A0C5226E-E546-4195-93AD-EC9972C93EA2}"/>
    <cellStyle name="Normal 11 3 7 2 2 5 2 2" xfId="46470" xr:uid="{AEB2A4F1-1F55-461D-8C8E-F5B419BDE710}"/>
    <cellStyle name="Normal 11 3 7 2 2 5 2 2 2" xfId="46471" xr:uid="{DC6DD18D-8742-4727-8A17-5EC13F5F513D}"/>
    <cellStyle name="Normal 11 3 7 2 2 5 2 3" xfId="46472" xr:uid="{46288D60-8B6E-4676-87FD-F4A39679D4E9}"/>
    <cellStyle name="Normal 11 3 7 2 2 5 3" xfId="46473" xr:uid="{6CC48BAE-E150-45E2-B110-E5A20F5EDE8B}"/>
    <cellStyle name="Normal 11 3 7 2 2 5 3 2" xfId="46474" xr:uid="{9AA6D826-4324-434A-BA13-E8487AA75C3A}"/>
    <cellStyle name="Normal 11 3 7 2 2 5 4" xfId="46475" xr:uid="{E904C323-07A2-496A-A5BE-9A4C122160FC}"/>
    <cellStyle name="Normal 11 3 7 2 2 6" xfId="46476" xr:uid="{47D9BB75-CE63-4483-A9E3-EDA88323093F}"/>
    <cellStyle name="Normal 11 3 7 2 2 6 2" xfId="46477" xr:uid="{2319FBEC-801C-44DA-A5C7-ADB60459E60E}"/>
    <cellStyle name="Normal 11 3 7 2 2 6 2 2" xfId="46478" xr:uid="{BFCE042D-EDBD-494A-BD13-6B83A9A220C5}"/>
    <cellStyle name="Normal 11 3 7 2 2 6 3" xfId="46479" xr:uid="{B8B06A10-67ED-4613-902C-C8C525AB471D}"/>
    <cellStyle name="Normal 11 3 7 2 2 7" xfId="46480" xr:uid="{3F827505-C667-4BFE-876B-653A7271C613}"/>
    <cellStyle name="Normal 11 3 7 2 2 7 2" xfId="46481" xr:uid="{FDC7FD3D-129D-48FD-9C7C-431F96AEF157}"/>
    <cellStyle name="Normal 11 3 7 2 2 8" xfId="46482" xr:uid="{698AEC75-C91D-4D95-B2AB-7BB79C08B048}"/>
    <cellStyle name="Normal 11 3 7 2 3" xfId="46483" xr:uid="{797F040E-2EB3-4F99-868E-E5A8849E77F7}"/>
    <cellStyle name="Normal 11 3 7 2 3 2" xfId="46484" xr:uid="{2602D3F7-51ED-4FB5-B222-D3C022152903}"/>
    <cellStyle name="Normal 11 3 7 2 3 2 2" xfId="46485" xr:uid="{6EA77E79-7A2E-4CDF-97FD-E38FF9A3E8F9}"/>
    <cellStyle name="Normal 11 3 7 2 3 2 2 2" xfId="46486" xr:uid="{091E6417-1F98-4314-A13E-953C4B9BC62E}"/>
    <cellStyle name="Normal 11 3 7 2 3 2 2 2 2" xfId="46487" xr:uid="{44EAAB41-A0D6-41E3-848D-9552D72062C9}"/>
    <cellStyle name="Normal 11 3 7 2 3 2 2 2 2 2" xfId="46488" xr:uid="{CC540006-EA2F-4780-9756-9BAAA636FE77}"/>
    <cellStyle name="Normal 11 3 7 2 3 2 2 2 2 2 2" xfId="46489" xr:uid="{909B8E3E-5500-4746-BBF7-F27EE7DAAEF2}"/>
    <cellStyle name="Normal 11 3 7 2 3 2 2 2 2 3" xfId="46490" xr:uid="{F8702953-9D5C-4C78-B63B-69BF52300B90}"/>
    <cellStyle name="Normal 11 3 7 2 3 2 2 2 3" xfId="46491" xr:uid="{7305C243-8E80-4238-A78E-0F3EF83EA66B}"/>
    <cellStyle name="Normal 11 3 7 2 3 2 2 2 3 2" xfId="46492" xr:uid="{0EC06EAD-B075-4F1B-9E4B-56D205CC137B}"/>
    <cellStyle name="Normal 11 3 7 2 3 2 2 2 4" xfId="46493" xr:uid="{1C9B3AA2-06F1-45E1-89B8-1EC8496FA647}"/>
    <cellStyle name="Normal 11 3 7 2 3 2 2 3" xfId="46494" xr:uid="{EB5F16C0-1F73-4508-B1D0-F8C1D1D90E29}"/>
    <cellStyle name="Normal 11 3 7 2 3 2 2 3 2" xfId="46495" xr:uid="{FC3291AC-4AF2-4846-95F8-414F5D9D0506}"/>
    <cellStyle name="Normal 11 3 7 2 3 2 2 3 2 2" xfId="46496" xr:uid="{7D50093C-6280-4858-871F-019AAC6D4D12}"/>
    <cellStyle name="Normal 11 3 7 2 3 2 2 3 3" xfId="46497" xr:uid="{2A2895E6-593A-4144-8C9A-9A730735CEB8}"/>
    <cellStyle name="Normal 11 3 7 2 3 2 2 4" xfId="46498" xr:uid="{C889CE05-D291-497C-8707-87D4CC738D76}"/>
    <cellStyle name="Normal 11 3 7 2 3 2 2 4 2" xfId="46499" xr:uid="{C940791E-E069-4829-8BC5-659E00B32FAD}"/>
    <cellStyle name="Normal 11 3 7 2 3 2 2 5" xfId="46500" xr:uid="{D36B061B-954F-4714-9706-D7BBA50B488D}"/>
    <cellStyle name="Normal 11 3 7 2 3 2 3" xfId="46501" xr:uid="{834F9F58-9B24-4A1B-AAB1-31D2FA2B28EA}"/>
    <cellStyle name="Normal 11 3 7 2 3 2 3 2" xfId="46502" xr:uid="{B1DC766D-CACA-46E7-8CAA-EA7248F2FA40}"/>
    <cellStyle name="Normal 11 3 7 2 3 2 3 2 2" xfId="46503" xr:uid="{8BF6B90A-BAF7-4010-866C-A47F43B3C8EE}"/>
    <cellStyle name="Normal 11 3 7 2 3 2 3 2 2 2" xfId="46504" xr:uid="{148B4EE4-6CA6-4FB4-B167-F25905DB15F6}"/>
    <cellStyle name="Normal 11 3 7 2 3 2 3 2 3" xfId="46505" xr:uid="{133F03D3-FBFF-4D9D-94DC-765DCBA6B42F}"/>
    <cellStyle name="Normal 11 3 7 2 3 2 3 3" xfId="46506" xr:uid="{6FF75500-0C29-4336-B050-B94AC11A6BC3}"/>
    <cellStyle name="Normal 11 3 7 2 3 2 3 3 2" xfId="46507" xr:uid="{A87E1D29-D9D3-4056-A51D-139C1E710A54}"/>
    <cellStyle name="Normal 11 3 7 2 3 2 3 4" xfId="46508" xr:uid="{8B1FF61C-6E73-4333-8425-9D139FA6188C}"/>
    <cellStyle name="Normal 11 3 7 2 3 2 4" xfId="46509" xr:uid="{8F122379-BAA0-4434-B207-ED8C3883D17A}"/>
    <cellStyle name="Normal 11 3 7 2 3 2 4 2" xfId="46510" xr:uid="{575DB6B5-7436-4C0E-BD5D-C901E54CECB9}"/>
    <cellStyle name="Normal 11 3 7 2 3 2 4 2 2" xfId="46511" xr:uid="{CDEE9642-1025-4684-999A-7D338DE8B037}"/>
    <cellStyle name="Normal 11 3 7 2 3 2 4 3" xfId="46512" xr:uid="{4A58377D-A751-42BF-AA83-80BAFE4510D7}"/>
    <cellStyle name="Normal 11 3 7 2 3 2 5" xfId="46513" xr:uid="{11BFA2B0-8FD1-4EA3-8EC0-8498471B8CE0}"/>
    <cellStyle name="Normal 11 3 7 2 3 2 5 2" xfId="46514" xr:uid="{5B9E90E7-E7B6-4989-8308-0638211A9D11}"/>
    <cellStyle name="Normal 11 3 7 2 3 2 6" xfId="46515" xr:uid="{427D5F00-1FC4-4DBB-869F-45F9046A724A}"/>
    <cellStyle name="Normal 11 3 7 2 3 3" xfId="46516" xr:uid="{70854F77-95A3-4F1F-93B0-FE13BADF3233}"/>
    <cellStyle name="Normal 11 3 7 2 3 3 2" xfId="46517" xr:uid="{4791D638-343C-4404-AD92-B37DA17032EB}"/>
    <cellStyle name="Normal 11 3 7 2 3 3 2 2" xfId="46518" xr:uid="{F6BC2AD5-0936-4E84-992D-2C69F20767CE}"/>
    <cellStyle name="Normal 11 3 7 2 3 3 2 2 2" xfId="46519" xr:uid="{69D83231-B454-4D34-B130-16E38EA65D7A}"/>
    <cellStyle name="Normal 11 3 7 2 3 3 2 2 2 2" xfId="46520" xr:uid="{1414573E-189F-4694-9935-64C579625326}"/>
    <cellStyle name="Normal 11 3 7 2 3 3 2 2 3" xfId="46521" xr:uid="{69ACF1BB-8109-4518-9CA0-C93A83860F73}"/>
    <cellStyle name="Normal 11 3 7 2 3 3 2 3" xfId="46522" xr:uid="{20CF67A3-2211-431C-86FB-F3D2DBDDE1F9}"/>
    <cellStyle name="Normal 11 3 7 2 3 3 2 3 2" xfId="46523" xr:uid="{FC7A4B3B-E9F0-4BD0-A212-0C357B9F2F1B}"/>
    <cellStyle name="Normal 11 3 7 2 3 3 2 4" xfId="46524" xr:uid="{FF42D025-85C9-4291-9C4A-8B6DE293EBF3}"/>
    <cellStyle name="Normal 11 3 7 2 3 3 3" xfId="46525" xr:uid="{785F6F77-3D97-4982-9FB0-4BEA11289BE1}"/>
    <cellStyle name="Normal 11 3 7 2 3 3 3 2" xfId="46526" xr:uid="{0B015693-9C58-4EF9-9395-8B865B0DA6E7}"/>
    <cellStyle name="Normal 11 3 7 2 3 3 3 2 2" xfId="46527" xr:uid="{87B8178A-B99F-40E8-8180-CA3647DAAA35}"/>
    <cellStyle name="Normal 11 3 7 2 3 3 3 3" xfId="46528" xr:uid="{86B4CCB4-2B8C-498B-8B9B-B19A3433EEC6}"/>
    <cellStyle name="Normal 11 3 7 2 3 3 4" xfId="46529" xr:uid="{39CBFA02-B577-41B0-AFD2-E1167B048E97}"/>
    <cellStyle name="Normal 11 3 7 2 3 3 4 2" xfId="46530" xr:uid="{28E669B9-C2E0-4D25-BB3A-EADCC500850D}"/>
    <cellStyle name="Normal 11 3 7 2 3 3 5" xfId="46531" xr:uid="{480C0519-BF92-40DA-9236-B9956550BBBD}"/>
    <cellStyle name="Normal 11 3 7 2 3 4" xfId="46532" xr:uid="{87D4720B-28BF-4671-A0D8-45A7233F8265}"/>
    <cellStyle name="Normal 11 3 7 2 3 4 2" xfId="46533" xr:uid="{140AA264-A940-4A69-B71C-2144107314BD}"/>
    <cellStyle name="Normal 11 3 7 2 3 4 2 2" xfId="46534" xr:uid="{910B8BFD-50D5-43CD-8F6A-EFF9938E7522}"/>
    <cellStyle name="Normal 11 3 7 2 3 4 2 2 2" xfId="46535" xr:uid="{79D1C275-D6C8-4373-B619-B998654C5CFF}"/>
    <cellStyle name="Normal 11 3 7 2 3 4 2 3" xfId="46536" xr:uid="{55AD591C-92C4-43AE-8920-9F9EBBE9FEEA}"/>
    <cellStyle name="Normal 11 3 7 2 3 4 3" xfId="46537" xr:uid="{9754F01D-AD6A-4AF3-B07C-323144B8211A}"/>
    <cellStyle name="Normal 11 3 7 2 3 4 3 2" xfId="46538" xr:uid="{2516C680-B0C5-425B-9DFF-B3FF2E08A609}"/>
    <cellStyle name="Normal 11 3 7 2 3 4 4" xfId="46539" xr:uid="{A1DFD720-CADC-488D-81CB-D42600791A1B}"/>
    <cellStyle name="Normal 11 3 7 2 3 5" xfId="46540" xr:uid="{F2DA2BCB-EAD1-4F37-BE84-77833FB44600}"/>
    <cellStyle name="Normal 11 3 7 2 3 5 2" xfId="46541" xr:uid="{3E953C04-FABE-4615-B207-595284385AC3}"/>
    <cellStyle name="Normal 11 3 7 2 3 5 2 2" xfId="46542" xr:uid="{5AB916F2-A778-4D0C-A386-AEFA1B5579D8}"/>
    <cellStyle name="Normal 11 3 7 2 3 5 3" xfId="46543" xr:uid="{7434F3DF-FB30-4B42-86C1-63FE759B2BE9}"/>
    <cellStyle name="Normal 11 3 7 2 3 6" xfId="46544" xr:uid="{FBDA5BD1-E398-4FAC-89A9-7567BA84F664}"/>
    <cellStyle name="Normal 11 3 7 2 3 6 2" xfId="46545" xr:uid="{E445F312-4D71-4419-AF9D-052689372B0A}"/>
    <cellStyle name="Normal 11 3 7 2 3 7" xfId="46546" xr:uid="{B62C0F39-A3EF-4045-9746-6154C66556A5}"/>
    <cellStyle name="Normal 11 3 7 2 4" xfId="46547" xr:uid="{7F094569-22D0-483B-B7B2-2968149F5786}"/>
    <cellStyle name="Normal 11 3 7 2 4 2" xfId="46548" xr:uid="{D5FFC4FA-D7E4-461F-A6A9-77DD5DA9F4F6}"/>
    <cellStyle name="Normal 11 3 7 2 4 2 2" xfId="46549" xr:uid="{AA10DFBA-5C01-4F09-92B9-84D7420D93DA}"/>
    <cellStyle name="Normal 11 3 7 2 4 2 2 2" xfId="46550" xr:uid="{FA5DC0D4-9A4C-4A7F-AA92-B9131ACC929F}"/>
    <cellStyle name="Normal 11 3 7 2 4 2 2 2 2" xfId="46551" xr:uid="{A1811EC2-2D1C-4C82-B015-44591C48E758}"/>
    <cellStyle name="Normal 11 3 7 2 4 2 2 2 2 2" xfId="46552" xr:uid="{74BACEB6-F691-4E37-93AA-E1F35122A7C7}"/>
    <cellStyle name="Normal 11 3 7 2 4 2 2 2 3" xfId="46553" xr:uid="{8D121B66-0CCD-4DD7-B787-F5B1E8000249}"/>
    <cellStyle name="Normal 11 3 7 2 4 2 2 3" xfId="46554" xr:uid="{CBC57B86-C097-4B76-93EC-65DABFE7F714}"/>
    <cellStyle name="Normal 11 3 7 2 4 2 2 3 2" xfId="46555" xr:uid="{EC1FA120-6FA0-4C7B-A0EE-C422D443505B}"/>
    <cellStyle name="Normal 11 3 7 2 4 2 2 4" xfId="46556" xr:uid="{4D02CFA9-EE62-47BE-8DA4-48DB8DF09387}"/>
    <cellStyle name="Normal 11 3 7 2 4 2 3" xfId="46557" xr:uid="{75EF0F26-35F4-41F5-8264-5101FA0A2EFE}"/>
    <cellStyle name="Normal 11 3 7 2 4 2 3 2" xfId="46558" xr:uid="{2BDEE00B-5243-4F97-B56B-312C402BCE1B}"/>
    <cellStyle name="Normal 11 3 7 2 4 2 3 2 2" xfId="46559" xr:uid="{88FFD55D-810F-4FB6-B0BE-10F5F52243BF}"/>
    <cellStyle name="Normal 11 3 7 2 4 2 3 3" xfId="46560" xr:uid="{D4279AA2-2567-4CEC-99FC-4963D9F88845}"/>
    <cellStyle name="Normal 11 3 7 2 4 2 4" xfId="46561" xr:uid="{60A5EABB-4E93-439A-8C7A-3DB8BFC7E22E}"/>
    <cellStyle name="Normal 11 3 7 2 4 2 4 2" xfId="46562" xr:uid="{90003417-B260-4FE6-A223-89495809AE1E}"/>
    <cellStyle name="Normal 11 3 7 2 4 2 5" xfId="46563" xr:uid="{3EB9DD1C-8731-4C7D-A52E-9D3518C78DE7}"/>
    <cellStyle name="Normal 11 3 7 2 4 3" xfId="46564" xr:uid="{869A8D9D-6824-414E-ADF1-F4FCA9DC3FEB}"/>
    <cellStyle name="Normal 11 3 7 2 4 3 2" xfId="46565" xr:uid="{37B9B2A4-8E76-4EEE-8ECB-6397377DE847}"/>
    <cellStyle name="Normal 11 3 7 2 4 3 2 2" xfId="46566" xr:uid="{BBBF8EB0-81DB-449B-9B52-A813CBD50370}"/>
    <cellStyle name="Normal 11 3 7 2 4 3 2 2 2" xfId="46567" xr:uid="{23C187A3-92CF-4809-A6BE-9DD4EA022D5E}"/>
    <cellStyle name="Normal 11 3 7 2 4 3 2 3" xfId="46568" xr:uid="{FBF7EFA8-2DB6-43AB-9474-587226980B43}"/>
    <cellStyle name="Normal 11 3 7 2 4 3 3" xfId="46569" xr:uid="{1CB8419F-0DF5-46A6-9818-4269C9710AE4}"/>
    <cellStyle name="Normal 11 3 7 2 4 3 3 2" xfId="46570" xr:uid="{DFE18138-3D32-4D02-BFBA-7E0806ACEC1A}"/>
    <cellStyle name="Normal 11 3 7 2 4 3 4" xfId="46571" xr:uid="{9578EF77-3C71-4950-89A7-45F649DBAAD3}"/>
    <cellStyle name="Normal 11 3 7 2 4 4" xfId="46572" xr:uid="{8CD6B93E-CDC5-4DB5-A001-67E7EE701C5E}"/>
    <cellStyle name="Normal 11 3 7 2 4 4 2" xfId="46573" xr:uid="{68BBCA8B-7062-48C0-9FFA-6A239399D24E}"/>
    <cellStyle name="Normal 11 3 7 2 4 4 2 2" xfId="46574" xr:uid="{72A3B33E-A2D7-49B7-A954-0044D10C5ED6}"/>
    <cellStyle name="Normal 11 3 7 2 4 4 3" xfId="46575" xr:uid="{46B66100-CC79-4A74-8D2F-17FC27A50FD1}"/>
    <cellStyle name="Normal 11 3 7 2 4 5" xfId="46576" xr:uid="{47F12D36-E83E-4BA7-8F1D-7B562FC96508}"/>
    <cellStyle name="Normal 11 3 7 2 4 5 2" xfId="46577" xr:uid="{1FFE40DC-22A3-46E9-A2B2-4F5CFCC8F3AB}"/>
    <cellStyle name="Normal 11 3 7 2 4 6" xfId="46578" xr:uid="{96148F55-CFDD-46E9-A3E5-C8241EADCBDD}"/>
    <cellStyle name="Normal 11 3 7 2 5" xfId="46579" xr:uid="{9D7B4FEF-7C25-42ED-BDC7-882FC28B12CF}"/>
    <cellStyle name="Normal 11 3 7 2 5 2" xfId="46580" xr:uid="{48095C53-A828-4DAB-90BB-6D5C1588CE4A}"/>
    <cellStyle name="Normal 11 3 7 2 5 2 2" xfId="46581" xr:uid="{F1AA2A32-5676-4DDF-A81A-BF2D9F981B10}"/>
    <cellStyle name="Normal 11 3 7 2 5 2 2 2" xfId="46582" xr:uid="{031EBFEE-66F6-4522-90AA-885F628CFC9D}"/>
    <cellStyle name="Normal 11 3 7 2 5 2 2 2 2" xfId="46583" xr:uid="{F8ADCE73-7DC8-4502-8DF3-EEF7C73E0135}"/>
    <cellStyle name="Normal 11 3 7 2 5 2 2 3" xfId="46584" xr:uid="{F62AE616-4440-4423-9445-4A7E256B9C8F}"/>
    <cellStyle name="Normal 11 3 7 2 5 2 3" xfId="46585" xr:uid="{B0AAD380-1086-4938-A349-55B7CC4F153A}"/>
    <cellStyle name="Normal 11 3 7 2 5 2 3 2" xfId="46586" xr:uid="{10FECD8B-7414-49D4-9A95-0F909D2FE6E4}"/>
    <cellStyle name="Normal 11 3 7 2 5 2 4" xfId="46587" xr:uid="{E0D5E647-1EC8-4FF3-94D5-3419B7AC4590}"/>
    <cellStyle name="Normal 11 3 7 2 5 3" xfId="46588" xr:uid="{F65DF17B-5FA7-4DEB-B9FB-22D9002E267D}"/>
    <cellStyle name="Normal 11 3 7 2 5 3 2" xfId="46589" xr:uid="{17F52442-5F14-40BF-B03B-1EDEB77715B4}"/>
    <cellStyle name="Normal 11 3 7 2 5 3 2 2" xfId="46590" xr:uid="{71261642-836E-4DC4-A3AA-EF09658936CF}"/>
    <cellStyle name="Normal 11 3 7 2 5 3 3" xfId="46591" xr:uid="{243CE851-0C2B-4A3B-B885-99491474BDA7}"/>
    <cellStyle name="Normal 11 3 7 2 5 4" xfId="46592" xr:uid="{D7EA6252-1E23-4EC6-9C50-1DA88036A35A}"/>
    <cellStyle name="Normal 11 3 7 2 5 4 2" xfId="46593" xr:uid="{D8521F15-D7E4-42AB-BEB9-AE264B65A9D8}"/>
    <cellStyle name="Normal 11 3 7 2 5 5" xfId="46594" xr:uid="{7EF9763C-7F67-477B-9E27-B2C99F238496}"/>
    <cellStyle name="Normal 11 3 7 2 6" xfId="46595" xr:uid="{D3A4360A-246F-4933-8E02-FC301924B067}"/>
    <cellStyle name="Normal 11 3 7 2 6 2" xfId="46596" xr:uid="{953FA89A-B9CC-4897-B0ED-AB30AD488450}"/>
    <cellStyle name="Normal 11 3 7 2 6 2 2" xfId="46597" xr:uid="{4158E717-CCA4-4CAA-8DB2-38861D44F5F3}"/>
    <cellStyle name="Normal 11 3 7 2 6 2 2 2" xfId="46598" xr:uid="{A3782192-90C2-4577-9C8C-CF56F8FB2A1C}"/>
    <cellStyle name="Normal 11 3 7 2 6 2 3" xfId="46599" xr:uid="{7224B3D6-74FD-4299-A340-DE473AFD31FC}"/>
    <cellStyle name="Normal 11 3 7 2 6 3" xfId="46600" xr:uid="{7693D502-48FA-4FD2-8E8E-8B725306F06E}"/>
    <cellStyle name="Normal 11 3 7 2 6 3 2" xfId="46601" xr:uid="{A9EA3D4D-3C0B-4E8B-AD36-E3A54CB23ED8}"/>
    <cellStyle name="Normal 11 3 7 2 6 4" xfId="46602" xr:uid="{E7E37591-A5AF-4CAD-A281-4E4AE8899C63}"/>
    <cellStyle name="Normal 11 3 7 2 7" xfId="46603" xr:uid="{08D521D3-22EE-415C-8581-BD4CEF71B68D}"/>
    <cellStyle name="Normal 11 3 7 2 7 2" xfId="46604" xr:uid="{0B5E0B3A-6305-4CFF-83D2-B3047A0C7EA0}"/>
    <cellStyle name="Normal 11 3 7 2 7 2 2" xfId="46605" xr:uid="{6B681AB6-EE74-4E01-B6A0-45B779B4F9A7}"/>
    <cellStyle name="Normal 11 3 7 2 7 3" xfId="46606" xr:uid="{F4FA4BEE-83AE-45C4-956D-831D706E9814}"/>
    <cellStyle name="Normal 11 3 7 2 8" xfId="46607" xr:uid="{F6832917-BF82-4F9E-92A0-50FED19ACE3F}"/>
    <cellStyle name="Normal 11 3 7 2 8 2" xfId="46608" xr:uid="{AE91D7FC-382A-45E8-A62C-E4E61639A1D5}"/>
    <cellStyle name="Normal 11 3 7 2 9" xfId="46609" xr:uid="{BA69950A-8275-411D-877C-CBBF12FFC1A4}"/>
    <cellStyle name="Normal 11 3 7 3" xfId="488" xr:uid="{241CA3AF-7C52-43BF-9BEA-1172BB626897}"/>
    <cellStyle name="Normal 11 3 7 3 2" xfId="46611" xr:uid="{EBEFDD99-822E-4ACB-8F45-5433521A4871}"/>
    <cellStyle name="Normal 11 3 7 3 2 2" xfId="46612" xr:uid="{2786B5F2-5381-458B-8AE5-7E1D7420886B}"/>
    <cellStyle name="Normal 11 3 7 3 2 2 2" xfId="46613" xr:uid="{E0269806-2DB7-43C4-B4A0-14676CA7C6B7}"/>
    <cellStyle name="Normal 11 3 7 3 2 2 2 2" xfId="46614" xr:uid="{4B0DB41C-DD0E-4EDC-B3F1-FA8A09E69CB0}"/>
    <cellStyle name="Normal 11 3 7 3 2 2 2 2 2" xfId="46615" xr:uid="{5330D280-67AF-4A86-9DD8-91D60625BA9E}"/>
    <cellStyle name="Normal 11 3 7 3 2 2 2 2 2 2" xfId="46616" xr:uid="{28B80EC3-D8CB-4CC8-B913-7497063BC624}"/>
    <cellStyle name="Normal 11 3 7 3 2 2 2 2 2 2 2" xfId="46617" xr:uid="{1EB276EF-CB65-4EDD-B707-C1F72519AE4F}"/>
    <cellStyle name="Normal 11 3 7 3 2 2 2 2 2 3" xfId="46618" xr:uid="{D63DA7BF-B89A-4602-8E21-4FAD820C8C16}"/>
    <cellStyle name="Normal 11 3 7 3 2 2 2 2 3" xfId="46619" xr:uid="{D26F134F-D15D-4BD9-BB93-995B3AC36E0D}"/>
    <cellStyle name="Normal 11 3 7 3 2 2 2 2 3 2" xfId="46620" xr:uid="{25271860-1249-42F6-A25E-6D88D4E0E53C}"/>
    <cellStyle name="Normal 11 3 7 3 2 2 2 2 4" xfId="46621" xr:uid="{1714811E-0205-4861-AF82-BF646682C730}"/>
    <cellStyle name="Normal 11 3 7 3 2 2 2 3" xfId="46622" xr:uid="{0050B235-8430-4E91-901B-CF604FC1A498}"/>
    <cellStyle name="Normal 11 3 7 3 2 2 2 3 2" xfId="46623" xr:uid="{6C2B0D89-8383-41D9-B97F-4EC1008CA45C}"/>
    <cellStyle name="Normal 11 3 7 3 2 2 2 3 2 2" xfId="46624" xr:uid="{10CC5C86-533D-4DE1-BC13-D27C33EAB115}"/>
    <cellStyle name="Normal 11 3 7 3 2 2 2 3 3" xfId="46625" xr:uid="{7B67D97A-8137-4FED-A20E-04089B054DB1}"/>
    <cellStyle name="Normal 11 3 7 3 2 2 2 4" xfId="46626" xr:uid="{DE6DF60A-9E59-4BE5-9DC3-D23C647B8D7A}"/>
    <cellStyle name="Normal 11 3 7 3 2 2 2 4 2" xfId="46627" xr:uid="{284025CC-A7B6-4645-AAA4-B26BF957B870}"/>
    <cellStyle name="Normal 11 3 7 3 2 2 2 5" xfId="46628" xr:uid="{44655D96-DA77-4C32-9132-03D5DD8C0572}"/>
    <cellStyle name="Normal 11 3 7 3 2 2 3" xfId="46629" xr:uid="{41323C12-1BBB-4BCD-9BB1-94BB4234A0BD}"/>
    <cellStyle name="Normal 11 3 7 3 2 2 3 2" xfId="46630" xr:uid="{B78B4AA6-F26E-4031-914F-29FC345EFA02}"/>
    <cellStyle name="Normal 11 3 7 3 2 2 3 2 2" xfId="46631" xr:uid="{3F51A553-6CE3-474B-AD4C-117B4166C4C7}"/>
    <cellStyle name="Normal 11 3 7 3 2 2 3 2 2 2" xfId="46632" xr:uid="{7A57D5B8-B72F-4F6C-A022-D2A53740DBFD}"/>
    <cellStyle name="Normal 11 3 7 3 2 2 3 2 3" xfId="46633" xr:uid="{43DDEB9A-85C2-431F-8CB8-CE18565CBD94}"/>
    <cellStyle name="Normal 11 3 7 3 2 2 3 3" xfId="46634" xr:uid="{40B3F58C-24D7-47B6-9D2E-0BF12321D286}"/>
    <cellStyle name="Normal 11 3 7 3 2 2 3 3 2" xfId="46635" xr:uid="{45A876CD-9191-4EEB-9DE9-DF7D3DEAA378}"/>
    <cellStyle name="Normal 11 3 7 3 2 2 3 4" xfId="46636" xr:uid="{E1FB43D2-1A36-4322-BEF3-905ECC0768FB}"/>
    <cellStyle name="Normal 11 3 7 3 2 2 4" xfId="46637" xr:uid="{1C115E41-E065-40D4-9FFE-283CC5AC21D6}"/>
    <cellStyle name="Normal 11 3 7 3 2 2 4 2" xfId="46638" xr:uid="{BA8EF0EE-F1B4-468D-AE5B-D1381B9AC051}"/>
    <cellStyle name="Normal 11 3 7 3 2 2 4 2 2" xfId="46639" xr:uid="{E92290DF-7D21-4B5A-9C53-B8D2BBD56110}"/>
    <cellStyle name="Normal 11 3 7 3 2 2 4 3" xfId="46640" xr:uid="{1C6ACD6E-5251-496A-9D6B-7020CBE87586}"/>
    <cellStyle name="Normal 11 3 7 3 2 2 5" xfId="46641" xr:uid="{E43E27BD-CBD5-4D73-ABAE-725EC385ACE0}"/>
    <cellStyle name="Normal 11 3 7 3 2 2 5 2" xfId="46642" xr:uid="{01B978C7-F67D-4D9A-9E35-329831004CE5}"/>
    <cellStyle name="Normal 11 3 7 3 2 2 6" xfId="46643" xr:uid="{D068FE22-AFA3-481D-9EC2-9C40E55A13BE}"/>
    <cellStyle name="Normal 11 3 7 3 2 3" xfId="46644" xr:uid="{608159FA-9064-46BB-836A-82EC0DA54D23}"/>
    <cellStyle name="Normal 11 3 7 3 2 3 2" xfId="46645" xr:uid="{B85F104B-4743-41FC-9AC3-C6B2DF15D3F8}"/>
    <cellStyle name="Normal 11 3 7 3 2 3 2 2" xfId="46646" xr:uid="{B604887A-CA8D-4681-B873-6CED2D0430E5}"/>
    <cellStyle name="Normal 11 3 7 3 2 3 2 2 2" xfId="46647" xr:uid="{A73F7753-64DA-4513-BB14-D15B44BDC73A}"/>
    <cellStyle name="Normal 11 3 7 3 2 3 2 2 2 2" xfId="46648" xr:uid="{0DB7D270-CA8E-44CA-866F-3953326E43B6}"/>
    <cellStyle name="Normal 11 3 7 3 2 3 2 2 3" xfId="46649" xr:uid="{8BFC94F7-18E4-4C16-9419-129696F9CF72}"/>
    <cellStyle name="Normal 11 3 7 3 2 3 2 3" xfId="46650" xr:uid="{5D59E418-6AE6-4C90-ABB5-54A89AC651E9}"/>
    <cellStyle name="Normal 11 3 7 3 2 3 2 3 2" xfId="46651" xr:uid="{2C8C6188-3656-41BC-AF42-28B07EC5BA13}"/>
    <cellStyle name="Normal 11 3 7 3 2 3 2 4" xfId="46652" xr:uid="{1439ACE0-21A4-444D-A3FD-571392AF17BE}"/>
    <cellStyle name="Normal 11 3 7 3 2 3 3" xfId="46653" xr:uid="{887B3DE4-B0DA-464E-A4DE-5E5A26616D8C}"/>
    <cellStyle name="Normal 11 3 7 3 2 3 3 2" xfId="46654" xr:uid="{4DA165EE-1A80-45D7-B450-11721113718E}"/>
    <cellStyle name="Normal 11 3 7 3 2 3 3 2 2" xfId="46655" xr:uid="{2AE7F87F-CBDA-401A-9989-A364CDBDA195}"/>
    <cellStyle name="Normal 11 3 7 3 2 3 3 3" xfId="46656" xr:uid="{D15CE2E5-7A99-486B-AF3B-8A82FC374C32}"/>
    <cellStyle name="Normal 11 3 7 3 2 3 4" xfId="46657" xr:uid="{5E64893E-0706-4C86-B155-6C93C189F8ED}"/>
    <cellStyle name="Normal 11 3 7 3 2 3 4 2" xfId="46658" xr:uid="{D5997669-42B9-472D-A32E-177CA0BB7729}"/>
    <cellStyle name="Normal 11 3 7 3 2 3 5" xfId="46659" xr:uid="{D507B0A6-7AF0-4161-8BC6-35973AED8670}"/>
    <cellStyle name="Normal 11 3 7 3 2 4" xfId="46660" xr:uid="{C92482C5-DEC6-4A98-8273-D48F6F43B485}"/>
    <cellStyle name="Normal 11 3 7 3 2 4 2" xfId="46661" xr:uid="{B6DECBAC-02E5-498B-98CA-097D84BBFBAB}"/>
    <cellStyle name="Normal 11 3 7 3 2 4 2 2" xfId="46662" xr:uid="{8E2D8956-57FB-4800-A7AA-57B5CEF12871}"/>
    <cellStyle name="Normal 11 3 7 3 2 4 2 2 2" xfId="46663" xr:uid="{D4AAD7F1-3317-40A9-B941-59EDCCD3ACB2}"/>
    <cellStyle name="Normal 11 3 7 3 2 4 2 3" xfId="46664" xr:uid="{74242CC6-9BCA-4D7E-91E8-9B9BF580163B}"/>
    <cellStyle name="Normal 11 3 7 3 2 4 3" xfId="46665" xr:uid="{A71E1D88-98C6-403C-AE2D-1B0CF35EB835}"/>
    <cellStyle name="Normal 11 3 7 3 2 4 3 2" xfId="46666" xr:uid="{614FCA27-64BF-4432-B856-DA2F1A05A7E5}"/>
    <cellStyle name="Normal 11 3 7 3 2 4 4" xfId="46667" xr:uid="{E69EFDF8-7A5D-4848-84B4-A9B2B5496D19}"/>
    <cellStyle name="Normal 11 3 7 3 2 5" xfId="46668" xr:uid="{3B6B53E8-A6E8-4825-AEFC-EBC9E97DB5DE}"/>
    <cellStyle name="Normal 11 3 7 3 2 5 2" xfId="46669" xr:uid="{F9E2C7B7-DBC0-4B54-A30D-0D4383989076}"/>
    <cellStyle name="Normal 11 3 7 3 2 5 2 2" xfId="46670" xr:uid="{21E359AF-33EE-4D02-9862-A93F6FA3E607}"/>
    <cellStyle name="Normal 11 3 7 3 2 5 3" xfId="46671" xr:uid="{3717B599-475B-4319-9714-2496356A813E}"/>
    <cellStyle name="Normal 11 3 7 3 2 6" xfId="46672" xr:uid="{B9B96E11-3981-4615-8BA6-88B486853D89}"/>
    <cellStyle name="Normal 11 3 7 3 2 6 2" xfId="46673" xr:uid="{E5F4D0DE-E9BB-48A3-9702-779F7597E4BA}"/>
    <cellStyle name="Normal 11 3 7 3 2 7" xfId="46674" xr:uid="{A1724147-A5DA-46B9-9EA6-FDFCF700DF98}"/>
    <cellStyle name="Normal 11 3 7 3 3" xfId="46675" xr:uid="{883DDBCA-FC10-4EA6-9D42-FBA9E970C6D6}"/>
    <cellStyle name="Normal 11 3 7 3 3 2" xfId="46676" xr:uid="{B71AE0A5-8C16-4F3F-8C32-FF72318441C7}"/>
    <cellStyle name="Normal 11 3 7 3 3 2 2" xfId="46677" xr:uid="{0CE54138-5515-4089-8391-1F7354811DB5}"/>
    <cellStyle name="Normal 11 3 7 3 3 2 2 2" xfId="46678" xr:uid="{AA0716DB-2200-4D1A-A8A4-DF26BF9FB16E}"/>
    <cellStyle name="Normal 11 3 7 3 3 2 2 2 2" xfId="46679" xr:uid="{2AF2FDFD-0C35-45A7-8D41-AC79E458D7D8}"/>
    <cellStyle name="Normal 11 3 7 3 3 2 2 2 2 2" xfId="46680" xr:uid="{7F470278-5A13-4636-B8F7-F13FFE78AE37}"/>
    <cellStyle name="Normal 11 3 7 3 3 2 2 2 3" xfId="46681" xr:uid="{B34EA807-E6DA-48D4-A343-BD0859D93D1B}"/>
    <cellStyle name="Normal 11 3 7 3 3 2 2 3" xfId="46682" xr:uid="{4D3B70DA-6A56-43AC-9E93-CDE242ED0EB6}"/>
    <cellStyle name="Normal 11 3 7 3 3 2 2 3 2" xfId="46683" xr:uid="{CED2717C-DDEB-44BD-9096-083B05CA2870}"/>
    <cellStyle name="Normal 11 3 7 3 3 2 2 4" xfId="46684" xr:uid="{DEF00BCE-88B8-4C1C-84DE-6ED8B49AF6E1}"/>
    <cellStyle name="Normal 11 3 7 3 3 2 3" xfId="46685" xr:uid="{543F5AE7-4153-40FA-9BB2-CCDB4312F096}"/>
    <cellStyle name="Normal 11 3 7 3 3 2 3 2" xfId="46686" xr:uid="{BB2782A6-7C30-4353-BDEA-DD3643C87349}"/>
    <cellStyle name="Normal 11 3 7 3 3 2 3 2 2" xfId="46687" xr:uid="{3BBE1585-7E52-4DEE-AD2E-14429FC5EECF}"/>
    <cellStyle name="Normal 11 3 7 3 3 2 3 3" xfId="46688" xr:uid="{D472A40B-BAB3-4B82-8398-BA5F5BE20B28}"/>
    <cellStyle name="Normal 11 3 7 3 3 2 4" xfId="46689" xr:uid="{401816E2-99B4-4424-B7F2-72BEA42C58E4}"/>
    <cellStyle name="Normal 11 3 7 3 3 2 4 2" xfId="46690" xr:uid="{3F55CDE1-31A9-4DDF-9C39-355F43584718}"/>
    <cellStyle name="Normal 11 3 7 3 3 2 5" xfId="46691" xr:uid="{15B90AEA-248F-44E6-95A0-3CFD3F7CA150}"/>
    <cellStyle name="Normal 11 3 7 3 3 3" xfId="46692" xr:uid="{EF946FC3-8C13-44B5-A146-F12F1B770E85}"/>
    <cellStyle name="Normal 11 3 7 3 3 3 2" xfId="46693" xr:uid="{E5A57291-E733-4320-9E9F-C73B8F36CA6C}"/>
    <cellStyle name="Normal 11 3 7 3 3 3 2 2" xfId="46694" xr:uid="{45612E99-09C7-4A37-AD4B-48831E616AF2}"/>
    <cellStyle name="Normal 11 3 7 3 3 3 2 2 2" xfId="46695" xr:uid="{AE73FF1D-E8FD-4F82-BAC0-35CF03976359}"/>
    <cellStyle name="Normal 11 3 7 3 3 3 2 3" xfId="46696" xr:uid="{92233EC6-CBA9-4F1D-BAA8-89DF8DA5EE83}"/>
    <cellStyle name="Normal 11 3 7 3 3 3 3" xfId="46697" xr:uid="{14681F89-3760-4DDE-991A-FA16062A30E6}"/>
    <cellStyle name="Normal 11 3 7 3 3 3 3 2" xfId="46698" xr:uid="{56FC15D1-9D24-4E10-98AD-B0636044B015}"/>
    <cellStyle name="Normal 11 3 7 3 3 3 4" xfId="46699" xr:uid="{90E93CBE-134C-41DC-A53A-0A94C90E84BD}"/>
    <cellStyle name="Normal 11 3 7 3 3 4" xfId="46700" xr:uid="{7375D2D5-74E0-45F9-AA51-D32FA391E9EB}"/>
    <cellStyle name="Normal 11 3 7 3 3 4 2" xfId="46701" xr:uid="{A8AA82C3-62CC-42E5-B8A5-920D8023DACE}"/>
    <cellStyle name="Normal 11 3 7 3 3 4 2 2" xfId="46702" xr:uid="{867BE9F3-0843-41F1-85B2-862D03152FFF}"/>
    <cellStyle name="Normal 11 3 7 3 3 4 3" xfId="46703" xr:uid="{BFA57085-649B-499B-816B-D4F71D866A0A}"/>
    <cellStyle name="Normal 11 3 7 3 3 5" xfId="46704" xr:uid="{70E13B2C-37E4-4568-A8EE-8DF40211F8D2}"/>
    <cellStyle name="Normal 11 3 7 3 3 5 2" xfId="46705" xr:uid="{D7F1F2C8-FFC9-49F6-88CE-6B4A75326023}"/>
    <cellStyle name="Normal 11 3 7 3 3 6" xfId="46706" xr:uid="{500D2449-5EAB-448C-80B0-E4F4276EC62F}"/>
    <cellStyle name="Normal 11 3 7 3 4" xfId="46707" xr:uid="{77C34649-30C8-4C2B-83CE-19B8135E2E53}"/>
    <cellStyle name="Normal 11 3 7 3 4 2" xfId="46708" xr:uid="{99365822-487A-43F4-90BB-65356CE38E70}"/>
    <cellStyle name="Normal 11 3 7 3 4 2 2" xfId="46709" xr:uid="{EDCCACD8-BCA7-4FA2-8307-A5DA2FB08BDD}"/>
    <cellStyle name="Normal 11 3 7 3 4 2 2 2" xfId="46710" xr:uid="{5B11E770-DBCE-40AA-AC9A-2329336E2D39}"/>
    <cellStyle name="Normal 11 3 7 3 4 2 2 2 2" xfId="46711" xr:uid="{8231D286-846F-421A-B02D-5D19192BADD6}"/>
    <cellStyle name="Normal 11 3 7 3 4 2 2 3" xfId="46712" xr:uid="{68611063-1FCF-4867-AF62-DF8DC46BD644}"/>
    <cellStyle name="Normal 11 3 7 3 4 2 3" xfId="46713" xr:uid="{4CDD7270-06FD-4BB8-8968-1E8C80534459}"/>
    <cellStyle name="Normal 11 3 7 3 4 2 3 2" xfId="46714" xr:uid="{CE36094C-82AB-4231-B276-D4C7D1B12F79}"/>
    <cellStyle name="Normal 11 3 7 3 4 2 4" xfId="46715" xr:uid="{C47C40C7-5BCF-47BC-9D12-69EFBDD56CD6}"/>
    <cellStyle name="Normal 11 3 7 3 4 3" xfId="46716" xr:uid="{F617255D-9396-4994-8D42-963337D9D2B2}"/>
    <cellStyle name="Normal 11 3 7 3 4 3 2" xfId="46717" xr:uid="{D9137363-502A-422B-936F-91D2D56DE7A0}"/>
    <cellStyle name="Normal 11 3 7 3 4 3 2 2" xfId="46718" xr:uid="{6519D454-0D61-429D-9EB4-0EDD70322267}"/>
    <cellStyle name="Normal 11 3 7 3 4 3 3" xfId="46719" xr:uid="{8BD7A730-D15F-48A6-906E-18DFFA7276B7}"/>
    <cellStyle name="Normal 11 3 7 3 4 4" xfId="46720" xr:uid="{33AADF90-69FC-4AC5-BDA6-C91FB284ED87}"/>
    <cellStyle name="Normal 11 3 7 3 4 4 2" xfId="46721" xr:uid="{C8A1BCFA-305D-4DDB-A40E-2AD8823ED092}"/>
    <cellStyle name="Normal 11 3 7 3 4 5" xfId="46722" xr:uid="{C00C29F5-EF7B-4E70-A043-477B9BA13776}"/>
    <cellStyle name="Normal 11 3 7 3 5" xfId="46723" xr:uid="{503776E7-275F-4F66-8331-C94715EB6E51}"/>
    <cellStyle name="Normal 11 3 7 3 5 2" xfId="46724" xr:uid="{A267FE81-3CD7-4588-9F36-949B92C13157}"/>
    <cellStyle name="Normal 11 3 7 3 5 2 2" xfId="46725" xr:uid="{739A199D-6616-4BF2-A1B9-E0FD72331009}"/>
    <cellStyle name="Normal 11 3 7 3 5 2 2 2" xfId="46726" xr:uid="{BA0F0B89-80A7-41BE-988B-9C4794E1EBFA}"/>
    <cellStyle name="Normal 11 3 7 3 5 2 3" xfId="46727" xr:uid="{29E3A2E9-F3F4-4BF3-8653-817B5E6F1A3C}"/>
    <cellStyle name="Normal 11 3 7 3 5 3" xfId="46728" xr:uid="{8C28C779-7560-4664-ACB5-7B4F3BC76D2B}"/>
    <cellStyle name="Normal 11 3 7 3 5 3 2" xfId="46729" xr:uid="{5F05ED11-0501-4DF4-ABF3-3599CBFA039B}"/>
    <cellStyle name="Normal 11 3 7 3 5 4" xfId="46730" xr:uid="{24F35794-E953-44CD-BE37-13BBF2D6E268}"/>
    <cellStyle name="Normal 11 3 7 3 6" xfId="46731" xr:uid="{8DE63A6C-7551-48DC-A0A7-3555A10B620C}"/>
    <cellStyle name="Normal 11 3 7 3 6 2" xfId="46732" xr:uid="{4668E1F6-B9A5-48AD-828C-AD0DC044BBCF}"/>
    <cellStyle name="Normal 11 3 7 3 6 2 2" xfId="46733" xr:uid="{026B1A28-8501-41E8-881D-665902B3F214}"/>
    <cellStyle name="Normal 11 3 7 3 6 3" xfId="46734" xr:uid="{C1962FC1-000D-4108-8B50-3B375878C815}"/>
    <cellStyle name="Normal 11 3 7 3 7" xfId="46735" xr:uid="{8CF9A27E-C3B4-4368-A0B0-9816DA6CCB96}"/>
    <cellStyle name="Normal 11 3 7 3 7 2" xfId="46736" xr:uid="{20A17F3A-B0AB-452C-8C1E-77551D5B7255}"/>
    <cellStyle name="Normal 11 3 7 3 8" xfId="46737" xr:uid="{545BA777-B028-4E9C-806B-381E9F735D66}"/>
    <cellStyle name="Normal 11 3 7 3 9" xfId="46610" xr:uid="{25D95274-0B69-4333-8812-FD571FB12B9D}"/>
    <cellStyle name="Normal 11 3 7 4" xfId="46738" xr:uid="{5341DC1A-8F59-486B-B8D2-B3F12AD1EF6D}"/>
    <cellStyle name="Normal 11 3 7 4 2" xfId="46739" xr:uid="{B74D7B68-408D-4F13-AC1B-233298E63C78}"/>
    <cellStyle name="Normal 11 3 7 4 2 2" xfId="46740" xr:uid="{41B8E95A-4AD7-4688-9E08-7796BB616E5E}"/>
    <cellStyle name="Normal 11 3 7 4 2 2 2" xfId="46741" xr:uid="{FBADE588-DBBA-44BC-8051-8079770E3657}"/>
    <cellStyle name="Normal 11 3 7 4 2 2 2 2" xfId="46742" xr:uid="{74D366EA-0E27-44A3-8AF0-4B16856D86A6}"/>
    <cellStyle name="Normal 11 3 7 4 2 2 2 2 2" xfId="46743" xr:uid="{66102F6B-4E73-4099-AC62-CD2EC04B25D0}"/>
    <cellStyle name="Normal 11 3 7 4 2 2 2 2 2 2" xfId="46744" xr:uid="{018E4ED0-5C15-4439-9FDC-62A2CF0C9D91}"/>
    <cellStyle name="Normal 11 3 7 4 2 2 2 2 3" xfId="46745" xr:uid="{E25C5E1D-2F6A-4EE2-8BEF-C2AD0F76F568}"/>
    <cellStyle name="Normal 11 3 7 4 2 2 2 3" xfId="46746" xr:uid="{83341E54-5622-41E1-A524-67696C1BF486}"/>
    <cellStyle name="Normal 11 3 7 4 2 2 2 3 2" xfId="46747" xr:uid="{DD2B4275-F6E2-4CAD-9846-801E03CB2FA7}"/>
    <cellStyle name="Normal 11 3 7 4 2 2 2 4" xfId="46748" xr:uid="{323364E7-F36C-4BB0-BA84-00EB1CD35FF0}"/>
    <cellStyle name="Normal 11 3 7 4 2 2 3" xfId="46749" xr:uid="{66228D6F-AE86-4F96-B023-081B13476AB6}"/>
    <cellStyle name="Normal 11 3 7 4 2 2 3 2" xfId="46750" xr:uid="{C0D78BCD-41EC-4BC0-8CB8-E858987B5721}"/>
    <cellStyle name="Normal 11 3 7 4 2 2 3 2 2" xfId="46751" xr:uid="{DB685A72-EF92-42C9-BF36-1798089657B3}"/>
    <cellStyle name="Normal 11 3 7 4 2 2 3 3" xfId="46752" xr:uid="{5418C352-3552-4E7B-9CA7-8DF3F2C7E64A}"/>
    <cellStyle name="Normal 11 3 7 4 2 2 4" xfId="46753" xr:uid="{505EAA25-87D6-4B6D-BC7A-DEA75ECE61FC}"/>
    <cellStyle name="Normal 11 3 7 4 2 2 4 2" xfId="46754" xr:uid="{A812CE82-AEB7-464A-A734-38DE448159A3}"/>
    <cellStyle name="Normal 11 3 7 4 2 2 5" xfId="46755" xr:uid="{56A3ADFF-08BD-4737-B685-61FD73D3EEF2}"/>
    <cellStyle name="Normal 11 3 7 4 2 3" xfId="46756" xr:uid="{6B462627-AC86-4C06-8A99-226CECBA3296}"/>
    <cellStyle name="Normal 11 3 7 4 2 3 2" xfId="46757" xr:uid="{59724022-3BFB-457D-8B25-B48326B0B3C4}"/>
    <cellStyle name="Normal 11 3 7 4 2 3 2 2" xfId="46758" xr:uid="{9E55EF29-D162-4C4B-B94E-368FB148E761}"/>
    <cellStyle name="Normal 11 3 7 4 2 3 2 2 2" xfId="46759" xr:uid="{E202AC00-5DB8-48AD-8366-BEE6FD069881}"/>
    <cellStyle name="Normal 11 3 7 4 2 3 2 3" xfId="46760" xr:uid="{F2ED52EB-03CC-4166-9376-F440B78D6F61}"/>
    <cellStyle name="Normal 11 3 7 4 2 3 3" xfId="46761" xr:uid="{0D63EFB6-2DD2-41DA-8ACF-20088EE10FEF}"/>
    <cellStyle name="Normal 11 3 7 4 2 3 3 2" xfId="46762" xr:uid="{1ABB8A0E-8487-48F7-B563-2CCBF0D7FA18}"/>
    <cellStyle name="Normal 11 3 7 4 2 3 4" xfId="46763" xr:uid="{34A30E63-5600-4C48-9246-C26FD2FCE8BC}"/>
    <cellStyle name="Normal 11 3 7 4 2 4" xfId="46764" xr:uid="{705DC712-4B41-45E6-9EA3-3F18F7839E23}"/>
    <cellStyle name="Normal 11 3 7 4 2 4 2" xfId="46765" xr:uid="{ABEE0F70-CDC5-490F-83DC-964107B2EA05}"/>
    <cellStyle name="Normal 11 3 7 4 2 4 2 2" xfId="46766" xr:uid="{2C7FA7F6-E4F3-4BD4-A7D8-FFDCC373AD9D}"/>
    <cellStyle name="Normal 11 3 7 4 2 4 3" xfId="46767" xr:uid="{60A0B1DC-2D88-4A5F-A3FF-B37C5ECC43CC}"/>
    <cellStyle name="Normal 11 3 7 4 2 5" xfId="46768" xr:uid="{6D2C05BD-62E7-4771-92F6-00E2285A774F}"/>
    <cellStyle name="Normal 11 3 7 4 2 5 2" xfId="46769" xr:uid="{14A3D32A-9A92-43EC-BA0A-6C64E6A08AF7}"/>
    <cellStyle name="Normal 11 3 7 4 2 6" xfId="46770" xr:uid="{F68F9F34-B44B-4969-AB7F-007240647CA3}"/>
    <cellStyle name="Normal 11 3 7 4 3" xfId="46771" xr:uid="{5C89AB7A-DACF-4D58-A7B0-0A159548AAFA}"/>
    <cellStyle name="Normal 11 3 7 4 3 2" xfId="46772" xr:uid="{7BE91377-6221-4E36-81DC-37EC67A6CE79}"/>
    <cellStyle name="Normal 11 3 7 4 3 2 2" xfId="46773" xr:uid="{512FA760-974E-4A2E-BB18-4FEFD4099957}"/>
    <cellStyle name="Normal 11 3 7 4 3 2 2 2" xfId="46774" xr:uid="{532B18F8-ABCC-4E8D-A069-D753D671F22E}"/>
    <cellStyle name="Normal 11 3 7 4 3 2 2 2 2" xfId="46775" xr:uid="{05F66517-0DA1-4710-96E9-C0839EB2683E}"/>
    <cellStyle name="Normal 11 3 7 4 3 2 2 3" xfId="46776" xr:uid="{0559B28C-9342-4DD9-8465-049921980F65}"/>
    <cellStyle name="Normal 11 3 7 4 3 2 3" xfId="46777" xr:uid="{849F5D85-FFB5-48B7-B66F-72E576BAAD78}"/>
    <cellStyle name="Normal 11 3 7 4 3 2 3 2" xfId="46778" xr:uid="{967A9BEF-70D9-42C1-B41F-077C622E81B4}"/>
    <cellStyle name="Normal 11 3 7 4 3 2 4" xfId="46779" xr:uid="{88A34EFA-0695-4305-96A9-8C2CF40FF460}"/>
    <cellStyle name="Normal 11 3 7 4 3 3" xfId="46780" xr:uid="{DAE7DD83-9201-4880-8313-79F10B69D816}"/>
    <cellStyle name="Normal 11 3 7 4 3 3 2" xfId="46781" xr:uid="{E7FA95C2-A2A0-43A5-A116-FE45EE72D44E}"/>
    <cellStyle name="Normal 11 3 7 4 3 3 2 2" xfId="46782" xr:uid="{6A669D2B-D867-4211-946A-D5C33FC07212}"/>
    <cellStyle name="Normal 11 3 7 4 3 3 3" xfId="46783" xr:uid="{DADBBDE7-B5EA-4E43-A243-7D29291F5B14}"/>
    <cellStyle name="Normal 11 3 7 4 3 4" xfId="46784" xr:uid="{6D095F7F-EB81-445A-9ED3-E0AF22E0670B}"/>
    <cellStyle name="Normal 11 3 7 4 3 4 2" xfId="46785" xr:uid="{8942BC46-DD09-4C07-A079-17251B880713}"/>
    <cellStyle name="Normal 11 3 7 4 3 5" xfId="46786" xr:uid="{F87B2E77-980A-4825-A520-497CC8663F04}"/>
    <cellStyle name="Normal 11 3 7 4 4" xfId="46787" xr:uid="{D3AA75B3-27BE-4082-879F-070FCDF4B1E3}"/>
    <cellStyle name="Normal 11 3 7 4 4 2" xfId="46788" xr:uid="{A66ACB2C-A155-4EE0-BFB0-CFD1C43E0887}"/>
    <cellStyle name="Normal 11 3 7 4 4 2 2" xfId="46789" xr:uid="{3362B7EB-5F22-4F9F-9242-9C0CFD59D6F5}"/>
    <cellStyle name="Normal 11 3 7 4 4 2 2 2" xfId="46790" xr:uid="{42750F5A-6502-441C-B697-9E481088A040}"/>
    <cellStyle name="Normal 11 3 7 4 4 2 3" xfId="46791" xr:uid="{7C95F0FE-4988-4550-B321-F990CC6C078D}"/>
    <cellStyle name="Normal 11 3 7 4 4 3" xfId="46792" xr:uid="{03976825-38F8-4602-8BA8-6CBE94FD2807}"/>
    <cellStyle name="Normal 11 3 7 4 4 3 2" xfId="46793" xr:uid="{E3717446-9424-4841-A244-3DDE43CE97F9}"/>
    <cellStyle name="Normal 11 3 7 4 4 4" xfId="46794" xr:uid="{C15F0CCA-B194-4196-9CD8-3732D583DFF3}"/>
    <cellStyle name="Normal 11 3 7 4 5" xfId="46795" xr:uid="{DD8328C4-9547-4253-9187-2C9ECB48DE69}"/>
    <cellStyle name="Normal 11 3 7 4 5 2" xfId="46796" xr:uid="{AF6D522B-3BD6-4089-A343-F8213F114B21}"/>
    <cellStyle name="Normal 11 3 7 4 5 2 2" xfId="46797" xr:uid="{06DC529F-C3ED-4434-827D-AECAB3A4E0AB}"/>
    <cellStyle name="Normal 11 3 7 4 5 3" xfId="46798" xr:uid="{37A38095-5B8B-4B0C-B4BC-4ED891EA568D}"/>
    <cellStyle name="Normal 11 3 7 4 6" xfId="46799" xr:uid="{94AF596E-36F2-4C5E-8C66-1B2C15354454}"/>
    <cellStyle name="Normal 11 3 7 4 6 2" xfId="46800" xr:uid="{3E7035FE-9034-4DC4-9BDB-AB3C696F2217}"/>
    <cellStyle name="Normal 11 3 7 4 7" xfId="46801" xr:uid="{14EEE59A-2D71-41A4-BC39-EF2AD180F57E}"/>
    <cellStyle name="Normal 11 3 7 5" xfId="46802" xr:uid="{6E436AAF-2EFC-445E-904D-85438E650C98}"/>
    <cellStyle name="Normal 11 3 7 5 2" xfId="46803" xr:uid="{204C146A-D535-4D28-B89E-16F0D45F05E0}"/>
    <cellStyle name="Normal 11 3 7 5 2 2" xfId="46804" xr:uid="{0BDF8485-DF15-473F-B0DA-813F5214D5CA}"/>
    <cellStyle name="Normal 11 3 7 5 2 2 2" xfId="46805" xr:uid="{8AA55447-1F45-44F1-B7DE-0F52BB70C8F5}"/>
    <cellStyle name="Normal 11 3 7 5 2 2 2 2" xfId="46806" xr:uid="{1D2C6AC3-1207-49DD-A7BF-87079C59417B}"/>
    <cellStyle name="Normal 11 3 7 5 2 2 2 2 2" xfId="46807" xr:uid="{FB91F840-F5A8-40D1-95D2-20A1F74AC974}"/>
    <cellStyle name="Normal 11 3 7 5 2 2 2 3" xfId="46808" xr:uid="{A65751D4-AB89-42FB-8D5B-2F4D5E2AC9F7}"/>
    <cellStyle name="Normal 11 3 7 5 2 2 3" xfId="46809" xr:uid="{C5DB9A2B-DFD8-4849-9649-2A48EC7A159B}"/>
    <cellStyle name="Normal 11 3 7 5 2 2 3 2" xfId="46810" xr:uid="{CB9708B2-E580-4057-8BF0-B3CC2ED8633C}"/>
    <cellStyle name="Normal 11 3 7 5 2 2 4" xfId="46811" xr:uid="{38EFA74A-FC3B-4D2D-ADBB-6852987D6440}"/>
    <cellStyle name="Normal 11 3 7 5 2 3" xfId="46812" xr:uid="{438A8F78-D219-45F9-8DA9-9571C27FC385}"/>
    <cellStyle name="Normal 11 3 7 5 2 3 2" xfId="46813" xr:uid="{C9DBF5AA-9FE8-4D0E-82A8-B4AA7F3E42E1}"/>
    <cellStyle name="Normal 11 3 7 5 2 3 2 2" xfId="46814" xr:uid="{577E7851-94EA-45D6-837D-88C8A52451FC}"/>
    <cellStyle name="Normal 11 3 7 5 2 3 3" xfId="46815" xr:uid="{1A624CB1-4430-4D08-8290-060C30BCD374}"/>
    <cellStyle name="Normal 11 3 7 5 2 4" xfId="46816" xr:uid="{99B6028F-E448-4AD1-8EA8-3F478D89C02B}"/>
    <cellStyle name="Normal 11 3 7 5 2 4 2" xfId="46817" xr:uid="{60A198B2-BB02-4105-8568-CB83CD4EAF5F}"/>
    <cellStyle name="Normal 11 3 7 5 2 5" xfId="46818" xr:uid="{88FE7E37-B27E-40FF-BEAB-091068E189F9}"/>
    <cellStyle name="Normal 11 3 7 5 3" xfId="46819" xr:uid="{029A16A8-B305-4F0F-AFAD-B5EFACF03FC9}"/>
    <cellStyle name="Normal 11 3 7 5 3 2" xfId="46820" xr:uid="{C3384F60-4400-47F0-AD02-4A2F725029EF}"/>
    <cellStyle name="Normal 11 3 7 5 3 2 2" xfId="46821" xr:uid="{FD4008BF-257D-4253-A208-BE54265A5C6D}"/>
    <cellStyle name="Normal 11 3 7 5 3 2 2 2" xfId="46822" xr:uid="{9A6D08C8-8B23-4A27-8523-BCA22BE7A19D}"/>
    <cellStyle name="Normal 11 3 7 5 3 2 3" xfId="46823" xr:uid="{26867864-3D3C-4AA9-9228-871A27E5FF9F}"/>
    <cellStyle name="Normal 11 3 7 5 3 3" xfId="46824" xr:uid="{E8DD6A07-7F2C-4BBD-99D5-14402C243AA6}"/>
    <cellStyle name="Normal 11 3 7 5 3 3 2" xfId="46825" xr:uid="{25C2DB57-E8E5-46DE-BB06-DE514D8E1A89}"/>
    <cellStyle name="Normal 11 3 7 5 3 4" xfId="46826" xr:uid="{C87DF217-B394-4610-A423-512AB9617787}"/>
    <cellStyle name="Normal 11 3 7 5 4" xfId="46827" xr:uid="{D01932B5-2AF7-4DE8-93D2-63827BEFB291}"/>
    <cellStyle name="Normal 11 3 7 5 4 2" xfId="46828" xr:uid="{37E50CDE-D876-4DC6-B8EA-2C06D43966AF}"/>
    <cellStyle name="Normal 11 3 7 5 4 2 2" xfId="46829" xr:uid="{E689A99B-B9F1-4202-99D8-82EFACA11E45}"/>
    <cellStyle name="Normal 11 3 7 5 4 3" xfId="46830" xr:uid="{BC753381-C62F-4AB4-AD17-21473604BFAB}"/>
    <cellStyle name="Normal 11 3 7 5 5" xfId="46831" xr:uid="{8FE7A195-674B-4C2A-8C51-78D21F0CD1FF}"/>
    <cellStyle name="Normal 11 3 7 5 5 2" xfId="46832" xr:uid="{399CBC7E-72DA-40C4-8E9B-FFDABA250223}"/>
    <cellStyle name="Normal 11 3 7 5 6" xfId="46833" xr:uid="{55D621CD-D0DC-4BE0-A387-8E61C732AF3D}"/>
    <cellStyle name="Normal 11 3 7 6" xfId="46834" xr:uid="{1CA96089-1D0C-4896-9B5E-AAAFB22ADF81}"/>
    <cellStyle name="Normal 11 3 7 6 2" xfId="46835" xr:uid="{2E879ABE-F49D-4482-A71A-8B365CEA87AC}"/>
    <cellStyle name="Normal 11 3 7 6 2 2" xfId="46836" xr:uid="{28E0E965-14BB-4BDE-B24A-2AB1EF4C6FFD}"/>
    <cellStyle name="Normal 11 3 7 6 2 2 2" xfId="46837" xr:uid="{D18465EF-6942-453F-97C6-F2C8100FE4CC}"/>
    <cellStyle name="Normal 11 3 7 6 2 2 2 2" xfId="46838" xr:uid="{E3DE49CA-36B6-4B90-B1A4-35EB4F889BC8}"/>
    <cellStyle name="Normal 11 3 7 6 2 2 3" xfId="46839" xr:uid="{1882BF16-039D-483A-8CD2-C8062E5F8697}"/>
    <cellStyle name="Normal 11 3 7 6 2 3" xfId="46840" xr:uid="{067E1773-BDE3-4D29-8E9A-345640A21C75}"/>
    <cellStyle name="Normal 11 3 7 6 2 3 2" xfId="46841" xr:uid="{494E01DE-9CFA-427D-AD30-6FA452F5564C}"/>
    <cellStyle name="Normal 11 3 7 6 2 4" xfId="46842" xr:uid="{6703AD73-C7D7-4967-B1B8-A68EB7A52D84}"/>
    <cellStyle name="Normal 11 3 7 6 3" xfId="46843" xr:uid="{17A6A062-C368-495E-9BC0-B41792710D93}"/>
    <cellStyle name="Normal 11 3 7 6 3 2" xfId="46844" xr:uid="{324B306B-E171-4F95-85B7-00B547F79A9A}"/>
    <cellStyle name="Normal 11 3 7 6 3 2 2" xfId="46845" xr:uid="{75DBE65E-374B-44E6-81F1-242690126C06}"/>
    <cellStyle name="Normal 11 3 7 6 3 3" xfId="46846" xr:uid="{12A92C9B-E6B5-448B-9EEC-B2BD4B0887D2}"/>
    <cellStyle name="Normal 11 3 7 6 4" xfId="46847" xr:uid="{71A8FA3A-F186-461A-A14D-8B049B91103E}"/>
    <cellStyle name="Normal 11 3 7 6 4 2" xfId="46848" xr:uid="{96C9D539-072B-424C-A2CC-A1F816413967}"/>
    <cellStyle name="Normal 11 3 7 6 5" xfId="46849" xr:uid="{FA77524A-2D57-428C-9635-A076C274AA3C}"/>
    <cellStyle name="Normal 11 3 7 7" xfId="46850" xr:uid="{8DA2796D-B46C-47E1-93C3-C9A22F27CB2B}"/>
    <cellStyle name="Normal 11 3 7 7 2" xfId="46851" xr:uid="{1A9A639B-3E0D-43E9-A5AE-7E7DC701163A}"/>
    <cellStyle name="Normal 11 3 7 7 2 2" xfId="46852" xr:uid="{E1CA8AA0-C868-444F-8177-5F035FE42AFE}"/>
    <cellStyle name="Normal 11 3 7 7 2 2 2" xfId="46853" xr:uid="{F5965002-8FD1-4F8C-A400-1F0208EA37D4}"/>
    <cellStyle name="Normal 11 3 7 7 2 3" xfId="46854" xr:uid="{BEDCAB42-8F77-4068-8904-5DA1EE2FBFD7}"/>
    <cellStyle name="Normal 11 3 7 7 3" xfId="46855" xr:uid="{317EE31F-67CA-4388-8861-9C57D603778D}"/>
    <cellStyle name="Normal 11 3 7 7 3 2" xfId="46856" xr:uid="{487E7844-FB7A-451D-A7F8-AB68394951B9}"/>
    <cellStyle name="Normal 11 3 7 7 4" xfId="46857" xr:uid="{9B0FD750-9402-49B9-B6A4-F9394BD506FD}"/>
    <cellStyle name="Normal 11 3 7 8" xfId="46858" xr:uid="{D79592F4-D92C-4AB9-99F4-DFADF528791B}"/>
    <cellStyle name="Normal 11 3 7 8 2" xfId="46859" xr:uid="{7D4E9817-322C-41D2-B4C4-BFED59896ACA}"/>
    <cellStyle name="Normal 11 3 7 8 2 2" xfId="46860" xr:uid="{79A13FE6-72EA-4EF2-AE4C-E9EA5F2D28D9}"/>
    <cellStyle name="Normal 11 3 7 8 3" xfId="46861" xr:uid="{8FCF5540-E385-4AAF-AC11-0641EB03BD1E}"/>
    <cellStyle name="Normal 11 3 7 9" xfId="46862" xr:uid="{9E4564F6-196A-4C36-A52A-B81D6E7112BD}"/>
    <cellStyle name="Normal 11 3 7 9 2" xfId="46863" xr:uid="{838F4CE7-272C-41B1-8FCE-E5A92BE92CC6}"/>
    <cellStyle name="Normal 11 3 8" xfId="269" xr:uid="{55816E3A-7EA4-4C25-8BE6-A27C73E81873}"/>
    <cellStyle name="Normal 11 3 8 10" xfId="46864" xr:uid="{EB58B86A-DB05-473B-BF61-B9D646BFBE60}"/>
    <cellStyle name="Normal 11 3 8 11" xfId="606" xr:uid="{4BD4071F-705A-4041-941D-B638E2878164}"/>
    <cellStyle name="Normal 11 3 8 2" xfId="390" xr:uid="{FDF81F72-D11B-4672-B513-A436F45EEA91}"/>
    <cellStyle name="Normal 11 3 8 2 10" xfId="46865" xr:uid="{08CAEB05-90F5-4D65-8665-2E6474AA6435}"/>
    <cellStyle name="Normal 11 3 8 2 2" xfId="46866" xr:uid="{502111FD-A4E8-4D7C-AF5D-F771DE411289}"/>
    <cellStyle name="Normal 11 3 8 2 2 2" xfId="46867" xr:uid="{8B7C4EDC-C8D7-4885-B237-3357EB95EFCB}"/>
    <cellStyle name="Normal 11 3 8 2 2 2 2" xfId="46868" xr:uid="{F730AFFD-D09E-4AA9-BC4D-D478778C1166}"/>
    <cellStyle name="Normal 11 3 8 2 2 2 2 2" xfId="46869" xr:uid="{D988A1FD-7DE0-403D-A6C4-04F83AB87462}"/>
    <cellStyle name="Normal 11 3 8 2 2 2 2 2 2" xfId="46870" xr:uid="{09A09D16-250A-4847-9AF3-FA0FFEE141EA}"/>
    <cellStyle name="Normal 11 3 8 2 2 2 2 2 2 2" xfId="46871" xr:uid="{1D1DC972-42C0-4DE1-8282-9533F785DD3B}"/>
    <cellStyle name="Normal 11 3 8 2 2 2 2 2 2 2 2" xfId="46872" xr:uid="{76E144BE-BD4E-438A-A4F0-9B0B586563A1}"/>
    <cellStyle name="Normal 11 3 8 2 2 2 2 2 2 2 2 2" xfId="46873" xr:uid="{9F641572-EC0C-46DB-99CE-7149A171808B}"/>
    <cellStyle name="Normal 11 3 8 2 2 2 2 2 2 2 3" xfId="46874" xr:uid="{B6CA2B98-F36B-406D-8744-0F84585C7063}"/>
    <cellStyle name="Normal 11 3 8 2 2 2 2 2 2 3" xfId="46875" xr:uid="{26BC6503-F88C-4FC8-BC56-627110A6CAE6}"/>
    <cellStyle name="Normal 11 3 8 2 2 2 2 2 2 3 2" xfId="46876" xr:uid="{11907951-52A8-484E-83BF-975F6D22AA0A}"/>
    <cellStyle name="Normal 11 3 8 2 2 2 2 2 2 4" xfId="46877" xr:uid="{9C0F595D-E7E0-4D3C-89A0-9BF4ABBB947B}"/>
    <cellStyle name="Normal 11 3 8 2 2 2 2 2 3" xfId="46878" xr:uid="{6AACDDE3-0AF6-4B73-8499-88D54ABD1D83}"/>
    <cellStyle name="Normal 11 3 8 2 2 2 2 2 3 2" xfId="46879" xr:uid="{497D7E1C-5AC1-4B42-BCEE-39D0D1043131}"/>
    <cellStyle name="Normal 11 3 8 2 2 2 2 2 3 2 2" xfId="46880" xr:uid="{B9DF6B62-BC44-4F00-B6BA-7F0547099320}"/>
    <cellStyle name="Normal 11 3 8 2 2 2 2 2 3 3" xfId="46881" xr:uid="{3374003B-BBB8-4478-880E-174A81234576}"/>
    <cellStyle name="Normal 11 3 8 2 2 2 2 2 4" xfId="46882" xr:uid="{7E589717-C2DA-4FFB-81EF-D3D16977563C}"/>
    <cellStyle name="Normal 11 3 8 2 2 2 2 2 4 2" xfId="46883" xr:uid="{11E33A40-7C16-40DC-B3B9-A71D3A947FE6}"/>
    <cellStyle name="Normal 11 3 8 2 2 2 2 2 5" xfId="46884" xr:uid="{AC77D18A-A73E-4A77-9B97-5D1970C9D7B1}"/>
    <cellStyle name="Normal 11 3 8 2 2 2 2 3" xfId="46885" xr:uid="{8B31F203-D03A-41D0-908C-9A73DD03D26A}"/>
    <cellStyle name="Normal 11 3 8 2 2 2 2 3 2" xfId="46886" xr:uid="{78AB3FDC-6339-4A26-84DD-6D7E8C8CBB0F}"/>
    <cellStyle name="Normal 11 3 8 2 2 2 2 3 2 2" xfId="46887" xr:uid="{17594846-D306-4041-A814-C5D45C954A17}"/>
    <cellStyle name="Normal 11 3 8 2 2 2 2 3 2 2 2" xfId="46888" xr:uid="{EF426AAA-06E5-4C78-97DF-2AFAED06DDB9}"/>
    <cellStyle name="Normal 11 3 8 2 2 2 2 3 2 3" xfId="46889" xr:uid="{6C72B3BA-9428-4DA2-AF0C-55BD4D574E44}"/>
    <cellStyle name="Normal 11 3 8 2 2 2 2 3 3" xfId="46890" xr:uid="{94760901-8627-4B9D-ACD5-A8E0000C84DA}"/>
    <cellStyle name="Normal 11 3 8 2 2 2 2 3 3 2" xfId="46891" xr:uid="{7B3F85F5-066B-4BD7-AF12-7017AED40A0C}"/>
    <cellStyle name="Normal 11 3 8 2 2 2 2 3 4" xfId="46892" xr:uid="{AE49BAFD-47D5-41AB-8A16-88065F4C27C5}"/>
    <cellStyle name="Normal 11 3 8 2 2 2 2 4" xfId="46893" xr:uid="{FB30347F-3116-426F-A001-B315883A1A68}"/>
    <cellStyle name="Normal 11 3 8 2 2 2 2 4 2" xfId="46894" xr:uid="{198980FC-3A9F-499A-AA8B-6A9032A3F5C6}"/>
    <cellStyle name="Normal 11 3 8 2 2 2 2 4 2 2" xfId="46895" xr:uid="{79F15B63-005A-476F-B2A4-A2D66D35AC84}"/>
    <cellStyle name="Normal 11 3 8 2 2 2 2 4 3" xfId="46896" xr:uid="{37964A7E-F2B1-4493-8F8D-8266D2B07644}"/>
    <cellStyle name="Normal 11 3 8 2 2 2 2 5" xfId="46897" xr:uid="{31ACFF1F-2BC7-4658-A95D-3718132C3937}"/>
    <cellStyle name="Normal 11 3 8 2 2 2 2 5 2" xfId="46898" xr:uid="{0F0A61C7-55DE-4779-BF5F-9E99EA5CAC2E}"/>
    <cellStyle name="Normal 11 3 8 2 2 2 2 6" xfId="46899" xr:uid="{915FC208-C975-400F-9463-56CD01196571}"/>
    <cellStyle name="Normal 11 3 8 2 2 2 3" xfId="46900" xr:uid="{1336E55F-B350-4D59-8B9B-324EE3FB0842}"/>
    <cellStyle name="Normal 11 3 8 2 2 2 3 2" xfId="46901" xr:uid="{9AEB0488-5044-438D-B597-B26D0630CD26}"/>
    <cellStyle name="Normal 11 3 8 2 2 2 3 2 2" xfId="46902" xr:uid="{2193EEA9-3975-4490-BE2F-F5C96E1D31A7}"/>
    <cellStyle name="Normal 11 3 8 2 2 2 3 2 2 2" xfId="46903" xr:uid="{37B0BCD2-E55B-4502-9869-82982468037A}"/>
    <cellStyle name="Normal 11 3 8 2 2 2 3 2 2 2 2" xfId="46904" xr:uid="{F36DAD97-FC2C-487C-8659-4905DC745CCF}"/>
    <cellStyle name="Normal 11 3 8 2 2 2 3 2 2 3" xfId="46905" xr:uid="{6BD2EFCB-5D67-4645-90ED-E608AF1C4FA7}"/>
    <cellStyle name="Normal 11 3 8 2 2 2 3 2 3" xfId="46906" xr:uid="{9D115B65-0D39-42C3-8474-B66700DD5E04}"/>
    <cellStyle name="Normal 11 3 8 2 2 2 3 2 3 2" xfId="46907" xr:uid="{A4FC1AAF-DDEF-456C-AE7E-0AC716628E1D}"/>
    <cellStyle name="Normal 11 3 8 2 2 2 3 2 4" xfId="46908" xr:uid="{94120541-7A8C-41D0-BA5B-1936D320BEF1}"/>
    <cellStyle name="Normal 11 3 8 2 2 2 3 3" xfId="46909" xr:uid="{B4D21508-8E3D-4451-8536-23A5FC29AC50}"/>
    <cellStyle name="Normal 11 3 8 2 2 2 3 3 2" xfId="46910" xr:uid="{DFFC3BBD-40FB-43A4-8C84-322E906FC054}"/>
    <cellStyle name="Normal 11 3 8 2 2 2 3 3 2 2" xfId="46911" xr:uid="{3D5F5993-F8E6-4EC4-9342-85A83F6ADB95}"/>
    <cellStyle name="Normal 11 3 8 2 2 2 3 3 3" xfId="46912" xr:uid="{9A284037-F341-4277-9B98-19F6E09B1AA9}"/>
    <cellStyle name="Normal 11 3 8 2 2 2 3 4" xfId="46913" xr:uid="{EBED6CCA-8923-4EB3-9F07-DA2CAF84E5D0}"/>
    <cellStyle name="Normal 11 3 8 2 2 2 3 4 2" xfId="46914" xr:uid="{4F1C4FDB-CDDC-4BCE-97CA-616DACA48C9E}"/>
    <cellStyle name="Normal 11 3 8 2 2 2 3 5" xfId="46915" xr:uid="{035C4921-CB71-4E65-A4E9-786E7C01F2B8}"/>
    <cellStyle name="Normal 11 3 8 2 2 2 4" xfId="46916" xr:uid="{5C2334DA-1D83-4950-890F-1138918643D1}"/>
    <cellStyle name="Normal 11 3 8 2 2 2 4 2" xfId="46917" xr:uid="{16EB5B3F-5646-4D8F-9C42-E503B24FCF3A}"/>
    <cellStyle name="Normal 11 3 8 2 2 2 4 2 2" xfId="46918" xr:uid="{515A6297-8B92-4EE8-A8AA-DA95A1B2E82D}"/>
    <cellStyle name="Normal 11 3 8 2 2 2 4 2 2 2" xfId="46919" xr:uid="{42E2A580-3A27-4F16-804D-4883E32B1F7F}"/>
    <cellStyle name="Normal 11 3 8 2 2 2 4 2 3" xfId="46920" xr:uid="{D5A1BA95-B288-496D-916D-21A23D32C8F3}"/>
    <cellStyle name="Normal 11 3 8 2 2 2 4 3" xfId="46921" xr:uid="{BD45A8A7-0F88-482F-933E-8E432D66FD70}"/>
    <cellStyle name="Normal 11 3 8 2 2 2 4 3 2" xfId="46922" xr:uid="{D3DE19C4-53AB-447C-9858-CC0223A54BEB}"/>
    <cellStyle name="Normal 11 3 8 2 2 2 4 4" xfId="46923" xr:uid="{B2955996-5E6B-4E94-BC54-D6E2E3D84E5E}"/>
    <cellStyle name="Normal 11 3 8 2 2 2 5" xfId="46924" xr:uid="{42FDACDC-C907-407E-93C8-6DE0F3881AAC}"/>
    <cellStyle name="Normal 11 3 8 2 2 2 5 2" xfId="46925" xr:uid="{AAA83D45-3828-4989-9A9F-92ECC7C6CDBA}"/>
    <cellStyle name="Normal 11 3 8 2 2 2 5 2 2" xfId="46926" xr:uid="{E5023F0A-11AD-4629-BFBD-4AA4BF80922B}"/>
    <cellStyle name="Normal 11 3 8 2 2 2 5 3" xfId="46927" xr:uid="{01B9F2C2-720D-4BA8-9D63-189F1785AA75}"/>
    <cellStyle name="Normal 11 3 8 2 2 2 6" xfId="46928" xr:uid="{7A769A7C-8D6D-4CE2-8308-0F69F1BF0F4A}"/>
    <cellStyle name="Normal 11 3 8 2 2 2 6 2" xfId="46929" xr:uid="{98738C9E-D173-4AFD-8597-C775F973915A}"/>
    <cellStyle name="Normal 11 3 8 2 2 2 7" xfId="46930" xr:uid="{A06D36EC-324E-4AE6-9CD5-9155D785E71F}"/>
    <cellStyle name="Normal 11 3 8 2 2 3" xfId="46931" xr:uid="{9E37D112-D86C-4630-87B5-524515F9D2BD}"/>
    <cellStyle name="Normal 11 3 8 2 2 3 2" xfId="46932" xr:uid="{755A3AF3-8E2D-44A5-A5A5-F02A5F68A1C0}"/>
    <cellStyle name="Normal 11 3 8 2 2 3 2 2" xfId="46933" xr:uid="{D6054825-B31C-4FCE-B217-A1E6F19BFBB0}"/>
    <cellStyle name="Normal 11 3 8 2 2 3 2 2 2" xfId="46934" xr:uid="{E17C9033-D3C4-4EDB-BC1F-8C574ED50008}"/>
    <cellStyle name="Normal 11 3 8 2 2 3 2 2 2 2" xfId="46935" xr:uid="{C86BA20E-D92B-4CCD-B147-4C737024B08C}"/>
    <cellStyle name="Normal 11 3 8 2 2 3 2 2 2 2 2" xfId="46936" xr:uid="{88A40E14-4402-4443-B911-8ECF4513BFB0}"/>
    <cellStyle name="Normal 11 3 8 2 2 3 2 2 2 3" xfId="46937" xr:uid="{83EFC5B7-7BAA-46B7-8C35-A3F97863BB89}"/>
    <cellStyle name="Normal 11 3 8 2 2 3 2 2 3" xfId="46938" xr:uid="{0DC86F25-FC2E-4674-B05A-7CF3089F8359}"/>
    <cellStyle name="Normal 11 3 8 2 2 3 2 2 3 2" xfId="46939" xr:uid="{19C433DD-F3DB-442E-A2DC-63DF8F2EA794}"/>
    <cellStyle name="Normal 11 3 8 2 2 3 2 2 4" xfId="46940" xr:uid="{3F59B6B0-3C7C-476F-A99A-72875E645051}"/>
    <cellStyle name="Normal 11 3 8 2 2 3 2 3" xfId="46941" xr:uid="{133200E9-08C1-4E8C-9BF8-631F516D6985}"/>
    <cellStyle name="Normal 11 3 8 2 2 3 2 3 2" xfId="46942" xr:uid="{D50371E6-098E-4D24-9044-415408D9501D}"/>
    <cellStyle name="Normal 11 3 8 2 2 3 2 3 2 2" xfId="46943" xr:uid="{2586E6FE-E4A5-43CC-9C95-944BEA4BB2B3}"/>
    <cellStyle name="Normal 11 3 8 2 2 3 2 3 3" xfId="46944" xr:uid="{C9BE59EF-4FAE-4743-A799-26619BEB5CA5}"/>
    <cellStyle name="Normal 11 3 8 2 2 3 2 4" xfId="46945" xr:uid="{BD6E9366-07A4-44F8-A693-AE7D1716BC6E}"/>
    <cellStyle name="Normal 11 3 8 2 2 3 2 4 2" xfId="46946" xr:uid="{40AD0CD3-B14A-426D-95FC-DB42796494AB}"/>
    <cellStyle name="Normal 11 3 8 2 2 3 2 5" xfId="46947" xr:uid="{66E746E7-787F-4CD1-BF4C-8B0EBA60A438}"/>
    <cellStyle name="Normal 11 3 8 2 2 3 3" xfId="46948" xr:uid="{5D83876A-7FAE-47DA-9264-7849DEA220E4}"/>
    <cellStyle name="Normal 11 3 8 2 2 3 3 2" xfId="46949" xr:uid="{3BB8B910-C287-4ECE-9C44-526F17B0457D}"/>
    <cellStyle name="Normal 11 3 8 2 2 3 3 2 2" xfId="46950" xr:uid="{F0B82F89-CC88-444B-A27E-6677BB9A50C3}"/>
    <cellStyle name="Normal 11 3 8 2 2 3 3 2 2 2" xfId="46951" xr:uid="{13F7C7A5-130D-4B6A-9365-6423F09F9E5A}"/>
    <cellStyle name="Normal 11 3 8 2 2 3 3 2 3" xfId="46952" xr:uid="{CD6CCA11-B332-4D89-BA2F-37765BAE824C}"/>
    <cellStyle name="Normal 11 3 8 2 2 3 3 3" xfId="46953" xr:uid="{F7BB1BAE-9332-4DFF-B4BE-6075B4B4C927}"/>
    <cellStyle name="Normal 11 3 8 2 2 3 3 3 2" xfId="46954" xr:uid="{17E8F663-6461-4507-9D1E-BC9562431FAB}"/>
    <cellStyle name="Normal 11 3 8 2 2 3 3 4" xfId="46955" xr:uid="{7CC72035-8FD8-4DC2-9713-34D8EE8E7E68}"/>
    <cellStyle name="Normal 11 3 8 2 2 3 4" xfId="46956" xr:uid="{1FA14063-3256-417D-A71F-8F21DBC1DA94}"/>
    <cellStyle name="Normal 11 3 8 2 2 3 4 2" xfId="46957" xr:uid="{CD7BDA97-5759-429E-81DE-0E9C9BF209D9}"/>
    <cellStyle name="Normal 11 3 8 2 2 3 4 2 2" xfId="46958" xr:uid="{9D5A60C0-16FE-4871-B6FE-9D6BD653EDB1}"/>
    <cellStyle name="Normal 11 3 8 2 2 3 4 3" xfId="46959" xr:uid="{2840CA11-4400-408C-915F-177697E7B726}"/>
    <cellStyle name="Normal 11 3 8 2 2 3 5" xfId="46960" xr:uid="{74CED3C4-6892-4736-8EDE-B11CF9216492}"/>
    <cellStyle name="Normal 11 3 8 2 2 3 5 2" xfId="46961" xr:uid="{4F48C977-4C04-4978-A58D-41BB0E1E7A64}"/>
    <cellStyle name="Normal 11 3 8 2 2 3 6" xfId="46962" xr:uid="{A8DFD2BD-E5FF-4B1D-A296-FEFDCC812A6E}"/>
    <cellStyle name="Normal 11 3 8 2 2 4" xfId="46963" xr:uid="{0DECC593-7E8C-4036-97ED-F73D21BFB180}"/>
    <cellStyle name="Normal 11 3 8 2 2 4 2" xfId="46964" xr:uid="{5613F589-896B-4746-9882-60A81BA8F66F}"/>
    <cellStyle name="Normal 11 3 8 2 2 4 2 2" xfId="46965" xr:uid="{309B0628-699D-4110-AAA9-A359BBBE4166}"/>
    <cellStyle name="Normal 11 3 8 2 2 4 2 2 2" xfId="46966" xr:uid="{631B6349-35B3-4961-9B0E-48E2BB180F9E}"/>
    <cellStyle name="Normal 11 3 8 2 2 4 2 2 2 2" xfId="46967" xr:uid="{87A65407-8963-4DA5-A687-EB772255669E}"/>
    <cellStyle name="Normal 11 3 8 2 2 4 2 2 3" xfId="46968" xr:uid="{88622778-A9DB-4136-815B-01D4CC8F4687}"/>
    <cellStyle name="Normal 11 3 8 2 2 4 2 3" xfId="46969" xr:uid="{9E5A193F-6F12-4496-9485-108F9AA3BFDE}"/>
    <cellStyle name="Normal 11 3 8 2 2 4 2 3 2" xfId="46970" xr:uid="{F245D242-AF62-4E54-8372-F333B290571D}"/>
    <cellStyle name="Normal 11 3 8 2 2 4 2 4" xfId="46971" xr:uid="{D9BF91CD-3E41-49EF-9396-82C56AA9ECD0}"/>
    <cellStyle name="Normal 11 3 8 2 2 4 3" xfId="46972" xr:uid="{58CD29A7-0082-4BC6-B013-904A1AABFB5E}"/>
    <cellStyle name="Normal 11 3 8 2 2 4 3 2" xfId="46973" xr:uid="{53B74BBC-F8AD-4F52-938B-0B66543469CA}"/>
    <cellStyle name="Normal 11 3 8 2 2 4 3 2 2" xfId="46974" xr:uid="{89F5BD8E-9E03-4D47-BCD6-EF0E2D485C12}"/>
    <cellStyle name="Normal 11 3 8 2 2 4 3 3" xfId="46975" xr:uid="{0E9379C2-D504-4E1F-80B6-99AC4951D789}"/>
    <cellStyle name="Normal 11 3 8 2 2 4 4" xfId="46976" xr:uid="{841DA922-6DC8-43F0-90E5-5C5A9B5B119B}"/>
    <cellStyle name="Normal 11 3 8 2 2 4 4 2" xfId="46977" xr:uid="{A4490004-0708-4490-A81D-7794F6B79980}"/>
    <cellStyle name="Normal 11 3 8 2 2 4 5" xfId="46978" xr:uid="{A4516277-BBC0-470F-9724-E56C9642F119}"/>
    <cellStyle name="Normal 11 3 8 2 2 5" xfId="46979" xr:uid="{F935CD2B-8C41-4FCF-BF4C-CB045002DB04}"/>
    <cellStyle name="Normal 11 3 8 2 2 5 2" xfId="46980" xr:uid="{18E344DD-5A39-4160-AF1C-FED0EDD5A8D0}"/>
    <cellStyle name="Normal 11 3 8 2 2 5 2 2" xfId="46981" xr:uid="{2389C119-050F-48B0-9EBA-F5B0A63097EC}"/>
    <cellStyle name="Normal 11 3 8 2 2 5 2 2 2" xfId="46982" xr:uid="{30CAF0B9-1150-4DE7-BECC-BD16DB501EAC}"/>
    <cellStyle name="Normal 11 3 8 2 2 5 2 3" xfId="46983" xr:uid="{87BCB222-1F77-4E7C-B9D8-D312D82DE939}"/>
    <cellStyle name="Normal 11 3 8 2 2 5 3" xfId="46984" xr:uid="{54587D34-3148-41B1-ADEB-6C437BC208A8}"/>
    <cellStyle name="Normal 11 3 8 2 2 5 3 2" xfId="46985" xr:uid="{429EEFD1-0025-4830-A5EC-7C524C475176}"/>
    <cellStyle name="Normal 11 3 8 2 2 5 4" xfId="46986" xr:uid="{8EC365DA-2DF4-4E09-896F-256F1671FC14}"/>
    <cellStyle name="Normal 11 3 8 2 2 6" xfId="46987" xr:uid="{0899D1D1-D7EE-457C-A5C2-C3540A3BBBA4}"/>
    <cellStyle name="Normal 11 3 8 2 2 6 2" xfId="46988" xr:uid="{2170F9ED-B623-4B6F-A9A3-9A71DA6AA663}"/>
    <cellStyle name="Normal 11 3 8 2 2 6 2 2" xfId="46989" xr:uid="{2DC229B2-303A-4B1C-AFDD-A5A1D3EA71B2}"/>
    <cellStyle name="Normal 11 3 8 2 2 6 3" xfId="46990" xr:uid="{6A67AAB2-21EA-4BDC-B211-6859ED52C7D7}"/>
    <cellStyle name="Normal 11 3 8 2 2 7" xfId="46991" xr:uid="{FBF884CF-7808-432B-97AB-A6528C3F0128}"/>
    <cellStyle name="Normal 11 3 8 2 2 7 2" xfId="46992" xr:uid="{7CF9AF00-3C7A-4E39-8485-9B66B40DE6F7}"/>
    <cellStyle name="Normal 11 3 8 2 2 8" xfId="46993" xr:uid="{7707AA3A-42B9-4BDB-8172-DCB241B3B77F}"/>
    <cellStyle name="Normal 11 3 8 2 3" xfId="46994" xr:uid="{07CB93CF-3902-4BB6-9917-5C575A0637F7}"/>
    <cellStyle name="Normal 11 3 8 2 3 2" xfId="46995" xr:uid="{E644C9FA-FBDA-4FC9-A8DD-B8C1488B16D2}"/>
    <cellStyle name="Normal 11 3 8 2 3 2 2" xfId="46996" xr:uid="{7A7912AB-D552-4EE4-A10B-575413C92680}"/>
    <cellStyle name="Normal 11 3 8 2 3 2 2 2" xfId="46997" xr:uid="{897C988A-04AB-456A-BA6D-D389B9995A1D}"/>
    <cellStyle name="Normal 11 3 8 2 3 2 2 2 2" xfId="46998" xr:uid="{EAB9BC7E-DAA3-4745-93C4-7D347122FA84}"/>
    <cellStyle name="Normal 11 3 8 2 3 2 2 2 2 2" xfId="46999" xr:uid="{8A579D85-4FE0-4D1B-BC3E-1358E8FC30FA}"/>
    <cellStyle name="Normal 11 3 8 2 3 2 2 2 2 2 2" xfId="47000" xr:uid="{FE68E682-AEAC-44A6-BF73-E7EDA201DBF8}"/>
    <cellStyle name="Normal 11 3 8 2 3 2 2 2 2 3" xfId="47001" xr:uid="{820CA5F7-7F9F-4D60-95AD-EE45EB7E6E8B}"/>
    <cellStyle name="Normal 11 3 8 2 3 2 2 2 3" xfId="47002" xr:uid="{E4F948C3-0CDF-40F1-BFD6-5043CD6997A3}"/>
    <cellStyle name="Normal 11 3 8 2 3 2 2 2 3 2" xfId="47003" xr:uid="{0F8A399A-3C6F-4974-9BF2-091D7F6E6ABD}"/>
    <cellStyle name="Normal 11 3 8 2 3 2 2 2 4" xfId="47004" xr:uid="{EEEAB2F8-EB60-4EE6-8A57-3E69EC49A60D}"/>
    <cellStyle name="Normal 11 3 8 2 3 2 2 3" xfId="47005" xr:uid="{CE91AAE4-D577-4071-9E0D-21E10C54EA56}"/>
    <cellStyle name="Normal 11 3 8 2 3 2 2 3 2" xfId="47006" xr:uid="{1AAED209-17A6-4AD5-B044-D018A4867576}"/>
    <cellStyle name="Normal 11 3 8 2 3 2 2 3 2 2" xfId="47007" xr:uid="{FB962E0A-3B17-4A12-A2C3-3C35CACA2D58}"/>
    <cellStyle name="Normal 11 3 8 2 3 2 2 3 3" xfId="47008" xr:uid="{DA2C34B9-31DB-4397-9F62-0D359ADED41D}"/>
    <cellStyle name="Normal 11 3 8 2 3 2 2 4" xfId="47009" xr:uid="{D3C11ABA-AD1C-440D-9F33-C403A8868E10}"/>
    <cellStyle name="Normal 11 3 8 2 3 2 2 4 2" xfId="47010" xr:uid="{712244C7-8AE1-4C4A-A750-FB2EBF356029}"/>
    <cellStyle name="Normal 11 3 8 2 3 2 2 5" xfId="47011" xr:uid="{CCE03D1A-8BE3-466B-9BF2-CAF47DC4969E}"/>
    <cellStyle name="Normal 11 3 8 2 3 2 3" xfId="47012" xr:uid="{C0842998-0F72-443F-A784-9C77160ABC8E}"/>
    <cellStyle name="Normal 11 3 8 2 3 2 3 2" xfId="47013" xr:uid="{8A894626-DDB7-4493-9734-FF54BD361F1F}"/>
    <cellStyle name="Normal 11 3 8 2 3 2 3 2 2" xfId="47014" xr:uid="{A612FB7B-71F2-4B50-8EC8-F3B3C25C8E5F}"/>
    <cellStyle name="Normal 11 3 8 2 3 2 3 2 2 2" xfId="47015" xr:uid="{81D105D7-7CE5-4AE4-9696-65DFC6885728}"/>
    <cellStyle name="Normal 11 3 8 2 3 2 3 2 3" xfId="47016" xr:uid="{C51AA941-B30D-47A5-AE60-73915F9064E0}"/>
    <cellStyle name="Normal 11 3 8 2 3 2 3 3" xfId="47017" xr:uid="{964B6299-97E6-4C6F-AE8D-6AD76A93EC12}"/>
    <cellStyle name="Normal 11 3 8 2 3 2 3 3 2" xfId="47018" xr:uid="{E8951176-C727-49DA-A9DE-53A807DD73B0}"/>
    <cellStyle name="Normal 11 3 8 2 3 2 3 4" xfId="47019" xr:uid="{4D712D3B-6256-4267-A2C3-DB1D8E81B8F1}"/>
    <cellStyle name="Normal 11 3 8 2 3 2 4" xfId="47020" xr:uid="{F30FF90D-AA01-448B-B7B9-0423AD00798D}"/>
    <cellStyle name="Normal 11 3 8 2 3 2 4 2" xfId="47021" xr:uid="{2D339DA9-D49D-4155-B21A-1DBA121F1AD8}"/>
    <cellStyle name="Normal 11 3 8 2 3 2 4 2 2" xfId="47022" xr:uid="{1EEBCE76-D128-4FA9-986E-B29C98EB8BDD}"/>
    <cellStyle name="Normal 11 3 8 2 3 2 4 3" xfId="47023" xr:uid="{351D0771-378E-4566-A657-9BCC9B5FC05F}"/>
    <cellStyle name="Normal 11 3 8 2 3 2 5" xfId="47024" xr:uid="{3387EB0B-DFBD-424C-BCA6-901D921B8BCA}"/>
    <cellStyle name="Normal 11 3 8 2 3 2 5 2" xfId="47025" xr:uid="{061C9C97-95DE-4479-8ADD-85925286AC64}"/>
    <cellStyle name="Normal 11 3 8 2 3 2 6" xfId="47026" xr:uid="{5039E790-1ABE-4D6F-8BB8-A7D1E8739B4C}"/>
    <cellStyle name="Normal 11 3 8 2 3 3" xfId="47027" xr:uid="{C8217689-3D77-41FC-8149-23CE9939BE5C}"/>
    <cellStyle name="Normal 11 3 8 2 3 3 2" xfId="47028" xr:uid="{5DC8EA26-5EE3-48F1-AB97-16CE2DC7E1CC}"/>
    <cellStyle name="Normal 11 3 8 2 3 3 2 2" xfId="47029" xr:uid="{E2145AD2-49CD-4239-B60F-541970D10446}"/>
    <cellStyle name="Normal 11 3 8 2 3 3 2 2 2" xfId="47030" xr:uid="{09DE14E7-7792-4AE8-A344-FDFC66175427}"/>
    <cellStyle name="Normal 11 3 8 2 3 3 2 2 2 2" xfId="47031" xr:uid="{05AD0633-85E3-487A-9B98-7C4391D50E00}"/>
    <cellStyle name="Normal 11 3 8 2 3 3 2 2 3" xfId="47032" xr:uid="{32FA58CC-7F9B-4A29-A8C1-00578FC3565F}"/>
    <cellStyle name="Normal 11 3 8 2 3 3 2 3" xfId="47033" xr:uid="{B313033D-6BEF-4F5A-8990-C7ECD02E5F3B}"/>
    <cellStyle name="Normal 11 3 8 2 3 3 2 3 2" xfId="47034" xr:uid="{25199036-97C7-455D-9855-4294D9F77B64}"/>
    <cellStyle name="Normal 11 3 8 2 3 3 2 4" xfId="47035" xr:uid="{B74A6BA5-6B38-40FB-B32D-56058F445091}"/>
    <cellStyle name="Normal 11 3 8 2 3 3 3" xfId="47036" xr:uid="{3DCE417B-44FA-4FAF-9390-A5203E8F1A44}"/>
    <cellStyle name="Normal 11 3 8 2 3 3 3 2" xfId="47037" xr:uid="{59E24B01-A343-4EBD-8601-56A066A5A728}"/>
    <cellStyle name="Normal 11 3 8 2 3 3 3 2 2" xfId="47038" xr:uid="{4B55CD72-6682-49B7-B328-D03E8D0024DE}"/>
    <cellStyle name="Normal 11 3 8 2 3 3 3 3" xfId="47039" xr:uid="{E981B522-60F3-491E-B58D-36C18C21302F}"/>
    <cellStyle name="Normal 11 3 8 2 3 3 4" xfId="47040" xr:uid="{4925309B-8CC6-4C1A-A0F8-EE702651710C}"/>
    <cellStyle name="Normal 11 3 8 2 3 3 4 2" xfId="47041" xr:uid="{B2FF4988-1BF8-473E-981F-D43A7C99910E}"/>
    <cellStyle name="Normal 11 3 8 2 3 3 5" xfId="47042" xr:uid="{66EB8E06-C8ED-47AA-970B-0DFA11C39406}"/>
    <cellStyle name="Normal 11 3 8 2 3 4" xfId="47043" xr:uid="{D03311E8-5C59-4903-9D27-C0E267DE33A2}"/>
    <cellStyle name="Normal 11 3 8 2 3 4 2" xfId="47044" xr:uid="{F16E0F34-7D1F-4B42-9DCA-91C929BB1D61}"/>
    <cellStyle name="Normal 11 3 8 2 3 4 2 2" xfId="47045" xr:uid="{111691F1-8358-456F-8B03-7B743E3AE0E8}"/>
    <cellStyle name="Normal 11 3 8 2 3 4 2 2 2" xfId="47046" xr:uid="{20F320BD-01F5-45E4-8351-84F7DE43B9AB}"/>
    <cellStyle name="Normal 11 3 8 2 3 4 2 3" xfId="47047" xr:uid="{FA912C77-19E2-46E1-B7E2-3FB45E4AB0A1}"/>
    <cellStyle name="Normal 11 3 8 2 3 4 3" xfId="47048" xr:uid="{82D4B54A-C98B-469F-AA30-3801F0648402}"/>
    <cellStyle name="Normal 11 3 8 2 3 4 3 2" xfId="47049" xr:uid="{609B1A82-A42E-4E12-B255-881E6A41B461}"/>
    <cellStyle name="Normal 11 3 8 2 3 4 4" xfId="47050" xr:uid="{0EAB9565-C9A8-4D52-B5B5-6F4DB706D002}"/>
    <cellStyle name="Normal 11 3 8 2 3 5" xfId="47051" xr:uid="{841F0CB9-9004-4F9C-98D2-5E2C42CCFFB2}"/>
    <cellStyle name="Normal 11 3 8 2 3 5 2" xfId="47052" xr:uid="{D4B85FEC-6101-44F7-BAE4-1A19433BD53F}"/>
    <cellStyle name="Normal 11 3 8 2 3 5 2 2" xfId="47053" xr:uid="{62EC1EDD-39B0-47E6-B0EA-15C7D2016BBF}"/>
    <cellStyle name="Normal 11 3 8 2 3 5 3" xfId="47054" xr:uid="{43B4F0EF-9E25-45EB-B32D-2F810416E37B}"/>
    <cellStyle name="Normal 11 3 8 2 3 6" xfId="47055" xr:uid="{863505CE-AA81-4C08-81EB-2DC5D8422E8C}"/>
    <cellStyle name="Normal 11 3 8 2 3 6 2" xfId="47056" xr:uid="{A3E4185F-7E29-4969-AB56-71BEC4E7BBBD}"/>
    <cellStyle name="Normal 11 3 8 2 3 7" xfId="47057" xr:uid="{E7340655-8206-42D9-9BD7-BB3A99003C57}"/>
    <cellStyle name="Normal 11 3 8 2 4" xfId="47058" xr:uid="{5E79FCE3-D4BF-4AE4-9DBD-CA2C8EBB06B1}"/>
    <cellStyle name="Normal 11 3 8 2 4 2" xfId="47059" xr:uid="{2498D351-EC2D-4C28-B7E5-270F4F886C9A}"/>
    <cellStyle name="Normal 11 3 8 2 4 2 2" xfId="47060" xr:uid="{EA76A0DF-D604-4510-B2C7-65A27A365036}"/>
    <cellStyle name="Normal 11 3 8 2 4 2 2 2" xfId="47061" xr:uid="{EE88FB05-63B3-40BC-A40A-C285369C60A8}"/>
    <cellStyle name="Normal 11 3 8 2 4 2 2 2 2" xfId="47062" xr:uid="{86CA80E5-6EBB-4E17-8E68-F80F6BF7FD66}"/>
    <cellStyle name="Normal 11 3 8 2 4 2 2 2 2 2" xfId="47063" xr:uid="{A61F70E9-5DA2-4123-8EAE-F448074F7456}"/>
    <cellStyle name="Normal 11 3 8 2 4 2 2 2 3" xfId="47064" xr:uid="{98161D83-BC46-4AED-BBD1-1B5049304064}"/>
    <cellStyle name="Normal 11 3 8 2 4 2 2 3" xfId="47065" xr:uid="{57850D88-A27E-4814-A51A-43B0B4E8043E}"/>
    <cellStyle name="Normal 11 3 8 2 4 2 2 3 2" xfId="47066" xr:uid="{C22E9251-7D10-451D-95AD-19A682F0B214}"/>
    <cellStyle name="Normal 11 3 8 2 4 2 2 4" xfId="47067" xr:uid="{E2B96EF7-A97D-4CB0-B3F9-5C6D5C6EFE72}"/>
    <cellStyle name="Normal 11 3 8 2 4 2 3" xfId="47068" xr:uid="{E47FA0CF-7CEC-4271-A7C3-653ADD4F16C8}"/>
    <cellStyle name="Normal 11 3 8 2 4 2 3 2" xfId="47069" xr:uid="{6B6CC137-2C61-42D0-AA8B-4D27B23E4E9F}"/>
    <cellStyle name="Normal 11 3 8 2 4 2 3 2 2" xfId="47070" xr:uid="{117C214A-A0AC-4585-99F3-8CA866C1786F}"/>
    <cellStyle name="Normal 11 3 8 2 4 2 3 3" xfId="47071" xr:uid="{F71DB07A-B748-4FF5-8015-39F482B52A49}"/>
    <cellStyle name="Normal 11 3 8 2 4 2 4" xfId="47072" xr:uid="{1790A9B1-DF6A-4B76-9907-4940D9571DA4}"/>
    <cellStyle name="Normal 11 3 8 2 4 2 4 2" xfId="47073" xr:uid="{7CE34A96-0C35-49F7-9F9E-C1676E417EE3}"/>
    <cellStyle name="Normal 11 3 8 2 4 2 5" xfId="47074" xr:uid="{C3A2B475-4DE1-400C-8504-4C5E456C6F29}"/>
    <cellStyle name="Normal 11 3 8 2 4 3" xfId="47075" xr:uid="{555C0475-B77B-4ED4-A032-473276ED9377}"/>
    <cellStyle name="Normal 11 3 8 2 4 3 2" xfId="47076" xr:uid="{A72E7318-FE2A-4865-A22B-91FF29865607}"/>
    <cellStyle name="Normal 11 3 8 2 4 3 2 2" xfId="47077" xr:uid="{E652B52F-9F76-419F-92EE-CEBAC5705053}"/>
    <cellStyle name="Normal 11 3 8 2 4 3 2 2 2" xfId="47078" xr:uid="{CE2FEF05-1943-4640-9931-A0D685CE90F2}"/>
    <cellStyle name="Normal 11 3 8 2 4 3 2 3" xfId="47079" xr:uid="{44493400-CD14-4650-9284-D39F52EA5A8E}"/>
    <cellStyle name="Normal 11 3 8 2 4 3 3" xfId="47080" xr:uid="{995DF555-1CB4-4F3C-ACF7-77720E062860}"/>
    <cellStyle name="Normal 11 3 8 2 4 3 3 2" xfId="47081" xr:uid="{B0C38AA7-73AF-43AE-B54E-51F2D36BAA3B}"/>
    <cellStyle name="Normal 11 3 8 2 4 3 4" xfId="47082" xr:uid="{90438445-97FF-45AB-BB6B-196EF71AA61F}"/>
    <cellStyle name="Normal 11 3 8 2 4 4" xfId="47083" xr:uid="{C4D920BA-F526-41DA-A60B-FAE64A63645F}"/>
    <cellStyle name="Normal 11 3 8 2 4 4 2" xfId="47084" xr:uid="{C98FFB7D-0AB5-4DAD-9E5E-1966AEF037A1}"/>
    <cellStyle name="Normal 11 3 8 2 4 4 2 2" xfId="47085" xr:uid="{E342D7DF-8BB9-46CC-B674-5471E2B94145}"/>
    <cellStyle name="Normal 11 3 8 2 4 4 3" xfId="47086" xr:uid="{4EBFB502-D3B5-4044-A047-C6DCDA2D586F}"/>
    <cellStyle name="Normal 11 3 8 2 4 5" xfId="47087" xr:uid="{211CB24B-F7C2-4636-8893-9879CE903EDB}"/>
    <cellStyle name="Normal 11 3 8 2 4 5 2" xfId="47088" xr:uid="{ADF41B2C-FE82-4B3C-BEA5-A130A6B922DC}"/>
    <cellStyle name="Normal 11 3 8 2 4 6" xfId="47089" xr:uid="{CFEA19D0-318C-4D7E-BE67-1594210B4C42}"/>
    <cellStyle name="Normal 11 3 8 2 5" xfId="47090" xr:uid="{0CAB2588-A17E-4B0F-BD88-9FD63ADE8793}"/>
    <cellStyle name="Normal 11 3 8 2 5 2" xfId="47091" xr:uid="{383FD902-BAF8-4FAA-AC86-A7FA4A2C8B96}"/>
    <cellStyle name="Normal 11 3 8 2 5 2 2" xfId="47092" xr:uid="{D74C51D7-F919-405E-8BFC-40A1E0BED08D}"/>
    <cellStyle name="Normal 11 3 8 2 5 2 2 2" xfId="47093" xr:uid="{6E402893-84C0-4104-9BB7-F0B5BD7F6E62}"/>
    <cellStyle name="Normal 11 3 8 2 5 2 2 2 2" xfId="47094" xr:uid="{B9FA1DA2-3E4F-4043-B9E3-208DFC206B04}"/>
    <cellStyle name="Normal 11 3 8 2 5 2 2 3" xfId="47095" xr:uid="{218963E1-7DDA-49B7-889F-7624AE8E228B}"/>
    <cellStyle name="Normal 11 3 8 2 5 2 3" xfId="47096" xr:uid="{A663889F-BEAE-4156-9337-3891F7ABF147}"/>
    <cellStyle name="Normal 11 3 8 2 5 2 3 2" xfId="47097" xr:uid="{6DCE0349-3757-4186-A1A3-052E7C37945C}"/>
    <cellStyle name="Normal 11 3 8 2 5 2 4" xfId="47098" xr:uid="{6F322200-A14E-4877-8CD0-4C624362F971}"/>
    <cellStyle name="Normal 11 3 8 2 5 3" xfId="47099" xr:uid="{E37C231E-C732-4C26-BC97-D1D259210B0A}"/>
    <cellStyle name="Normal 11 3 8 2 5 3 2" xfId="47100" xr:uid="{D1A83B08-C18C-44CD-BE17-AC670B567846}"/>
    <cellStyle name="Normal 11 3 8 2 5 3 2 2" xfId="47101" xr:uid="{FB6A6974-B24D-4934-9309-046F834C51C1}"/>
    <cellStyle name="Normal 11 3 8 2 5 3 3" xfId="47102" xr:uid="{51244044-8A54-42E5-8C8D-EE9AE2586CE6}"/>
    <cellStyle name="Normal 11 3 8 2 5 4" xfId="47103" xr:uid="{D43F2E99-72AD-4FDA-93D5-DA1C19A7EDFA}"/>
    <cellStyle name="Normal 11 3 8 2 5 4 2" xfId="47104" xr:uid="{6495D7F2-2BB0-43A4-ABB9-8FED788140CB}"/>
    <cellStyle name="Normal 11 3 8 2 5 5" xfId="47105" xr:uid="{E2BB9EE4-5C1A-4C57-94E8-A310991F3393}"/>
    <cellStyle name="Normal 11 3 8 2 6" xfId="47106" xr:uid="{24131EBF-BF06-4081-B5FC-74473F87CE02}"/>
    <cellStyle name="Normal 11 3 8 2 6 2" xfId="47107" xr:uid="{A83FC11A-D4A0-478B-851B-004EA87D29AC}"/>
    <cellStyle name="Normal 11 3 8 2 6 2 2" xfId="47108" xr:uid="{202FE9B7-0309-435F-984D-0782F746EE2D}"/>
    <cellStyle name="Normal 11 3 8 2 6 2 2 2" xfId="47109" xr:uid="{22C5F19F-A602-4D9E-8025-159220B3DC51}"/>
    <cellStyle name="Normal 11 3 8 2 6 2 3" xfId="47110" xr:uid="{68966CFC-1C31-4213-96BF-24A9EDBF972A}"/>
    <cellStyle name="Normal 11 3 8 2 6 3" xfId="47111" xr:uid="{B410921F-C8F1-4BB7-A94D-CC2C69104614}"/>
    <cellStyle name="Normal 11 3 8 2 6 3 2" xfId="47112" xr:uid="{51A288DF-9374-4888-A25D-EECA5972B33F}"/>
    <cellStyle name="Normal 11 3 8 2 6 4" xfId="47113" xr:uid="{4472AAA4-384E-4667-8450-40C421AC6DBC}"/>
    <cellStyle name="Normal 11 3 8 2 7" xfId="47114" xr:uid="{8BDF55B3-3F79-413D-BBBB-138CDC304EFD}"/>
    <cellStyle name="Normal 11 3 8 2 7 2" xfId="47115" xr:uid="{410DD4CF-E6B6-45AA-9851-641DFB2E6B97}"/>
    <cellStyle name="Normal 11 3 8 2 7 2 2" xfId="47116" xr:uid="{9D4F0653-2B79-476A-BA77-1D7C6B5DB983}"/>
    <cellStyle name="Normal 11 3 8 2 7 3" xfId="47117" xr:uid="{178649E4-D74F-4939-8099-762FC3EF0296}"/>
    <cellStyle name="Normal 11 3 8 2 8" xfId="47118" xr:uid="{4CFCCDEE-8FCB-4480-BF3B-014C92AB5ABA}"/>
    <cellStyle name="Normal 11 3 8 2 8 2" xfId="47119" xr:uid="{23545B29-2280-44A1-BECC-DD278593D952}"/>
    <cellStyle name="Normal 11 3 8 2 9" xfId="47120" xr:uid="{527B5A20-43D8-493E-8F0B-82D04D8BBEDE}"/>
    <cellStyle name="Normal 11 3 8 3" xfId="504" xr:uid="{591AAFA3-1803-4BC7-ABA3-0AF7A54F2E34}"/>
    <cellStyle name="Normal 11 3 8 3 2" xfId="47122" xr:uid="{B93713BC-79D0-4004-A0A3-15CCC050B55C}"/>
    <cellStyle name="Normal 11 3 8 3 2 2" xfId="47123" xr:uid="{29B6A9AE-702D-4B64-BFE0-7D7D7FB014B7}"/>
    <cellStyle name="Normal 11 3 8 3 2 2 2" xfId="47124" xr:uid="{024A78F1-3183-4B58-9EF4-81E77F785891}"/>
    <cellStyle name="Normal 11 3 8 3 2 2 2 2" xfId="47125" xr:uid="{3A152F5E-BC51-4D17-B825-5CDE2D5568BF}"/>
    <cellStyle name="Normal 11 3 8 3 2 2 2 2 2" xfId="47126" xr:uid="{DBAABE5A-91A4-4795-A008-0393EFAD7150}"/>
    <cellStyle name="Normal 11 3 8 3 2 2 2 2 2 2" xfId="47127" xr:uid="{9401F32F-9987-4ED9-A82C-1DAEE9819B40}"/>
    <cellStyle name="Normal 11 3 8 3 2 2 2 2 2 2 2" xfId="47128" xr:uid="{9C6CB57A-9346-4B60-9984-819920839DCE}"/>
    <cellStyle name="Normal 11 3 8 3 2 2 2 2 2 3" xfId="47129" xr:uid="{1BA55273-55DE-42B9-B7F2-C7194590DB41}"/>
    <cellStyle name="Normal 11 3 8 3 2 2 2 2 3" xfId="47130" xr:uid="{E59C159D-A5ED-4769-B16F-400045E25009}"/>
    <cellStyle name="Normal 11 3 8 3 2 2 2 2 3 2" xfId="47131" xr:uid="{77C9DD47-5594-4CB6-BDA5-9E94DC86BD59}"/>
    <cellStyle name="Normal 11 3 8 3 2 2 2 2 4" xfId="47132" xr:uid="{5BEB0D72-B0CA-4E60-B2DC-A3C8A8B0F07C}"/>
    <cellStyle name="Normal 11 3 8 3 2 2 2 3" xfId="47133" xr:uid="{0CB5FA17-8BB9-4A12-A62F-5662B8758E47}"/>
    <cellStyle name="Normal 11 3 8 3 2 2 2 3 2" xfId="47134" xr:uid="{174C0B08-A88A-42ED-85DF-7F266C04ACB7}"/>
    <cellStyle name="Normal 11 3 8 3 2 2 2 3 2 2" xfId="47135" xr:uid="{BD1C5614-AC6D-4002-9D49-E8682F5BDCB5}"/>
    <cellStyle name="Normal 11 3 8 3 2 2 2 3 3" xfId="47136" xr:uid="{0BB1DA5C-4DD1-4AD4-9D1D-A2A02CB8A76D}"/>
    <cellStyle name="Normal 11 3 8 3 2 2 2 4" xfId="47137" xr:uid="{9E80114F-1EA8-4283-9781-47137FEFA5E2}"/>
    <cellStyle name="Normal 11 3 8 3 2 2 2 4 2" xfId="47138" xr:uid="{7B9018D7-2768-4653-90E8-0E2D3896542C}"/>
    <cellStyle name="Normal 11 3 8 3 2 2 2 5" xfId="47139" xr:uid="{1FCC14F7-D40F-4070-B391-C00E736B2D3D}"/>
    <cellStyle name="Normal 11 3 8 3 2 2 3" xfId="47140" xr:uid="{02D954AC-F026-4729-BC96-1289F17F4F61}"/>
    <cellStyle name="Normal 11 3 8 3 2 2 3 2" xfId="47141" xr:uid="{DE004B2D-A0EE-4CB4-B47A-5D114EC1CBD0}"/>
    <cellStyle name="Normal 11 3 8 3 2 2 3 2 2" xfId="47142" xr:uid="{A6DD4FC5-0C2A-42A2-856A-D60A3D21E3A1}"/>
    <cellStyle name="Normal 11 3 8 3 2 2 3 2 2 2" xfId="47143" xr:uid="{1150CC8B-7E7F-4B9B-9971-98FA92978CE9}"/>
    <cellStyle name="Normal 11 3 8 3 2 2 3 2 3" xfId="47144" xr:uid="{B40D2F7B-27C9-402B-9739-0A5DE7D30ABC}"/>
    <cellStyle name="Normal 11 3 8 3 2 2 3 3" xfId="47145" xr:uid="{35A2D018-A395-469B-A8BD-6119B625028E}"/>
    <cellStyle name="Normal 11 3 8 3 2 2 3 3 2" xfId="47146" xr:uid="{76A4ED94-6FA9-462B-9574-676FE54360DA}"/>
    <cellStyle name="Normal 11 3 8 3 2 2 3 4" xfId="47147" xr:uid="{D8384AA7-B8CA-468C-B561-A8DADC7E4735}"/>
    <cellStyle name="Normal 11 3 8 3 2 2 4" xfId="47148" xr:uid="{6479EF55-E670-41C1-ADB0-C5B8C8D7BC46}"/>
    <cellStyle name="Normal 11 3 8 3 2 2 4 2" xfId="47149" xr:uid="{1731636B-FABF-4060-B0ED-0ED7560AB460}"/>
    <cellStyle name="Normal 11 3 8 3 2 2 4 2 2" xfId="47150" xr:uid="{A9FC53A1-4458-4F02-97C7-B177CC3B307A}"/>
    <cellStyle name="Normal 11 3 8 3 2 2 4 3" xfId="47151" xr:uid="{C87D0A4C-2992-4118-9C15-716F81F6C791}"/>
    <cellStyle name="Normal 11 3 8 3 2 2 5" xfId="47152" xr:uid="{0F4B8A28-0705-4568-8F1A-E6900A1D26A0}"/>
    <cellStyle name="Normal 11 3 8 3 2 2 5 2" xfId="47153" xr:uid="{0086714C-7971-4576-8D84-20FC8AC4BF85}"/>
    <cellStyle name="Normal 11 3 8 3 2 2 6" xfId="47154" xr:uid="{02D680D3-7842-4CC1-AF15-AE0576646B11}"/>
    <cellStyle name="Normal 11 3 8 3 2 3" xfId="47155" xr:uid="{15B9BAF8-6AF3-46E3-AD0C-1F8176B46B82}"/>
    <cellStyle name="Normal 11 3 8 3 2 3 2" xfId="47156" xr:uid="{57B9DDA3-F391-4ACD-B73A-502CF16EB525}"/>
    <cellStyle name="Normal 11 3 8 3 2 3 2 2" xfId="47157" xr:uid="{C081A329-914E-4322-9BBE-618B77C3AB06}"/>
    <cellStyle name="Normal 11 3 8 3 2 3 2 2 2" xfId="47158" xr:uid="{71C1EEE5-FD62-4F9B-80BD-A8FF7115664E}"/>
    <cellStyle name="Normal 11 3 8 3 2 3 2 2 2 2" xfId="47159" xr:uid="{6253A3F0-F87B-49C1-B0A4-CC518A44C3A0}"/>
    <cellStyle name="Normal 11 3 8 3 2 3 2 2 3" xfId="47160" xr:uid="{3E0926D9-BE8F-4002-A53C-F0D95C48820C}"/>
    <cellStyle name="Normal 11 3 8 3 2 3 2 3" xfId="47161" xr:uid="{93F0B4F7-76D5-43E8-93CF-10720229674A}"/>
    <cellStyle name="Normal 11 3 8 3 2 3 2 3 2" xfId="47162" xr:uid="{F70C29D3-FB16-420F-A887-D50A0B5B3991}"/>
    <cellStyle name="Normal 11 3 8 3 2 3 2 4" xfId="47163" xr:uid="{A9AC033D-8069-4D77-A6B1-17B19118A290}"/>
    <cellStyle name="Normal 11 3 8 3 2 3 3" xfId="47164" xr:uid="{40A5125C-A6EC-420F-AF8E-88CBAD005167}"/>
    <cellStyle name="Normal 11 3 8 3 2 3 3 2" xfId="47165" xr:uid="{04444848-4230-4A3A-A669-DBF471374E97}"/>
    <cellStyle name="Normal 11 3 8 3 2 3 3 2 2" xfId="47166" xr:uid="{E9A13908-0C92-4B5C-89BD-DCB309CA15CA}"/>
    <cellStyle name="Normal 11 3 8 3 2 3 3 3" xfId="47167" xr:uid="{593D9E54-08A7-4096-8C94-6E18CA523BF1}"/>
    <cellStyle name="Normal 11 3 8 3 2 3 4" xfId="47168" xr:uid="{F905A88E-C9E0-4287-9575-1A5EC35C0E85}"/>
    <cellStyle name="Normal 11 3 8 3 2 3 4 2" xfId="47169" xr:uid="{101BA06D-FE45-4A1C-B9D5-29BF113E13D9}"/>
    <cellStyle name="Normal 11 3 8 3 2 3 5" xfId="47170" xr:uid="{C853B094-4313-401D-9EA1-F23A28FC3866}"/>
    <cellStyle name="Normal 11 3 8 3 2 4" xfId="47171" xr:uid="{D3A57C44-C9C0-444C-A71D-950D226A7725}"/>
    <cellStyle name="Normal 11 3 8 3 2 4 2" xfId="47172" xr:uid="{2DA40A76-E80D-4EEE-9167-825669112FB8}"/>
    <cellStyle name="Normal 11 3 8 3 2 4 2 2" xfId="47173" xr:uid="{9C6FE3C5-0152-4C2A-A74B-97C20589F42A}"/>
    <cellStyle name="Normal 11 3 8 3 2 4 2 2 2" xfId="47174" xr:uid="{1C24C37A-1A19-4BA4-807C-D6FBCBF52983}"/>
    <cellStyle name="Normal 11 3 8 3 2 4 2 3" xfId="47175" xr:uid="{D3C322B1-9C99-4642-B5F1-F49A21E5F6F1}"/>
    <cellStyle name="Normal 11 3 8 3 2 4 3" xfId="47176" xr:uid="{AA01706D-AB7A-4D7C-8C02-FEF8499A21A5}"/>
    <cellStyle name="Normal 11 3 8 3 2 4 3 2" xfId="47177" xr:uid="{BB40308B-91C2-4EBD-8326-B82051291998}"/>
    <cellStyle name="Normal 11 3 8 3 2 4 4" xfId="47178" xr:uid="{951AEBF9-D0BF-48AC-B155-4934468C1B07}"/>
    <cellStyle name="Normal 11 3 8 3 2 5" xfId="47179" xr:uid="{A9A2A687-D2CC-44EA-BD4A-D720C2D1DB37}"/>
    <cellStyle name="Normal 11 3 8 3 2 5 2" xfId="47180" xr:uid="{CD93285F-7CE3-47E5-A01C-AC636F30EB5C}"/>
    <cellStyle name="Normal 11 3 8 3 2 5 2 2" xfId="47181" xr:uid="{4D5B3002-98A5-4E5B-BD8A-5D465D2CAE66}"/>
    <cellStyle name="Normal 11 3 8 3 2 5 3" xfId="47182" xr:uid="{A42A94CD-B0F2-430B-845A-36C2880DEA95}"/>
    <cellStyle name="Normal 11 3 8 3 2 6" xfId="47183" xr:uid="{AFA74E7D-F4E2-4A80-AA63-46B058CA6E24}"/>
    <cellStyle name="Normal 11 3 8 3 2 6 2" xfId="47184" xr:uid="{6CECD105-9A58-4B8A-A2D3-C8375ACD20B1}"/>
    <cellStyle name="Normal 11 3 8 3 2 7" xfId="47185" xr:uid="{D68F8BEC-D95C-456B-B3BB-7F72907C3BD8}"/>
    <cellStyle name="Normal 11 3 8 3 3" xfId="47186" xr:uid="{56D3AA70-BA30-4830-993E-5E0C5011D2F2}"/>
    <cellStyle name="Normal 11 3 8 3 3 2" xfId="47187" xr:uid="{C036C662-63F0-4BE5-807B-1D29977C3386}"/>
    <cellStyle name="Normal 11 3 8 3 3 2 2" xfId="47188" xr:uid="{1D4FEA97-F1F3-4D6C-A293-23838F4EFEEC}"/>
    <cellStyle name="Normal 11 3 8 3 3 2 2 2" xfId="47189" xr:uid="{2DFB5741-D3EE-43D2-8FD5-33D06487D580}"/>
    <cellStyle name="Normal 11 3 8 3 3 2 2 2 2" xfId="47190" xr:uid="{0C81FC34-803C-4259-9453-2806A197A0DD}"/>
    <cellStyle name="Normal 11 3 8 3 3 2 2 2 2 2" xfId="47191" xr:uid="{10AE1B13-00BF-4984-84B9-36907E469F1B}"/>
    <cellStyle name="Normal 11 3 8 3 3 2 2 2 3" xfId="47192" xr:uid="{24135EED-6212-480A-8F97-799F8E01E975}"/>
    <cellStyle name="Normal 11 3 8 3 3 2 2 3" xfId="47193" xr:uid="{5721BC7F-ED36-45D5-8D21-3C61811CA870}"/>
    <cellStyle name="Normal 11 3 8 3 3 2 2 3 2" xfId="47194" xr:uid="{34655B47-AA69-440D-8D1D-FAFE25CB2FEA}"/>
    <cellStyle name="Normal 11 3 8 3 3 2 2 4" xfId="47195" xr:uid="{2C29A7CD-43DC-404D-99B6-AAE76A166A4B}"/>
    <cellStyle name="Normal 11 3 8 3 3 2 3" xfId="47196" xr:uid="{17F3EF02-1F58-4E9A-A57A-78C30C51A09A}"/>
    <cellStyle name="Normal 11 3 8 3 3 2 3 2" xfId="47197" xr:uid="{CC35E522-7DCD-4183-A39F-5A5DFE30AF3B}"/>
    <cellStyle name="Normal 11 3 8 3 3 2 3 2 2" xfId="47198" xr:uid="{77E7B87A-3136-40D2-8F2D-1A7A486DB231}"/>
    <cellStyle name="Normal 11 3 8 3 3 2 3 3" xfId="47199" xr:uid="{EC5AC6BD-0A73-426B-8496-59C388FB3254}"/>
    <cellStyle name="Normal 11 3 8 3 3 2 4" xfId="47200" xr:uid="{3E5B15EE-D67C-40F3-B3D4-DDD13CB64542}"/>
    <cellStyle name="Normal 11 3 8 3 3 2 4 2" xfId="47201" xr:uid="{08012192-56ED-4675-A00B-7C0C97602CED}"/>
    <cellStyle name="Normal 11 3 8 3 3 2 5" xfId="47202" xr:uid="{1632A935-1668-4817-96F4-41450E841295}"/>
    <cellStyle name="Normal 11 3 8 3 3 3" xfId="47203" xr:uid="{4C06C378-7EC1-4954-B709-36AB222744AD}"/>
    <cellStyle name="Normal 11 3 8 3 3 3 2" xfId="47204" xr:uid="{56287E96-6302-42E0-9099-E98912A8632B}"/>
    <cellStyle name="Normal 11 3 8 3 3 3 2 2" xfId="47205" xr:uid="{ADAF521F-90D1-489C-BCFE-6563966F73E8}"/>
    <cellStyle name="Normal 11 3 8 3 3 3 2 2 2" xfId="47206" xr:uid="{D12619AC-A12D-4152-9E2D-5B3461E07805}"/>
    <cellStyle name="Normal 11 3 8 3 3 3 2 3" xfId="47207" xr:uid="{613E6016-0CD0-414E-8C91-250094AE4B8F}"/>
    <cellStyle name="Normal 11 3 8 3 3 3 3" xfId="47208" xr:uid="{F3D34F30-5498-4281-8BDD-003AB9C1D936}"/>
    <cellStyle name="Normal 11 3 8 3 3 3 3 2" xfId="47209" xr:uid="{9100335E-A6D0-4064-AC52-C39D5D374F86}"/>
    <cellStyle name="Normal 11 3 8 3 3 3 4" xfId="47210" xr:uid="{45035B00-19E1-481E-A56B-4FEDBC43187E}"/>
    <cellStyle name="Normal 11 3 8 3 3 4" xfId="47211" xr:uid="{B698C851-C6CD-4F32-A1A2-770B5A49FA02}"/>
    <cellStyle name="Normal 11 3 8 3 3 4 2" xfId="47212" xr:uid="{877D9CB4-B9C3-4401-AA36-EC908A7FA0E1}"/>
    <cellStyle name="Normal 11 3 8 3 3 4 2 2" xfId="47213" xr:uid="{F002F9F8-3E85-411F-8120-B813612F0033}"/>
    <cellStyle name="Normal 11 3 8 3 3 4 3" xfId="47214" xr:uid="{5CC87FF9-3F47-4632-876E-E7B93735BB1B}"/>
    <cellStyle name="Normal 11 3 8 3 3 5" xfId="47215" xr:uid="{938A095D-4BFD-42CD-91BD-ADF4BCC43E92}"/>
    <cellStyle name="Normal 11 3 8 3 3 5 2" xfId="47216" xr:uid="{12FBB1E9-DF7D-48B5-9D44-455FBFA1B769}"/>
    <cellStyle name="Normal 11 3 8 3 3 6" xfId="47217" xr:uid="{68A1AAB9-9D4F-4823-8A03-D43811D49207}"/>
    <cellStyle name="Normal 11 3 8 3 4" xfId="47218" xr:uid="{B93E395D-7A05-4BAF-AAC1-BAAFD6C25855}"/>
    <cellStyle name="Normal 11 3 8 3 4 2" xfId="47219" xr:uid="{CC837ABE-A640-4309-8272-8C473396A641}"/>
    <cellStyle name="Normal 11 3 8 3 4 2 2" xfId="47220" xr:uid="{26EBEA17-D719-4C93-9353-CD67450F2C04}"/>
    <cellStyle name="Normal 11 3 8 3 4 2 2 2" xfId="47221" xr:uid="{A96C43A4-60CB-46B3-AFE6-4C40EB353035}"/>
    <cellStyle name="Normal 11 3 8 3 4 2 2 2 2" xfId="47222" xr:uid="{064856D5-3D7E-4575-86C1-BB206A3E7833}"/>
    <cellStyle name="Normal 11 3 8 3 4 2 2 3" xfId="47223" xr:uid="{D502D821-86C2-4106-8F06-FD14B605B998}"/>
    <cellStyle name="Normal 11 3 8 3 4 2 3" xfId="47224" xr:uid="{4DC67943-CD38-44BE-8E67-0FC39E3D0DE2}"/>
    <cellStyle name="Normal 11 3 8 3 4 2 3 2" xfId="47225" xr:uid="{C0825FFF-7E52-4305-B583-0F81000B363D}"/>
    <cellStyle name="Normal 11 3 8 3 4 2 4" xfId="47226" xr:uid="{8EBA5F0D-A397-4D9C-AAFA-8CD9E20CBF0C}"/>
    <cellStyle name="Normal 11 3 8 3 4 3" xfId="47227" xr:uid="{15F6C1E7-B4C3-4300-8C47-3E873DF372EE}"/>
    <cellStyle name="Normal 11 3 8 3 4 3 2" xfId="47228" xr:uid="{1ADA9426-FB5D-4FA5-A188-0F54077540D5}"/>
    <cellStyle name="Normal 11 3 8 3 4 3 2 2" xfId="47229" xr:uid="{BAAE8851-DF80-49D0-BE6E-AAF66DA75610}"/>
    <cellStyle name="Normal 11 3 8 3 4 3 3" xfId="47230" xr:uid="{E1472FF1-92E9-43F4-B428-A4059E581623}"/>
    <cellStyle name="Normal 11 3 8 3 4 4" xfId="47231" xr:uid="{9E8BD8F8-6D3A-4380-816D-3FA710BD70C6}"/>
    <cellStyle name="Normal 11 3 8 3 4 4 2" xfId="47232" xr:uid="{9F9F0C81-F60F-4BF7-8F4A-A91AA1A46349}"/>
    <cellStyle name="Normal 11 3 8 3 4 5" xfId="47233" xr:uid="{B813B171-4919-4959-ADE2-BDDD48BBB47B}"/>
    <cellStyle name="Normal 11 3 8 3 5" xfId="47234" xr:uid="{AF267734-63F6-4B7F-BF27-FE19A04606E3}"/>
    <cellStyle name="Normal 11 3 8 3 5 2" xfId="47235" xr:uid="{1996EEDF-FA02-4B9D-96DF-DBD64537AB3E}"/>
    <cellStyle name="Normal 11 3 8 3 5 2 2" xfId="47236" xr:uid="{DD6E579F-771A-4311-A3DE-E21409BB4D47}"/>
    <cellStyle name="Normal 11 3 8 3 5 2 2 2" xfId="47237" xr:uid="{B283C12C-7802-4981-BBF2-8BD819E09A3C}"/>
    <cellStyle name="Normal 11 3 8 3 5 2 3" xfId="47238" xr:uid="{37BBC270-6DD9-4C85-BB5E-56110875C8AF}"/>
    <cellStyle name="Normal 11 3 8 3 5 3" xfId="47239" xr:uid="{75AF07B1-23DB-45C5-8C17-C02B0B866CC7}"/>
    <cellStyle name="Normal 11 3 8 3 5 3 2" xfId="47240" xr:uid="{2F6044C7-3E73-4078-B351-14F346B55B1B}"/>
    <cellStyle name="Normal 11 3 8 3 5 4" xfId="47241" xr:uid="{F30A842C-D317-44CD-B9B0-69EB7B66F10B}"/>
    <cellStyle name="Normal 11 3 8 3 6" xfId="47242" xr:uid="{90F21F1B-8C33-469D-A0C7-56F242278386}"/>
    <cellStyle name="Normal 11 3 8 3 6 2" xfId="47243" xr:uid="{A2525707-8BEE-4801-A5E3-BDA60887DBB1}"/>
    <cellStyle name="Normal 11 3 8 3 6 2 2" xfId="47244" xr:uid="{1B6C9CC2-0737-470B-87DD-59F369E429DF}"/>
    <cellStyle name="Normal 11 3 8 3 6 3" xfId="47245" xr:uid="{3A51C4EC-63C8-4F97-B93D-2E931BD50AEB}"/>
    <cellStyle name="Normal 11 3 8 3 7" xfId="47246" xr:uid="{39D014F9-03D7-4D5F-9CBE-AE6F74F37128}"/>
    <cellStyle name="Normal 11 3 8 3 7 2" xfId="47247" xr:uid="{E79BF5C0-63F8-4665-84AE-8CEA1DC230A0}"/>
    <cellStyle name="Normal 11 3 8 3 8" xfId="47248" xr:uid="{F6BCAD44-F0F0-4D8E-A41C-7D1E93AB831C}"/>
    <cellStyle name="Normal 11 3 8 3 9" xfId="47121" xr:uid="{51603737-97AA-4A04-8720-952E443A23DC}"/>
    <cellStyle name="Normal 11 3 8 4" xfId="47249" xr:uid="{4415721D-8E1B-4286-94B4-D0650A9610CC}"/>
    <cellStyle name="Normal 11 3 8 4 2" xfId="47250" xr:uid="{087C98C9-6933-48AA-B193-E6BA0B1333F1}"/>
    <cellStyle name="Normal 11 3 8 4 2 2" xfId="47251" xr:uid="{AE051F6F-8728-4B3C-BC07-98BCA85E788F}"/>
    <cellStyle name="Normal 11 3 8 4 2 2 2" xfId="47252" xr:uid="{ABCE415A-E68F-4C62-875B-1A35352EFB1A}"/>
    <cellStyle name="Normal 11 3 8 4 2 2 2 2" xfId="47253" xr:uid="{A87D5D2B-190D-4C4E-9092-316758505466}"/>
    <cellStyle name="Normal 11 3 8 4 2 2 2 2 2" xfId="47254" xr:uid="{19DCB3DB-D80D-491A-993E-F87FA3DEC3C9}"/>
    <cellStyle name="Normal 11 3 8 4 2 2 2 2 2 2" xfId="47255" xr:uid="{08F5BC60-5B8F-4D66-B98C-2C4913BACA13}"/>
    <cellStyle name="Normal 11 3 8 4 2 2 2 2 3" xfId="47256" xr:uid="{41569FB9-44FE-4475-929F-C36CE396B2AD}"/>
    <cellStyle name="Normal 11 3 8 4 2 2 2 3" xfId="47257" xr:uid="{E9E1DD14-3D72-41D5-BD00-2F3B0A70200C}"/>
    <cellStyle name="Normal 11 3 8 4 2 2 2 3 2" xfId="47258" xr:uid="{3977194F-2794-4F57-AA80-A17EB7DC0A01}"/>
    <cellStyle name="Normal 11 3 8 4 2 2 2 4" xfId="47259" xr:uid="{62F21997-AED6-4225-B90B-3F91C13EC9D5}"/>
    <cellStyle name="Normal 11 3 8 4 2 2 3" xfId="47260" xr:uid="{EB841D19-1EC5-486E-843A-54266F13E7FC}"/>
    <cellStyle name="Normal 11 3 8 4 2 2 3 2" xfId="47261" xr:uid="{E12D3A33-5A10-4981-A30F-4A4EA25F9A92}"/>
    <cellStyle name="Normal 11 3 8 4 2 2 3 2 2" xfId="47262" xr:uid="{28176495-E628-49D2-B8C2-68ACF64632E7}"/>
    <cellStyle name="Normal 11 3 8 4 2 2 3 3" xfId="47263" xr:uid="{BC2A350E-5AE1-43CC-8DAE-D83DFF1C3334}"/>
    <cellStyle name="Normal 11 3 8 4 2 2 4" xfId="47264" xr:uid="{8CBD4F3B-442F-44A2-BCF8-C9F37BC1261C}"/>
    <cellStyle name="Normal 11 3 8 4 2 2 4 2" xfId="47265" xr:uid="{A241DCF1-AE33-4247-8532-4CA31F18B78F}"/>
    <cellStyle name="Normal 11 3 8 4 2 2 5" xfId="47266" xr:uid="{72D28D0D-A2FB-4ED9-ACC9-1F6C1F5F1748}"/>
    <cellStyle name="Normal 11 3 8 4 2 3" xfId="47267" xr:uid="{3A22BCDD-9BB9-4B74-BBBE-82D8B881D29F}"/>
    <cellStyle name="Normal 11 3 8 4 2 3 2" xfId="47268" xr:uid="{571C789A-60F9-4EC7-9C70-9ED1E8AF2A63}"/>
    <cellStyle name="Normal 11 3 8 4 2 3 2 2" xfId="47269" xr:uid="{0BCBEE79-8DF7-4FB2-AD68-17FD4C0CC803}"/>
    <cellStyle name="Normal 11 3 8 4 2 3 2 2 2" xfId="47270" xr:uid="{6BC62FC9-7A4C-47AF-810A-59C965DDE9C4}"/>
    <cellStyle name="Normal 11 3 8 4 2 3 2 3" xfId="47271" xr:uid="{3528E5A5-D592-4CDB-A63C-8C5154179687}"/>
    <cellStyle name="Normal 11 3 8 4 2 3 3" xfId="47272" xr:uid="{43E6164D-FF54-4152-B77B-75B69F088C02}"/>
    <cellStyle name="Normal 11 3 8 4 2 3 3 2" xfId="47273" xr:uid="{800EEDAF-8DC5-489B-8DA9-6C0CEE2D086D}"/>
    <cellStyle name="Normal 11 3 8 4 2 3 4" xfId="47274" xr:uid="{1B3E4707-A1DB-4103-863A-441D0871159F}"/>
    <cellStyle name="Normal 11 3 8 4 2 4" xfId="47275" xr:uid="{A9ADA09F-6F66-41CE-B8C7-B9A0EAAC8874}"/>
    <cellStyle name="Normal 11 3 8 4 2 4 2" xfId="47276" xr:uid="{3B6066DD-E67D-4F9F-8281-AEFB155BF8E2}"/>
    <cellStyle name="Normal 11 3 8 4 2 4 2 2" xfId="47277" xr:uid="{C5B4914C-73DD-4119-8D86-E964AAF78B41}"/>
    <cellStyle name="Normal 11 3 8 4 2 4 3" xfId="47278" xr:uid="{35093134-F2C5-41BD-BDEB-45CE28317956}"/>
    <cellStyle name="Normal 11 3 8 4 2 5" xfId="47279" xr:uid="{4E15612C-AB72-4E46-964A-22223B0AA1F2}"/>
    <cellStyle name="Normal 11 3 8 4 2 5 2" xfId="47280" xr:uid="{90F76ED4-BFA7-44C9-8690-0BE802A2E9B8}"/>
    <cellStyle name="Normal 11 3 8 4 2 6" xfId="47281" xr:uid="{FFEAE4AE-4761-48DB-B462-751222BC1EAA}"/>
    <cellStyle name="Normal 11 3 8 4 3" xfId="47282" xr:uid="{D1834989-FCA3-4F20-84C9-31D297E34F6D}"/>
    <cellStyle name="Normal 11 3 8 4 3 2" xfId="47283" xr:uid="{B543BBBB-E769-44F8-8242-DDF465E4FEC1}"/>
    <cellStyle name="Normal 11 3 8 4 3 2 2" xfId="47284" xr:uid="{572E2BE9-3E02-4C1B-BB9D-E601E9352AE2}"/>
    <cellStyle name="Normal 11 3 8 4 3 2 2 2" xfId="47285" xr:uid="{9661CBD9-EF4F-4047-B09B-F21A6DF9B381}"/>
    <cellStyle name="Normal 11 3 8 4 3 2 2 2 2" xfId="47286" xr:uid="{B8DA9EAA-28A9-41BA-B730-E0AA93F9F790}"/>
    <cellStyle name="Normal 11 3 8 4 3 2 2 3" xfId="47287" xr:uid="{4A34550D-6B7A-4413-B3B0-134CBFF49D97}"/>
    <cellStyle name="Normal 11 3 8 4 3 2 3" xfId="47288" xr:uid="{1528D4FA-D52A-430B-8762-0AEB6A7E2A97}"/>
    <cellStyle name="Normal 11 3 8 4 3 2 3 2" xfId="47289" xr:uid="{5C3EEB64-3112-44D6-A256-73EFCA376ABC}"/>
    <cellStyle name="Normal 11 3 8 4 3 2 4" xfId="47290" xr:uid="{F50F33FC-3B47-496B-9A36-3128AD86A0F9}"/>
    <cellStyle name="Normal 11 3 8 4 3 3" xfId="47291" xr:uid="{CD79CC85-FF9F-444F-B4CF-EB5D8D776359}"/>
    <cellStyle name="Normal 11 3 8 4 3 3 2" xfId="47292" xr:uid="{A5229260-23CC-428A-909C-C22BED7DE8A2}"/>
    <cellStyle name="Normal 11 3 8 4 3 3 2 2" xfId="47293" xr:uid="{8FEBFA75-5D54-4956-B745-00106758190A}"/>
    <cellStyle name="Normal 11 3 8 4 3 3 3" xfId="47294" xr:uid="{614C2BA7-A611-4C62-9F45-2EAAF6BACDDD}"/>
    <cellStyle name="Normal 11 3 8 4 3 4" xfId="47295" xr:uid="{AF1A40B5-F3E8-4AE4-BB1E-692BE9491130}"/>
    <cellStyle name="Normal 11 3 8 4 3 4 2" xfId="47296" xr:uid="{35E497D1-BCDC-4D6E-BF2F-E33CD2B69878}"/>
    <cellStyle name="Normal 11 3 8 4 3 5" xfId="47297" xr:uid="{7ABC1EAC-7D7E-4D58-BC0D-34FEED4B25B6}"/>
    <cellStyle name="Normal 11 3 8 4 4" xfId="47298" xr:uid="{E4D98390-B8CE-4E6C-9528-FB8A27C2B549}"/>
    <cellStyle name="Normal 11 3 8 4 4 2" xfId="47299" xr:uid="{C55C85C0-7B2A-47F6-895C-D9F3711DB5B6}"/>
    <cellStyle name="Normal 11 3 8 4 4 2 2" xfId="47300" xr:uid="{4C62A284-F1FD-42CA-B5DE-17C6478AA690}"/>
    <cellStyle name="Normal 11 3 8 4 4 2 2 2" xfId="47301" xr:uid="{86F5F1EE-6D77-4510-A6B7-F5C4C52D7BDB}"/>
    <cellStyle name="Normal 11 3 8 4 4 2 3" xfId="47302" xr:uid="{A4CD9254-7DC1-4EAB-AF0D-0EEF02F470D3}"/>
    <cellStyle name="Normal 11 3 8 4 4 3" xfId="47303" xr:uid="{CB60B931-AB45-42D0-931E-A0852859E0EC}"/>
    <cellStyle name="Normal 11 3 8 4 4 3 2" xfId="47304" xr:uid="{EDDDEB53-AB4D-4AA1-A15D-9E631DAE49A0}"/>
    <cellStyle name="Normal 11 3 8 4 4 4" xfId="47305" xr:uid="{C67C85A1-EFC3-49D5-B5E5-0FDD2E9DCBEA}"/>
    <cellStyle name="Normal 11 3 8 4 5" xfId="47306" xr:uid="{83252FCA-8B20-4F6D-A5B5-C6964D7260D4}"/>
    <cellStyle name="Normal 11 3 8 4 5 2" xfId="47307" xr:uid="{6BC02540-BD94-491B-B819-48AF7AC7DD26}"/>
    <cellStyle name="Normal 11 3 8 4 5 2 2" xfId="47308" xr:uid="{0E2EF06E-4099-4DAD-B3F6-7A225D29069F}"/>
    <cellStyle name="Normal 11 3 8 4 5 3" xfId="47309" xr:uid="{A16D56C0-AF91-4D44-BDF2-C9678279AA1A}"/>
    <cellStyle name="Normal 11 3 8 4 6" xfId="47310" xr:uid="{8756F426-3124-41C4-AA62-64A60A66BCE0}"/>
    <cellStyle name="Normal 11 3 8 4 6 2" xfId="47311" xr:uid="{95686075-E18C-458D-8F69-FC42A94A1100}"/>
    <cellStyle name="Normal 11 3 8 4 7" xfId="47312" xr:uid="{3F1B9008-2CB1-4A44-91EB-C51F33A74F35}"/>
    <cellStyle name="Normal 11 3 8 5" xfId="47313" xr:uid="{F4D66432-8EBB-4C23-B3CE-BDDDEE6D1DD9}"/>
    <cellStyle name="Normal 11 3 8 5 2" xfId="47314" xr:uid="{2D183C52-FC1A-45E4-9314-A45E709CC68B}"/>
    <cellStyle name="Normal 11 3 8 5 2 2" xfId="47315" xr:uid="{723EC73E-A582-49A5-8BD4-A05C0113520A}"/>
    <cellStyle name="Normal 11 3 8 5 2 2 2" xfId="47316" xr:uid="{6C0EF857-6F29-4019-8BC5-D5532C029495}"/>
    <cellStyle name="Normal 11 3 8 5 2 2 2 2" xfId="47317" xr:uid="{58125BFC-4435-4893-906B-BD8C3873383D}"/>
    <cellStyle name="Normal 11 3 8 5 2 2 2 2 2" xfId="47318" xr:uid="{BD1EA33E-1DAF-44EB-ABE6-9027E120750E}"/>
    <cellStyle name="Normal 11 3 8 5 2 2 2 3" xfId="47319" xr:uid="{533CB0D9-E70B-4C88-804F-70B632438A67}"/>
    <cellStyle name="Normal 11 3 8 5 2 2 3" xfId="47320" xr:uid="{A65E972E-F253-4C81-8176-2B330129D04A}"/>
    <cellStyle name="Normal 11 3 8 5 2 2 3 2" xfId="47321" xr:uid="{5728A391-041A-4FF3-80A7-7EA0B85830D0}"/>
    <cellStyle name="Normal 11 3 8 5 2 2 4" xfId="47322" xr:uid="{9D08C38F-6142-4847-B296-BA400344623B}"/>
    <cellStyle name="Normal 11 3 8 5 2 3" xfId="47323" xr:uid="{4F986036-B410-4B54-888A-310148393507}"/>
    <cellStyle name="Normal 11 3 8 5 2 3 2" xfId="47324" xr:uid="{74031C80-44FA-414F-BFA4-C215595460DE}"/>
    <cellStyle name="Normal 11 3 8 5 2 3 2 2" xfId="47325" xr:uid="{284343A5-BC76-4E3D-8EC4-0E6EA3038D56}"/>
    <cellStyle name="Normal 11 3 8 5 2 3 3" xfId="47326" xr:uid="{5B24641E-1522-44B2-9B8F-4C145C4AA20E}"/>
    <cellStyle name="Normal 11 3 8 5 2 4" xfId="47327" xr:uid="{567B310F-D596-4A31-AFB0-047A471EAD32}"/>
    <cellStyle name="Normal 11 3 8 5 2 4 2" xfId="47328" xr:uid="{0DD7FF1C-878C-4046-B12C-C27050D73532}"/>
    <cellStyle name="Normal 11 3 8 5 2 5" xfId="47329" xr:uid="{A569898F-35F4-4204-BADF-7B32492BFE0C}"/>
    <cellStyle name="Normal 11 3 8 5 3" xfId="47330" xr:uid="{78A763D8-2CF8-4317-AA41-66D2A8CBDD7E}"/>
    <cellStyle name="Normal 11 3 8 5 3 2" xfId="47331" xr:uid="{1346081D-40D3-4ACB-950B-A97F25DAA244}"/>
    <cellStyle name="Normal 11 3 8 5 3 2 2" xfId="47332" xr:uid="{020923B2-1880-405F-85A9-F67DFC6D0C84}"/>
    <cellStyle name="Normal 11 3 8 5 3 2 2 2" xfId="47333" xr:uid="{2C2C88C6-50EE-4B49-B9C8-6EC353E15948}"/>
    <cellStyle name="Normal 11 3 8 5 3 2 3" xfId="47334" xr:uid="{6564DC46-AB70-41D1-BD09-7A274E7B9A99}"/>
    <cellStyle name="Normal 11 3 8 5 3 3" xfId="47335" xr:uid="{D3BFB609-142F-4C0B-9C87-322AF457E768}"/>
    <cellStyle name="Normal 11 3 8 5 3 3 2" xfId="47336" xr:uid="{3C034437-7E60-48F8-8B35-2DFA41569244}"/>
    <cellStyle name="Normal 11 3 8 5 3 4" xfId="47337" xr:uid="{37D7B582-CDA9-4F5B-AA6E-A7EBC38AB7A8}"/>
    <cellStyle name="Normal 11 3 8 5 4" xfId="47338" xr:uid="{768E203F-0D90-4BF1-B936-492713C80ED0}"/>
    <cellStyle name="Normal 11 3 8 5 4 2" xfId="47339" xr:uid="{96FCCDA6-53F4-4E76-9880-7C59F7BA8812}"/>
    <cellStyle name="Normal 11 3 8 5 4 2 2" xfId="47340" xr:uid="{72E4518D-C886-46AC-AAA5-4B1A198EFBF2}"/>
    <cellStyle name="Normal 11 3 8 5 4 3" xfId="47341" xr:uid="{15AB1081-8756-4D12-9FF4-E59612842DAA}"/>
    <cellStyle name="Normal 11 3 8 5 5" xfId="47342" xr:uid="{940A67BB-2698-49B3-BCC9-826130FF3EBB}"/>
    <cellStyle name="Normal 11 3 8 5 5 2" xfId="47343" xr:uid="{FA75DCD8-70D5-41D7-BDE7-0B0C47435CDF}"/>
    <cellStyle name="Normal 11 3 8 5 6" xfId="47344" xr:uid="{1D1D38BA-AF3E-4428-8148-5E7815EDF71A}"/>
    <cellStyle name="Normal 11 3 8 6" xfId="47345" xr:uid="{A8809A25-4FE4-43A2-8DDF-CD7B66775D17}"/>
    <cellStyle name="Normal 11 3 8 6 2" xfId="47346" xr:uid="{7CDACF98-36AC-4EC0-B574-7EEC936C509D}"/>
    <cellStyle name="Normal 11 3 8 6 2 2" xfId="47347" xr:uid="{C76C2F42-DD41-4F25-8D8A-975919E8AE83}"/>
    <cellStyle name="Normal 11 3 8 6 2 2 2" xfId="47348" xr:uid="{CE037FEF-D157-4638-8D5B-6E79796EF98F}"/>
    <cellStyle name="Normal 11 3 8 6 2 2 2 2" xfId="47349" xr:uid="{559C3251-CAD9-46F7-89F3-24BEE4022742}"/>
    <cellStyle name="Normal 11 3 8 6 2 2 3" xfId="47350" xr:uid="{DCA8DC2F-649A-4A20-8C8A-FF98CC05863C}"/>
    <cellStyle name="Normal 11 3 8 6 2 3" xfId="47351" xr:uid="{A794AA39-3F19-4CD5-B001-FBD989708BFC}"/>
    <cellStyle name="Normal 11 3 8 6 2 3 2" xfId="47352" xr:uid="{4F61499F-7E27-4240-94E6-F14DF4E74744}"/>
    <cellStyle name="Normal 11 3 8 6 2 4" xfId="47353" xr:uid="{EF91FBB6-85D4-4F78-B312-3DED989B9F71}"/>
    <cellStyle name="Normal 11 3 8 6 3" xfId="47354" xr:uid="{891ABE35-87BA-45D2-ABFB-21FFE8267844}"/>
    <cellStyle name="Normal 11 3 8 6 3 2" xfId="47355" xr:uid="{A300DF00-64FC-436D-BE68-EEBE059B8410}"/>
    <cellStyle name="Normal 11 3 8 6 3 2 2" xfId="47356" xr:uid="{756560A7-87A1-4E21-A097-5989EB65419F}"/>
    <cellStyle name="Normal 11 3 8 6 3 3" xfId="47357" xr:uid="{5CB2A2EA-D583-4E86-A8AA-844921EAEC15}"/>
    <cellStyle name="Normal 11 3 8 6 4" xfId="47358" xr:uid="{CB34F060-31FB-4C49-A247-093D6027FB0E}"/>
    <cellStyle name="Normal 11 3 8 6 4 2" xfId="47359" xr:uid="{CF063397-EA8F-4316-B3D7-15F0CC6E7002}"/>
    <cellStyle name="Normal 11 3 8 6 5" xfId="47360" xr:uid="{41D7CF3A-86FE-45F5-9FC4-66D4D426C15C}"/>
    <cellStyle name="Normal 11 3 8 7" xfId="47361" xr:uid="{748BD5D9-7D99-42B6-9D5D-D77788127A26}"/>
    <cellStyle name="Normal 11 3 8 7 2" xfId="47362" xr:uid="{1C604770-17B7-4E1A-9477-2F1507AAFB11}"/>
    <cellStyle name="Normal 11 3 8 7 2 2" xfId="47363" xr:uid="{9D75C9A5-2DC2-48C5-9EF2-CA0B3E8F9886}"/>
    <cellStyle name="Normal 11 3 8 7 2 2 2" xfId="47364" xr:uid="{D1D74299-E883-4865-B541-2C7B810DA0E0}"/>
    <cellStyle name="Normal 11 3 8 7 2 3" xfId="47365" xr:uid="{2CE7228B-ECF3-4C7B-AAF5-F4B54A620222}"/>
    <cellStyle name="Normal 11 3 8 7 3" xfId="47366" xr:uid="{D20C8761-7E6E-4042-881B-F2FBB333C15C}"/>
    <cellStyle name="Normal 11 3 8 7 3 2" xfId="47367" xr:uid="{83E15DE9-FEEB-4B61-A70C-8C1EF328AABD}"/>
    <cellStyle name="Normal 11 3 8 7 4" xfId="47368" xr:uid="{9C3095E0-30B0-477C-A8AB-02BE1B0EF967}"/>
    <cellStyle name="Normal 11 3 8 8" xfId="47369" xr:uid="{C35C2ADF-D402-440D-8F5B-D17CCD17D692}"/>
    <cellStyle name="Normal 11 3 8 8 2" xfId="47370" xr:uid="{0076F4E3-FA3B-4A48-B26C-8E87E737FFF3}"/>
    <cellStyle name="Normal 11 3 8 8 2 2" xfId="47371" xr:uid="{EEB5167F-0CF7-41A1-98D9-4317F0174832}"/>
    <cellStyle name="Normal 11 3 8 8 3" xfId="47372" xr:uid="{9747AAB1-8BD8-402B-89EF-FB58D4D8D5B2}"/>
    <cellStyle name="Normal 11 3 8 9" xfId="47373" xr:uid="{AD14753B-4ABA-4ADF-8785-7E19B94BEB9A}"/>
    <cellStyle name="Normal 11 3 8 9 2" xfId="47374" xr:uid="{D779C776-EC03-4A43-836C-5DC5F6E20D9A}"/>
    <cellStyle name="Normal 11 3 9" xfId="370" xr:uid="{0B098C47-3DC8-4DF5-ACBA-D00AB07A5185}"/>
    <cellStyle name="Normal 11 3 9 10" xfId="47375" xr:uid="{E1C5309A-5654-4420-B174-0E6EE4A59F0C}"/>
    <cellStyle name="Normal 11 3 9 2" xfId="47376" xr:uid="{D48EDCC0-1ED3-4E00-BEAA-B544201E47FE}"/>
    <cellStyle name="Normal 11 3 9 2 2" xfId="47377" xr:uid="{D747A403-D28C-41B7-9BC5-DDD59FCFF4C1}"/>
    <cellStyle name="Normal 11 3 9 2 2 2" xfId="47378" xr:uid="{DBFC8382-F4E4-4929-8703-A3E8F0D2187F}"/>
    <cellStyle name="Normal 11 3 9 2 2 2 2" xfId="47379" xr:uid="{BF8C384C-0B5D-4C70-B7BF-065B8ABDAD0D}"/>
    <cellStyle name="Normal 11 3 9 2 2 2 2 2" xfId="47380" xr:uid="{095581A1-AE05-4C5A-A7AE-870D45FFE349}"/>
    <cellStyle name="Normal 11 3 9 2 2 2 2 2 2" xfId="47381" xr:uid="{645B2597-5970-4106-ADDA-BEEF3C93CB6F}"/>
    <cellStyle name="Normal 11 3 9 2 2 2 2 2 2 2" xfId="47382" xr:uid="{7B0C77A4-4F60-4A95-B4CD-89ABC6D8E7C4}"/>
    <cellStyle name="Normal 11 3 9 2 2 2 2 2 2 2 2" xfId="47383" xr:uid="{B45F790C-8A32-4BDD-9E49-5E6C13016373}"/>
    <cellStyle name="Normal 11 3 9 2 2 2 2 2 2 3" xfId="47384" xr:uid="{25320C28-E0F7-4F48-A579-498E92CEE0B3}"/>
    <cellStyle name="Normal 11 3 9 2 2 2 2 2 3" xfId="47385" xr:uid="{1F5ACED4-FF9E-47EC-A4B1-D959B1A60BB0}"/>
    <cellStyle name="Normal 11 3 9 2 2 2 2 2 3 2" xfId="47386" xr:uid="{B125D312-13F9-40B4-83AA-BCF494B3EFD1}"/>
    <cellStyle name="Normal 11 3 9 2 2 2 2 2 4" xfId="47387" xr:uid="{F5063011-E71A-45BC-A5C9-560F9C22AC7B}"/>
    <cellStyle name="Normal 11 3 9 2 2 2 2 3" xfId="47388" xr:uid="{834A53E9-BCEE-4CEB-9083-01479A723F04}"/>
    <cellStyle name="Normal 11 3 9 2 2 2 2 3 2" xfId="47389" xr:uid="{13F11255-50B1-468A-A285-DC0802BE51F6}"/>
    <cellStyle name="Normal 11 3 9 2 2 2 2 3 2 2" xfId="47390" xr:uid="{CCB757EA-6893-403B-92CD-9AA0CD3076DD}"/>
    <cellStyle name="Normal 11 3 9 2 2 2 2 3 3" xfId="47391" xr:uid="{85C08166-2601-4716-BE35-00733A56E23E}"/>
    <cellStyle name="Normal 11 3 9 2 2 2 2 4" xfId="47392" xr:uid="{065F6DD0-A184-4740-8FA4-87816A29E9EA}"/>
    <cellStyle name="Normal 11 3 9 2 2 2 2 4 2" xfId="47393" xr:uid="{BCEC6E1B-BD13-4252-9774-63D0B1EB566A}"/>
    <cellStyle name="Normal 11 3 9 2 2 2 2 5" xfId="47394" xr:uid="{E881D39A-5DA7-4CE4-8675-457B0111083A}"/>
    <cellStyle name="Normal 11 3 9 2 2 2 3" xfId="47395" xr:uid="{76A101C8-D573-4430-A28A-84A05B7FEC82}"/>
    <cellStyle name="Normal 11 3 9 2 2 2 3 2" xfId="47396" xr:uid="{A04383B2-B73D-4858-A313-1F252E6670FD}"/>
    <cellStyle name="Normal 11 3 9 2 2 2 3 2 2" xfId="47397" xr:uid="{20977311-D00A-4A6E-8C8C-6AC7457AB839}"/>
    <cellStyle name="Normal 11 3 9 2 2 2 3 2 2 2" xfId="47398" xr:uid="{E8C57492-A310-4B6F-A8B3-ADF0A53548CE}"/>
    <cellStyle name="Normal 11 3 9 2 2 2 3 2 3" xfId="47399" xr:uid="{0BB16AE8-AF55-4695-9449-6B78A0850D20}"/>
    <cellStyle name="Normal 11 3 9 2 2 2 3 3" xfId="47400" xr:uid="{539705E8-570B-4AA0-B35D-F6B4E70D8004}"/>
    <cellStyle name="Normal 11 3 9 2 2 2 3 3 2" xfId="47401" xr:uid="{495D1F03-D0D8-4CE1-B183-66402C558A61}"/>
    <cellStyle name="Normal 11 3 9 2 2 2 3 4" xfId="47402" xr:uid="{F3AF4DFA-354D-4E6A-B863-E93CFAFDE8BF}"/>
    <cellStyle name="Normal 11 3 9 2 2 2 4" xfId="47403" xr:uid="{B8D940DE-6883-4668-980A-CB549B3FC92E}"/>
    <cellStyle name="Normal 11 3 9 2 2 2 4 2" xfId="47404" xr:uid="{6C101D42-D504-4A36-B2D9-9501A8567EF6}"/>
    <cellStyle name="Normal 11 3 9 2 2 2 4 2 2" xfId="47405" xr:uid="{6C6AA8DE-24E9-4B0D-91D7-1A7A498791ED}"/>
    <cellStyle name="Normal 11 3 9 2 2 2 4 3" xfId="47406" xr:uid="{D4FA8094-EF2F-490D-8D01-BBF9F5644EC6}"/>
    <cellStyle name="Normal 11 3 9 2 2 2 5" xfId="47407" xr:uid="{EF8F47CC-5D02-4095-8F62-DB344F3A872A}"/>
    <cellStyle name="Normal 11 3 9 2 2 2 5 2" xfId="47408" xr:uid="{BE962EF3-0A4B-4E15-8BF1-5CED02251357}"/>
    <cellStyle name="Normal 11 3 9 2 2 2 6" xfId="47409" xr:uid="{1A5C4AFF-AA57-445D-BB4A-1432B56A2B16}"/>
    <cellStyle name="Normal 11 3 9 2 2 3" xfId="47410" xr:uid="{F3F1CEE0-66FC-4AD0-8FBD-2BD35FBFFBA2}"/>
    <cellStyle name="Normal 11 3 9 2 2 3 2" xfId="47411" xr:uid="{FAD493D4-D121-4091-A2F8-9F062514D7E8}"/>
    <cellStyle name="Normal 11 3 9 2 2 3 2 2" xfId="47412" xr:uid="{D4006A8A-FAFD-488A-A206-8EA57C27EE11}"/>
    <cellStyle name="Normal 11 3 9 2 2 3 2 2 2" xfId="47413" xr:uid="{9C5AB646-82C9-44C7-9ABF-CF0058BC8D3A}"/>
    <cellStyle name="Normal 11 3 9 2 2 3 2 2 2 2" xfId="47414" xr:uid="{FD1520C0-E09D-4A29-BF5C-6AA85C899841}"/>
    <cellStyle name="Normal 11 3 9 2 2 3 2 2 3" xfId="47415" xr:uid="{A103D67F-CDD8-482A-BE8E-C9A1C2C6EF31}"/>
    <cellStyle name="Normal 11 3 9 2 2 3 2 3" xfId="47416" xr:uid="{9BDF27C9-C366-4392-BA63-32388DAD873F}"/>
    <cellStyle name="Normal 11 3 9 2 2 3 2 3 2" xfId="47417" xr:uid="{620D77AA-D1D9-495C-8BBF-1FA589570DE8}"/>
    <cellStyle name="Normal 11 3 9 2 2 3 2 4" xfId="47418" xr:uid="{71292183-29BE-4C17-A860-51B72432279B}"/>
    <cellStyle name="Normal 11 3 9 2 2 3 3" xfId="47419" xr:uid="{9278B64F-376C-4E88-BC96-8F0434A23C1C}"/>
    <cellStyle name="Normal 11 3 9 2 2 3 3 2" xfId="47420" xr:uid="{DB0903B4-AF3E-458C-8889-15412C9F7A47}"/>
    <cellStyle name="Normal 11 3 9 2 2 3 3 2 2" xfId="47421" xr:uid="{EB6C7959-02B7-461B-BBF5-4384A3537DD9}"/>
    <cellStyle name="Normal 11 3 9 2 2 3 3 3" xfId="47422" xr:uid="{C5A645C0-0EC5-460D-AC3A-DDC70629E16C}"/>
    <cellStyle name="Normal 11 3 9 2 2 3 4" xfId="47423" xr:uid="{E5DB97AE-0E8B-4030-8320-747AAFF8B75F}"/>
    <cellStyle name="Normal 11 3 9 2 2 3 4 2" xfId="47424" xr:uid="{AC103457-DC7F-46AD-BDC2-8BDCB641B208}"/>
    <cellStyle name="Normal 11 3 9 2 2 3 5" xfId="47425" xr:uid="{BA0D9766-4CEF-4158-802D-BAC367387EE2}"/>
    <cellStyle name="Normal 11 3 9 2 2 4" xfId="47426" xr:uid="{00AF108F-5753-4803-9822-04A7EEE9EF57}"/>
    <cellStyle name="Normal 11 3 9 2 2 4 2" xfId="47427" xr:uid="{A0C48B9C-6D6A-467F-81D0-34F023A0A204}"/>
    <cellStyle name="Normal 11 3 9 2 2 4 2 2" xfId="47428" xr:uid="{16145547-4B3E-4D01-9FB2-AACA104E2D7C}"/>
    <cellStyle name="Normal 11 3 9 2 2 4 2 2 2" xfId="47429" xr:uid="{E2A8E64C-B6EF-4B4E-A8AC-A02C51E0E331}"/>
    <cellStyle name="Normal 11 3 9 2 2 4 2 3" xfId="47430" xr:uid="{5EE92BFB-4F99-49B4-A227-A5D18AECA3F8}"/>
    <cellStyle name="Normal 11 3 9 2 2 4 3" xfId="47431" xr:uid="{04287613-9B5E-4683-AB0F-C4744D5EA9C3}"/>
    <cellStyle name="Normal 11 3 9 2 2 4 3 2" xfId="47432" xr:uid="{09D7BA88-0F15-48E4-B039-6F22D6C1B52D}"/>
    <cellStyle name="Normal 11 3 9 2 2 4 4" xfId="47433" xr:uid="{E388CD50-A046-4E00-8EA8-AF170834E5D1}"/>
    <cellStyle name="Normal 11 3 9 2 2 5" xfId="47434" xr:uid="{060ED63D-B878-46C1-8AE2-FD685762844E}"/>
    <cellStyle name="Normal 11 3 9 2 2 5 2" xfId="47435" xr:uid="{0EF51F48-BC79-4C5E-9946-8A46DDD7C9B3}"/>
    <cellStyle name="Normal 11 3 9 2 2 5 2 2" xfId="47436" xr:uid="{45F0DDDA-98A4-4F97-B231-615993AE776E}"/>
    <cellStyle name="Normal 11 3 9 2 2 5 3" xfId="47437" xr:uid="{5B8FC4FD-09EC-4243-B10F-48B25DD28A78}"/>
    <cellStyle name="Normal 11 3 9 2 2 6" xfId="47438" xr:uid="{F9AC82D6-6CAA-416A-AE78-8396452F61E2}"/>
    <cellStyle name="Normal 11 3 9 2 2 6 2" xfId="47439" xr:uid="{29B24FF0-D7EB-4F27-9A4F-A2FBCE1DFA15}"/>
    <cellStyle name="Normal 11 3 9 2 2 7" xfId="47440" xr:uid="{017E5ACB-5652-4569-9C26-45F3625E97AC}"/>
    <cellStyle name="Normal 11 3 9 2 3" xfId="47441" xr:uid="{A05307B1-77D9-427D-8DEF-9472FC9049B1}"/>
    <cellStyle name="Normal 11 3 9 2 3 2" xfId="47442" xr:uid="{1B61561E-FC3B-4444-8706-49C4645F8F7F}"/>
    <cellStyle name="Normal 11 3 9 2 3 2 2" xfId="47443" xr:uid="{8E7BD0F8-7708-4070-B5F8-B67CE3D73F8F}"/>
    <cellStyle name="Normal 11 3 9 2 3 2 2 2" xfId="47444" xr:uid="{497F1430-1EF1-4EEC-941D-E122FE36E9DC}"/>
    <cellStyle name="Normal 11 3 9 2 3 2 2 2 2" xfId="47445" xr:uid="{D3D173C4-CD96-4C94-A614-BD44D5297D58}"/>
    <cellStyle name="Normal 11 3 9 2 3 2 2 2 2 2" xfId="47446" xr:uid="{7EBED196-7CAD-44BD-AB4D-5F4E0AF0D222}"/>
    <cellStyle name="Normal 11 3 9 2 3 2 2 2 3" xfId="47447" xr:uid="{F8686C35-864E-44F7-9322-76810641FB87}"/>
    <cellStyle name="Normal 11 3 9 2 3 2 2 3" xfId="47448" xr:uid="{5A05B304-C8DD-44C1-8C18-32EB07A449CA}"/>
    <cellStyle name="Normal 11 3 9 2 3 2 2 3 2" xfId="47449" xr:uid="{0A47209D-462D-405A-8ABA-8809AB9AD822}"/>
    <cellStyle name="Normal 11 3 9 2 3 2 2 4" xfId="47450" xr:uid="{56E76191-B9F9-407E-BD20-6CA4D49865B1}"/>
    <cellStyle name="Normal 11 3 9 2 3 2 3" xfId="47451" xr:uid="{DBF0DEA2-AA87-4F26-B606-15238715D86F}"/>
    <cellStyle name="Normal 11 3 9 2 3 2 3 2" xfId="47452" xr:uid="{89C80312-4A89-46CB-9C80-EB7630109B08}"/>
    <cellStyle name="Normal 11 3 9 2 3 2 3 2 2" xfId="47453" xr:uid="{BB2BB381-6DFC-4059-A146-51307BC0F2F3}"/>
    <cellStyle name="Normal 11 3 9 2 3 2 3 3" xfId="47454" xr:uid="{9CCAFD9A-B91E-45CE-ADC7-709CFDFC05FA}"/>
    <cellStyle name="Normal 11 3 9 2 3 2 4" xfId="47455" xr:uid="{738443DE-ECFF-46F3-B3E1-CC151B6651FB}"/>
    <cellStyle name="Normal 11 3 9 2 3 2 4 2" xfId="47456" xr:uid="{30B6C7C8-BBDC-4CB2-BB90-87A8AAB66F3A}"/>
    <cellStyle name="Normal 11 3 9 2 3 2 5" xfId="47457" xr:uid="{A6AC4156-A81E-433F-AFEF-AC5DB7ECCA58}"/>
    <cellStyle name="Normal 11 3 9 2 3 3" xfId="47458" xr:uid="{825810AD-418A-44E9-8FE3-0C74F1A6FF71}"/>
    <cellStyle name="Normal 11 3 9 2 3 3 2" xfId="47459" xr:uid="{AC0A9EDB-9677-4DD8-A9EE-34F77C22A679}"/>
    <cellStyle name="Normal 11 3 9 2 3 3 2 2" xfId="47460" xr:uid="{8D2ABA15-7CA8-4F37-861F-40313A15DBB4}"/>
    <cellStyle name="Normal 11 3 9 2 3 3 2 2 2" xfId="47461" xr:uid="{CA439061-B475-4CB3-B64D-B02508667FC0}"/>
    <cellStyle name="Normal 11 3 9 2 3 3 2 3" xfId="47462" xr:uid="{8C5A39FF-8401-4604-8AE6-05C676A63150}"/>
    <cellStyle name="Normal 11 3 9 2 3 3 3" xfId="47463" xr:uid="{2EEC8CE8-BC5E-45A8-8988-52DA0F5D14C8}"/>
    <cellStyle name="Normal 11 3 9 2 3 3 3 2" xfId="47464" xr:uid="{3CAA69B6-3DEC-4F66-B6E0-C9885DA3BA93}"/>
    <cellStyle name="Normal 11 3 9 2 3 3 4" xfId="47465" xr:uid="{0581B772-B483-4313-B35E-3F2DFE93322B}"/>
    <cellStyle name="Normal 11 3 9 2 3 4" xfId="47466" xr:uid="{F3464885-7B5A-47FE-B121-76E25457661C}"/>
    <cellStyle name="Normal 11 3 9 2 3 4 2" xfId="47467" xr:uid="{73A58333-FF94-4FA9-8172-0494EB221CA1}"/>
    <cellStyle name="Normal 11 3 9 2 3 4 2 2" xfId="47468" xr:uid="{7B288A46-CC1C-4D2D-A8DB-04D351528CFF}"/>
    <cellStyle name="Normal 11 3 9 2 3 4 3" xfId="47469" xr:uid="{6FCB27C7-92D0-4781-A919-F3E120C238F8}"/>
    <cellStyle name="Normal 11 3 9 2 3 5" xfId="47470" xr:uid="{BCA0359B-7DEE-49E5-A6F6-494B30A1E4D8}"/>
    <cellStyle name="Normal 11 3 9 2 3 5 2" xfId="47471" xr:uid="{1E10272E-9825-4ACE-906B-E44FF1E4A417}"/>
    <cellStyle name="Normal 11 3 9 2 3 6" xfId="47472" xr:uid="{EA34D197-D462-4435-B372-D51D150DCB30}"/>
    <cellStyle name="Normal 11 3 9 2 4" xfId="47473" xr:uid="{AA7F0BEB-ADD9-4406-8AC1-36F42A9B27BE}"/>
    <cellStyle name="Normal 11 3 9 2 4 2" xfId="47474" xr:uid="{ABCFCCE6-CBBD-4B37-B4FE-9DC53EFFAC12}"/>
    <cellStyle name="Normal 11 3 9 2 4 2 2" xfId="47475" xr:uid="{03CA9F28-3AFB-4D61-A32D-79E01B565307}"/>
    <cellStyle name="Normal 11 3 9 2 4 2 2 2" xfId="47476" xr:uid="{CC654C88-C7D3-409E-A087-A36BDBA3ACC2}"/>
    <cellStyle name="Normal 11 3 9 2 4 2 2 2 2" xfId="47477" xr:uid="{C2C8FED1-A687-46D3-BF43-5F0CCC7B9CD1}"/>
    <cellStyle name="Normal 11 3 9 2 4 2 2 3" xfId="47478" xr:uid="{BCCA0CFA-8D69-4673-A275-0FE893416D5B}"/>
    <cellStyle name="Normal 11 3 9 2 4 2 3" xfId="47479" xr:uid="{707C0EE7-F574-4B59-AA34-D211EF92AF25}"/>
    <cellStyle name="Normal 11 3 9 2 4 2 3 2" xfId="47480" xr:uid="{B1A200C5-4D3D-4351-BF32-74317ADFCBCC}"/>
    <cellStyle name="Normal 11 3 9 2 4 2 4" xfId="47481" xr:uid="{15249F8A-75FF-494E-BFFA-9BFF31421B8F}"/>
    <cellStyle name="Normal 11 3 9 2 4 3" xfId="47482" xr:uid="{D8CBEDA0-3938-4534-885C-C20DD2585A41}"/>
    <cellStyle name="Normal 11 3 9 2 4 3 2" xfId="47483" xr:uid="{381138DE-9B4D-481D-BEDF-7C8F6BF00194}"/>
    <cellStyle name="Normal 11 3 9 2 4 3 2 2" xfId="47484" xr:uid="{9BAA01F0-DC2C-4E7D-B55E-B39E2E506E24}"/>
    <cellStyle name="Normal 11 3 9 2 4 3 3" xfId="47485" xr:uid="{C954E3D1-0DB9-4E64-901E-3894FA79293A}"/>
    <cellStyle name="Normal 11 3 9 2 4 4" xfId="47486" xr:uid="{C9A4EF4D-AF87-47E4-9DEF-6474504AC17A}"/>
    <cellStyle name="Normal 11 3 9 2 4 4 2" xfId="47487" xr:uid="{24EC9330-90AF-4E09-9D0E-BE2A7DAC195D}"/>
    <cellStyle name="Normal 11 3 9 2 4 5" xfId="47488" xr:uid="{9989B3D0-1BC6-4090-979B-977BB98DB6ED}"/>
    <cellStyle name="Normal 11 3 9 2 5" xfId="47489" xr:uid="{D4823353-7060-4EBA-8CAD-FCE1D6656CBD}"/>
    <cellStyle name="Normal 11 3 9 2 5 2" xfId="47490" xr:uid="{1D537DA9-DED8-4B72-9F62-67796AA08A52}"/>
    <cellStyle name="Normal 11 3 9 2 5 2 2" xfId="47491" xr:uid="{1C150513-0162-4D76-8B43-73CF1D335BF2}"/>
    <cellStyle name="Normal 11 3 9 2 5 2 2 2" xfId="47492" xr:uid="{EA412893-FA55-4B0E-8C86-F0F9EFFD1C2E}"/>
    <cellStyle name="Normal 11 3 9 2 5 2 3" xfId="47493" xr:uid="{59AFF033-01E3-40F8-A726-04B86738B6F7}"/>
    <cellStyle name="Normal 11 3 9 2 5 3" xfId="47494" xr:uid="{D40B7E18-5D53-4BD0-88C4-1299CABD3D06}"/>
    <cellStyle name="Normal 11 3 9 2 5 3 2" xfId="47495" xr:uid="{CF160EF5-42EB-4D6D-A409-A70ABA200060}"/>
    <cellStyle name="Normal 11 3 9 2 5 4" xfId="47496" xr:uid="{8232DDF6-3B6A-4C68-9590-DA1A255D4FBB}"/>
    <cellStyle name="Normal 11 3 9 2 6" xfId="47497" xr:uid="{36544AD4-D015-423C-AB29-707ED059C92F}"/>
    <cellStyle name="Normal 11 3 9 2 6 2" xfId="47498" xr:uid="{558303F8-2E3B-418F-8D0D-8D68D2B0C3F4}"/>
    <cellStyle name="Normal 11 3 9 2 6 2 2" xfId="47499" xr:uid="{B981DD0B-6833-438B-8B66-34F224AC236A}"/>
    <cellStyle name="Normal 11 3 9 2 6 3" xfId="47500" xr:uid="{2901DEB2-A3FE-4CE8-A71A-2D7B71A7865A}"/>
    <cellStyle name="Normal 11 3 9 2 7" xfId="47501" xr:uid="{1D0A54CB-E979-4B93-92C8-8EB91360D1ED}"/>
    <cellStyle name="Normal 11 3 9 2 7 2" xfId="47502" xr:uid="{72B28D36-96A8-4ED3-81D0-FC641BD8EF2A}"/>
    <cellStyle name="Normal 11 3 9 2 8" xfId="47503" xr:uid="{27A27102-FED8-4B89-9371-B2D9154A0818}"/>
    <cellStyle name="Normal 11 3 9 3" xfId="47504" xr:uid="{5C6BACCA-DDF2-4C2E-88FF-9E842EF61365}"/>
    <cellStyle name="Normal 11 3 9 3 2" xfId="47505" xr:uid="{C663AD5D-E376-40E6-856A-2A1AEB59383E}"/>
    <cellStyle name="Normal 11 3 9 3 2 2" xfId="47506" xr:uid="{8DD8EC52-4A96-47BE-BE34-692D6A4C40DF}"/>
    <cellStyle name="Normal 11 3 9 3 2 2 2" xfId="47507" xr:uid="{05F9D75A-291A-46E0-BF2D-FD060D3A3C34}"/>
    <cellStyle name="Normal 11 3 9 3 2 2 2 2" xfId="47508" xr:uid="{13962D8E-470B-4FF1-9FE8-C4AD69AE9488}"/>
    <cellStyle name="Normal 11 3 9 3 2 2 2 2 2" xfId="47509" xr:uid="{F0187978-96B3-4465-B639-4E7EFBCBD9F7}"/>
    <cellStyle name="Normal 11 3 9 3 2 2 2 2 2 2" xfId="47510" xr:uid="{FE817FD6-8946-43B2-9083-33B5AC0DCDB4}"/>
    <cellStyle name="Normal 11 3 9 3 2 2 2 2 3" xfId="47511" xr:uid="{76787ADB-8037-4268-8BCA-050096E4AECF}"/>
    <cellStyle name="Normal 11 3 9 3 2 2 2 3" xfId="47512" xr:uid="{FF4075C1-806B-40E9-AED2-893117D2D6AF}"/>
    <cellStyle name="Normal 11 3 9 3 2 2 2 3 2" xfId="47513" xr:uid="{CF15BBB4-05F7-46D0-B605-334FB5DA227B}"/>
    <cellStyle name="Normal 11 3 9 3 2 2 2 4" xfId="47514" xr:uid="{592F95BD-DA83-464B-8638-9FF056E41F28}"/>
    <cellStyle name="Normal 11 3 9 3 2 2 3" xfId="47515" xr:uid="{DD946DED-4E3F-4795-9312-3F55B1C4241D}"/>
    <cellStyle name="Normal 11 3 9 3 2 2 3 2" xfId="47516" xr:uid="{F44CA7B1-4B22-4945-9876-16C1BCC4EBFC}"/>
    <cellStyle name="Normal 11 3 9 3 2 2 3 2 2" xfId="47517" xr:uid="{D4D68304-C363-4EC6-8E91-962534166202}"/>
    <cellStyle name="Normal 11 3 9 3 2 2 3 3" xfId="47518" xr:uid="{490461AC-E792-4133-91C5-90A7C129ECCC}"/>
    <cellStyle name="Normal 11 3 9 3 2 2 4" xfId="47519" xr:uid="{44F0CAB6-C3FB-46ED-BB56-FA5AF642BAA1}"/>
    <cellStyle name="Normal 11 3 9 3 2 2 4 2" xfId="47520" xr:uid="{D9202D80-D243-4230-B766-9E3CF96A4308}"/>
    <cellStyle name="Normal 11 3 9 3 2 2 5" xfId="47521" xr:uid="{7FDE1D34-7F8B-48EC-9D48-57A9DDDF45AD}"/>
    <cellStyle name="Normal 11 3 9 3 2 3" xfId="47522" xr:uid="{11BF07F4-DE01-4ABD-9B68-1DBE157F87A8}"/>
    <cellStyle name="Normal 11 3 9 3 2 3 2" xfId="47523" xr:uid="{B4BFC79C-8594-49E0-8B62-FDA16C47F3E4}"/>
    <cellStyle name="Normal 11 3 9 3 2 3 2 2" xfId="47524" xr:uid="{F6B11FBC-21C3-4426-85A3-9BFD16654BCE}"/>
    <cellStyle name="Normal 11 3 9 3 2 3 2 2 2" xfId="47525" xr:uid="{9323A8E6-930D-4424-9CCD-95FAF5D10893}"/>
    <cellStyle name="Normal 11 3 9 3 2 3 2 3" xfId="47526" xr:uid="{4232BC59-0FE6-48E4-ABAD-F9BBA4A20D62}"/>
    <cellStyle name="Normal 11 3 9 3 2 3 3" xfId="47527" xr:uid="{4E2B0949-C12A-45F4-B3D5-0198562DC551}"/>
    <cellStyle name="Normal 11 3 9 3 2 3 3 2" xfId="47528" xr:uid="{2D4E3416-763C-4F7A-A6DD-CA133CC9FF30}"/>
    <cellStyle name="Normal 11 3 9 3 2 3 4" xfId="47529" xr:uid="{C5343FD3-9C5B-4115-A0DD-F5BE3ED33C2E}"/>
    <cellStyle name="Normal 11 3 9 3 2 4" xfId="47530" xr:uid="{657A8807-9E2D-4817-B928-3A5DE059B85F}"/>
    <cellStyle name="Normal 11 3 9 3 2 4 2" xfId="47531" xr:uid="{7D05A9F4-F19C-4605-B016-A345A31FC917}"/>
    <cellStyle name="Normal 11 3 9 3 2 4 2 2" xfId="47532" xr:uid="{7C7E399A-1168-42B8-8EB5-8F6CCDEFD8EA}"/>
    <cellStyle name="Normal 11 3 9 3 2 4 3" xfId="47533" xr:uid="{01CD59FB-4E6B-43E8-B190-DB0B168488F6}"/>
    <cellStyle name="Normal 11 3 9 3 2 5" xfId="47534" xr:uid="{D9FFAD5F-02D0-497C-9385-5E1D84A0CDD5}"/>
    <cellStyle name="Normal 11 3 9 3 2 5 2" xfId="47535" xr:uid="{7EE80D33-AB47-469E-ABEC-2B6A7BB2AC64}"/>
    <cellStyle name="Normal 11 3 9 3 2 6" xfId="47536" xr:uid="{D21D1854-C44F-4FCA-88AC-135A6D275768}"/>
    <cellStyle name="Normal 11 3 9 3 3" xfId="47537" xr:uid="{F1E00685-D861-45A0-9043-A226ADBBEFBD}"/>
    <cellStyle name="Normal 11 3 9 3 3 2" xfId="47538" xr:uid="{99A73ACB-92D5-4D59-8105-DD2D78799D0C}"/>
    <cellStyle name="Normal 11 3 9 3 3 2 2" xfId="47539" xr:uid="{13C714C7-9998-4602-95EC-F6E835868515}"/>
    <cellStyle name="Normal 11 3 9 3 3 2 2 2" xfId="47540" xr:uid="{A854184B-0FF2-4701-89AE-18F93CF41992}"/>
    <cellStyle name="Normal 11 3 9 3 3 2 2 2 2" xfId="47541" xr:uid="{F6501259-EAFA-4ACA-BE15-383B80DE30E3}"/>
    <cellStyle name="Normal 11 3 9 3 3 2 2 3" xfId="47542" xr:uid="{8245B643-4976-47C5-9312-8674E0B098D0}"/>
    <cellStyle name="Normal 11 3 9 3 3 2 3" xfId="47543" xr:uid="{108661F1-A858-466A-BF2A-910091AD35C2}"/>
    <cellStyle name="Normal 11 3 9 3 3 2 3 2" xfId="47544" xr:uid="{13E884EF-39BB-4CCB-B85C-308568345362}"/>
    <cellStyle name="Normal 11 3 9 3 3 2 4" xfId="47545" xr:uid="{325AF112-F048-4027-ACA2-3FDC91271207}"/>
    <cellStyle name="Normal 11 3 9 3 3 3" xfId="47546" xr:uid="{C5E5F73B-672B-4811-B17A-E611E9877D2B}"/>
    <cellStyle name="Normal 11 3 9 3 3 3 2" xfId="47547" xr:uid="{9561F850-6866-4747-8883-18E4F2F50EF1}"/>
    <cellStyle name="Normal 11 3 9 3 3 3 2 2" xfId="47548" xr:uid="{76201533-43E5-48B4-B4B8-DC60D1C073E3}"/>
    <cellStyle name="Normal 11 3 9 3 3 3 3" xfId="47549" xr:uid="{3331A0A7-76EA-4A77-ABFF-3FB50256FCD9}"/>
    <cellStyle name="Normal 11 3 9 3 3 4" xfId="47550" xr:uid="{01C58416-7B7D-41C9-BD67-995F7BD14D58}"/>
    <cellStyle name="Normal 11 3 9 3 3 4 2" xfId="47551" xr:uid="{B217E3B8-F8C1-4229-8E25-C375FB8F10F7}"/>
    <cellStyle name="Normal 11 3 9 3 3 5" xfId="47552" xr:uid="{A26BC872-69D4-44D9-BC5E-B138636B4C46}"/>
    <cellStyle name="Normal 11 3 9 3 4" xfId="47553" xr:uid="{B6DC5C14-DBEB-4B36-B73B-B4F9CB354738}"/>
    <cellStyle name="Normal 11 3 9 3 4 2" xfId="47554" xr:uid="{35D5C641-C90A-4FBD-85E5-EF4C5C9CE095}"/>
    <cellStyle name="Normal 11 3 9 3 4 2 2" xfId="47555" xr:uid="{AA80F413-2710-48B7-B951-BB3E5AD047F6}"/>
    <cellStyle name="Normal 11 3 9 3 4 2 2 2" xfId="47556" xr:uid="{20D41FEA-C5C3-44EB-B022-5C5A53C6CC2E}"/>
    <cellStyle name="Normal 11 3 9 3 4 2 3" xfId="47557" xr:uid="{CCF47628-B7E6-450A-B8A2-BAFD32064E16}"/>
    <cellStyle name="Normal 11 3 9 3 4 3" xfId="47558" xr:uid="{CB9F8F6D-E913-4C43-85F0-590193AD442B}"/>
    <cellStyle name="Normal 11 3 9 3 4 3 2" xfId="47559" xr:uid="{2FD30065-4D1D-4524-8ED1-ED60CEE6E639}"/>
    <cellStyle name="Normal 11 3 9 3 4 4" xfId="47560" xr:uid="{BB23D59F-7811-42C6-902C-98D7FDF86093}"/>
    <cellStyle name="Normal 11 3 9 3 5" xfId="47561" xr:uid="{DA4A0AF1-C011-4CDE-BE77-EA7CDD43FC30}"/>
    <cellStyle name="Normal 11 3 9 3 5 2" xfId="47562" xr:uid="{9EBECD56-E8C7-4A8F-B831-B571AD036F00}"/>
    <cellStyle name="Normal 11 3 9 3 5 2 2" xfId="47563" xr:uid="{31DAE23D-7CF0-4AB2-9D20-00C7E91457D0}"/>
    <cellStyle name="Normal 11 3 9 3 5 3" xfId="47564" xr:uid="{CE2EAB73-2D30-457F-AA8E-BE777DD3E03D}"/>
    <cellStyle name="Normal 11 3 9 3 6" xfId="47565" xr:uid="{AE2A9E83-C8BD-4524-A4F8-0A0049A526BD}"/>
    <cellStyle name="Normal 11 3 9 3 6 2" xfId="47566" xr:uid="{838A9F16-E9E5-4DC3-ACE1-7A1B3941E8AE}"/>
    <cellStyle name="Normal 11 3 9 3 7" xfId="47567" xr:uid="{1192F531-C237-475E-B806-3F08CCF4B8D7}"/>
    <cellStyle name="Normal 11 3 9 4" xfId="47568" xr:uid="{4E86D286-AE03-44AF-8E8E-20AC694989DF}"/>
    <cellStyle name="Normal 11 3 9 4 2" xfId="47569" xr:uid="{C9BFF41F-D4C8-4AE6-A26F-ECE9392E3AE5}"/>
    <cellStyle name="Normal 11 3 9 4 2 2" xfId="47570" xr:uid="{56623577-9518-4B52-B744-21186E11B907}"/>
    <cellStyle name="Normal 11 3 9 4 2 2 2" xfId="47571" xr:uid="{0C734DF3-56CC-4376-AE22-722B6C71445E}"/>
    <cellStyle name="Normal 11 3 9 4 2 2 2 2" xfId="47572" xr:uid="{B62DF377-6244-49DB-95C3-97600625D8D6}"/>
    <cellStyle name="Normal 11 3 9 4 2 2 2 2 2" xfId="47573" xr:uid="{8CFB0B73-3906-4D9D-8B6F-A9CB663EE473}"/>
    <cellStyle name="Normal 11 3 9 4 2 2 2 3" xfId="47574" xr:uid="{61090F6F-060B-485C-B8FE-9D056C03C416}"/>
    <cellStyle name="Normal 11 3 9 4 2 2 3" xfId="47575" xr:uid="{2C6F42D1-2B9A-4B9D-83C6-9753371AB488}"/>
    <cellStyle name="Normal 11 3 9 4 2 2 3 2" xfId="47576" xr:uid="{0B2784A2-007C-45B0-B46A-B45F3428A8B7}"/>
    <cellStyle name="Normal 11 3 9 4 2 2 4" xfId="47577" xr:uid="{5EB640C0-27F6-4CB3-984C-6393BDB1FC4E}"/>
    <cellStyle name="Normal 11 3 9 4 2 3" xfId="47578" xr:uid="{270C3E38-F0C6-46AB-B0DD-6CF29401386E}"/>
    <cellStyle name="Normal 11 3 9 4 2 3 2" xfId="47579" xr:uid="{54CC43C8-B44D-4246-B3C4-3B1482959888}"/>
    <cellStyle name="Normal 11 3 9 4 2 3 2 2" xfId="47580" xr:uid="{AECAEE9E-69D4-444E-93BD-DFDC20DD61AC}"/>
    <cellStyle name="Normal 11 3 9 4 2 3 3" xfId="47581" xr:uid="{8A1B0A59-B547-46F6-85AA-2D3944AB0964}"/>
    <cellStyle name="Normal 11 3 9 4 2 4" xfId="47582" xr:uid="{9C5BB0B7-831B-47AB-8734-273EAAA06748}"/>
    <cellStyle name="Normal 11 3 9 4 2 4 2" xfId="47583" xr:uid="{DD320805-7114-4C38-8C8B-CB737E53BE9A}"/>
    <cellStyle name="Normal 11 3 9 4 2 5" xfId="47584" xr:uid="{507B7676-648E-477A-9DA6-0BBD298FDC2A}"/>
    <cellStyle name="Normal 11 3 9 4 3" xfId="47585" xr:uid="{F615A614-1E60-486E-9888-977179C3701F}"/>
    <cellStyle name="Normal 11 3 9 4 3 2" xfId="47586" xr:uid="{6854489B-922A-48DA-9E65-684043680E13}"/>
    <cellStyle name="Normal 11 3 9 4 3 2 2" xfId="47587" xr:uid="{F0C334BF-7B2B-42C5-8B5B-B7C0337E2A14}"/>
    <cellStyle name="Normal 11 3 9 4 3 2 2 2" xfId="47588" xr:uid="{56F74828-38E2-41E3-BD94-E9CB58BBE6FA}"/>
    <cellStyle name="Normal 11 3 9 4 3 2 3" xfId="47589" xr:uid="{F0CA5044-4A6A-4AFF-A55C-B99A9E84A850}"/>
    <cellStyle name="Normal 11 3 9 4 3 3" xfId="47590" xr:uid="{BB449A69-974E-4D28-9B76-E6D88193776C}"/>
    <cellStyle name="Normal 11 3 9 4 3 3 2" xfId="47591" xr:uid="{D7D3611B-14C9-437D-8C47-17797FBF0E71}"/>
    <cellStyle name="Normal 11 3 9 4 3 4" xfId="47592" xr:uid="{2F790DDB-9338-48E2-86F3-F7B692585884}"/>
    <cellStyle name="Normal 11 3 9 4 4" xfId="47593" xr:uid="{A9683042-E60F-4553-B3D7-F53F116A184E}"/>
    <cellStyle name="Normal 11 3 9 4 4 2" xfId="47594" xr:uid="{C24A4F7A-BA87-49E4-8AD4-02EE72B046F8}"/>
    <cellStyle name="Normal 11 3 9 4 4 2 2" xfId="47595" xr:uid="{876E9801-0741-490F-9297-E523A4E88FC5}"/>
    <cellStyle name="Normal 11 3 9 4 4 3" xfId="47596" xr:uid="{7F791209-338C-4AF0-A7CB-8F2B07E954B5}"/>
    <cellStyle name="Normal 11 3 9 4 5" xfId="47597" xr:uid="{DEDF5CAD-F238-4827-A418-5BFBCFDEBD76}"/>
    <cellStyle name="Normal 11 3 9 4 5 2" xfId="47598" xr:uid="{B4A790AF-643A-4A43-8ED5-0EA8E5234887}"/>
    <cellStyle name="Normal 11 3 9 4 6" xfId="47599" xr:uid="{A71035B1-7303-484C-8C5C-450D4ACC153F}"/>
    <cellStyle name="Normal 11 3 9 5" xfId="47600" xr:uid="{B93DC833-1C03-4F82-B65C-B6F38C0B4444}"/>
    <cellStyle name="Normal 11 3 9 5 2" xfId="47601" xr:uid="{9387ED96-85C9-440A-92B9-9AC8BCDEB8B9}"/>
    <cellStyle name="Normal 11 3 9 5 2 2" xfId="47602" xr:uid="{3802DCDB-080F-4E85-9653-474FA6C227F7}"/>
    <cellStyle name="Normal 11 3 9 5 2 2 2" xfId="47603" xr:uid="{B269AC4F-FE33-4DC2-A4EB-41F54F31613E}"/>
    <cellStyle name="Normal 11 3 9 5 2 2 2 2" xfId="47604" xr:uid="{9B644D98-3491-40DB-8770-92F6A90C8745}"/>
    <cellStyle name="Normal 11 3 9 5 2 2 3" xfId="47605" xr:uid="{C307FFCF-83F7-4746-86B1-493A3C5D1AE9}"/>
    <cellStyle name="Normal 11 3 9 5 2 3" xfId="47606" xr:uid="{F067F4C1-CB5C-4EB3-8B77-609F99D53479}"/>
    <cellStyle name="Normal 11 3 9 5 2 3 2" xfId="47607" xr:uid="{C258DC65-202A-4D17-B3B7-8FDBBC4CB59D}"/>
    <cellStyle name="Normal 11 3 9 5 2 4" xfId="47608" xr:uid="{9C37E2DF-D57C-4970-B671-B4D8A2B6E130}"/>
    <cellStyle name="Normal 11 3 9 5 3" xfId="47609" xr:uid="{858434C4-A540-411F-8BD9-FA1E2DA16A59}"/>
    <cellStyle name="Normal 11 3 9 5 3 2" xfId="47610" xr:uid="{8EAC7CC3-5072-439F-A802-B4515B7408F2}"/>
    <cellStyle name="Normal 11 3 9 5 3 2 2" xfId="47611" xr:uid="{4FD21ADE-7213-44C3-8BAD-D7548357A2A2}"/>
    <cellStyle name="Normal 11 3 9 5 3 3" xfId="47612" xr:uid="{BA11B210-54FD-458C-BFC7-23B07BB5F8C5}"/>
    <cellStyle name="Normal 11 3 9 5 4" xfId="47613" xr:uid="{5778A873-381C-49F1-B1CC-09A8ABE85EB3}"/>
    <cellStyle name="Normal 11 3 9 5 4 2" xfId="47614" xr:uid="{F6E0F6C8-67D1-441C-9C6B-0793502838AD}"/>
    <cellStyle name="Normal 11 3 9 5 5" xfId="47615" xr:uid="{2AEC91AC-F285-4C3A-972A-1C3862EB0DB4}"/>
    <cellStyle name="Normal 11 3 9 6" xfId="47616" xr:uid="{601048D7-F260-4433-B09E-8A80183EB9B3}"/>
    <cellStyle name="Normal 11 3 9 6 2" xfId="47617" xr:uid="{B7FAEA88-E6AA-4B0A-B78C-C9111EAA64D9}"/>
    <cellStyle name="Normal 11 3 9 6 2 2" xfId="47618" xr:uid="{054345BD-4798-48E2-B313-29AD23C2E2A4}"/>
    <cellStyle name="Normal 11 3 9 6 2 2 2" xfId="47619" xr:uid="{172A034E-B964-44D5-A362-35B17F2C5706}"/>
    <cellStyle name="Normal 11 3 9 6 2 3" xfId="47620" xr:uid="{C6506072-B52D-4B5F-A09A-0B9594C183DE}"/>
    <cellStyle name="Normal 11 3 9 6 3" xfId="47621" xr:uid="{77DAC975-086A-492B-9A1F-C7C572A92138}"/>
    <cellStyle name="Normal 11 3 9 6 3 2" xfId="47622" xr:uid="{934E9716-9A13-4095-82CB-76048F4F8A97}"/>
    <cellStyle name="Normal 11 3 9 6 4" xfId="47623" xr:uid="{8E47AB86-21B0-467F-A936-7783C91E88E5}"/>
    <cellStyle name="Normal 11 3 9 7" xfId="47624" xr:uid="{40D469E1-6260-433D-B59E-EE752BBFAC57}"/>
    <cellStyle name="Normal 11 3 9 7 2" xfId="47625" xr:uid="{3427BB69-4CF6-4E40-834D-E7AB653F5576}"/>
    <cellStyle name="Normal 11 3 9 7 2 2" xfId="47626" xr:uid="{8C1D0D5A-D994-46CD-BC68-CD1A396086EF}"/>
    <cellStyle name="Normal 11 3 9 7 3" xfId="47627" xr:uid="{4DFAD8B6-746C-4BEF-9F7F-0E389C38745F}"/>
    <cellStyle name="Normal 11 3 9 8" xfId="47628" xr:uid="{86B81067-3125-4F01-ADB6-E16F3322595C}"/>
    <cellStyle name="Normal 11 3 9 8 2" xfId="47629" xr:uid="{8155F38D-CBC0-494C-BB25-561E7843D3E3}"/>
    <cellStyle name="Normal 11 3 9 9" xfId="47630" xr:uid="{4A722687-0E57-48EC-A715-64F032F52562}"/>
    <cellStyle name="Normal 11 4" xfId="348" xr:uid="{1E15F091-8070-4A5B-8F4D-A8A78526DA3A}"/>
    <cellStyle name="Normal 11 4 10" xfId="47632" xr:uid="{941E121F-C58B-4AF7-93F0-08B4A604A6E8}"/>
    <cellStyle name="Normal 11 4 11" xfId="47631" xr:uid="{D8140479-82D8-434D-A0AC-3D2BB4A359B3}"/>
    <cellStyle name="Normal 11 4 12" xfId="54813" xr:uid="{BE34DD2D-4F6B-434E-8188-4A9A66C946C7}"/>
    <cellStyle name="Normal 11 4 2" xfId="47633" xr:uid="{5C9DC684-E454-41ED-A6F5-509C63442CDA}"/>
    <cellStyle name="Normal 11 4 2 2" xfId="47634" xr:uid="{C3508A14-EE2A-4444-9C46-00B9D1FD960B}"/>
    <cellStyle name="Normal 11 4 2 2 2" xfId="47635" xr:uid="{5BA2BB9A-BF5F-465C-B0D7-B5CF6AD4FC16}"/>
    <cellStyle name="Normal 11 4 2 2 2 2" xfId="47636" xr:uid="{2AC1C501-02AB-487F-9459-E5EC2CC5EE7C}"/>
    <cellStyle name="Normal 11 4 2 2 2 2 2" xfId="47637" xr:uid="{F9AF9DAB-9ADB-4982-A993-C91303512973}"/>
    <cellStyle name="Normal 11 4 2 2 2 2 2 2" xfId="47638" xr:uid="{159891DD-5D01-4165-83F4-C634EDC2C22E}"/>
    <cellStyle name="Normal 11 4 2 2 2 2 2 2 2" xfId="47639" xr:uid="{9D7685A0-5311-47C6-87D3-331CBC5DCCEC}"/>
    <cellStyle name="Normal 11 4 2 2 2 2 2 2 2 2" xfId="47640" xr:uid="{3DEA90F1-EA9E-49D4-BF6C-EB914CC9E5A0}"/>
    <cellStyle name="Normal 11 4 2 2 2 2 2 2 2 2 2" xfId="47641" xr:uid="{5A58FFBC-E210-4E5E-8173-AAF28EB46290}"/>
    <cellStyle name="Normal 11 4 2 2 2 2 2 2 2 3" xfId="47642" xr:uid="{9A0C5605-166B-4443-9CF6-962ECB60854C}"/>
    <cellStyle name="Normal 11 4 2 2 2 2 2 2 3" xfId="47643" xr:uid="{2DF4CBAE-E658-4B6C-A537-0DEE6F8AF3D3}"/>
    <cellStyle name="Normal 11 4 2 2 2 2 2 2 3 2" xfId="47644" xr:uid="{61F90A85-748A-44E6-94D4-E197A1F1B294}"/>
    <cellStyle name="Normal 11 4 2 2 2 2 2 2 4" xfId="47645" xr:uid="{3BB7BE8D-629A-42EF-9206-0FDE1EEF3C38}"/>
    <cellStyle name="Normal 11 4 2 2 2 2 2 3" xfId="47646" xr:uid="{D5BC4087-DD05-48F1-83B4-0F72B8BCAE02}"/>
    <cellStyle name="Normal 11 4 2 2 2 2 2 3 2" xfId="47647" xr:uid="{8A8CCDB6-DA8D-4024-BD3E-F9B8AA904662}"/>
    <cellStyle name="Normal 11 4 2 2 2 2 2 3 2 2" xfId="47648" xr:uid="{80675C79-AA6C-4688-A84D-B74BB28252BC}"/>
    <cellStyle name="Normal 11 4 2 2 2 2 2 3 3" xfId="47649" xr:uid="{359187EA-1322-4400-9750-E5498BF2C944}"/>
    <cellStyle name="Normal 11 4 2 2 2 2 2 4" xfId="47650" xr:uid="{B4950A6A-1FEE-4BAC-86DB-1D548D804A89}"/>
    <cellStyle name="Normal 11 4 2 2 2 2 2 4 2" xfId="47651" xr:uid="{24ED7B6B-5859-429A-ACAD-48C9C2DD2E25}"/>
    <cellStyle name="Normal 11 4 2 2 2 2 2 5" xfId="47652" xr:uid="{38565826-48CB-408C-8913-049AB988D192}"/>
    <cellStyle name="Normal 11 4 2 2 2 2 3" xfId="47653" xr:uid="{14C6B5A9-2117-42DA-A78D-E19C79228D0E}"/>
    <cellStyle name="Normal 11 4 2 2 2 2 3 2" xfId="47654" xr:uid="{4C84EF85-8166-48E4-83B1-A21F422F9C33}"/>
    <cellStyle name="Normal 11 4 2 2 2 2 3 2 2" xfId="47655" xr:uid="{D2093477-E862-41E5-B20B-4473BC9CBBF1}"/>
    <cellStyle name="Normal 11 4 2 2 2 2 3 2 2 2" xfId="47656" xr:uid="{D4DBC65B-82F8-4D73-A9A9-7AC1A7C83BC4}"/>
    <cellStyle name="Normal 11 4 2 2 2 2 3 2 3" xfId="47657" xr:uid="{226C2908-DF57-440B-B9B3-DDAE5CD88CBD}"/>
    <cellStyle name="Normal 11 4 2 2 2 2 3 3" xfId="47658" xr:uid="{31ED4DB4-5D9F-4134-8CC3-D026938189A5}"/>
    <cellStyle name="Normal 11 4 2 2 2 2 3 3 2" xfId="47659" xr:uid="{209CF181-93D4-48E0-9E0A-410D6B352E52}"/>
    <cellStyle name="Normal 11 4 2 2 2 2 3 4" xfId="47660" xr:uid="{8D5BB1B2-0632-401D-AB1D-6900161F5E2D}"/>
    <cellStyle name="Normal 11 4 2 2 2 2 4" xfId="47661" xr:uid="{2F8F9ABF-86BA-41B4-A63B-D3D47FCA6E20}"/>
    <cellStyle name="Normal 11 4 2 2 2 2 4 2" xfId="47662" xr:uid="{3132BC7A-C401-455A-98DA-0DF3FC33EBBF}"/>
    <cellStyle name="Normal 11 4 2 2 2 2 4 2 2" xfId="47663" xr:uid="{27321BB4-ABED-4D52-B5E7-8EF81DD8F1CA}"/>
    <cellStyle name="Normal 11 4 2 2 2 2 4 3" xfId="47664" xr:uid="{CADF6E22-6D1F-4AE0-A982-AF6521AB5287}"/>
    <cellStyle name="Normal 11 4 2 2 2 2 5" xfId="47665" xr:uid="{D38F0CD6-CB6E-4B0B-8B4E-9C4D97429B05}"/>
    <cellStyle name="Normal 11 4 2 2 2 2 5 2" xfId="47666" xr:uid="{B1735F4E-AB90-4659-9740-7005F1204F37}"/>
    <cellStyle name="Normal 11 4 2 2 2 2 6" xfId="47667" xr:uid="{FF33AB87-60F1-49AB-8CC0-0B4430E61203}"/>
    <cellStyle name="Normal 11 4 2 2 2 3" xfId="47668" xr:uid="{9061D122-D3BB-4B50-8E5D-4AC8811852B9}"/>
    <cellStyle name="Normal 11 4 2 2 2 3 2" xfId="47669" xr:uid="{791BC34C-B3FF-4D3A-9415-0765002440C2}"/>
    <cellStyle name="Normal 11 4 2 2 2 3 2 2" xfId="47670" xr:uid="{8CB46AE7-79A3-4116-B3EC-383F939DF47B}"/>
    <cellStyle name="Normal 11 4 2 2 2 3 2 2 2" xfId="47671" xr:uid="{461075DF-6E8C-496B-8467-CF5DDC5EC80F}"/>
    <cellStyle name="Normal 11 4 2 2 2 3 2 2 2 2" xfId="47672" xr:uid="{BB229B91-A1BB-4D03-8D7B-0C7CA8385C55}"/>
    <cellStyle name="Normal 11 4 2 2 2 3 2 2 3" xfId="47673" xr:uid="{876BC629-C8E0-46D4-BB6D-38F27FD2FA09}"/>
    <cellStyle name="Normal 11 4 2 2 2 3 2 3" xfId="47674" xr:uid="{383D0562-BCA9-4423-A487-F7DB9C5EE288}"/>
    <cellStyle name="Normal 11 4 2 2 2 3 2 3 2" xfId="47675" xr:uid="{B9D90BCB-CE11-4A44-A500-CF8D0A19A929}"/>
    <cellStyle name="Normal 11 4 2 2 2 3 2 4" xfId="47676" xr:uid="{3F26E1D3-3E2E-498B-9086-69C2FAE004EC}"/>
    <cellStyle name="Normal 11 4 2 2 2 3 3" xfId="47677" xr:uid="{04272A7C-D974-44B7-9B39-419D4DECC281}"/>
    <cellStyle name="Normal 11 4 2 2 2 3 3 2" xfId="47678" xr:uid="{7A1A3347-6935-49D8-A83F-78B9CC5F22C9}"/>
    <cellStyle name="Normal 11 4 2 2 2 3 3 2 2" xfId="47679" xr:uid="{2ECC8431-10E5-4624-941C-7676BE7737C6}"/>
    <cellStyle name="Normal 11 4 2 2 2 3 3 3" xfId="47680" xr:uid="{8DE733FC-CA1E-4A84-8350-571D1D9A086F}"/>
    <cellStyle name="Normal 11 4 2 2 2 3 4" xfId="47681" xr:uid="{E52A7B13-0010-426D-A8B4-FF28EBB07C37}"/>
    <cellStyle name="Normal 11 4 2 2 2 3 4 2" xfId="47682" xr:uid="{81795323-DFAB-49B4-990E-1A9BABAC3139}"/>
    <cellStyle name="Normal 11 4 2 2 2 3 5" xfId="47683" xr:uid="{E5BF9BF6-46B0-43E3-82E5-BC48F4E685E4}"/>
    <cellStyle name="Normal 11 4 2 2 2 4" xfId="47684" xr:uid="{BCAF9845-217B-4F03-9B99-EDFA0EA8F75F}"/>
    <cellStyle name="Normal 11 4 2 2 2 4 2" xfId="47685" xr:uid="{29783466-20E3-4109-A28D-E4F7D5A49ADF}"/>
    <cellStyle name="Normal 11 4 2 2 2 4 2 2" xfId="47686" xr:uid="{EAC34225-0BEA-4E48-A1F2-6107EF090DCF}"/>
    <cellStyle name="Normal 11 4 2 2 2 4 2 2 2" xfId="47687" xr:uid="{2CCD75F9-D537-48CF-883F-79C83730BE3D}"/>
    <cellStyle name="Normal 11 4 2 2 2 4 2 3" xfId="47688" xr:uid="{0308B62A-3CD0-447B-9CD9-600E55BEFCE4}"/>
    <cellStyle name="Normal 11 4 2 2 2 4 3" xfId="47689" xr:uid="{8099E8FC-A0E2-4209-BE68-76277FF6B80D}"/>
    <cellStyle name="Normal 11 4 2 2 2 4 3 2" xfId="47690" xr:uid="{D59D0C43-8CDF-4F7D-B5BE-7F37A3C146D9}"/>
    <cellStyle name="Normal 11 4 2 2 2 4 4" xfId="47691" xr:uid="{696A69CE-555F-4C3F-A5D7-1C14531D1A80}"/>
    <cellStyle name="Normal 11 4 2 2 2 5" xfId="47692" xr:uid="{7D6BEEB1-5872-45F9-9356-B715E3982435}"/>
    <cellStyle name="Normal 11 4 2 2 2 5 2" xfId="47693" xr:uid="{75533570-4D07-477F-9DD8-7885592DE4C7}"/>
    <cellStyle name="Normal 11 4 2 2 2 5 2 2" xfId="47694" xr:uid="{F8EC0DC8-7B96-4267-A711-CCC8CC5C403C}"/>
    <cellStyle name="Normal 11 4 2 2 2 5 3" xfId="47695" xr:uid="{276A7B9C-A160-4AA7-94CA-95CDF9BF5D21}"/>
    <cellStyle name="Normal 11 4 2 2 2 6" xfId="47696" xr:uid="{1C2A1C43-25B1-4773-8C0E-ADAF906B933F}"/>
    <cellStyle name="Normal 11 4 2 2 2 6 2" xfId="47697" xr:uid="{BDC09DF3-2EEB-41C9-AAFD-5A4DD4E84D95}"/>
    <cellStyle name="Normal 11 4 2 2 2 7" xfId="47698" xr:uid="{2627FEDF-3DE0-46B8-A62C-E30D94E5A3EE}"/>
    <cellStyle name="Normal 11 4 2 2 3" xfId="47699" xr:uid="{7182FFF0-BD6B-4235-8101-16EC6A5E55A6}"/>
    <cellStyle name="Normal 11 4 2 2 3 2" xfId="47700" xr:uid="{E430AED1-1631-4124-903C-E682F229B2E7}"/>
    <cellStyle name="Normal 11 4 2 2 3 2 2" xfId="47701" xr:uid="{230B3D81-D87D-45FB-AE9F-CD02F813DBEB}"/>
    <cellStyle name="Normal 11 4 2 2 3 2 2 2" xfId="47702" xr:uid="{C6309B1A-ADCC-4C4E-B53F-390F73825660}"/>
    <cellStyle name="Normal 11 4 2 2 3 2 2 2 2" xfId="47703" xr:uid="{5BF520A8-C6DD-4BEF-A249-C8D83D75A7AE}"/>
    <cellStyle name="Normal 11 4 2 2 3 2 2 2 2 2" xfId="47704" xr:uid="{3142D23F-1146-47E1-A0F3-E10ED8B24181}"/>
    <cellStyle name="Normal 11 4 2 2 3 2 2 2 3" xfId="47705" xr:uid="{9AEF71F9-E837-45EE-9B4F-F24F63A48B19}"/>
    <cellStyle name="Normal 11 4 2 2 3 2 2 3" xfId="47706" xr:uid="{FB79ED7B-DDF3-429C-94A0-F4E6B3E64654}"/>
    <cellStyle name="Normal 11 4 2 2 3 2 2 3 2" xfId="47707" xr:uid="{90395142-BF07-48E8-9788-3A54E3F0FF96}"/>
    <cellStyle name="Normal 11 4 2 2 3 2 2 4" xfId="47708" xr:uid="{71D8984F-C291-4686-84E8-D76B0B5E36D5}"/>
    <cellStyle name="Normal 11 4 2 2 3 2 3" xfId="47709" xr:uid="{C8772971-AE43-460C-B7CB-FB5D876E70FA}"/>
    <cellStyle name="Normal 11 4 2 2 3 2 3 2" xfId="47710" xr:uid="{40BF2D47-9F41-458B-9559-508D172990FE}"/>
    <cellStyle name="Normal 11 4 2 2 3 2 3 2 2" xfId="47711" xr:uid="{AFB40183-0F55-447F-9AE4-54D15392A301}"/>
    <cellStyle name="Normal 11 4 2 2 3 2 3 3" xfId="47712" xr:uid="{A0302F31-5032-4879-9D92-3357AB5237C6}"/>
    <cellStyle name="Normal 11 4 2 2 3 2 4" xfId="47713" xr:uid="{6F73D199-A052-4C13-8207-E89A8432BCA5}"/>
    <cellStyle name="Normal 11 4 2 2 3 2 4 2" xfId="47714" xr:uid="{1AB3B055-B767-425C-96DF-1056DB8932A9}"/>
    <cellStyle name="Normal 11 4 2 2 3 2 5" xfId="47715" xr:uid="{6AE75B67-F556-43CA-B22B-915DD1768417}"/>
    <cellStyle name="Normal 11 4 2 2 3 3" xfId="47716" xr:uid="{BDFAB29D-F2A7-4A97-BB37-D30C573447F9}"/>
    <cellStyle name="Normal 11 4 2 2 3 3 2" xfId="47717" xr:uid="{7FC6B8DA-8386-4126-8942-D3D5F93E8554}"/>
    <cellStyle name="Normal 11 4 2 2 3 3 2 2" xfId="47718" xr:uid="{26810D95-C926-4880-BB1E-54E9CE9B152A}"/>
    <cellStyle name="Normal 11 4 2 2 3 3 2 2 2" xfId="47719" xr:uid="{21D3B0FD-6B45-4A94-B2FB-C2EF68D96223}"/>
    <cellStyle name="Normal 11 4 2 2 3 3 2 3" xfId="47720" xr:uid="{E520763D-D939-4F34-845A-C9BB3CB37737}"/>
    <cellStyle name="Normal 11 4 2 2 3 3 3" xfId="47721" xr:uid="{63F1B44A-CE49-40A9-B0FD-AD617DE40F55}"/>
    <cellStyle name="Normal 11 4 2 2 3 3 3 2" xfId="47722" xr:uid="{36127455-7AD2-4898-9543-0270F16E67E4}"/>
    <cellStyle name="Normal 11 4 2 2 3 3 4" xfId="47723" xr:uid="{9EC484BF-8485-4837-9055-3C0C50A30EB5}"/>
    <cellStyle name="Normal 11 4 2 2 3 4" xfId="47724" xr:uid="{D9D4B3F1-E2B4-4BA9-B0FC-C69967923F05}"/>
    <cellStyle name="Normal 11 4 2 2 3 4 2" xfId="47725" xr:uid="{17FCDAB0-CC1E-43D3-B8EF-049EE0A1097D}"/>
    <cellStyle name="Normal 11 4 2 2 3 4 2 2" xfId="47726" xr:uid="{ABFADA47-AA5A-461C-9D51-152A29E48B69}"/>
    <cellStyle name="Normal 11 4 2 2 3 4 3" xfId="47727" xr:uid="{931ABF19-A52D-4CCA-89A6-6587E7B789DD}"/>
    <cellStyle name="Normal 11 4 2 2 3 5" xfId="47728" xr:uid="{4DFE6FF2-72BD-42D6-A460-27E0B05D86C7}"/>
    <cellStyle name="Normal 11 4 2 2 3 5 2" xfId="47729" xr:uid="{4ED66895-5E58-4B59-8D34-090D5FEE3226}"/>
    <cellStyle name="Normal 11 4 2 2 3 6" xfId="47730" xr:uid="{FF7F0A44-1242-4E6D-B274-A49D44F5E953}"/>
    <cellStyle name="Normal 11 4 2 2 4" xfId="47731" xr:uid="{2C74E271-872B-4E7E-94C5-97DCFB98E2AA}"/>
    <cellStyle name="Normal 11 4 2 2 4 2" xfId="47732" xr:uid="{288E7ED8-2D6E-480F-A283-51DACF12B131}"/>
    <cellStyle name="Normal 11 4 2 2 4 2 2" xfId="47733" xr:uid="{BAD2E03F-1B63-4778-B50A-046AAAE25854}"/>
    <cellStyle name="Normal 11 4 2 2 4 2 2 2" xfId="47734" xr:uid="{F3FEB9FD-1F69-4F3E-B7A4-305FA03FFDE3}"/>
    <cellStyle name="Normal 11 4 2 2 4 2 2 2 2" xfId="47735" xr:uid="{387F96DA-5DDD-48CF-AB19-DD14D4AEC6E4}"/>
    <cellStyle name="Normal 11 4 2 2 4 2 2 3" xfId="47736" xr:uid="{479E334A-1273-44B4-86DE-9A3FEBDB1E27}"/>
    <cellStyle name="Normal 11 4 2 2 4 2 3" xfId="47737" xr:uid="{65EAD9FA-FF4A-484B-ADB8-DB3076B3D51B}"/>
    <cellStyle name="Normal 11 4 2 2 4 2 3 2" xfId="47738" xr:uid="{48984359-0847-4E8D-B098-9455FC2C8D02}"/>
    <cellStyle name="Normal 11 4 2 2 4 2 4" xfId="47739" xr:uid="{70746E5A-AD80-4312-AAB8-624718F0E67C}"/>
    <cellStyle name="Normal 11 4 2 2 4 3" xfId="47740" xr:uid="{57FADF42-A0C2-4815-81A6-2810DCD6522C}"/>
    <cellStyle name="Normal 11 4 2 2 4 3 2" xfId="47741" xr:uid="{5811FF7A-DEB3-4BB7-9CAA-69EE9A5B1CC3}"/>
    <cellStyle name="Normal 11 4 2 2 4 3 2 2" xfId="47742" xr:uid="{74C1CDB7-9AEC-48AF-9021-DF5D5C2D5A68}"/>
    <cellStyle name="Normal 11 4 2 2 4 3 3" xfId="47743" xr:uid="{23226E7C-0001-4CA6-972C-FE6A693587BD}"/>
    <cellStyle name="Normal 11 4 2 2 4 4" xfId="47744" xr:uid="{EC839015-6D44-43D6-9076-4C46146DE1B3}"/>
    <cellStyle name="Normal 11 4 2 2 4 4 2" xfId="47745" xr:uid="{EDD2AFE0-1185-46DA-93CA-B99F7ADF82AB}"/>
    <cellStyle name="Normal 11 4 2 2 4 5" xfId="47746" xr:uid="{6E569D1E-37C1-400F-AD95-23F998986621}"/>
    <cellStyle name="Normal 11 4 2 2 5" xfId="47747" xr:uid="{E11F7909-A3B4-49B4-9D78-5B3B85AD7AE7}"/>
    <cellStyle name="Normal 11 4 2 2 5 2" xfId="47748" xr:uid="{0F189E33-98C9-41E2-9A45-A387FADD9786}"/>
    <cellStyle name="Normal 11 4 2 2 5 2 2" xfId="47749" xr:uid="{A7179DB8-847C-4E89-A5E7-8C2EAA932483}"/>
    <cellStyle name="Normal 11 4 2 2 5 2 2 2" xfId="47750" xr:uid="{87B107CF-452A-48EC-A686-81F528AA73F5}"/>
    <cellStyle name="Normal 11 4 2 2 5 2 3" xfId="47751" xr:uid="{AA0B697D-8CE9-4C83-9233-F63AF51EF20A}"/>
    <cellStyle name="Normal 11 4 2 2 5 3" xfId="47752" xr:uid="{50013F92-95C9-4BB5-860D-78AA3BA09250}"/>
    <cellStyle name="Normal 11 4 2 2 5 3 2" xfId="47753" xr:uid="{1C776916-E411-4C37-A8A9-A8DD5EA94A79}"/>
    <cellStyle name="Normal 11 4 2 2 5 4" xfId="47754" xr:uid="{9AFCB4CA-9AAF-46A5-92AA-185088758D22}"/>
    <cellStyle name="Normal 11 4 2 2 6" xfId="47755" xr:uid="{718899F7-7031-4CA5-89C3-EB3CEBF77E11}"/>
    <cellStyle name="Normal 11 4 2 2 6 2" xfId="47756" xr:uid="{24ABE76D-A91C-4699-86BF-9E5C30049719}"/>
    <cellStyle name="Normal 11 4 2 2 6 2 2" xfId="47757" xr:uid="{8C621607-F110-4E9A-B893-64841B44B9C0}"/>
    <cellStyle name="Normal 11 4 2 2 6 3" xfId="47758" xr:uid="{F339ACFB-FCD0-4562-B5E8-556EF56F2CB7}"/>
    <cellStyle name="Normal 11 4 2 2 7" xfId="47759" xr:uid="{C79DF786-BC90-49EC-9EDF-EBD2576E66B3}"/>
    <cellStyle name="Normal 11 4 2 2 7 2" xfId="47760" xr:uid="{8923F2D2-4B69-426A-BC19-551CA629F433}"/>
    <cellStyle name="Normal 11 4 2 2 8" xfId="47761" xr:uid="{AFA6696B-E054-4C8C-8CB0-BA1A45760A9D}"/>
    <cellStyle name="Normal 11 4 2 3" xfId="47762" xr:uid="{FA4B9170-245C-4727-B099-1A127BB1A4DE}"/>
    <cellStyle name="Normal 11 4 2 3 2" xfId="47763" xr:uid="{990538E2-E833-4EA6-BFB4-87B00AB5F690}"/>
    <cellStyle name="Normal 11 4 2 3 2 2" xfId="47764" xr:uid="{1326A52D-5980-41D4-AED1-81E15557B0DF}"/>
    <cellStyle name="Normal 11 4 2 3 2 2 2" xfId="47765" xr:uid="{0F1C8599-3A2B-4884-BE23-8104FBF06FAC}"/>
    <cellStyle name="Normal 11 4 2 3 2 2 2 2" xfId="47766" xr:uid="{589199B8-E0EC-42FD-8786-0A5D52F2C7E0}"/>
    <cellStyle name="Normal 11 4 2 3 2 2 2 2 2" xfId="47767" xr:uid="{8CC98149-81F9-4D42-96E3-7C9EB0DCA36F}"/>
    <cellStyle name="Normal 11 4 2 3 2 2 2 2 2 2" xfId="47768" xr:uid="{546BCD04-8038-4D31-9B13-129A28313B22}"/>
    <cellStyle name="Normal 11 4 2 3 2 2 2 2 3" xfId="47769" xr:uid="{15098037-4BCC-4E2C-BC8A-E692B26AE7B2}"/>
    <cellStyle name="Normal 11 4 2 3 2 2 2 3" xfId="47770" xr:uid="{910EE168-D726-4A13-AF08-19397D42D060}"/>
    <cellStyle name="Normal 11 4 2 3 2 2 2 3 2" xfId="47771" xr:uid="{B752909F-702F-4021-B372-802060BFAA26}"/>
    <cellStyle name="Normal 11 4 2 3 2 2 2 4" xfId="47772" xr:uid="{6F0018D4-48BF-48B6-8C53-3D3A060DA18A}"/>
    <cellStyle name="Normal 11 4 2 3 2 2 3" xfId="47773" xr:uid="{7E5EFBA9-9E7D-4830-A72C-C3E4FCF4D23C}"/>
    <cellStyle name="Normal 11 4 2 3 2 2 3 2" xfId="47774" xr:uid="{2CCE2904-B13B-4268-A589-7668068A7C01}"/>
    <cellStyle name="Normal 11 4 2 3 2 2 3 2 2" xfId="47775" xr:uid="{7E7F7B0B-FAB1-476F-9C65-CA741679D7F3}"/>
    <cellStyle name="Normal 11 4 2 3 2 2 3 3" xfId="47776" xr:uid="{13933F71-3D72-4BC8-B7E0-07F663F0D49D}"/>
    <cellStyle name="Normal 11 4 2 3 2 2 4" xfId="47777" xr:uid="{5CBE0B81-830D-417E-B1AD-C12B20D6ACF9}"/>
    <cellStyle name="Normal 11 4 2 3 2 2 4 2" xfId="47778" xr:uid="{DC0DBD7D-D99D-4154-B61B-443D153E64E9}"/>
    <cellStyle name="Normal 11 4 2 3 2 2 5" xfId="47779" xr:uid="{74B9ED36-6646-4829-9FAE-0822BBFC2CDA}"/>
    <cellStyle name="Normal 11 4 2 3 2 3" xfId="47780" xr:uid="{B7104951-48D1-4A8A-BFCF-17D4497F9FE9}"/>
    <cellStyle name="Normal 11 4 2 3 2 3 2" xfId="47781" xr:uid="{29333554-37F5-439B-89C3-D541F2511BC8}"/>
    <cellStyle name="Normal 11 4 2 3 2 3 2 2" xfId="47782" xr:uid="{D3381CE1-A459-4999-8551-E56F2FD52CF0}"/>
    <cellStyle name="Normal 11 4 2 3 2 3 2 2 2" xfId="47783" xr:uid="{D3A4D1FA-39A0-47E6-B41A-F0BB0A45E44C}"/>
    <cellStyle name="Normal 11 4 2 3 2 3 2 3" xfId="47784" xr:uid="{C1606FDF-D671-42FE-AE8E-EBC32BE367F9}"/>
    <cellStyle name="Normal 11 4 2 3 2 3 3" xfId="47785" xr:uid="{05F38B7D-D59A-4697-8E81-6CD3AD1C0B52}"/>
    <cellStyle name="Normal 11 4 2 3 2 3 3 2" xfId="47786" xr:uid="{AAA5AEAF-35C6-4372-97AB-147F606413FC}"/>
    <cellStyle name="Normal 11 4 2 3 2 3 4" xfId="47787" xr:uid="{4F66495F-B3D7-4546-9CAE-CE30F914D5EF}"/>
    <cellStyle name="Normal 11 4 2 3 2 4" xfId="47788" xr:uid="{4CF53389-BC20-4D49-B378-47B47E7E2284}"/>
    <cellStyle name="Normal 11 4 2 3 2 4 2" xfId="47789" xr:uid="{06673C37-0DC0-405C-8FFC-AD44D9D99FCE}"/>
    <cellStyle name="Normal 11 4 2 3 2 4 2 2" xfId="47790" xr:uid="{B5F28450-AA74-4B6C-A5F9-149287A003BF}"/>
    <cellStyle name="Normal 11 4 2 3 2 4 3" xfId="47791" xr:uid="{4BE612FE-0F55-45CF-A913-37DC5910C2DD}"/>
    <cellStyle name="Normal 11 4 2 3 2 5" xfId="47792" xr:uid="{BCFB9F61-CE0C-4239-95E9-5EC2374A96E6}"/>
    <cellStyle name="Normal 11 4 2 3 2 5 2" xfId="47793" xr:uid="{E1DDC635-80BA-4B35-81AD-CEC34758C83C}"/>
    <cellStyle name="Normal 11 4 2 3 2 6" xfId="47794" xr:uid="{1814E213-61A6-446A-9B4B-936FF133A5B7}"/>
    <cellStyle name="Normal 11 4 2 3 3" xfId="47795" xr:uid="{E6ED3753-11F2-40E9-8928-27A3B78DD8B4}"/>
    <cellStyle name="Normal 11 4 2 3 3 2" xfId="47796" xr:uid="{50421FF6-317E-423E-B414-85324E2E8D24}"/>
    <cellStyle name="Normal 11 4 2 3 3 2 2" xfId="47797" xr:uid="{CEFB3112-D3BA-4D20-B5C8-ECBD5BD53340}"/>
    <cellStyle name="Normal 11 4 2 3 3 2 2 2" xfId="47798" xr:uid="{49EB60F0-D984-4AEB-B150-11FD0380066F}"/>
    <cellStyle name="Normal 11 4 2 3 3 2 2 2 2" xfId="47799" xr:uid="{A405E553-643B-4249-93B9-18283255E143}"/>
    <cellStyle name="Normal 11 4 2 3 3 2 2 3" xfId="47800" xr:uid="{A771AA62-2364-4332-9E5A-02A50809B3CE}"/>
    <cellStyle name="Normal 11 4 2 3 3 2 3" xfId="47801" xr:uid="{5D0B5A02-3BE8-415F-B663-159E59BEC186}"/>
    <cellStyle name="Normal 11 4 2 3 3 2 3 2" xfId="47802" xr:uid="{5B39C5D2-C827-4538-9796-B87DD61F6D2E}"/>
    <cellStyle name="Normal 11 4 2 3 3 2 4" xfId="47803" xr:uid="{88E699B0-FFB6-402E-BBEA-F05D0CBBAAD6}"/>
    <cellStyle name="Normal 11 4 2 3 3 3" xfId="47804" xr:uid="{50919365-C3FA-4B2D-9A6F-64CB38CF3085}"/>
    <cellStyle name="Normal 11 4 2 3 3 3 2" xfId="47805" xr:uid="{F26C114C-2C0C-4921-B36C-B9AB6E124E6E}"/>
    <cellStyle name="Normal 11 4 2 3 3 3 2 2" xfId="47806" xr:uid="{1760C71A-F5C5-4F6A-AD3D-3F226B787936}"/>
    <cellStyle name="Normal 11 4 2 3 3 3 3" xfId="47807" xr:uid="{4C7A5038-5B78-41D5-AB16-A479368C8028}"/>
    <cellStyle name="Normal 11 4 2 3 3 4" xfId="47808" xr:uid="{122BADC6-7B3B-4F34-AF10-BA6620550E92}"/>
    <cellStyle name="Normal 11 4 2 3 3 4 2" xfId="47809" xr:uid="{E82D1906-EA33-431B-B0C9-164E1405CF09}"/>
    <cellStyle name="Normal 11 4 2 3 3 5" xfId="47810" xr:uid="{2BAB86B2-381C-4871-B1B9-370713105487}"/>
    <cellStyle name="Normal 11 4 2 3 4" xfId="47811" xr:uid="{2589BEBA-D28E-4054-8E0A-90E41A0BC7A0}"/>
    <cellStyle name="Normal 11 4 2 3 4 2" xfId="47812" xr:uid="{00D2DE70-ECDF-476E-8ABE-BCE10D03C893}"/>
    <cellStyle name="Normal 11 4 2 3 4 2 2" xfId="47813" xr:uid="{302A5D3D-CD9A-4694-93A8-AC0659394CB7}"/>
    <cellStyle name="Normal 11 4 2 3 4 2 2 2" xfId="47814" xr:uid="{620BC68F-2EF9-4FCC-BDDD-7205E47CB867}"/>
    <cellStyle name="Normal 11 4 2 3 4 2 3" xfId="47815" xr:uid="{945F0AEF-CBFE-44EA-868F-85190A253B18}"/>
    <cellStyle name="Normal 11 4 2 3 4 3" xfId="47816" xr:uid="{F709650B-661A-4BF1-9E55-0F881ABB6067}"/>
    <cellStyle name="Normal 11 4 2 3 4 3 2" xfId="47817" xr:uid="{4C739E11-40F9-410C-AACD-E5A0351DD4A2}"/>
    <cellStyle name="Normal 11 4 2 3 4 4" xfId="47818" xr:uid="{A7B0C0D4-E132-4C6F-86B5-91A27C35601A}"/>
    <cellStyle name="Normal 11 4 2 3 5" xfId="47819" xr:uid="{911D9465-61E5-4CE3-9DC7-72C21764F5B8}"/>
    <cellStyle name="Normal 11 4 2 3 5 2" xfId="47820" xr:uid="{6E852159-9D3C-48F1-9FE4-17356B016CB6}"/>
    <cellStyle name="Normal 11 4 2 3 5 2 2" xfId="47821" xr:uid="{28431ED3-D6B6-4745-A578-510CCA53840A}"/>
    <cellStyle name="Normal 11 4 2 3 5 3" xfId="47822" xr:uid="{22CB3017-C9A1-4BC7-85F6-D59D8334F3BC}"/>
    <cellStyle name="Normal 11 4 2 3 6" xfId="47823" xr:uid="{3D8A53AC-00B1-4F53-B45D-DAB19C12410E}"/>
    <cellStyle name="Normal 11 4 2 3 6 2" xfId="47824" xr:uid="{DE3949E5-D487-40B4-B3E0-C3B12EF908AC}"/>
    <cellStyle name="Normal 11 4 2 3 7" xfId="47825" xr:uid="{A2B576F2-5AED-4199-AAAB-6F76794F93B7}"/>
    <cellStyle name="Normal 11 4 2 4" xfId="47826" xr:uid="{18DD259C-CD0C-4C27-8F66-EFEAD10678D1}"/>
    <cellStyle name="Normal 11 4 2 4 2" xfId="47827" xr:uid="{029FE13A-65B5-44D5-8420-33AB04744941}"/>
    <cellStyle name="Normal 11 4 2 4 2 2" xfId="47828" xr:uid="{4B2F0D4E-3C27-4F2B-957B-73ED3BFDF359}"/>
    <cellStyle name="Normal 11 4 2 4 2 2 2" xfId="47829" xr:uid="{5432933A-9095-44A9-9FDF-E9F3493D81BA}"/>
    <cellStyle name="Normal 11 4 2 4 2 2 2 2" xfId="47830" xr:uid="{92ED7F65-9708-4FD5-BC52-F84F002E0B73}"/>
    <cellStyle name="Normal 11 4 2 4 2 2 2 2 2" xfId="47831" xr:uid="{2CE84B41-2D2C-4705-BFC2-2A7771FDF510}"/>
    <cellStyle name="Normal 11 4 2 4 2 2 2 3" xfId="47832" xr:uid="{0AFCD0D3-C4DE-487F-9DEF-D04A5EFF4147}"/>
    <cellStyle name="Normal 11 4 2 4 2 2 3" xfId="47833" xr:uid="{B469DA7E-2CE6-48B2-9363-61AF471AD69E}"/>
    <cellStyle name="Normal 11 4 2 4 2 2 3 2" xfId="47834" xr:uid="{0F478D9A-503B-4EEB-B6D1-34330459CAF1}"/>
    <cellStyle name="Normal 11 4 2 4 2 2 4" xfId="47835" xr:uid="{D95A2CB8-D9AF-4A06-B9C5-8EDBC707F1D9}"/>
    <cellStyle name="Normal 11 4 2 4 2 3" xfId="47836" xr:uid="{ABA6CA7F-032F-4704-8BC7-BC5789CCBEE0}"/>
    <cellStyle name="Normal 11 4 2 4 2 3 2" xfId="47837" xr:uid="{71D44BC5-BDB6-4AE6-AC5C-2341212D3816}"/>
    <cellStyle name="Normal 11 4 2 4 2 3 2 2" xfId="47838" xr:uid="{1A6619A0-CD31-43E8-823B-51714A6603DF}"/>
    <cellStyle name="Normal 11 4 2 4 2 3 3" xfId="47839" xr:uid="{66927F0B-F28B-4B0A-8042-009F0D1EB6C1}"/>
    <cellStyle name="Normal 11 4 2 4 2 4" xfId="47840" xr:uid="{627E0D2F-C7E5-4A47-8682-5E7BA75507A7}"/>
    <cellStyle name="Normal 11 4 2 4 2 4 2" xfId="47841" xr:uid="{5CAAC434-56FA-4437-8883-B7413B3DE971}"/>
    <cellStyle name="Normal 11 4 2 4 2 5" xfId="47842" xr:uid="{A07284A4-A267-4AF7-A85D-AD6CB3B269BD}"/>
    <cellStyle name="Normal 11 4 2 4 3" xfId="47843" xr:uid="{57FB453A-02B4-4BC0-BEE5-0982063B3046}"/>
    <cellStyle name="Normal 11 4 2 4 3 2" xfId="47844" xr:uid="{A5D2C6A8-29E2-4897-9DEC-C90AFEE1ECA4}"/>
    <cellStyle name="Normal 11 4 2 4 3 2 2" xfId="47845" xr:uid="{D33623F1-A946-44AE-8AB2-80FC621D30E1}"/>
    <cellStyle name="Normal 11 4 2 4 3 2 2 2" xfId="47846" xr:uid="{0254F7BD-DAE5-4CA3-B235-B1A0253130F8}"/>
    <cellStyle name="Normal 11 4 2 4 3 2 3" xfId="47847" xr:uid="{0BCC10A7-DF08-41E7-99C5-637D34AF5DEC}"/>
    <cellStyle name="Normal 11 4 2 4 3 3" xfId="47848" xr:uid="{8A7827F5-D927-4496-A1D7-8BE79BE0A28C}"/>
    <cellStyle name="Normal 11 4 2 4 3 3 2" xfId="47849" xr:uid="{1381D9D4-692A-4CEC-B781-7BE802CBC703}"/>
    <cellStyle name="Normal 11 4 2 4 3 4" xfId="47850" xr:uid="{53429749-8DD8-41D9-A307-5D03782AFC32}"/>
    <cellStyle name="Normal 11 4 2 4 4" xfId="47851" xr:uid="{F08A22AD-CAF5-423C-BA61-2AE75AB85733}"/>
    <cellStyle name="Normal 11 4 2 4 4 2" xfId="47852" xr:uid="{2F7F54E5-1C7A-4110-8734-53CE57506E05}"/>
    <cellStyle name="Normal 11 4 2 4 4 2 2" xfId="47853" xr:uid="{243EBBB2-736B-4C19-AA79-9CB3C704F4B2}"/>
    <cellStyle name="Normal 11 4 2 4 4 3" xfId="47854" xr:uid="{447B94CC-40FF-4F51-8DF3-7C9F01A1043A}"/>
    <cellStyle name="Normal 11 4 2 4 5" xfId="47855" xr:uid="{60853D62-F502-4B53-AC9E-2E2CB27A03ED}"/>
    <cellStyle name="Normal 11 4 2 4 5 2" xfId="47856" xr:uid="{1F482773-318E-4B5A-91F5-1ECCC7FA27A7}"/>
    <cellStyle name="Normal 11 4 2 4 6" xfId="47857" xr:uid="{5018E52F-2C83-42AA-89F7-EBD5C44A7144}"/>
    <cellStyle name="Normal 11 4 2 5" xfId="47858" xr:uid="{51B0A92F-2EF2-4D41-B1CE-7FD6790327CA}"/>
    <cellStyle name="Normal 11 4 2 5 2" xfId="47859" xr:uid="{9D6404BE-72FB-4291-9667-79115B1D4099}"/>
    <cellStyle name="Normal 11 4 2 5 2 2" xfId="47860" xr:uid="{48A94E73-1DD1-43CE-8A76-C1B450386F87}"/>
    <cellStyle name="Normal 11 4 2 5 2 2 2" xfId="47861" xr:uid="{5946F093-440A-4FF1-87DB-F5253B0AA9F9}"/>
    <cellStyle name="Normal 11 4 2 5 2 2 2 2" xfId="47862" xr:uid="{B51A55C9-8A58-4E13-A7FC-1AFC747D244C}"/>
    <cellStyle name="Normal 11 4 2 5 2 2 3" xfId="47863" xr:uid="{02389469-7B3E-42F2-A11B-79B693F887B2}"/>
    <cellStyle name="Normal 11 4 2 5 2 3" xfId="47864" xr:uid="{0FF32253-2496-4AAF-847C-81D00C7126F2}"/>
    <cellStyle name="Normal 11 4 2 5 2 3 2" xfId="47865" xr:uid="{5B86CBF9-2D5C-4B3C-AAC9-AF58C3120F78}"/>
    <cellStyle name="Normal 11 4 2 5 2 4" xfId="47866" xr:uid="{C4E58A60-4E1B-477F-BF99-945DA32CB843}"/>
    <cellStyle name="Normal 11 4 2 5 3" xfId="47867" xr:uid="{DDF35319-DA9D-47E1-89CE-08FD4668205E}"/>
    <cellStyle name="Normal 11 4 2 5 3 2" xfId="47868" xr:uid="{11484E7F-6547-4C3F-ABDD-2B4B0F238424}"/>
    <cellStyle name="Normal 11 4 2 5 3 2 2" xfId="47869" xr:uid="{8FF78497-46FA-4571-BAD3-3B2E3D9BEC73}"/>
    <cellStyle name="Normal 11 4 2 5 3 3" xfId="47870" xr:uid="{936D1DC5-0746-4BAC-8A7C-472ABDB413A4}"/>
    <cellStyle name="Normal 11 4 2 5 4" xfId="47871" xr:uid="{27A73472-2565-435F-B910-19085FB7094E}"/>
    <cellStyle name="Normal 11 4 2 5 4 2" xfId="47872" xr:uid="{016B0322-9CDF-415B-AD29-FEF1D0D2AFEE}"/>
    <cellStyle name="Normal 11 4 2 5 5" xfId="47873" xr:uid="{73FF0333-AF21-455A-9F60-30DA171A31D0}"/>
    <cellStyle name="Normal 11 4 2 6" xfId="47874" xr:uid="{70CC938F-FF0B-4951-ADA2-749EAF3FB2A5}"/>
    <cellStyle name="Normal 11 4 2 6 2" xfId="47875" xr:uid="{3760BBF6-6639-4514-A76C-A086427EE145}"/>
    <cellStyle name="Normal 11 4 2 6 2 2" xfId="47876" xr:uid="{B1B41E80-FDF0-493A-8AC0-85ACFA79B175}"/>
    <cellStyle name="Normal 11 4 2 6 2 2 2" xfId="47877" xr:uid="{DBEE0E2A-E9FF-45A1-A644-FC820BA800DC}"/>
    <cellStyle name="Normal 11 4 2 6 2 3" xfId="47878" xr:uid="{0F5F1150-5A35-47BD-A66B-4D44E4B45DBE}"/>
    <cellStyle name="Normal 11 4 2 6 3" xfId="47879" xr:uid="{B01D8AF4-D143-4F22-9E76-B907F131B492}"/>
    <cellStyle name="Normal 11 4 2 6 3 2" xfId="47880" xr:uid="{24A9F890-585F-461A-81EE-B25457509A9D}"/>
    <cellStyle name="Normal 11 4 2 6 4" xfId="47881" xr:uid="{B04D701A-FFCA-4C56-97BC-F28773579016}"/>
    <cellStyle name="Normal 11 4 2 7" xfId="47882" xr:uid="{F641895B-1516-4D06-89CA-8DA449646310}"/>
    <cellStyle name="Normal 11 4 2 7 2" xfId="47883" xr:uid="{E5254C82-8657-4D76-9E1D-C6A31D7B63E3}"/>
    <cellStyle name="Normal 11 4 2 7 2 2" xfId="47884" xr:uid="{E31B52C8-2F84-40C6-81B5-4925E1C90974}"/>
    <cellStyle name="Normal 11 4 2 7 3" xfId="47885" xr:uid="{C9FEE1C8-AB86-4150-A1C3-7248F9877A12}"/>
    <cellStyle name="Normal 11 4 2 8" xfId="47886" xr:uid="{65BDC7BB-5485-44E5-BD56-159213F3540F}"/>
    <cellStyle name="Normal 11 4 2 8 2" xfId="47887" xr:uid="{0ECF4BC6-C16E-4DF2-881E-D6AE4152D45B}"/>
    <cellStyle name="Normal 11 4 2 9" xfId="47888" xr:uid="{995FB903-D1A1-4A4E-9668-C5B0CEC081B3}"/>
    <cellStyle name="Normal 11 4 3" xfId="47889" xr:uid="{B5BF4DFB-35BD-44F3-9814-B1C518866A13}"/>
    <cellStyle name="Normal 11 4 3 2" xfId="47890" xr:uid="{4D68DAAC-1FFA-461F-A30D-55AAF92AB330}"/>
    <cellStyle name="Normal 11 4 3 2 2" xfId="47891" xr:uid="{8F6D00F5-191C-4E4C-B5B5-445039D229D6}"/>
    <cellStyle name="Normal 11 4 3 2 2 2" xfId="47892" xr:uid="{97F5C7A7-9C00-4580-A240-932CFBB7407B}"/>
    <cellStyle name="Normal 11 4 3 2 2 2 2" xfId="47893" xr:uid="{5F9347F9-487C-4C8C-90A8-DB2D2A13D947}"/>
    <cellStyle name="Normal 11 4 3 2 2 2 2 2" xfId="47894" xr:uid="{309F56BB-E9C8-4436-B8AB-E34818CFB918}"/>
    <cellStyle name="Normal 11 4 3 2 2 2 2 2 2" xfId="47895" xr:uid="{397D561E-8308-4710-934C-1FCCF1C0AF41}"/>
    <cellStyle name="Normal 11 4 3 2 2 2 2 2 2 2" xfId="47896" xr:uid="{B815764D-CCC1-46C5-A29F-31E212DB5D4E}"/>
    <cellStyle name="Normal 11 4 3 2 2 2 2 2 3" xfId="47897" xr:uid="{92E91DDD-638B-4AC8-B976-3443F526FEEB}"/>
    <cellStyle name="Normal 11 4 3 2 2 2 2 3" xfId="47898" xr:uid="{08EEC44E-6EAC-49B4-AC71-001E664A0F59}"/>
    <cellStyle name="Normal 11 4 3 2 2 2 2 3 2" xfId="47899" xr:uid="{6B092887-2A3D-4C38-913F-06E60FD91779}"/>
    <cellStyle name="Normal 11 4 3 2 2 2 2 4" xfId="47900" xr:uid="{9CBCBA7D-B5AB-4503-9664-D40AD5C4F3E3}"/>
    <cellStyle name="Normal 11 4 3 2 2 2 3" xfId="47901" xr:uid="{3C2B7BF0-D993-4B10-9E0A-81D8015898AB}"/>
    <cellStyle name="Normal 11 4 3 2 2 2 3 2" xfId="47902" xr:uid="{0520E1C7-A28A-40FF-9F09-F6D371232340}"/>
    <cellStyle name="Normal 11 4 3 2 2 2 3 2 2" xfId="47903" xr:uid="{F0B3CDD2-60BF-41F9-A94C-A9133339EFC7}"/>
    <cellStyle name="Normal 11 4 3 2 2 2 3 3" xfId="47904" xr:uid="{A2992E4C-D52D-4F81-9D02-BFA226BCDDDC}"/>
    <cellStyle name="Normal 11 4 3 2 2 2 4" xfId="47905" xr:uid="{9152ECCB-499E-493B-A8D1-25FFAFB74C25}"/>
    <cellStyle name="Normal 11 4 3 2 2 2 4 2" xfId="47906" xr:uid="{19C8F304-3A71-47AF-A12B-5E051061FE2A}"/>
    <cellStyle name="Normal 11 4 3 2 2 2 5" xfId="47907" xr:uid="{5D123A33-7B14-422D-9D75-CB0139537360}"/>
    <cellStyle name="Normal 11 4 3 2 2 3" xfId="47908" xr:uid="{AC243C9C-0A70-4E40-8895-94E1CAE42AFF}"/>
    <cellStyle name="Normal 11 4 3 2 2 3 2" xfId="47909" xr:uid="{94978C90-94C7-4F61-92B9-46BE87396B61}"/>
    <cellStyle name="Normal 11 4 3 2 2 3 2 2" xfId="47910" xr:uid="{9662574A-6706-42E4-80BC-AB0006894EC0}"/>
    <cellStyle name="Normal 11 4 3 2 2 3 2 2 2" xfId="47911" xr:uid="{1CDAA5F5-F43F-440D-B921-BBFAFCE73FCB}"/>
    <cellStyle name="Normal 11 4 3 2 2 3 2 3" xfId="47912" xr:uid="{002610A8-8224-4048-AD87-559E33847730}"/>
    <cellStyle name="Normal 11 4 3 2 2 3 3" xfId="47913" xr:uid="{2777E5B2-6BF0-494B-AD1D-414DB3B41F5C}"/>
    <cellStyle name="Normal 11 4 3 2 2 3 3 2" xfId="47914" xr:uid="{C1A0FDEB-E8D7-4371-819E-00DCC4769E43}"/>
    <cellStyle name="Normal 11 4 3 2 2 3 4" xfId="47915" xr:uid="{57250A71-5CB2-47C4-8EA0-40825492F477}"/>
    <cellStyle name="Normal 11 4 3 2 2 4" xfId="47916" xr:uid="{AD5B9644-9F24-479E-8197-5584C27D5121}"/>
    <cellStyle name="Normal 11 4 3 2 2 4 2" xfId="47917" xr:uid="{C3E13638-CC56-452B-BF5C-3E6907BAABCF}"/>
    <cellStyle name="Normal 11 4 3 2 2 4 2 2" xfId="47918" xr:uid="{825D3D2D-66E8-4672-8038-622FF4B152C2}"/>
    <cellStyle name="Normal 11 4 3 2 2 4 3" xfId="47919" xr:uid="{21ACD520-960D-4B9D-B1DA-B304D4D04CA3}"/>
    <cellStyle name="Normal 11 4 3 2 2 5" xfId="47920" xr:uid="{9B976362-D642-4AF9-B6C7-8D9D3D2EA6BD}"/>
    <cellStyle name="Normal 11 4 3 2 2 5 2" xfId="47921" xr:uid="{5D304A84-4116-459B-B321-CD1BDBCCF351}"/>
    <cellStyle name="Normal 11 4 3 2 2 6" xfId="47922" xr:uid="{A670F043-1BB5-44F8-9BD0-755F9EEC5FE8}"/>
    <cellStyle name="Normal 11 4 3 2 3" xfId="47923" xr:uid="{3C275116-9EF6-47D6-BDCD-30CB94173F27}"/>
    <cellStyle name="Normal 11 4 3 2 3 2" xfId="47924" xr:uid="{5F509C8B-6B36-4A2E-AAAA-747ED49CD958}"/>
    <cellStyle name="Normal 11 4 3 2 3 2 2" xfId="47925" xr:uid="{209F0EBA-08D9-40B3-9F1B-DFA585C97998}"/>
    <cellStyle name="Normal 11 4 3 2 3 2 2 2" xfId="47926" xr:uid="{453080A8-E3A4-447B-BFAA-CFC2B0F369AD}"/>
    <cellStyle name="Normal 11 4 3 2 3 2 2 2 2" xfId="47927" xr:uid="{4FB89E6C-03C5-4813-A9B3-D75A99364A78}"/>
    <cellStyle name="Normal 11 4 3 2 3 2 2 3" xfId="47928" xr:uid="{E3521528-C354-4343-A76C-816C6A00F016}"/>
    <cellStyle name="Normal 11 4 3 2 3 2 3" xfId="47929" xr:uid="{6D80074F-3156-4D8C-9815-D9ACD646F2B9}"/>
    <cellStyle name="Normal 11 4 3 2 3 2 3 2" xfId="47930" xr:uid="{751523BB-8C2A-4717-B984-E0AB89926E07}"/>
    <cellStyle name="Normal 11 4 3 2 3 2 4" xfId="47931" xr:uid="{C3FA7488-21DE-4002-B415-6AFC5C3A57BA}"/>
    <cellStyle name="Normal 11 4 3 2 3 3" xfId="47932" xr:uid="{26BE9A0F-7E09-4DFF-A44B-112C76AF816B}"/>
    <cellStyle name="Normal 11 4 3 2 3 3 2" xfId="47933" xr:uid="{B47DE33A-1008-4333-9263-8A99A3AA3B4C}"/>
    <cellStyle name="Normal 11 4 3 2 3 3 2 2" xfId="47934" xr:uid="{FEB7D71C-1A09-4609-AC85-6DF3E77D56AC}"/>
    <cellStyle name="Normal 11 4 3 2 3 3 3" xfId="47935" xr:uid="{16031094-F5B2-4DA6-B658-17B7D3C3DEBD}"/>
    <cellStyle name="Normal 11 4 3 2 3 4" xfId="47936" xr:uid="{1B7CD9CB-5AFE-4F7E-8A2A-0251C6EF081E}"/>
    <cellStyle name="Normal 11 4 3 2 3 4 2" xfId="47937" xr:uid="{E1A372B6-A05A-4FEA-91D9-74C34064F241}"/>
    <cellStyle name="Normal 11 4 3 2 3 5" xfId="47938" xr:uid="{322215D2-14BA-474E-BDCA-E91617222802}"/>
    <cellStyle name="Normal 11 4 3 2 4" xfId="47939" xr:uid="{D2C2B518-10C7-4C18-A8DB-FD578A3F0E76}"/>
    <cellStyle name="Normal 11 4 3 2 4 2" xfId="47940" xr:uid="{D497F454-A709-486C-85F9-93123B1D0564}"/>
    <cellStyle name="Normal 11 4 3 2 4 2 2" xfId="47941" xr:uid="{59C383B8-31D5-43E0-BABA-8C24197386C2}"/>
    <cellStyle name="Normal 11 4 3 2 4 2 2 2" xfId="47942" xr:uid="{875FC288-816A-4D77-A852-E85214C5E525}"/>
    <cellStyle name="Normal 11 4 3 2 4 2 3" xfId="47943" xr:uid="{157E1076-DFF3-4FF8-8C3B-CEF986F26B53}"/>
    <cellStyle name="Normal 11 4 3 2 4 3" xfId="47944" xr:uid="{5CD9CA48-F984-4500-8A96-985F10738139}"/>
    <cellStyle name="Normal 11 4 3 2 4 3 2" xfId="47945" xr:uid="{CFAA74F9-14A7-48E1-8CDE-9F2FECEBF55A}"/>
    <cellStyle name="Normal 11 4 3 2 4 4" xfId="47946" xr:uid="{BB29285E-9D70-4616-9B8A-56471FB37E57}"/>
    <cellStyle name="Normal 11 4 3 2 5" xfId="47947" xr:uid="{F7580FC4-496C-4AAD-A852-DCB35AEBF62A}"/>
    <cellStyle name="Normal 11 4 3 2 5 2" xfId="47948" xr:uid="{8CBAE5C3-E9B9-402A-BAD5-D7C3B42F2A14}"/>
    <cellStyle name="Normal 11 4 3 2 5 2 2" xfId="47949" xr:uid="{F4577DAF-1193-48BA-B1B0-7EC2EDA8D5A3}"/>
    <cellStyle name="Normal 11 4 3 2 5 3" xfId="47950" xr:uid="{2D7E64EF-8825-4E9A-A635-EFB950F17BA4}"/>
    <cellStyle name="Normal 11 4 3 2 6" xfId="47951" xr:uid="{2AB79B72-A7F1-4213-AA71-B2597029E6C4}"/>
    <cellStyle name="Normal 11 4 3 2 6 2" xfId="47952" xr:uid="{08FDF8E7-E3B4-45A6-9229-C805F6CCA7CD}"/>
    <cellStyle name="Normal 11 4 3 2 7" xfId="47953" xr:uid="{304B20E0-E907-47CA-AAA2-AB997C3578D5}"/>
    <cellStyle name="Normal 11 4 3 3" xfId="47954" xr:uid="{D1D29787-087E-4D00-82FA-A113B224AB73}"/>
    <cellStyle name="Normal 11 4 3 3 2" xfId="47955" xr:uid="{24AE2A03-D54B-49D2-A7E5-7BABF8DCA98B}"/>
    <cellStyle name="Normal 11 4 3 3 2 2" xfId="47956" xr:uid="{CB8BEA94-2866-4BBE-82E0-CB3F49B0E19A}"/>
    <cellStyle name="Normal 11 4 3 3 2 2 2" xfId="47957" xr:uid="{D713C87A-3453-4D59-95B8-5F8968ECB2F1}"/>
    <cellStyle name="Normal 11 4 3 3 2 2 2 2" xfId="47958" xr:uid="{56AB93D8-2343-4F3D-A7A7-A0A6C6197B53}"/>
    <cellStyle name="Normal 11 4 3 3 2 2 2 2 2" xfId="47959" xr:uid="{4AE84D46-1D41-4235-847E-FCD5173A0D47}"/>
    <cellStyle name="Normal 11 4 3 3 2 2 2 3" xfId="47960" xr:uid="{55CD3271-3BC0-497C-9AB8-B21F09AD3F4D}"/>
    <cellStyle name="Normal 11 4 3 3 2 2 3" xfId="47961" xr:uid="{A16696A6-79F5-472D-9DC4-7272F1B3F822}"/>
    <cellStyle name="Normal 11 4 3 3 2 2 3 2" xfId="47962" xr:uid="{53C20F39-0C3B-49C9-829D-72DEEF27E069}"/>
    <cellStyle name="Normal 11 4 3 3 2 2 4" xfId="47963" xr:uid="{C6F80348-6DA8-4C9B-BDFF-D1005385A713}"/>
    <cellStyle name="Normal 11 4 3 3 2 3" xfId="47964" xr:uid="{1BDAE379-5767-43E0-86B5-E19FE90DEDBE}"/>
    <cellStyle name="Normal 11 4 3 3 2 3 2" xfId="47965" xr:uid="{473B4F29-93B7-46E7-8A27-7A228F96FCDD}"/>
    <cellStyle name="Normal 11 4 3 3 2 3 2 2" xfId="47966" xr:uid="{D75754E5-6D7F-4115-A89A-DEE98A268222}"/>
    <cellStyle name="Normal 11 4 3 3 2 3 3" xfId="47967" xr:uid="{3BE13C9B-73A5-4F1D-8A30-8E698C03AED0}"/>
    <cellStyle name="Normal 11 4 3 3 2 4" xfId="47968" xr:uid="{94376D5F-D201-46C5-9A97-F01C0615B357}"/>
    <cellStyle name="Normal 11 4 3 3 2 4 2" xfId="47969" xr:uid="{001C714F-39C7-4265-8C69-EC4846C56B34}"/>
    <cellStyle name="Normal 11 4 3 3 2 5" xfId="47970" xr:uid="{97554CD0-5429-436F-ACAE-EC19F9F164FE}"/>
    <cellStyle name="Normal 11 4 3 3 3" xfId="47971" xr:uid="{49794C7E-41AE-46B5-A30F-671623DEF1D4}"/>
    <cellStyle name="Normal 11 4 3 3 3 2" xfId="47972" xr:uid="{1D5CE6C1-7420-4EF9-B06C-3C1AE3015952}"/>
    <cellStyle name="Normal 11 4 3 3 3 2 2" xfId="47973" xr:uid="{CC7B008E-A3BF-44BA-AAFE-6D0403CFCD81}"/>
    <cellStyle name="Normal 11 4 3 3 3 2 2 2" xfId="47974" xr:uid="{CED3E8B0-C392-4DD4-9672-64866F5669E4}"/>
    <cellStyle name="Normal 11 4 3 3 3 2 3" xfId="47975" xr:uid="{376969BB-9B35-4F2B-85A4-654270498A76}"/>
    <cellStyle name="Normal 11 4 3 3 3 3" xfId="47976" xr:uid="{00DAEDAD-3DF3-4868-8A0C-AE821144566D}"/>
    <cellStyle name="Normal 11 4 3 3 3 3 2" xfId="47977" xr:uid="{9DF7BA25-CB85-4195-B5C4-65070440560F}"/>
    <cellStyle name="Normal 11 4 3 3 3 4" xfId="47978" xr:uid="{B1C3FECE-16F7-43C6-8743-1A9A967FEE59}"/>
    <cellStyle name="Normal 11 4 3 3 4" xfId="47979" xr:uid="{0097B47F-2AB1-4A60-ABC4-D713E8EB0CE5}"/>
    <cellStyle name="Normal 11 4 3 3 4 2" xfId="47980" xr:uid="{1C44C10F-067C-4AE8-8863-913F1AB4F2CD}"/>
    <cellStyle name="Normal 11 4 3 3 4 2 2" xfId="47981" xr:uid="{EF9F6076-466E-44B4-BB45-499E63ACBABF}"/>
    <cellStyle name="Normal 11 4 3 3 4 3" xfId="47982" xr:uid="{C6F4CFF2-2D08-48B8-98F3-0F239A3F0025}"/>
    <cellStyle name="Normal 11 4 3 3 5" xfId="47983" xr:uid="{868F8C7A-0936-4EE8-9368-B2ACFC22C4A1}"/>
    <cellStyle name="Normal 11 4 3 3 5 2" xfId="47984" xr:uid="{5BBCADA9-0D14-4FD0-8F76-DA1D57F3BE22}"/>
    <cellStyle name="Normal 11 4 3 3 6" xfId="47985" xr:uid="{D31AD77D-3AFC-4CD1-AA98-D3BBB980E41E}"/>
    <cellStyle name="Normal 11 4 3 4" xfId="47986" xr:uid="{16463E73-A2E8-4063-8E01-2162162A9297}"/>
    <cellStyle name="Normal 11 4 3 4 2" xfId="47987" xr:uid="{BF564ED2-A767-4E82-85C8-DC7149402D87}"/>
    <cellStyle name="Normal 11 4 3 4 2 2" xfId="47988" xr:uid="{D0D12A7B-6463-4135-BA11-1EE39F0F760D}"/>
    <cellStyle name="Normal 11 4 3 4 2 2 2" xfId="47989" xr:uid="{51D5F5BB-7C0C-4DF2-80F6-20B3E5F3ADC7}"/>
    <cellStyle name="Normal 11 4 3 4 2 2 2 2" xfId="47990" xr:uid="{F7F564D0-99EC-4EBA-B221-A021931DB0F2}"/>
    <cellStyle name="Normal 11 4 3 4 2 2 3" xfId="47991" xr:uid="{23D180D6-CA7A-4040-9ABB-43FEB00C50E6}"/>
    <cellStyle name="Normal 11 4 3 4 2 3" xfId="47992" xr:uid="{9DD8BE92-1787-41FD-A4E8-01533800DB75}"/>
    <cellStyle name="Normal 11 4 3 4 2 3 2" xfId="47993" xr:uid="{A9549404-2D83-4F8B-B3AF-AEA7398F3313}"/>
    <cellStyle name="Normal 11 4 3 4 2 4" xfId="47994" xr:uid="{EBD81E8B-68D7-4E62-8179-EF353840947D}"/>
    <cellStyle name="Normal 11 4 3 4 3" xfId="47995" xr:uid="{CE08A786-58F0-4D03-A37D-4BCE71520634}"/>
    <cellStyle name="Normal 11 4 3 4 3 2" xfId="47996" xr:uid="{C8F4AECB-D75F-44A8-AA0A-ADDAC2FFE3C6}"/>
    <cellStyle name="Normal 11 4 3 4 3 2 2" xfId="47997" xr:uid="{BD8930EB-5F4E-4730-A7BE-F8D422B83396}"/>
    <cellStyle name="Normal 11 4 3 4 3 3" xfId="47998" xr:uid="{7D52134E-74FA-438F-B2B5-D93469B04B93}"/>
    <cellStyle name="Normal 11 4 3 4 4" xfId="47999" xr:uid="{A4763486-8174-4816-996B-8EC2D7509D6F}"/>
    <cellStyle name="Normal 11 4 3 4 4 2" xfId="48000" xr:uid="{0237739B-C261-4185-BBE0-33A3356FE229}"/>
    <cellStyle name="Normal 11 4 3 4 5" xfId="48001" xr:uid="{82D539C0-2DEC-466A-A480-CC8EF38AD43B}"/>
    <cellStyle name="Normal 11 4 3 5" xfId="48002" xr:uid="{B4D46EA4-DAD6-43D7-910C-17A678ECE8BC}"/>
    <cellStyle name="Normal 11 4 3 5 2" xfId="48003" xr:uid="{AB574653-E3DF-4E5C-B15F-B6F057201AAC}"/>
    <cellStyle name="Normal 11 4 3 5 2 2" xfId="48004" xr:uid="{8D30D985-1836-4C2F-9CD1-5FBCD9236A5E}"/>
    <cellStyle name="Normal 11 4 3 5 2 2 2" xfId="48005" xr:uid="{683D1A38-7371-49E0-82CD-F5F1C0753944}"/>
    <cellStyle name="Normal 11 4 3 5 2 3" xfId="48006" xr:uid="{83CF624D-BC4D-44AA-87BF-DCD65AE5E5B2}"/>
    <cellStyle name="Normal 11 4 3 5 3" xfId="48007" xr:uid="{A75F18FC-7E51-4CC3-85C2-DD73A7FCE23D}"/>
    <cellStyle name="Normal 11 4 3 5 3 2" xfId="48008" xr:uid="{3FA72043-6902-4514-A056-CD0C74B083E5}"/>
    <cellStyle name="Normal 11 4 3 5 4" xfId="48009" xr:uid="{E9B61896-BDAC-493A-AE40-B9EA2440E0CD}"/>
    <cellStyle name="Normal 11 4 3 6" xfId="48010" xr:uid="{0CDC1241-90D7-4E1C-9237-9EA74D94B2A4}"/>
    <cellStyle name="Normal 11 4 3 6 2" xfId="48011" xr:uid="{ADFBBDD3-4A71-42C1-911A-73BB303E1BD7}"/>
    <cellStyle name="Normal 11 4 3 6 2 2" xfId="48012" xr:uid="{F302A9E9-47CF-4C3B-AFE1-173E4A0F5F3D}"/>
    <cellStyle name="Normal 11 4 3 6 3" xfId="48013" xr:uid="{A1792847-A433-4A9F-9353-E6780A8B5678}"/>
    <cellStyle name="Normal 11 4 3 7" xfId="48014" xr:uid="{98B6B6DE-81D2-4E23-893E-AF9E63BA9CCC}"/>
    <cellStyle name="Normal 11 4 3 7 2" xfId="48015" xr:uid="{196127F4-92F6-42B0-8BBF-B39A29461E7D}"/>
    <cellStyle name="Normal 11 4 3 8" xfId="48016" xr:uid="{EA4DCBF1-6155-4960-A76E-318B20520DDD}"/>
    <cellStyle name="Normal 11 4 4" xfId="48017" xr:uid="{272AD673-E375-4A06-960D-46A7C3D7478D}"/>
    <cellStyle name="Normal 11 4 4 2" xfId="48018" xr:uid="{0E8F333B-87FC-4446-A73B-D4B9CB35906B}"/>
    <cellStyle name="Normal 11 4 4 2 2" xfId="48019" xr:uid="{84BAA6C1-49FE-483D-BBBD-617F31F0F1D3}"/>
    <cellStyle name="Normal 11 4 4 2 2 2" xfId="48020" xr:uid="{31680B99-FF3E-4EB1-8C50-8DA206506E73}"/>
    <cellStyle name="Normal 11 4 4 2 2 2 2" xfId="48021" xr:uid="{71A935E9-4E37-485D-B312-976521B6EF2F}"/>
    <cellStyle name="Normal 11 4 4 2 2 2 2 2" xfId="48022" xr:uid="{4DDA4189-6036-45D2-AFAC-6E9255FC875C}"/>
    <cellStyle name="Normal 11 4 4 2 2 2 2 2 2" xfId="48023" xr:uid="{00B850BB-5441-4C92-B234-1DAC5CFBF9FD}"/>
    <cellStyle name="Normal 11 4 4 2 2 2 2 3" xfId="48024" xr:uid="{34340A03-75B5-4F66-B798-F51207A43C44}"/>
    <cellStyle name="Normal 11 4 4 2 2 2 3" xfId="48025" xr:uid="{B2A25A0F-774E-4295-B215-29BCCEFB64A4}"/>
    <cellStyle name="Normal 11 4 4 2 2 2 3 2" xfId="48026" xr:uid="{AB428024-0743-4AD3-A541-0093AB1707ED}"/>
    <cellStyle name="Normal 11 4 4 2 2 2 4" xfId="48027" xr:uid="{79EF1928-2FB0-4525-8781-C4FE820A7E40}"/>
    <cellStyle name="Normal 11 4 4 2 2 3" xfId="48028" xr:uid="{79EBC9C0-DBA0-4148-8FF2-86D8227AD44D}"/>
    <cellStyle name="Normal 11 4 4 2 2 3 2" xfId="48029" xr:uid="{DDC1329E-09EE-4334-BAB3-2DBB73E1FFAD}"/>
    <cellStyle name="Normal 11 4 4 2 2 3 2 2" xfId="48030" xr:uid="{C7A83F4F-D20C-4B7D-82E7-A576D02A832F}"/>
    <cellStyle name="Normal 11 4 4 2 2 3 3" xfId="48031" xr:uid="{DCFB5339-DF1C-49B7-93DC-9BED78E81000}"/>
    <cellStyle name="Normal 11 4 4 2 2 4" xfId="48032" xr:uid="{FACCD0A9-65EB-474D-9179-4A93654AC753}"/>
    <cellStyle name="Normal 11 4 4 2 2 4 2" xfId="48033" xr:uid="{1256F260-8113-4271-BF04-670B96397307}"/>
    <cellStyle name="Normal 11 4 4 2 2 5" xfId="48034" xr:uid="{75B923A4-8C2D-4916-ACA8-CBF220FA43F4}"/>
    <cellStyle name="Normal 11 4 4 2 3" xfId="48035" xr:uid="{21FBDFCD-15B2-4FE3-A7FD-979A749678B2}"/>
    <cellStyle name="Normal 11 4 4 2 3 2" xfId="48036" xr:uid="{3F94C804-95F8-4968-9D01-DBC2A9B04DB4}"/>
    <cellStyle name="Normal 11 4 4 2 3 2 2" xfId="48037" xr:uid="{6C2D40F5-FB12-4BC9-A4E5-BF90CC672C3D}"/>
    <cellStyle name="Normal 11 4 4 2 3 2 2 2" xfId="48038" xr:uid="{6DFE65DD-DB5A-4001-BB29-8AA336B3AB00}"/>
    <cellStyle name="Normal 11 4 4 2 3 2 3" xfId="48039" xr:uid="{23A899BD-F91C-42FD-A72D-AA67351E9B75}"/>
    <cellStyle name="Normal 11 4 4 2 3 3" xfId="48040" xr:uid="{4F856CCF-B1D8-4353-9CCA-DF1A1BFA7889}"/>
    <cellStyle name="Normal 11 4 4 2 3 3 2" xfId="48041" xr:uid="{2E2DECD5-7D12-42B2-AD93-9132636CBFC9}"/>
    <cellStyle name="Normal 11 4 4 2 3 4" xfId="48042" xr:uid="{152EB1CF-24DD-4274-B1A2-BD18D3875C8F}"/>
    <cellStyle name="Normal 11 4 4 2 4" xfId="48043" xr:uid="{B224ACC1-A661-42B0-A9A0-C29E8693D133}"/>
    <cellStyle name="Normal 11 4 4 2 4 2" xfId="48044" xr:uid="{9F9A1629-730A-49FD-9677-889826770E58}"/>
    <cellStyle name="Normal 11 4 4 2 4 2 2" xfId="48045" xr:uid="{F6F382A4-6379-4AB9-B139-37B77815F846}"/>
    <cellStyle name="Normal 11 4 4 2 4 3" xfId="48046" xr:uid="{0023BC04-F2B3-4F53-8ECB-0F3B5452E3AE}"/>
    <cellStyle name="Normal 11 4 4 2 5" xfId="48047" xr:uid="{782B5C91-666C-4513-AD27-1B7A7C1865DE}"/>
    <cellStyle name="Normal 11 4 4 2 5 2" xfId="48048" xr:uid="{B49BB73E-F812-4451-9A4A-E1AC5362C121}"/>
    <cellStyle name="Normal 11 4 4 2 6" xfId="48049" xr:uid="{B26BBBE7-3145-4A91-8E70-986ED3ED9577}"/>
    <cellStyle name="Normal 11 4 4 3" xfId="48050" xr:uid="{B1871C5F-AA24-4323-989A-9E526BBBEA12}"/>
    <cellStyle name="Normal 11 4 4 3 2" xfId="48051" xr:uid="{3FBC0E9F-C440-49D2-96B8-D3D1B32DC6B3}"/>
    <cellStyle name="Normal 11 4 4 3 2 2" xfId="48052" xr:uid="{38721F8D-BFF5-4D68-9332-FD27CE6680F2}"/>
    <cellStyle name="Normal 11 4 4 3 2 2 2" xfId="48053" xr:uid="{A396796A-C3BD-4C68-8702-85E4DD247AC7}"/>
    <cellStyle name="Normal 11 4 4 3 2 2 2 2" xfId="48054" xr:uid="{73C705A1-80E7-4FD2-93A7-C4B632FF3353}"/>
    <cellStyle name="Normal 11 4 4 3 2 2 3" xfId="48055" xr:uid="{2206F11A-DB83-43F3-A20B-0DEA18E07160}"/>
    <cellStyle name="Normal 11 4 4 3 2 3" xfId="48056" xr:uid="{91D2F9AA-239E-48CB-9450-22517FDE0B0F}"/>
    <cellStyle name="Normal 11 4 4 3 2 3 2" xfId="48057" xr:uid="{533A1CDC-BB0B-4BB7-8538-98EB6AAB7AE1}"/>
    <cellStyle name="Normal 11 4 4 3 2 4" xfId="48058" xr:uid="{0E833A69-67C9-4999-98B6-8C1D11DEECBA}"/>
    <cellStyle name="Normal 11 4 4 3 3" xfId="48059" xr:uid="{52FDF803-B1A1-4A65-96CE-6B95BECEC516}"/>
    <cellStyle name="Normal 11 4 4 3 3 2" xfId="48060" xr:uid="{ADACE960-1DD9-4A58-A0C6-050DB1CF19D5}"/>
    <cellStyle name="Normal 11 4 4 3 3 2 2" xfId="48061" xr:uid="{D3010CE2-03DF-4B6C-BF9C-52C0214AA742}"/>
    <cellStyle name="Normal 11 4 4 3 3 3" xfId="48062" xr:uid="{C255B10B-AF9A-4F3C-B647-14458D7E58F6}"/>
    <cellStyle name="Normal 11 4 4 3 4" xfId="48063" xr:uid="{BCA28488-2B11-4ECC-973D-D0B702381C95}"/>
    <cellStyle name="Normal 11 4 4 3 4 2" xfId="48064" xr:uid="{77A0F526-2D76-430F-8D03-AD2F74899880}"/>
    <cellStyle name="Normal 11 4 4 3 5" xfId="48065" xr:uid="{82CFA4BB-5EE6-49AC-8BB0-8066ECF4500A}"/>
    <cellStyle name="Normal 11 4 4 4" xfId="48066" xr:uid="{BFA606D4-CD51-4A71-B225-8551A3A13DBF}"/>
    <cellStyle name="Normal 11 4 4 4 2" xfId="48067" xr:uid="{1C46A022-499F-43AF-906C-4A2058F65152}"/>
    <cellStyle name="Normal 11 4 4 4 2 2" xfId="48068" xr:uid="{D76F2120-F2B6-4EE1-8385-B7C4D7C6EB5C}"/>
    <cellStyle name="Normal 11 4 4 4 2 2 2" xfId="48069" xr:uid="{89DE639E-6B89-41A6-8D2B-C5EC2A544933}"/>
    <cellStyle name="Normal 11 4 4 4 2 3" xfId="48070" xr:uid="{D03E8398-8E9C-48E3-B25D-4F2F25A8B5B0}"/>
    <cellStyle name="Normal 11 4 4 4 3" xfId="48071" xr:uid="{FE3D8656-FB2B-4D31-A579-966BE6E7D4F3}"/>
    <cellStyle name="Normal 11 4 4 4 3 2" xfId="48072" xr:uid="{98F6A9D4-B4FD-4816-AE8D-58F75F801E7F}"/>
    <cellStyle name="Normal 11 4 4 4 4" xfId="48073" xr:uid="{737A3D16-F9E9-41F8-BA8C-D2ABD34E88D7}"/>
    <cellStyle name="Normal 11 4 4 5" xfId="48074" xr:uid="{13A6367E-4599-44D3-9159-8DA617444E9C}"/>
    <cellStyle name="Normal 11 4 4 5 2" xfId="48075" xr:uid="{09110343-DD52-484C-89B0-F2129E0ED965}"/>
    <cellStyle name="Normal 11 4 4 5 2 2" xfId="48076" xr:uid="{21656750-953A-4009-83D6-DBD86661996A}"/>
    <cellStyle name="Normal 11 4 4 5 3" xfId="48077" xr:uid="{0DE7368C-B7F7-41A3-9789-3EDDB6188D7C}"/>
    <cellStyle name="Normal 11 4 4 6" xfId="48078" xr:uid="{02CBC0ED-DCA9-4B6B-9F0B-F90A75A460E5}"/>
    <cellStyle name="Normal 11 4 4 6 2" xfId="48079" xr:uid="{83A82A74-6565-4EC4-8667-E0185420D080}"/>
    <cellStyle name="Normal 11 4 4 7" xfId="48080" xr:uid="{A5B32DAA-A6B4-420A-94A0-44D8AE27D794}"/>
    <cellStyle name="Normal 11 4 5" xfId="48081" xr:uid="{DC6A846D-E109-41D6-B1AD-3F6D7CFCD310}"/>
    <cellStyle name="Normal 11 4 5 2" xfId="48082" xr:uid="{1B8B131A-CE27-4C1C-BA63-0C19160A46FA}"/>
    <cellStyle name="Normal 11 4 5 2 2" xfId="48083" xr:uid="{3474E848-7615-40D9-A096-D2DB11E15C7F}"/>
    <cellStyle name="Normal 11 4 5 2 2 2" xfId="48084" xr:uid="{D112F46E-F370-499D-9868-03D94657F951}"/>
    <cellStyle name="Normal 11 4 5 2 2 2 2" xfId="48085" xr:uid="{AED80A15-DFB5-4D14-886D-6742A7F20AE8}"/>
    <cellStyle name="Normal 11 4 5 2 2 2 2 2" xfId="48086" xr:uid="{01C39DAB-614E-4E2D-A254-6D42D49500CD}"/>
    <cellStyle name="Normal 11 4 5 2 2 2 3" xfId="48087" xr:uid="{D6B47615-3112-4518-BFE1-D995B413B90E}"/>
    <cellStyle name="Normal 11 4 5 2 2 3" xfId="48088" xr:uid="{2FBE9FC1-08A1-4F77-A6ED-6A9E006C7CB7}"/>
    <cellStyle name="Normal 11 4 5 2 2 3 2" xfId="48089" xr:uid="{10271C9F-8B00-41BB-9EE2-BC487A77977B}"/>
    <cellStyle name="Normal 11 4 5 2 2 4" xfId="48090" xr:uid="{B8B727FF-4D18-40FB-AF4E-3D8C81706D7D}"/>
    <cellStyle name="Normal 11 4 5 2 3" xfId="48091" xr:uid="{059B8919-B42B-4568-85FA-162EF80FFB24}"/>
    <cellStyle name="Normal 11 4 5 2 3 2" xfId="48092" xr:uid="{240BD225-B91C-4F2D-8170-8AE33A4D0D01}"/>
    <cellStyle name="Normal 11 4 5 2 3 2 2" xfId="48093" xr:uid="{69EE790B-96C3-449D-A971-15B16A0B8B84}"/>
    <cellStyle name="Normal 11 4 5 2 3 3" xfId="48094" xr:uid="{13D307BC-A5D9-468B-8772-105CB7FD5961}"/>
    <cellStyle name="Normal 11 4 5 2 4" xfId="48095" xr:uid="{401A51AB-327D-4AD7-B3FC-2ACC3CC679B8}"/>
    <cellStyle name="Normal 11 4 5 2 4 2" xfId="48096" xr:uid="{CC42795E-C373-4D82-80E9-D8B39CFDD18E}"/>
    <cellStyle name="Normal 11 4 5 2 5" xfId="48097" xr:uid="{B8869D39-B0DF-49C2-816C-13F41C26E4BB}"/>
    <cellStyle name="Normal 11 4 5 3" xfId="48098" xr:uid="{E65036D3-1879-470A-A1D7-A99EE9D562D0}"/>
    <cellStyle name="Normal 11 4 5 3 2" xfId="48099" xr:uid="{5BF0A453-9309-41D5-B062-039675FD9E8E}"/>
    <cellStyle name="Normal 11 4 5 3 2 2" xfId="48100" xr:uid="{5A916F97-13FD-4BEC-AF1A-CC58A8BCC08C}"/>
    <cellStyle name="Normal 11 4 5 3 2 2 2" xfId="48101" xr:uid="{035B91CE-6AB7-43AA-B2B6-FBE79D5FFB99}"/>
    <cellStyle name="Normal 11 4 5 3 2 3" xfId="48102" xr:uid="{2451EDFD-2AE0-4390-8B71-ECAFFC19856A}"/>
    <cellStyle name="Normal 11 4 5 3 3" xfId="48103" xr:uid="{3C9DA258-C190-4E27-934F-6F8934C7744A}"/>
    <cellStyle name="Normal 11 4 5 3 3 2" xfId="48104" xr:uid="{FA0A295C-E54F-4545-B783-4D2587C64BD0}"/>
    <cellStyle name="Normal 11 4 5 3 4" xfId="48105" xr:uid="{89717048-9FF8-4E39-971B-69BFBC0170B8}"/>
    <cellStyle name="Normal 11 4 5 4" xfId="48106" xr:uid="{1A650760-782D-482F-A936-8792F2C72D91}"/>
    <cellStyle name="Normal 11 4 5 4 2" xfId="48107" xr:uid="{BE03254A-F272-4596-B4DC-2A7AC1349AB1}"/>
    <cellStyle name="Normal 11 4 5 4 2 2" xfId="48108" xr:uid="{ED8B2202-E92F-4E0F-AAA8-5A260DBC4E21}"/>
    <cellStyle name="Normal 11 4 5 4 3" xfId="48109" xr:uid="{E7E603FF-3E9B-417F-BB36-0ACB021B6CBD}"/>
    <cellStyle name="Normal 11 4 5 5" xfId="48110" xr:uid="{602F032E-51FB-466E-A255-A6C1C559D427}"/>
    <cellStyle name="Normal 11 4 5 5 2" xfId="48111" xr:uid="{4360D202-0EC2-48DD-BF2F-03083F23410F}"/>
    <cellStyle name="Normal 11 4 5 6" xfId="48112" xr:uid="{35276BFE-E973-41BB-8467-059A1582CDB0}"/>
    <cellStyle name="Normal 11 4 6" xfId="48113" xr:uid="{A38A815D-37A1-4367-A534-F376BB19445A}"/>
    <cellStyle name="Normal 11 4 6 2" xfId="48114" xr:uid="{117FEF0F-C2BE-48F5-BEE3-55C24FFBD524}"/>
    <cellStyle name="Normal 11 4 6 2 2" xfId="48115" xr:uid="{CA7160AC-BE78-44AA-B31C-3067AA9F2631}"/>
    <cellStyle name="Normal 11 4 6 2 2 2" xfId="48116" xr:uid="{C21E8A20-C9C4-4CEC-B866-DF63E328D9EB}"/>
    <cellStyle name="Normal 11 4 6 2 2 2 2" xfId="48117" xr:uid="{5E608791-612D-4EAB-BD0D-41111501909E}"/>
    <cellStyle name="Normal 11 4 6 2 2 3" xfId="48118" xr:uid="{1DE5EB94-D0EC-4A50-B75B-7442D00A9209}"/>
    <cellStyle name="Normal 11 4 6 2 3" xfId="48119" xr:uid="{817AF623-33D2-4984-8FE4-70616EC6301E}"/>
    <cellStyle name="Normal 11 4 6 2 3 2" xfId="48120" xr:uid="{BB017E02-9F53-4FBF-A5FF-297F97E3C3FA}"/>
    <cellStyle name="Normal 11 4 6 2 4" xfId="48121" xr:uid="{F5BB5A18-0B87-4F1A-A5EC-31404CF4D7FE}"/>
    <cellStyle name="Normal 11 4 6 3" xfId="48122" xr:uid="{F9B439D7-0DF2-41C9-B896-738017C6B6F9}"/>
    <cellStyle name="Normal 11 4 6 3 2" xfId="48123" xr:uid="{0DD0D399-162A-4993-A153-49F4E2D9A0BB}"/>
    <cellStyle name="Normal 11 4 6 3 2 2" xfId="48124" xr:uid="{D264D848-D90A-4B7E-9ECF-D69244483AE0}"/>
    <cellStyle name="Normal 11 4 6 3 3" xfId="48125" xr:uid="{32D11A91-0288-4A2B-AE66-BD42AF1C08FF}"/>
    <cellStyle name="Normal 11 4 6 4" xfId="48126" xr:uid="{2F5949DD-DC0E-4FCD-846C-49A12BAF978B}"/>
    <cellStyle name="Normal 11 4 6 4 2" xfId="48127" xr:uid="{C0327864-B85B-421A-9E80-602BAAAA6965}"/>
    <cellStyle name="Normal 11 4 6 5" xfId="48128" xr:uid="{89E89654-66D4-47DE-A722-48F83173F7B4}"/>
    <cellStyle name="Normal 11 4 7" xfId="48129" xr:uid="{B2C19F29-C109-4014-A7DB-D1BB3C7B1CF1}"/>
    <cellStyle name="Normal 11 4 7 2" xfId="48130" xr:uid="{8123CB32-01FB-4CCA-A798-AB9B317C4F77}"/>
    <cellStyle name="Normal 11 4 7 2 2" xfId="48131" xr:uid="{9BC19EE3-32FA-4A70-A32D-376407303DC9}"/>
    <cellStyle name="Normal 11 4 7 2 2 2" xfId="48132" xr:uid="{AFB8C07E-5501-4067-AD0B-79918CBAE6A6}"/>
    <cellStyle name="Normal 11 4 7 2 3" xfId="48133" xr:uid="{CDC9C19F-B56C-4597-8AAC-5D3B32F8975D}"/>
    <cellStyle name="Normal 11 4 7 3" xfId="48134" xr:uid="{D6A67A56-8824-4695-A724-41B7E7213199}"/>
    <cellStyle name="Normal 11 4 7 3 2" xfId="48135" xr:uid="{48E64FE8-BA32-44A4-8864-0975013E825C}"/>
    <cellStyle name="Normal 11 4 7 4" xfId="48136" xr:uid="{3AB96945-BB6A-4890-B88E-BB2BA801DAE3}"/>
    <cellStyle name="Normal 11 4 8" xfId="48137" xr:uid="{423BE81E-A03F-40A0-B1E1-2C6547A0DA32}"/>
    <cellStyle name="Normal 11 4 8 2" xfId="48138" xr:uid="{E6A47D73-73ED-4F6E-8A68-F959CE74D93A}"/>
    <cellStyle name="Normal 11 4 8 2 2" xfId="48139" xr:uid="{11464BDE-D801-4E8D-81C4-A3DAF0CE3D37}"/>
    <cellStyle name="Normal 11 4 8 3" xfId="48140" xr:uid="{836166BB-D9A6-4CBF-A261-26AF9B7D8014}"/>
    <cellStyle name="Normal 11 4 9" xfId="48141" xr:uid="{A1A17224-7FBB-4BD4-866D-CAB8372D8D3C}"/>
    <cellStyle name="Normal 11 4 9 2" xfId="48142" xr:uid="{392E99B1-DC16-442F-AF4F-D18E9F82EF74}"/>
    <cellStyle name="Normal 11 5" xfId="434" xr:uid="{C1308E03-D100-432C-977F-73BB36BE12C5}"/>
    <cellStyle name="Normal 11 6" xfId="574" xr:uid="{D96770F9-D354-45B9-9AD5-9C39CDBED2DF}"/>
    <cellStyle name="Normal 11 7" xfId="54795" xr:uid="{4BC88456-9F5E-4257-AC1B-D7750E5B6B9A}"/>
    <cellStyle name="Normal 12" xfId="68" xr:uid="{29AFF18E-E597-4780-B05F-A038F79A67D7}"/>
    <cellStyle name="Normal 12 2" xfId="391" xr:uid="{FC87222A-772B-4557-989E-EFCB708730CD}"/>
    <cellStyle name="Normal 13" xfId="283" xr:uid="{242773E5-BAF3-48B6-A722-CB6602C53034}"/>
    <cellStyle name="Normal 13 2" xfId="520" xr:uid="{8569A488-DDEC-4012-AA81-29E0448A9969}"/>
    <cellStyle name="Normal 13 2 2" xfId="48144" xr:uid="{618899C4-1ED0-4B13-81BF-AF4A48814959}"/>
    <cellStyle name="Normal 13 3" xfId="48145" xr:uid="{561E4B97-FA14-4061-9DC5-D158FE547C77}"/>
    <cellStyle name="Normal 13 3 2" xfId="48146" xr:uid="{376248BD-7F54-47ED-BF79-94818BCC5F24}"/>
    <cellStyle name="Normal 13 4" xfId="48143" xr:uid="{C28364D1-31E6-4609-9A46-1B345CBFC250}"/>
    <cellStyle name="Normal 13 5" xfId="54803" xr:uid="{5E9C1B01-7247-4E3C-B3F5-1B4187BF6E01}"/>
    <cellStyle name="Normal 14" xfId="48147" xr:uid="{A8FC9E51-7F3A-4F01-BAE3-562EB26782B6}"/>
    <cellStyle name="Normal 14 10" xfId="54799" xr:uid="{9DA68C3B-47AA-47A0-83AB-81907454340C}"/>
    <cellStyle name="Normal 14 2" xfId="48148" xr:uid="{4BCB46F7-6AAB-4DE5-A363-85CC91297F26}"/>
    <cellStyle name="Normal 14 2 2" xfId="48149" xr:uid="{34CAE449-BD5B-4362-A070-F520890CF1F9}"/>
    <cellStyle name="Normal 14 2 2 2" xfId="48150" xr:uid="{5C7733AD-B527-4E66-9746-68F2A862B1B0}"/>
    <cellStyle name="Normal 14 2 2 2 2" xfId="48151" xr:uid="{D19719B1-1CFB-43D1-A1E2-1A95DE5CEC6A}"/>
    <cellStyle name="Normal 14 2 2 2 2 2" xfId="48152" xr:uid="{A9BBC982-FAEC-4828-94F5-82D0DD586D88}"/>
    <cellStyle name="Normal 14 2 2 2 2 2 2" xfId="48153" xr:uid="{8774D57F-A6DC-4F7D-95B4-FBB84537E797}"/>
    <cellStyle name="Normal 14 2 2 2 2 2 2 2" xfId="48154" xr:uid="{6BB8BE22-2A03-4A30-8A60-C3ECDE7FCA0E}"/>
    <cellStyle name="Normal 14 2 2 2 2 2 2 2 2" xfId="48155" xr:uid="{FFA78787-089E-4E63-B45D-115BBF6E5FAE}"/>
    <cellStyle name="Normal 14 2 2 2 2 2 2 3" xfId="48156" xr:uid="{FB0B7F2E-9A25-4A4E-B3DE-DCD041847C54}"/>
    <cellStyle name="Normal 14 2 2 2 2 2 3" xfId="48157" xr:uid="{6FCCA4AD-3AAC-488A-B6AD-FC9CCF99BC17}"/>
    <cellStyle name="Normal 14 2 2 2 2 2 3 2" xfId="48158" xr:uid="{33076B41-7A04-4D6D-A18D-B59800BD9DAF}"/>
    <cellStyle name="Normal 14 2 2 2 2 2 4" xfId="48159" xr:uid="{597FAFC1-BCBC-470A-ACF6-A0B67C99BD5E}"/>
    <cellStyle name="Normal 14 2 2 2 2 3" xfId="48160" xr:uid="{11A3A5CA-AE73-4AF0-A209-8D7FE75FEB06}"/>
    <cellStyle name="Normal 14 2 2 2 2 3 2" xfId="48161" xr:uid="{DD8D8BBE-7DE9-4A72-AF2C-47651FD7D3B8}"/>
    <cellStyle name="Normal 14 2 2 2 2 3 2 2" xfId="48162" xr:uid="{437810CA-1976-40CF-A22A-330E170625BA}"/>
    <cellStyle name="Normal 14 2 2 2 2 3 3" xfId="48163" xr:uid="{EEAE2047-8472-4F76-8431-E8AD3005C390}"/>
    <cellStyle name="Normal 14 2 2 2 2 4" xfId="48164" xr:uid="{DE5FE4AD-7370-476F-B0FB-E63262FDBD93}"/>
    <cellStyle name="Normal 14 2 2 2 2 4 2" xfId="48165" xr:uid="{A2391B2D-B0DE-484E-8ACE-EB0B01D75BBF}"/>
    <cellStyle name="Normal 14 2 2 2 2 5" xfId="48166" xr:uid="{8E06E686-10A8-4372-ABA9-4C482147BE70}"/>
    <cellStyle name="Normal 14 2 2 2 3" xfId="48167" xr:uid="{FE9C463B-41FF-47F3-894F-0508A72C504E}"/>
    <cellStyle name="Normal 14 2 2 2 3 2" xfId="48168" xr:uid="{7E8811B2-2F89-4B45-AB94-0F12FEAF803F}"/>
    <cellStyle name="Normal 14 2 2 2 3 2 2" xfId="48169" xr:uid="{BBE30C35-A83C-4072-8F6F-E0879F954BD4}"/>
    <cellStyle name="Normal 14 2 2 2 3 2 2 2" xfId="48170" xr:uid="{656B0146-95EE-4513-A104-06A80C450EA2}"/>
    <cellStyle name="Normal 14 2 2 2 3 2 3" xfId="48171" xr:uid="{D75FB309-4A89-48DC-8D47-9126E961B542}"/>
    <cellStyle name="Normal 14 2 2 2 3 3" xfId="48172" xr:uid="{1AF67EB2-E4CD-45E6-9153-6B7BF4A430E0}"/>
    <cellStyle name="Normal 14 2 2 2 3 3 2" xfId="48173" xr:uid="{B5615617-5831-479C-8633-19C5B20A8B5E}"/>
    <cellStyle name="Normal 14 2 2 2 3 4" xfId="48174" xr:uid="{CC302054-730A-4C29-8660-A1A400B0525A}"/>
    <cellStyle name="Normal 14 2 2 2 4" xfId="48175" xr:uid="{22395F67-4BE2-454D-8B7C-F1230689A841}"/>
    <cellStyle name="Normal 14 2 2 2 4 2" xfId="48176" xr:uid="{82ED0822-AF43-4145-84EC-BEC2A74F953C}"/>
    <cellStyle name="Normal 14 2 2 2 4 2 2" xfId="48177" xr:uid="{C7B11353-5B9D-46B0-B5CB-26B80E2E4AB4}"/>
    <cellStyle name="Normal 14 2 2 2 4 3" xfId="48178" xr:uid="{5D612051-C121-490B-8735-CC209DE1461E}"/>
    <cellStyle name="Normal 14 2 2 2 5" xfId="48179" xr:uid="{E0A515A0-7D11-42C4-96D4-841F72637FDC}"/>
    <cellStyle name="Normal 14 2 2 2 5 2" xfId="48180" xr:uid="{4F6C5052-4E99-4209-A0BF-F2197CBFDD14}"/>
    <cellStyle name="Normal 14 2 2 2 6" xfId="48181" xr:uid="{4A7F0830-272B-42B8-9646-112A178A9B05}"/>
    <cellStyle name="Normal 14 2 2 3" xfId="48182" xr:uid="{9E816373-E378-499B-9C5C-868110BF0912}"/>
    <cellStyle name="Normal 14 2 2 3 2" xfId="48183" xr:uid="{B6301A45-F8A5-4239-96B5-57D0A3D064BD}"/>
    <cellStyle name="Normal 14 2 2 3 2 2" xfId="48184" xr:uid="{78352CB0-F0F3-44E6-8066-B5D87DDA028F}"/>
    <cellStyle name="Normal 14 2 2 3 2 2 2" xfId="48185" xr:uid="{6E73649B-DA67-4D91-BC43-879280A78AB7}"/>
    <cellStyle name="Normal 14 2 2 3 2 2 2 2" xfId="48186" xr:uid="{8E4C6F23-DFFB-4034-BB15-443DA4F9637A}"/>
    <cellStyle name="Normal 14 2 2 3 2 2 3" xfId="48187" xr:uid="{7C160134-F0C3-4449-8C0F-A9D32264B3A9}"/>
    <cellStyle name="Normal 14 2 2 3 2 3" xfId="48188" xr:uid="{2489ADBE-429F-4954-A443-467930E06308}"/>
    <cellStyle name="Normal 14 2 2 3 2 3 2" xfId="48189" xr:uid="{AA47691C-DFF2-4626-8CE4-658B885D5EC6}"/>
    <cellStyle name="Normal 14 2 2 3 2 4" xfId="48190" xr:uid="{6C006293-A390-4E7C-B27A-FF0A0804D2C1}"/>
    <cellStyle name="Normal 14 2 2 3 3" xfId="48191" xr:uid="{37335372-1EAB-413E-8943-460E22B65F8E}"/>
    <cellStyle name="Normal 14 2 2 3 3 2" xfId="48192" xr:uid="{396F26F4-0EA3-45EC-936D-BFDACA131EAB}"/>
    <cellStyle name="Normal 14 2 2 3 3 2 2" xfId="48193" xr:uid="{8EE1CD4D-A051-44B3-8B5B-427772E25DB4}"/>
    <cellStyle name="Normal 14 2 2 3 3 3" xfId="48194" xr:uid="{9224992D-4227-406A-B166-BDC9898ECC4B}"/>
    <cellStyle name="Normal 14 2 2 3 4" xfId="48195" xr:uid="{7774B6AA-870C-442D-BF5B-2873804D715A}"/>
    <cellStyle name="Normal 14 2 2 3 4 2" xfId="48196" xr:uid="{835EEA7B-B77F-446E-B3A5-EE9F0505E618}"/>
    <cellStyle name="Normal 14 2 2 3 5" xfId="48197" xr:uid="{D58AAB53-BDDB-4D00-AC20-0E720C77B65C}"/>
    <cellStyle name="Normal 14 2 2 4" xfId="48198" xr:uid="{03185F77-C8D8-4F3A-B23A-27B6801FF822}"/>
    <cellStyle name="Normal 14 2 2 4 2" xfId="48199" xr:uid="{05E29716-71E2-443C-ABDA-9B2803FB4B30}"/>
    <cellStyle name="Normal 14 2 2 4 2 2" xfId="48200" xr:uid="{86045B4B-E699-45A7-97C2-907B08C7E0D6}"/>
    <cellStyle name="Normal 14 2 2 4 2 2 2" xfId="48201" xr:uid="{73B45365-AAD4-487B-B024-C15F53476A2C}"/>
    <cellStyle name="Normal 14 2 2 4 2 3" xfId="48202" xr:uid="{9722BC3C-2AF2-42C2-8487-432111C4D9E2}"/>
    <cellStyle name="Normal 14 2 2 4 3" xfId="48203" xr:uid="{6394682E-1988-42A1-A555-487DD309D774}"/>
    <cellStyle name="Normal 14 2 2 4 3 2" xfId="48204" xr:uid="{FD99D723-0703-4A6D-87E5-3D2EFBE07D57}"/>
    <cellStyle name="Normal 14 2 2 4 4" xfId="48205" xr:uid="{77B29276-47C5-4626-81D7-64044ED06299}"/>
    <cellStyle name="Normal 14 2 2 5" xfId="48206" xr:uid="{E7EC0CCA-AA39-411C-A4FA-89ADED6AAFDD}"/>
    <cellStyle name="Normal 14 2 2 5 2" xfId="48207" xr:uid="{DDBBAAF4-569A-4C7B-9A8F-EF5A26ACD081}"/>
    <cellStyle name="Normal 14 2 2 5 2 2" xfId="48208" xr:uid="{378F7B27-FD81-46B2-A466-70B8F9BD87CE}"/>
    <cellStyle name="Normal 14 2 2 5 3" xfId="48209" xr:uid="{BC9774A3-02AD-457A-AF1E-CC2AD66ACFF6}"/>
    <cellStyle name="Normal 14 2 2 6" xfId="48210" xr:uid="{F3640B4E-2E24-4835-82E1-0559B6526AF6}"/>
    <cellStyle name="Normal 14 2 2 6 2" xfId="48211" xr:uid="{34992F24-F694-4746-97DA-3AB6FBF58F7C}"/>
    <cellStyle name="Normal 14 2 2 7" xfId="48212" xr:uid="{4B9AD345-F096-4419-8182-DB78244AC845}"/>
    <cellStyle name="Normal 14 2 3" xfId="48213" xr:uid="{9CCE7FE4-5293-40AF-8343-611224E766EE}"/>
    <cellStyle name="Normal 14 2 3 2" xfId="48214" xr:uid="{ACDEF456-B312-4621-8389-E274FD55CB90}"/>
    <cellStyle name="Normal 14 2 3 2 2" xfId="48215" xr:uid="{D0532862-DD8A-4D2A-A49D-60E1E745C2EF}"/>
    <cellStyle name="Normal 14 2 3 2 2 2" xfId="48216" xr:uid="{527BBCA0-2F03-4535-85F2-87CEA42797DE}"/>
    <cellStyle name="Normal 14 2 3 2 2 2 2" xfId="48217" xr:uid="{AA1401AC-4C82-410B-B0A3-BAB00F928FD0}"/>
    <cellStyle name="Normal 14 2 3 2 2 2 2 2" xfId="48218" xr:uid="{6B0B0A20-1E9E-4BCF-AAFE-4AC15A56D997}"/>
    <cellStyle name="Normal 14 2 3 2 2 2 3" xfId="48219" xr:uid="{0271C9FA-4229-47C2-BE30-9784A1AF20E5}"/>
    <cellStyle name="Normal 14 2 3 2 2 3" xfId="48220" xr:uid="{88C315F9-1D3A-46FF-8580-E1D469EF3E85}"/>
    <cellStyle name="Normal 14 2 3 2 2 3 2" xfId="48221" xr:uid="{8745723A-D924-40FE-8CD4-A4D55106593E}"/>
    <cellStyle name="Normal 14 2 3 2 2 4" xfId="48222" xr:uid="{EDF2CA01-98E9-4C95-AE54-5AEF1CBFAED5}"/>
    <cellStyle name="Normal 14 2 3 2 3" xfId="48223" xr:uid="{201A8CF6-3D51-4BED-8F7C-6BB2B77A753D}"/>
    <cellStyle name="Normal 14 2 3 2 3 2" xfId="48224" xr:uid="{DBD03245-A234-43AF-9B5F-FE786DD41E2C}"/>
    <cellStyle name="Normal 14 2 3 2 3 2 2" xfId="48225" xr:uid="{929C64DA-6BE3-4867-9D49-A80EAE821D15}"/>
    <cellStyle name="Normal 14 2 3 2 3 3" xfId="48226" xr:uid="{3900A387-3557-475B-9320-A6CFC58D9F19}"/>
    <cellStyle name="Normal 14 2 3 2 4" xfId="48227" xr:uid="{93180163-0B0B-4E8F-A916-20C103DE16D5}"/>
    <cellStyle name="Normal 14 2 3 2 4 2" xfId="48228" xr:uid="{CBEB5595-AC1F-4C53-9A04-00FFCC3E3362}"/>
    <cellStyle name="Normal 14 2 3 2 5" xfId="48229" xr:uid="{30256816-7112-4391-B8CA-A25AC9DBCE7A}"/>
    <cellStyle name="Normal 14 2 3 3" xfId="48230" xr:uid="{950D87D7-ECA2-4B7D-A120-A573007D9D7F}"/>
    <cellStyle name="Normal 14 2 3 3 2" xfId="48231" xr:uid="{863CE8D1-9B16-4683-A42D-0FA2E86239F9}"/>
    <cellStyle name="Normal 14 2 3 3 2 2" xfId="48232" xr:uid="{6CA119DC-269F-43E1-A85F-5F35915C699E}"/>
    <cellStyle name="Normal 14 2 3 3 2 2 2" xfId="48233" xr:uid="{79016AB5-99DE-4DA9-B0D9-07F30592416B}"/>
    <cellStyle name="Normal 14 2 3 3 2 3" xfId="48234" xr:uid="{BB4D7E41-41AC-4044-98B0-1A58F90F3CD2}"/>
    <cellStyle name="Normal 14 2 3 3 3" xfId="48235" xr:uid="{26DB1A38-66F3-43F7-ABC5-62638E1E87CD}"/>
    <cellStyle name="Normal 14 2 3 3 3 2" xfId="48236" xr:uid="{AD20B581-76A7-4B0F-A8D4-5CB78F3D72EC}"/>
    <cellStyle name="Normal 14 2 3 3 4" xfId="48237" xr:uid="{9D297CBE-3D95-441A-B2F5-409FE557C281}"/>
    <cellStyle name="Normal 14 2 3 4" xfId="48238" xr:uid="{C6E7F286-19EE-4BA8-A93D-59C72DEAB747}"/>
    <cellStyle name="Normal 14 2 3 4 2" xfId="48239" xr:uid="{FF41A501-DCA3-4DFD-B22F-BFF0FEBF0062}"/>
    <cellStyle name="Normal 14 2 3 4 2 2" xfId="48240" xr:uid="{57958ADD-9216-4D44-B615-7C25990BCE87}"/>
    <cellStyle name="Normal 14 2 3 4 3" xfId="48241" xr:uid="{0F764C22-B97B-44F6-AFBC-AD2D9D7EBA89}"/>
    <cellStyle name="Normal 14 2 3 5" xfId="48242" xr:uid="{957BCF16-0E70-4D4F-8CB2-B130C7409614}"/>
    <cellStyle name="Normal 14 2 3 5 2" xfId="48243" xr:uid="{670E6780-FCE3-4CAE-90AA-6F8D62A2A9F7}"/>
    <cellStyle name="Normal 14 2 3 6" xfId="48244" xr:uid="{CB576682-8CF6-4CD5-AE1C-2AB0AC205539}"/>
    <cellStyle name="Normal 14 2 4" xfId="48245" xr:uid="{98693C4D-D905-463B-AE81-F13831BB9408}"/>
    <cellStyle name="Normal 14 2 4 2" xfId="48246" xr:uid="{4E98C9E8-CC56-43B5-A909-3646A7120C06}"/>
    <cellStyle name="Normal 14 2 4 2 2" xfId="48247" xr:uid="{65F6F78E-102C-4FF7-994C-0FEE782065EB}"/>
    <cellStyle name="Normal 14 2 4 2 2 2" xfId="48248" xr:uid="{3D748623-FD90-4C23-8D83-9E6A5517AFC1}"/>
    <cellStyle name="Normal 14 2 4 2 2 2 2" xfId="48249" xr:uid="{13F0D3EA-A705-4519-8443-913F98D7EB01}"/>
    <cellStyle name="Normal 14 2 4 2 2 3" xfId="48250" xr:uid="{49D39BE9-A267-40A1-A8F5-9DDA0CAF8CDE}"/>
    <cellStyle name="Normal 14 2 4 2 3" xfId="48251" xr:uid="{C351BC59-8127-4CC5-ADDD-F96A01F315DB}"/>
    <cellStyle name="Normal 14 2 4 2 3 2" xfId="48252" xr:uid="{02F3FC7F-8C62-4ECB-B83D-89B0C1E13926}"/>
    <cellStyle name="Normal 14 2 4 2 4" xfId="48253" xr:uid="{0685E1EF-1EFC-473B-967C-D9217BC9CFBF}"/>
    <cellStyle name="Normal 14 2 4 3" xfId="48254" xr:uid="{02DED70C-C308-44C8-B8A7-CFBCEE82CE00}"/>
    <cellStyle name="Normal 14 2 4 3 2" xfId="48255" xr:uid="{2DA26A3F-5509-41D0-87BE-C707C0B32447}"/>
    <cellStyle name="Normal 14 2 4 3 2 2" xfId="48256" xr:uid="{8814B3FA-39BF-44DD-A257-8F6B5E6C0E4E}"/>
    <cellStyle name="Normal 14 2 4 3 3" xfId="48257" xr:uid="{E6AC5C53-4B2E-454E-8585-4007FC096265}"/>
    <cellStyle name="Normal 14 2 4 4" xfId="48258" xr:uid="{6B7400A4-74CD-4EFB-8D80-FDD8276D7968}"/>
    <cellStyle name="Normal 14 2 4 4 2" xfId="48259" xr:uid="{16FBDEC8-5125-46C6-A26A-91B4587C8C3B}"/>
    <cellStyle name="Normal 14 2 4 5" xfId="48260" xr:uid="{7DF44290-100F-4C86-A918-F3A0A065835C}"/>
    <cellStyle name="Normal 14 2 5" xfId="48261" xr:uid="{8B4C9636-C8D9-4639-B935-7C078FD77083}"/>
    <cellStyle name="Normal 14 2 5 2" xfId="48262" xr:uid="{C17200C2-4C42-4ECE-A043-5DFE602CB179}"/>
    <cellStyle name="Normal 14 2 5 2 2" xfId="48263" xr:uid="{E1A4C8AC-1020-474C-9A3F-557588E19639}"/>
    <cellStyle name="Normal 14 2 5 2 2 2" xfId="48264" xr:uid="{640A7673-A665-41CD-939B-A9BD5D24400C}"/>
    <cellStyle name="Normal 14 2 5 2 3" xfId="48265" xr:uid="{3C649A56-A99B-4D4B-82FC-94B544D7DCDD}"/>
    <cellStyle name="Normal 14 2 5 3" xfId="48266" xr:uid="{8445E045-4407-4E1E-B99B-29FC063C8913}"/>
    <cellStyle name="Normal 14 2 5 3 2" xfId="48267" xr:uid="{9222B4AD-8A1F-42D1-97C7-73DB67D15F20}"/>
    <cellStyle name="Normal 14 2 5 4" xfId="48268" xr:uid="{BDF90347-3E62-45E7-89E1-2886FB155281}"/>
    <cellStyle name="Normal 14 2 6" xfId="48269" xr:uid="{AA3E5115-53BA-471B-B621-BBE7A06019E3}"/>
    <cellStyle name="Normal 14 2 6 2" xfId="48270" xr:uid="{15E2D03C-8DF5-4EF6-A580-77FD06EFA18A}"/>
    <cellStyle name="Normal 14 2 6 2 2" xfId="48271" xr:uid="{695E2B9C-E428-4856-B2F2-6C29CCF784F8}"/>
    <cellStyle name="Normal 14 2 6 3" xfId="48272" xr:uid="{99488F42-D776-4AB7-AE60-0504C6D0EDF2}"/>
    <cellStyle name="Normal 14 2 7" xfId="48273" xr:uid="{45839D43-E4E2-48AA-8CE3-009C1CF85FDE}"/>
    <cellStyle name="Normal 14 2 7 2" xfId="48274" xr:uid="{7A6DCA7C-F51D-4941-A811-247915646BE3}"/>
    <cellStyle name="Normal 14 2 8" xfId="48275" xr:uid="{2689C0C2-0B35-4EBF-828A-5B82A17A4F43}"/>
    <cellStyle name="Normal 14 3" xfId="48276" xr:uid="{3E78C159-438D-4212-B618-AEC7910F1EB4}"/>
    <cellStyle name="Normal 14 3 2" xfId="48277" xr:uid="{B985635E-0AB6-453A-B79A-704E4F77DF80}"/>
    <cellStyle name="Normal 14 3 2 2" xfId="48278" xr:uid="{C58EA406-5670-4D81-97F0-4FAF3EBCB0B1}"/>
    <cellStyle name="Normal 14 3 2 2 2" xfId="48279" xr:uid="{5D569C3D-BD80-45CE-9E17-AC0E0F427D8F}"/>
    <cellStyle name="Normal 14 3 2 2 2 2" xfId="48280" xr:uid="{EA91A659-4BB9-4337-B321-2FB2E7BBE001}"/>
    <cellStyle name="Normal 14 3 2 2 2 2 2" xfId="48281" xr:uid="{EC24543E-9635-449A-91A8-3CDB6945BAD3}"/>
    <cellStyle name="Normal 14 3 2 2 2 2 2 2" xfId="48282" xr:uid="{EC609219-D9FE-4BDB-AA60-9048C6932D99}"/>
    <cellStyle name="Normal 14 3 2 2 2 2 3" xfId="48283" xr:uid="{1FC7EFC6-D59B-4078-800B-B42AC6DB47BE}"/>
    <cellStyle name="Normal 14 3 2 2 2 3" xfId="48284" xr:uid="{DE0D429A-5834-4463-9F63-EB4181C8D9A3}"/>
    <cellStyle name="Normal 14 3 2 2 2 3 2" xfId="48285" xr:uid="{6A23F7C3-55F9-4428-8C1B-CD2A98572E26}"/>
    <cellStyle name="Normal 14 3 2 2 2 4" xfId="48286" xr:uid="{F00FE7A4-0527-49C0-B40A-BD4A06FFFACF}"/>
    <cellStyle name="Normal 14 3 2 2 3" xfId="48287" xr:uid="{6F03F679-E425-400B-8605-AF3609528B40}"/>
    <cellStyle name="Normal 14 3 2 2 3 2" xfId="48288" xr:uid="{2BB65A2B-D092-415D-B2DB-72751EF9A9E5}"/>
    <cellStyle name="Normal 14 3 2 2 3 2 2" xfId="48289" xr:uid="{C7EE2825-DC1E-4060-B1BD-7DAA44670ACD}"/>
    <cellStyle name="Normal 14 3 2 2 3 3" xfId="48290" xr:uid="{C1E029ED-B08D-4530-988B-73336B98BE80}"/>
    <cellStyle name="Normal 14 3 2 2 4" xfId="48291" xr:uid="{0B1A1BFC-6D7A-4B8B-8118-F9A84F050617}"/>
    <cellStyle name="Normal 14 3 2 2 4 2" xfId="48292" xr:uid="{3914D4E7-89A8-4F72-9BE9-B82681AE8632}"/>
    <cellStyle name="Normal 14 3 2 2 5" xfId="48293" xr:uid="{CF6F56AC-A353-485F-8EBD-2A95F03D176A}"/>
    <cellStyle name="Normal 14 3 2 3" xfId="48294" xr:uid="{F4985375-00FB-48C0-A13D-12B089397E3B}"/>
    <cellStyle name="Normal 14 3 2 3 2" xfId="48295" xr:uid="{21D25BF5-8443-496A-B979-EAE246DB58C2}"/>
    <cellStyle name="Normal 14 3 2 3 2 2" xfId="48296" xr:uid="{D6362B7A-4607-4B7A-845A-EFB495A07163}"/>
    <cellStyle name="Normal 14 3 2 3 2 2 2" xfId="48297" xr:uid="{ACD2061E-0843-4730-8CAE-6806AF462281}"/>
    <cellStyle name="Normal 14 3 2 3 2 3" xfId="48298" xr:uid="{2562D2D6-C03C-471E-9993-E350AB98DA3D}"/>
    <cellStyle name="Normal 14 3 2 3 3" xfId="48299" xr:uid="{54D3CA9C-9669-4D36-BD83-5902953AB77C}"/>
    <cellStyle name="Normal 14 3 2 3 3 2" xfId="48300" xr:uid="{57073730-A25E-452C-B79E-7E20D367A66C}"/>
    <cellStyle name="Normal 14 3 2 3 4" xfId="48301" xr:uid="{5248702A-1D0B-4A98-BE91-B4E6D07FBD63}"/>
    <cellStyle name="Normal 14 3 2 4" xfId="48302" xr:uid="{DF06E27C-5B83-4152-9435-FD2476394ED3}"/>
    <cellStyle name="Normal 14 3 2 4 2" xfId="48303" xr:uid="{6F1CCA1D-9386-43C2-9B7D-5B0FB08590BC}"/>
    <cellStyle name="Normal 14 3 2 4 2 2" xfId="48304" xr:uid="{CA293FFD-F79A-4968-BD2B-407D218FDB32}"/>
    <cellStyle name="Normal 14 3 2 4 3" xfId="48305" xr:uid="{4E4FE4FF-CAC2-4876-AA92-B5CC949E4811}"/>
    <cellStyle name="Normal 14 3 2 5" xfId="48306" xr:uid="{3F9214AE-C61E-423C-A645-0F1256B7736F}"/>
    <cellStyle name="Normal 14 3 2 5 2" xfId="48307" xr:uid="{78A46117-BADE-4358-BB2C-2A80B4E6F343}"/>
    <cellStyle name="Normal 14 3 2 6" xfId="48308" xr:uid="{4EE7C1F0-EFB4-4DD5-AC91-C5D83F71BC85}"/>
    <cellStyle name="Normal 14 3 3" xfId="48309" xr:uid="{31C70310-6789-4182-98A4-ED191D973004}"/>
    <cellStyle name="Normal 14 3 3 2" xfId="48310" xr:uid="{1F82C666-9451-461C-A30E-A9DB75FE0A16}"/>
    <cellStyle name="Normal 14 3 3 2 2" xfId="48311" xr:uid="{BD3B9C63-A39D-4D61-900C-FA41230AA9B2}"/>
    <cellStyle name="Normal 14 3 3 2 2 2" xfId="48312" xr:uid="{A8941020-9BA6-4421-B02C-160D9FE07EFD}"/>
    <cellStyle name="Normal 14 3 3 2 2 2 2" xfId="48313" xr:uid="{3221A5CF-61B4-40A0-91A8-D7A249EA1515}"/>
    <cellStyle name="Normal 14 3 3 2 2 3" xfId="48314" xr:uid="{6AA35BD6-37C3-43F1-83DD-7C8C6FC55C39}"/>
    <cellStyle name="Normal 14 3 3 2 3" xfId="48315" xr:uid="{757801D6-93D3-4A34-9D88-28B4305800E0}"/>
    <cellStyle name="Normal 14 3 3 2 3 2" xfId="48316" xr:uid="{E4313791-403C-45E1-8AD2-4658D24589AC}"/>
    <cellStyle name="Normal 14 3 3 2 4" xfId="48317" xr:uid="{565F6DE7-ED29-4C0F-93DE-D36E387AC9A2}"/>
    <cellStyle name="Normal 14 3 3 3" xfId="48318" xr:uid="{7CE8820B-DB20-4E3D-A4D4-A256A1DFAC59}"/>
    <cellStyle name="Normal 14 3 3 3 2" xfId="48319" xr:uid="{73471EE5-2189-4E56-ADF7-0599E0AFC0CE}"/>
    <cellStyle name="Normal 14 3 3 3 2 2" xfId="48320" xr:uid="{734CCC24-B31E-47F6-BD6F-65C5C8C6A3CB}"/>
    <cellStyle name="Normal 14 3 3 3 3" xfId="48321" xr:uid="{EE7FF443-5351-47A8-8ADC-E536F1C0AE02}"/>
    <cellStyle name="Normal 14 3 3 4" xfId="48322" xr:uid="{5045AFE2-4BA6-49CC-A748-1CD659796D10}"/>
    <cellStyle name="Normal 14 3 3 4 2" xfId="48323" xr:uid="{B79F3138-3933-487E-83F4-F38192A28E95}"/>
    <cellStyle name="Normal 14 3 3 5" xfId="48324" xr:uid="{40373554-0BBB-4E14-9F4A-BC726E2F60D8}"/>
    <cellStyle name="Normal 14 3 4" xfId="48325" xr:uid="{1FA34E35-EB8D-4E5B-8338-ED99B37C0BB6}"/>
    <cellStyle name="Normal 14 3 4 2" xfId="48326" xr:uid="{2C02C258-A4ED-47D3-9940-4031BF907453}"/>
    <cellStyle name="Normal 14 3 4 2 2" xfId="48327" xr:uid="{EF7ADDA1-A75A-43D7-9647-C57ECF9FC4F3}"/>
    <cellStyle name="Normal 14 3 4 2 2 2" xfId="48328" xr:uid="{E9FE6AAC-FDC8-4381-8C03-F9C87DF9E508}"/>
    <cellStyle name="Normal 14 3 4 2 3" xfId="48329" xr:uid="{DDD6DD47-2B03-47B6-8ED8-447009AFA3FF}"/>
    <cellStyle name="Normal 14 3 4 3" xfId="48330" xr:uid="{D52EB598-2A58-48CB-8496-5A4AFDA5ECB2}"/>
    <cellStyle name="Normal 14 3 4 3 2" xfId="48331" xr:uid="{61CDF981-B00A-4300-9F3D-C483ED074B7B}"/>
    <cellStyle name="Normal 14 3 4 4" xfId="48332" xr:uid="{C35467E5-164D-4AEC-966A-3DD4FD7F36A3}"/>
    <cellStyle name="Normal 14 3 5" xfId="48333" xr:uid="{C279B700-AC94-41D2-9B89-74084EA000A2}"/>
    <cellStyle name="Normal 14 3 5 2" xfId="48334" xr:uid="{2CDA7299-FB3C-4C58-8B5D-8C449E6B0E35}"/>
    <cellStyle name="Normal 14 3 5 2 2" xfId="48335" xr:uid="{E5FA3097-D6FE-43C6-AFDD-7913302B3274}"/>
    <cellStyle name="Normal 14 3 5 3" xfId="48336" xr:uid="{A2857602-7078-4291-BEC6-AD1C05C10EB6}"/>
    <cellStyle name="Normal 14 3 6" xfId="48337" xr:uid="{403444FC-A6EA-40C0-9EE9-9A716AADF429}"/>
    <cellStyle name="Normal 14 3 6 2" xfId="48338" xr:uid="{8EC60837-8784-477C-AD15-DE23C524AE01}"/>
    <cellStyle name="Normal 14 3 7" xfId="48339" xr:uid="{85A234CF-FBCF-4DCD-9E84-8FB530D2CAD5}"/>
    <cellStyle name="Normal 14 4" xfId="48340" xr:uid="{9C42085A-5214-4F32-A8FA-2ECC9549220E}"/>
    <cellStyle name="Normal 14 4 2" xfId="48341" xr:uid="{AAE780EA-51C7-44DF-97E3-82AB2031F3CE}"/>
    <cellStyle name="Normal 14 4 2 2" xfId="48342" xr:uid="{E3BD4E9A-5237-4AE1-BE86-2BDEEEA41741}"/>
    <cellStyle name="Normal 14 4 2 2 2" xfId="48343" xr:uid="{4EBC1A21-81F2-4B30-AE2E-335E30936E06}"/>
    <cellStyle name="Normal 14 4 2 2 2 2" xfId="48344" xr:uid="{0DE89067-BD04-4B71-A021-276FCB352B4F}"/>
    <cellStyle name="Normal 14 4 2 2 2 2 2" xfId="48345" xr:uid="{FCFD492C-F015-49B0-827D-D9809702C8A6}"/>
    <cellStyle name="Normal 14 4 2 2 2 3" xfId="48346" xr:uid="{D81ECE00-43A9-4A51-8D78-B04D3898F8A6}"/>
    <cellStyle name="Normal 14 4 2 2 3" xfId="48347" xr:uid="{C7FF5388-07A1-40AA-9B86-FC2CD864D832}"/>
    <cellStyle name="Normal 14 4 2 2 3 2" xfId="48348" xr:uid="{41DE0CED-059C-448A-B0D9-8B57D84EB123}"/>
    <cellStyle name="Normal 14 4 2 2 4" xfId="48349" xr:uid="{D905B711-89B4-43D3-84CD-348DF40E6B88}"/>
    <cellStyle name="Normal 14 4 2 3" xfId="48350" xr:uid="{2886DF2A-8B89-44C1-9FCD-A008F4FE5041}"/>
    <cellStyle name="Normal 14 4 2 3 2" xfId="48351" xr:uid="{8DCE8F57-294A-4541-A9F4-2D104CB43FE3}"/>
    <cellStyle name="Normal 14 4 2 3 2 2" xfId="48352" xr:uid="{0D2DB557-B9FB-4E69-B9C7-0AB9557A889D}"/>
    <cellStyle name="Normal 14 4 2 3 3" xfId="48353" xr:uid="{CD27F613-0C19-4982-9D02-E7126BDCE9F4}"/>
    <cellStyle name="Normal 14 4 2 4" xfId="48354" xr:uid="{11411BA3-E703-4684-B963-42E2876A726E}"/>
    <cellStyle name="Normal 14 4 2 4 2" xfId="48355" xr:uid="{1591741D-3E95-4B1F-9A2F-3705D05471EB}"/>
    <cellStyle name="Normal 14 4 2 5" xfId="48356" xr:uid="{5ED60603-100E-45C5-A273-2A946D55AF83}"/>
    <cellStyle name="Normal 14 4 3" xfId="48357" xr:uid="{9CE5EA3B-DAF3-4F51-B7CB-829ABB51D21B}"/>
    <cellStyle name="Normal 14 4 3 2" xfId="48358" xr:uid="{7B23496D-C561-424D-9D26-1D3202FBD3DE}"/>
    <cellStyle name="Normal 14 4 3 2 2" xfId="48359" xr:uid="{2CACE1AB-E29C-409D-984A-46155BA990C8}"/>
    <cellStyle name="Normal 14 4 3 2 2 2" xfId="48360" xr:uid="{AA89EB45-3098-4FC5-B1C3-BAAB38B2D6B2}"/>
    <cellStyle name="Normal 14 4 3 2 3" xfId="48361" xr:uid="{0136DABD-289C-4C30-9024-6D191F31FA3F}"/>
    <cellStyle name="Normal 14 4 3 3" xfId="48362" xr:uid="{D5ABE8BB-67A5-4CEB-977A-51806321C47E}"/>
    <cellStyle name="Normal 14 4 3 3 2" xfId="48363" xr:uid="{1DCCE1EC-426F-46FE-9138-26E1E88BB5B7}"/>
    <cellStyle name="Normal 14 4 3 4" xfId="48364" xr:uid="{B87B31C0-74BF-437B-86E8-F6D034EBB093}"/>
    <cellStyle name="Normal 14 4 4" xfId="48365" xr:uid="{3CCE506F-2427-4DF5-BE5D-3A690BDE3C7F}"/>
    <cellStyle name="Normal 14 4 4 2" xfId="48366" xr:uid="{68149850-CCC9-4F93-AB5D-8487DCA6387D}"/>
    <cellStyle name="Normal 14 4 4 2 2" xfId="48367" xr:uid="{B8852D78-0AA0-45B5-9C70-952AFA059375}"/>
    <cellStyle name="Normal 14 4 4 3" xfId="48368" xr:uid="{3C398B6F-101A-4172-85A7-99E259531E8B}"/>
    <cellStyle name="Normal 14 4 5" xfId="48369" xr:uid="{D202C9A8-E81E-4DA7-8853-86564A6A4107}"/>
    <cellStyle name="Normal 14 4 5 2" xfId="48370" xr:uid="{5B5E41AF-AB44-4417-A7ED-6998833F8620}"/>
    <cellStyle name="Normal 14 4 6" xfId="48371" xr:uid="{C7BFC3AD-06DA-481A-9F59-01F946457726}"/>
    <cellStyle name="Normal 14 5" xfId="48372" xr:uid="{69549516-057F-48DF-BC61-0250AAD5AA0B}"/>
    <cellStyle name="Normal 14 5 2" xfId="48373" xr:uid="{2763FAA9-585B-4E6D-A8E9-1F7D7A2A7342}"/>
    <cellStyle name="Normal 14 5 2 2" xfId="48374" xr:uid="{F8F0BC78-7D71-48ED-AFE4-AE87A4518CE8}"/>
    <cellStyle name="Normal 14 5 2 2 2" xfId="48375" xr:uid="{1C3F7428-9F4B-4013-8270-A4EA5BF39200}"/>
    <cellStyle name="Normal 14 5 2 2 2 2" xfId="48376" xr:uid="{91164227-1BCE-4BC4-B6C9-F99EBF1F381B}"/>
    <cellStyle name="Normal 14 5 2 2 3" xfId="48377" xr:uid="{6A550C34-EA9E-4A16-B221-989828BBE049}"/>
    <cellStyle name="Normal 14 5 2 3" xfId="48378" xr:uid="{39835A5F-398C-4158-97BA-8A256939DC55}"/>
    <cellStyle name="Normal 14 5 2 3 2" xfId="48379" xr:uid="{D6B9FAB2-E38D-4E83-89B4-2D4135378F95}"/>
    <cellStyle name="Normal 14 5 2 4" xfId="48380" xr:uid="{FD926DFF-AE63-4860-BEA6-7D5CB5244C3D}"/>
    <cellStyle name="Normal 14 5 3" xfId="48381" xr:uid="{5F051DDE-A114-4B75-B81B-C710A0BBE4F6}"/>
    <cellStyle name="Normal 14 5 3 2" xfId="48382" xr:uid="{BE0BDD0B-B8ED-4340-B8DF-DFC6BA1C1896}"/>
    <cellStyle name="Normal 14 5 3 2 2" xfId="48383" xr:uid="{64B21680-72DF-4E4B-A2EA-9FC74B1D115A}"/>
    <cellStyle name="Normal 14 5 3 3" xfId="48384" xr:uid="{4DB5DA2B-264E-413F-B698-565EED35B045}"/>
    <cellStyle name="Normal 14 5 4" xfId="48385" xr:uid="{C57BD08C-FEF2-4257-A063-2E6CA1A01832}"/>
    <cellStyle name="Normal 14 5 4 2" xfId="48386" xr:uid="{7504E5F8-8239-4EB0-8271-ADBBEA7B1443}"/>
    <cellStyle name="Normal 14 5 5" xfId="48387" xr:uid="{D831F427-57AB-48DC-885C-05E44E1B7DA8}"/>
    <cellStyle name="Normal 14 6" xfId="48388" xr:uid="{5B098789-6E6D-4ADD-9D08-65880651130F}"/>
    <cellStyle name="Normal 14 6 2" xfId="48389" xr:uid="{B9DF3DAE-8050-49FF-9EDF-70D75982CA4A}"/>
    <cellStyle name="Normal 14 6 2 2" xfId="48390" xr:uid="{B545C50A-C6EA-4974-9A22-1125B476145F}"/>
    <cellStyle name="Normal 14 6 2 2 2" xfId="48391" xr:uid="{BE510509-7A41-4C7C-95EF-162FCD0F51F6}"/>
    <cellStyle name="Normal 14 6 2 3" xfId="48392" xr:uid="{CB54F50B-E603-4188-ACAC-9CF38810BDEB}"/>
    <cellStyle name="Normal 14 6 3" xfId="48393" xr:uid="{9D5B96E3-F529-4C79-994A-40E7954D234E}"/>
    <cellStyle name="Normal 14 6 3 2" xfId="48394" xr:uid="{32A8C6FD-484B-40CF-93A2-1FE8EC9E2B47}"/>
    <cellStyle name="Normal 14 6 4" xfId="48395" xr:uid="{75F65E99-45D0-459F-BCE7-5E9D053D411C}"/>
    <cellStyle name="Normal 14 7" xfId="48396" xr:uid="{9E0B356F-C37E-45D4-BFE3-E48D721445FB}"/>
    <cellStyle name="Normal 14 7 2" xfId="48397" xr:uid="{AE855E13-2604-4E6A-AB2E-3581013E0582}"/>
    <cellStyle name="Normal 14 7 2 2" xfId="48398" xr:uid="{7176469D-58A0-4C6E-8613-9F239BCE68B8}"/>
    <cellStyle name="Normal 14 7 3" xfId="48399" xr:uid="{D141B63F-1B3F-46AD-BE4B-9C7CB0AF80A6}"/>
    <cellStyle name="Normal 14 8" xfId="48400" xr:uid="{8E61AFB1-B36E-4BA9-B7C8-C5ADB1F94E5C}"/>
    <cellStyle name="Normal 14 8 2" xfId="48401" xr:uid="{00027D62-2F33-490C-8DCD-878DF633111D}"/>
    <cellStyle name="Normal 14 9" xfId="48402" xr:uid="{F0D11032-30C3-4BB3-8801-72625FFD5D7E}"/>
    <cellStyle name="Normal 15" xfId="48403" xr:uid="{DF7BF97C-D4CE-455E-9A28-176BBEF5D0AF}"/>
    <cellStyle name="Normal 15 2" xfId="48404" xr:uid="{C6EF7496-92AE-4D53-87D4-DA6CF2393B0C}"/>
    <cellStyle name="Normal 15 3" xfId="48405" xr:uid="{9BCC110C-403E-4435-82F3-D16E4AA0CE0A}"/>
    <cellStyle name="Normal 15 3 2" xfId="48406" xr:uid="{064088D1-7829-496D-9338-1164AF7157B5}"/>
    <cellStyle name="Normal 16" xfId="48407" xr:uid="{66C7F0C6-589F-4F7F-B7A8-4B9737C1FE7B}"/>
    <cellStyle name="Normal 16 2" xfId="48408" xr:uid="{7609B1FD-56F3-4DCB-9A6E-671F888B2AD6}"/>
    <cellStyle name="Normal 16 2 2" xfId="48409" xr:uid="{5BCCFA4C-01DD-4AAC-9447-13DED105A7D6}"/>
    <cellStyle name="Normal 16 2 2 2" xfId="48410" xr:uid="{ED27BB3A-DCDA-4835-A0D6-2D621F0612B0}"/>
    <cellStyle name="Normal 16 2 2 2 2" xfId="48411" xr:uid="{797170F5-D350-446C-B4C6-28F083E032D5}"/>
    <cellStyle name="Normal 16 2 2 2 2 2" xfId="48412" xr:uid="{2899DACF-F7EA-4B85-96FD-CC99088180A2}"/>
    <cellStyle name="Normal 16 2 2 2 2 2 2" xfId="48413" xr:uid="{0C1FB2F1-85E4-44F3-A65E-A5F498C2010B}"/>
    <cellStyle name="Normal 16 2 2 2 2 2 2 2" xfId="48414" xr:uid="{CAA33CF7-9BC7-480B-97BD-3F5017F75FDE}"/>
    <cellStyle name="Normal 16 2 2 2 2 2 3" xfId="48415" xr:uid="{BDA200C6-1444-470F-BE3D-E6D57FE59E1F}"/>
    <cellStyle name="Normal 16 2 2 2 2 3" xfId="48416" xr:uid="{8E7059CE-A656-4C1C-8178-F58294566416}"/>
    <cellStyle name="Normal 16 2 2 2 2 3 2" xfId="48417" xr:uid="{5B9BBD66-DCE1-462D-9F03-1F2E6FF68C9C}"/>
    <cellStyle name="Normal 16 2 2 2 2 4" xfId="48418" xr:uid="{1BB66838-B495-42DC-86FD-43032813DF70}"/>
    <cellStyle name="Normal 16 2 2 2 3" xfId="48419" xr:uid="{C6270D04-10BA-4BFB-899C-2E82742D9FC1}"/>
    <cellStyle name="Normal 16 2 2 2 3 2" xfId="48420" xr:uid="{8C54C778-A214-426B-8DBF-0325F6C90F57}"/>
    <cellStyle name="Normal 16 2 2 2 3 2 2" xfId="48421" xr:uid="{A4B4ABC7-D1F8-4A39-918D-AB521B03E945}"/>
    <cellStyle name="Normal 16 2 2 2 3 3" xfId="48422" xr:uid="{742ACB9B-FF05-45A1-9D64-B65BB2D24573}"/>
    <cellStyle name="Normal 16 2 2 2 4" xfId="48423" xr:uid="{9F2B36CF-1FC0-420A-831D-33B61C72246F}"/>
    <cellStyle name="Normal 16 2 2 2 4 2" xfId="48424" xr:uid="{487793F2-385E-4221-A4A7-7F45BAA52F49}"/>
    <cellStyle name="Normal 16 2 2 2 5" xfId="48425" xr:uid="{3ED12DDA-3CC9-4A86-9356-7F7F9E6567F2}"/>
    <cellStyle name="Normal 16 2 2 3" xfId="48426" xr:uid="{39E2D337-834A-445E-B61A-711DAC25DCED}"/>
    <cellStyle name="Normal 16 2 2 3 2" xfId="48427" xr:uid="{36DA72AE-27FA-441B-ABAA-58AC701C83FF}"/>
    <cellStyle name="Normal 16 2 2 3 2 2" xfId="48428" xr:uid="{94379D5B-D46A-4369-A7CA-D135759B5926}"/>
    <cellStyle name="Normal 16 2 2 3 2 2 2" xfId="48429" xr:uid="{9EE7FB61-2569-485F-9D94-490901621121}"/>
    <cellStyle name="Normal 16 2 2 3 2 3" xfId="48430" xr:uid="{9DF20541-3652-489D-B21A-F654260197E6}"/>
    <cellStyle name="Normal 16 2 2 3 3" xfId="48431" xr:uid="{F98CAB43-83EE-4410-9ECA-3209EA354126}"/>
    <cellStyle name="Normal 16 2 2 3 3 2" xfId="48432" xr:uid="{7EA6558B-65BA-4FF0-AB54-0C1B10467581}"/>
    <cellStyle name="Normal 16 2 2 3 4" xfId="48433" xr:uid="{A5AE7E1C-33A8-46A7-9A65-B71CC0187DBC}"/>
    <cellStyle name="Normal 16 2 2 4" xfId="48434" xr:uid="{D81B6935-07F9-44FC-A139-5F64A970F304}"/>
    <cellStyle name="Normal 16 2 2 4 2" xfId="48435" xr:uid="{2C2E625A-EE5E-43E6-9401-70BA0A919084}"/>
    <cellStyle name="Normal 16 2 2 4 2 2" xfId="48436" xr:uid="{3E91FBEA-3EE1-4E40-9FAC-93DB330368AB}"/>
    <cellStyle name="Normal 16 2 2 4 3" xfId="48437" xr:uid="{B68F6F50-C884-4398-8187-906DAE835DF7}"/>
    <cellStyle name="Normal 16 2 2 5" xfId="48438" xr:uid="{2E9CABA3-5AA7-45B6-B647-8CF72816E39B}"/>
    <cellStyle name="Normal 16 2 2 5 2" xfId="48439" xr:uid="{F43C0056-16F6-4F43-9633-DB2B8DFA6BAC}"/>
    <cellStyle name="Normal 16 2 2 6" xfId="48440" xr:uid="{B1C331EA-EC88-4FF7-9A18-D277A814F828}"/>
    <cellStyle name="Normal 16 2 3" xfId="48441" xr:uid="{41D95D39-4662-4077-BBE5-6ABE18793E3E}"/>
    <cellStyle name="Normal 16 2 3 2" xfId="48442" xr:uid="{163A459B-AE4B-42E2-9B19-4809BE1CDA59}"/>
    <cellStyle name="Normal 16 2 3 2 2" xfId="48443" xr:uid="{A5A71DDF-682A-4DC6-A631-650C1C9E1505}"/>
    <cellStyle name="Normal 16 2 3 2 2 2" xfId="48444" xr:uid="{27AE898A-A1DC-4031-8E98-135663ED79A4}"/>
    <cellStyle name="Normal 16 2 3 2 2 2 2" xfId="48445" xr:uid="{5111FC16-C94D-4157-B097-B06D8C8B01A1}"/>
    <cellStyle name="Normal 16 2 3 2 2 3" xfId="48446" xr:uid="{F73AEA88-413A-4369-8C91-B21840AF54FB}"/>
    <cellStyle name="Normal 16 2 3 2 3" xfId="48447" xr:uid="{A6875F0C-80E3-4931-8E88-0A247CAC1BDD}"/>
    <cellStyle name="Normal 16 2 3 2 3 2" xfId="48448" xr:uid="{DDE983B0-23F3-4DBC-AA54-1EA510434F59}"/>
    <cellStyle name="Normal 16 2 3 2 4" xfId="48449" xr:uid="{8A57440D-BA9B-4E46-9C3F-94CEE8864096}"/>
    <cellStyle name="Normal 16 2 3 3" xfId="48450" xr:uid="{5DD596B1-3026-4E84-A768-07672E59F1EA}"/>
    <cellStyle name="Normal 16 2 3 3 2" xfId="48451" xr:uid="{79A2A22C-6E6B-4FC3-9DF6-1940F3FABB01}"/>
    <cellStyle name="Normal 16 2 3 3 2 2" xfId="48452" xr:uid="{800DDF9E-2165-4D91-8EDE-9D08E4347B62}"/>
    <cellStyle name="Normal 16 2 3 3 3" xfId="48453" xr:uid="{847A5475-9B3D-4764-982B-769CE718A5DE}"/>
    <cellStyle name="Normal 16 2 3 4" xfId="48454" xr:uid="{DB625C9A-0BC1-4359-834B-56B82213A938}"/>
    <cellStyle name="Normal 16 2 3 4 2" xfId="48455" xr:uid="{70983226-17E2-4094-9F3F-BBB173A47007}"/>
    <cellStyle name="Normal 16 2 3 5" xfId="48456" xr:uid="{EC7892BB-B39D-41A2-91A3-3FEA51A6E12A}"/>
    <cellStyle name="Normal 16 2 4" xfId="48457" xr:uid="{505912CA-5878-4664-9270-D121E130C394}"/>
    <cellStyle name="Normal 16 2 4 2" xfId="48458" xr:uid="{4B23C005-1B24-4CE8-B9A7-8C338976D4D5}"/>
    <cellStyle name="Normal 16 2 4 2 2" xfId="48459" xr:uid="{84546B83-E950-4676-A5AE-8D844D23AD6F}"/>
    <cellStyle name="Normal 16 2 4 2 2 2" xfId="48460" xr:uid="{86806739-CA7F-44B4-A15E-09529ED3A445}"/>
    <cellStyle name="Normal 16 2 4 2 3" xfId="48461" xr:uid="{4A4C43E6-C7EC-4B09-A7ED-91C7D07664F0}"/>
    <cellStyle name="Normal 16 2 4 3" xfId="48462" xr:uid="{2F80EC49-2C08-4AEF-9308-789B59972F72}"/>
    <cellStyle name="Normal 16 2 4 3 2" xfId="48463" xr:uid="{B196424F-8342-4FB0-BB4F-608E3E25FCCA}"/>
    <cellStyle name="Normal 16 2 4 4" xfId="48464" xr:uid="{91C09B7A-9891-4942-9C6B-1432FCB37C99}"/>
    <cellStyle name="Normal 16 2 5" xfId="48465" xr:uid="{3F45C3D7-B801-4686-B3C8-231C3698A6CA}"/>
    <cellStyle name="Normal 16 2 5 2" xfId="48466" xr:uid="{1D8DFA5A-BE28-4D54-94E7-B628E88D9A2C}"/>
    <cellStyle name="Normal 16 2 5 2 2" xfId="48467" xr:uid="{8B71202A-7A63-4B43-81EB-7B6C2C1C3F1F}"/>
    <cellStyle name="Normal 16 2 5 3" xfId="48468" xr:uid="{ED312EE4-AFBC-44D8-B935-5A19C0F16B7C}"/>
    <cellStyle name="Normal 16 2 6" xfId="48469" xr:uid="{09C93227-372F-4581-8A71-217D2CA51CBB}"/>
    <cellStyle name="Normal 16 2 6 2" xfId="48470" xr:uid="{FFB98C2E-1EB6-4347-AF34-FFFB4B8581F2}"/>
    <cellStyle name="Normal 16 2 7" xfId="48471" xr:uid="{E8002FBA-BB00-4F76-8C54-EF27C9D876AF}"/>
    <cellStyle name="Normal 16 3" xfId="48472" xr:uid="{651F0138-C5F4-48B7-B055-EE97A0791CA2}"/>
    <cellStyle name="Normal 16 3 2" xfId="48473" xr:uid="{F67F7297-25D2-4803-8CA2-3498CBF22292}"/>
    <cellStyle name="Normal 16 3 2 2" xfId="48474" xr:uid="{4D1A2D0E-0AD3-4AEC-9A15-071D7255FDE1}"/>
    <cellStyle name="Normal 16 3 2 2 2" xfId="48475" xr:uid="{FE8C8E89-6821-491F-9175-EAB118DF18F4}"/>
    <cellStyle name="Normal 16 3 2 2 2 2" xfId="48476" xr:uid="{1786EF24-2371-48F5-B7D7-9F36ED16A761}"/>
    <cellStyle name="Normal 16 3 2 2 2 2 2" xfId="48477" xr:uid="{377C9FF7-07D8-423C-AFF0-655611A9D909}"/>
    <cellStyle name="Normal 16 3 2 2 2 3" xfId="48478" xr:uid="{8F9F8F78-AC5E-43EE-A38D-4FE73CE15619}"/>
    <cellStyle name="Normal 16 3 2 2 3" xfId="48479" xr:uid="{27063EC4-7AEF-4F11-8AB8-74E82437CCE0}"/>
    <cellStyle name="Normal 16 3 2 2 3 2" xfId="48480" xr:uid="{25DDE281-9DC4-44A3-AEAA-B75AC2F0D471}"/>
    <cellStyle name="Normal 16 3 2 2 4" xfId="48481" xr:uid="{A36B501E-3E0B-4606-886E-5E79EE03F0ED}"/>
    <cellStyle name="Normal 16 3 2 3" xfId="48482" xr:uid="{1AED6A6E-DFB4-4E1C-BD45-CC9AF27545B0}"/>
    <cellStyle name="Normal 16 3 2 3 2" xfId="48483" xr:uid="{C2043B51-6395-4FA3-8DEF-2987155054EE}"/>
    <cellStyle name="Normal 16 3 2 3 2 2" xfId="48484" xr:uid="{A0FF7AD4-0D1E-4223-945F-B88C604B1B5C}"/>
    <cellStyle name="Normal 16 3 2 3 3" xfId="48485" xr:uid="{AA8D1BF5-88D0-440C-AC82-C9489A925F78}"/>
    <cellStyle name="Normal 16 3 2 4" xfId="48486" xr:uid="{90B9FB26-4E7E-46BE-9634-D5F339F923BC}"/>
    <cellStyle name="Normal 16 3 2 4 2" xfId="48487" xr:uid="{1910BAC0-B2C0-4B61-BD13-E319D3E8AB23}"/>
    <cellStyle name="Normal 16 3 2 5" xfId="48488" xr:uid="{F00A6E38-C336-4308-8648-31F8C18BA366}"/>
    <cellStyle name="Normal 16 3 3" xfId="48489" xr:uid="{1252D2BE-8A7A-4D50-9E6E-42FA64A4605E}"/>
    <cellStyle name="Normal 16 3 3 2" xfId="48490" xr:uid="{96BFDDF6-6681-49F7-A8FD-964681448565}"/>
    <cellStyle name="Normal 16 3 3 2 2" xfId="48491" xr:uid="{6C7ED783-D49B-4A0E-B4F8-8242F63EC37C}"/>
    <cellStyle name="Normal 16 3 3 2 2 2" xfId="48492" xr:uid="{15A359A0-E63A-4318-B2FF-F8F883309E3A}"/>
    <cellStyle name="Normal 16 3 3 2 3" xfId="48493" xr:uid="{EE09BAD3-4DA3-40E0-A392-9326B0EB1B19}"/>
    <cellStyle name="Normal 16 3 3 3" xfId="48494" xr:uid="{2DE97ACA-A0DB-4C3A-B022-B809C5E8A4B8}"/>
    <cellStyle name="Normal 16 3 3 3 2" xfId="48495" xr:uid="{E667D33C-918E-4901-80F0-D2FD010E6F32}"/>
    <cellStyle name="Normal 16 3 3 4" xfId="48496" xr:uid="{16E8A56A-ABB6-4392-B6F5-90203F96AACC}"/>
    <cellStyle name="Normal 16 3 4" xfId="48497" xr:uid="{14B787A3-F332-4FEF-891F-C26D7629B45B}"/>
    <cellStyle name="Normal 16 3 4 2" xfId="48498" xr:uid="{24096F20-0A68-41B3-B864-E91EB356BFFF}"/>
    <cellStyle name="Normal 16 3 4 2 2" xfId="48499" xr:uid="{6DB86F9D-6C00-4517-B84D-0B9791230CBA}"/>
    <cellStyle name="Normal 16 3 4 3" xfId="48500" xr:uid="{0E0E4A9B-53DA-4DD2-B8E9-F9972E8AB7D2}"/>
    <cellStyle name="Normal 16 3 5" xfId="48501" xr:uid="{AA7387DE-D57B-4236-8AA8-BDBEBEED45F2}"/>
    <cellStyle name="Normal 16 3 5 2" xfId="48502" xr:uid="{B2DC16C2-3899-4F8B-97CF-9462D6996151}"/>
    <cellStyle name="Normal 16 3 6" xfId="48503" xr:uid="{CC489A2C-E775-4FF6-9A4B-C02B103910B5}"/>
    <cellStyle name="Normal 16 4" xfId="48504" xr:uid="{44C54632-4A24-455A-81DC-32E43D3A28E1}"/>
    <cellStyle name="Normal 16 4 2" xfId="48505" xr:uid="{C3398AE3-A89E-4662-8B57-12891E5337D7}"/>
    <cellStyle name="Normal 16 4 2 2" xfId="48506" xr:uid="{A5642291-DFB0-4C18-A351-B26F66B0930D}"/>
    <cellStyle name="Normal 16 4 2 2 2" xfId="48507" xr:uid="{DD34FB53-98F0-4B93-9BBC-9464E5AA3BDC}"/>
    <cellStyle name="Normal 16 4 2 2 2 2" xfId="48508" xr:uid="{2D9F2B7A-53E5-4972-B38C-8CD7E5089DA5}"/>
    <cellStyle name="Normal 16 4 2 2 3" xfId="48509" xr:uid="{0BC169F9-1D51-4E88-BD0F-11B4CAAFC009}"/>
    <cellStyle name="Normal 16 4 2 3" xfId="48510" xr:uid="{778675B3-D0FC-4A6C-9C88-F60F05D0E1B6}"/>
    <cellStyle name="Normal 16 4 2 3 2" xfId="48511" xr:uid="{B3B90C8D-A732-41F4-A075-E5BBA28957C3}"/>
    <cellStyle name="Normal 16 4 2 4" xfId="48512" xr:uid="{AA970F0F-FAF2-4A73-B553-C4BDC7904198}"/>
    <cellStyle name="Normal 16 4 3" xfId="48513" xr:uid="{56C106EB-E06C-48AC-BE22-5E67B8F1C97D}"/>
    <cellStyle name="Normal 16 4 3 2" xfId="48514" xr:uid="{333DCA7C-7ADA-4841-B1E1-87501AD51A98}"/>
    <cellStyle name="Normal 16 4 3 2 2" xfId="48515" xr:uid="{9B8AC3F6-A5E9-45A2-A932-DC8E0B7ADD01}"/>
    <cellStyle name="Normal 16 4 3 3" xfId="48516" xr:uid="{D2E50666-E484-4E16-9D31-B3DA2C84188B}"/>
    <cellStyle name="Normal 16 4 4" xfId="48517" xr:uid="{70261C00-5A0D-4D63-8F3D-856545F956AD}"/>
    <cellStyle name="Normal 16 4 4 2" xfId="48518" xr:uid="{00AF8F43-10A7-4CF5-A7DC-83CDD85E4D11}"/>
    <cellStyle name="Normal 16 4 5" xfId="48519" xr:uid="{C1631397-EE8F-411C-9169-ABF2E23DFC07}"/>
    <cellStyle name="Normal 16 5" xfId="48520" xr:uid="{40F5DE2E-9306-4493-B67F-8B0E6028860E}"/>
    <cellStyle name="Normal 16 5 2" xfId="48521" xr:uid="{BCB36ECE-F2E2-4579-A71A-39C5FCD43764}"/>
    <cellStyle name="Normal 16 6" xfId="48522" xr:uid="{F19D527F-115D-4B46-BEF5-6A7FB5328CF6}"/>
    <cellStyle name="Normal 16 6 2" xfId="48523" xr:uid="{BB191DDA-7B0D-4A9B-8F2B-2CA28CD0C30D}"/>
    <cellStyle name="Normal 16 7" xfId="48524" xr:uid="{CE67EB0F-A221-4755-9633-F2413049A463}"/>
    <cellStyle name="Normal 17" xfId="48525" xr:uid="{0356B164-6C05-4F8E-8E6E-F59FF8F50B37}"/>
    <cellStyle name="Normal 17 2" xfId="48526" xr:uid="{C21A5BE1-D06F-43B3-B62D-2285ACD1BB24}"/>
    <cellStyle name="Normal 17 2 2" xfId="48527" xr:uid="{EF513883-2354-46A3-AE56-3A1A167A1A4A}"/>
    <cellStyle name="Normal 17 2 2 2" xfId="48528" xr:uid="{D45DA40D-1EB0-46E4-A2D2-3E38B35C5C8D}"/>
    <cellStyle name="Normal 17 2 2 2 2" xfId="48529" xr:uid="{315544F4-4B2A-4965-9EEB-77D4A94A1E0F}"/>
    <cellStyle name="Normal 17 2 2 2 2 2" xfId="48530" xr:uid="{061604F7-32B5-4572-9C5D-BCDEC0628F48}"/>
    <cellStyle name="Normal 17 2 2 2 2 2 2" xfId="48531" xr:uid="{F4978196-DAD9-4FD6-BD14-3A8AF9AEBC20}"/>
    <cellStyle name="Normal 17 2 2 2 2 3" xfId="48532" xr:uid="{36EF48CF-61EA-4779-A54C-1C06123B3EC0}"/>
    <cellStyle name="Normal 17 2 2 2 3" xfId="48533" xr:uid="{7DE31636-75E2-4E95-9C41-725C940BC3AC}"/>
    <cellStyle name="Normal 17 2 2 2 3 2" xfId="48534" xr:uid="{CBE5108D-D20B-42AB-9607-025CFF39F87B}"/>
    <cellStyle name="Normal 17 2 2 2 4" xfId="48535" xr:uid="{E0B42645-B207-4ABE-A55C-DACFA0DE74AA}"/>
    <cellStyle name="Normal 17 2 2 3" xfId="48536" xr:uid="{4EACB01A-E65C-4F09-8FDC-F09604CEA63F}"/>
    <cellStyle name="Normal 17 2 2 3 2" xfId="48537" xr:uid="{7E7524DD-AC04-4DF7-B423-E21682A1A532}"/>
    <cellStyle name="Normal 17 2 2 3 2 2" xfId="48538" xr:uid="{3FE74A1D-2873-46DD-B81A-BC1FDC37646A}"/>
    <cellStyle name="Normal 17 2 2 3 3" xfId="48539" xr:uid="{0CC20FA0-7CE0-42AA-910A-E920B3ABAF9E}"/>
    <cellStyle name="Normal 17 2 2 4" xfId="48540" xr:uid="{CCD4F50F-C6D9-4F77-B6D7-BAABD453FF37}"/>
    <cellStyle name="Normal 17 2 2 4 2" xfId="48541" xr:uid="{1C35D73E-1705-4B47-B2D2-385860EE5EF7}"/>
    <cellStyle name="Normal 17 2 2 5" xfId="48542" xr:uid="{3614FDF3-4D11-43D9-9329-91C171DCFC4C}"/>
    <cellStyle name="Normal 17 2 3" xfId="48543" xr:uid="{1BADF3B2-D5B3-4EF5-93B3-B508EEC4CA59}"/>
    <cellStyle name="Normal 17 2 3 2" xfId="48544" xr:uid="{E3705D25-B80F-4A1B-A8BF-5F32D92956E4}"/>
    <cellStyle name="Normal 17 2 3 2 2" xfId="48545" xr:uid="{34E56F2C-4F81-48B0-A39C-A5FD4F8420B7}"/>
    <cellStyle name="Normal 17 2 3 2 2 2" xfId="48546" xr:uid="{9C965BEC-5596-4361-A9D1-FDD3FC00D8D2}"/>
    <cellStyle name="Normal 17 2 3 2 3" xfId="48547" xr:uid="{58D84702-3DEE-424A-BC1A-36D5871C1CF4}"/>
    <cellStyle name="Normal 17 2 3 3" xfId="48548" xr:uid="{758A4493-EB67-4047-A36E-3708168BD633}"/>
    <cellStyle name="Normal 17 2 3 3 2" xfId="48549" xr:uid="{544FF28D-6FA3-46B9-A7D8-C5C479B686CA}"/>
    <cellStyle name="Normal 17 2 3 4" xfId="48550" xr:uid="{6E565AFF-D7C0-4F9B-9377-9AD85DFD3419}"/>
    <cellStyle name="Normal 17 2 4" xfId="48551" xr:uid="{8E3BB200-AD9B-4FCE-89F7-C58331DEDC7A}"/>
    <cellStyle name="Normal 17 2 4 2" xfId="48552" xr:uid="{240CC0EA-39BF-42E8-8CAF-1810CA196974}"/>
    <cellStyle name="Normal 17 2 4 2 2" xfId="48553" xr:uid="{8E48A582-DAD1-4880-98FF-347B9B596060}"/>
    <cellStyle name="Normal 17 2 4 3" xfId="48554" xr:uid="{B724FC32-C866-4536-A446-47C6E96E5C6B}"/>
    <cellStyle name="Normal 17 2 5" xfId="48555" xr:uid="{3601571B-004C-41D5-BFF7-A810B44B30C4}"/>
    <cellStyle name="Normal 17 2 5 2" xfId="48556" xr:uid="{A1E6CAED-A12E-42BD-BBD3-09BE3409A20E}"/>
    <cellStyle name="Normal 17 2 6" xfId="48557" xr:uid="{A5C2795A-2B59-445A-9FA2-A3B1BB2641C3}"/>
    <cellStyle name="Normal 17 3" xfId="48558" xr:uid="{6FD8E747-F997-4CB0-A17B-5A9234200326}"/>
    <cellStyle name="Normal 17 3 2" xfId="48559" xr:uid="{4E3E5262-61B7-4064-B87F-A2F284F925E7}"/>
    <cellStyle name="Normal 17 3 2 2" xfId="48560" xr:uid="{ECAA044C-95C3-44B7-916D-CB1D81FF81C6}"/>
    <cellStyle name="Normal 17 3 2 2 2" xfId="48561" xr:uid="{2A9F2D76-1BC8-403D-B0B4-6D5DD89F8D69}"/>
    <cellStyle name="Normal 17 3 2 2 2 2" xfId="48562" xr:uid="{9AF7D8EA-ACFE-431C-8212-9B75C5E8ED7A}"/>
    <cellStyle name="Normal 17 3 2 2 3" xfId="48563" xr:uid="{52C533DC-E0F8-4BA1-B6E5-456879E9EDCD}"/>
    <cellStyle name="Normal 17 3 2 3" xfId="48564" xr:uid="{401B7A46-0908-41B7-9F8B-81BEAE74FC00}"/>
    <cellStyle name="Normal 17 3 2 3 2" xfId="48565" xr:uid="{1003C665-7B2F-4136-B12D-680BCE46A935}"/>
    <cellStyle name="Normal 17 3 2 4" xfId="48566" xr:uid="{E6C10C78-923D-4A1C-A304-E62709BFABCF}"/>
    <cellStyle name="Normal 17 3 3" xfId="48567" xr:uid="{31BE2A97-D6A5-4B58-BE4C-1524BF922A79}"/>
    <cellStyle name="Normal 17 3 3 2" xfId="48568" xr:uid="{6D8A5762-02F9-4CFA-AFCB-1B4D946A6B0B}"/>
    <cellStyle name="Normal 17 3 3 2 2" xfId="48569" xr:uid="{7F683585-A5DD-42F6-B889-168EF6DF251C}"/>
    <cellStyle name="Normal 17 3 3 3" xfId="48570" xr:uid="{93BA454B-EBFE-4C8B-A128-D8B185B839EA}"/>
    <cellStyle name="Normal 17 3 4" xfId="48571" xr:uid="{442E9227-AB1E-405D-BF72-ED9ABD9962A6}"/>
    <cellStyle name="Normal 17 3 4 2" xfId="48572" xr:uid="{057E879B-4E0D-4E63-978F-023435AC47A7}"/>
    <cellStyle name="Normal 17 3 5" xfId="48573" xr:uid="{0B434369-27C0-4357-ADBF-87270B3784CF}"/>
    <cellStyle name="Normal 17 4" xfId="48574" xr:uid="{A0BFF6DC-ED15-4CB2-A783-2A31EA1CB09B}"/>
    <cellStyle name="Normal 17 4 2" xfId="48575" xr:uid="{41283121-005D-4823-AA3A-F0242B439F53}"/>
    <cellStyle name="Normal 17 4 2 2" xfId="48576" xr:uid="{E903DAD7-D5BD-4BB3-BE68-0434377CF8F6}"/>
    <cellStyle name="Normal 17 4 2 2 2" xfId="48577" xr:uid="{17D2B131-BF2A-484A-A811-8CFE7F97CE72}"/>
    <cellStyle name="Normal 17 4 2 3" xfId="48578" xr:uid="{8147E493-9CDD-47FF-8F24-DD180229D001}"/>
    <cellStyle name="Normal 17 4 3" xfId="48579" xr:uid="{AE833A0A-50E0-4D54-B172-95CFB2D6E6CB}"/>
    <cellStyle name="Normal 17 4 3 2" xfId="48580" xr:uid="{A5FD7F4F-0015-462F-8095-84E488F944EB}"/>
    <cellStyle name="Normal 17 4 4" xfId="48581" xr:uid="{1DF52ADC-81A1-4F7F-9F2E-86D7C2D58CE8}"/>
    <cellStyle name="Normal 17 5" xfId="48582" xr:uid="{E289A4EC-0B66-4F2D-A3DD-5F34521C04D5}"/>
    <cellStyle name="Normal 17 5 2" xfId="48583" xr:uid="{9783BE4B-0055-4127-A752-61AE7652D9C9}"/>
    <cellStyle name="Normal 17 5 2 2" xfId="48584" xr:uid="{BDF4857D-D988-4157-A3A7-C71D3A9DF1AD}"/>
    <cellStyle name="Normal 17 5 3" xfId="48585" xr:uid="{BF33AF83-9724-4E85-B334-AA3284C55573}"/>
    <cellStyle name="Normal 17 6" xfId="48586" xr:uid="{EE7FB82D-C62A-456F-B655-E6B29D421D76}"/>
    <cellStyle name="Normal 17 6 2" xfId="48587" xr:uid="{9054DA53-9E08-459E-A350-812EF5E13890}"/>
    <cellStyle name="Normal 17 7" xfId="48588" xr:uid="{8D94D0C5-F7A8-4BD6-B6AA-EC63C3863150}"/>
    <cellStyle name="Normal 18" xfId="48589" xr:uid="{26CE4A83-85D0-4603-80CD-5F6B107FE338}"/>
    <cellStyle name="Normal 18 2" xfId="48590" xr:uid="{4E540740-1AC0-48AD-BB18-47EC79E64BB1}"/>
    <cellStyle name="Normal 18 2 2" xfId="48591" xr:uid="{98D8CD1A-1F45-4F97-9984-33688C322B4E}"/>
    <cellStyle name="Normal 18 2 2 2" xfId="48592" xr:uid="{B0DE5C3D-E0C8-4A04-AEA2-34E96BE6E1C2}"/>
    <cellStyle name="Normal 18 2 2 2 2" xfId="48593" xr:uid="{230F6741-1F70-4257-855C-6ACCCEA618E3}"/>
    <cellStyle name="Normal 18 2 2 2 2 2" xfId="48594" xr:uid="{A54B085E-AAB3-434E-B1F5-0065602D4EAC}"/>
    <cellStyle name="Normal 18 2 2 2 3" xfId="48595" xr:uid="{BD14B0E1-2D80-4F6F-9994-06E0FCA9ADCE}"/>
    <cellStyle name="Normal 18 2 2 3" xfId="48596" xr:uid="{E0495A38-58B0-4B8A-92CA-30F2B605D578}"/>
    <cellStyle name="Normal 18 2 2 3 2" xfId="48597" xr:uid="{5534165E-7CA4-417C-8DA7-0C86C4579C0A}"/>
    <cellStyle name="Normal 18 2 2 4" xfId="48598" xr:uid="{6506A998-9145-4221-BC75-A74F48174823}"/>
    <cellStyle name="Normal 18 2 3" xfId="48599" xr:uid="{A79888BE-78C1-4468-AC09-451F50326593}"/>
    <cellStyle name="Normal 18 2 3 2" xfId="48600" xr:uid="{2EADD1CD-F209-4FA7-AEF2-5B2019A9AC8B}"/>
    <cellStyle name="Normal 18 2 3 2 2" xfId="48601" xr:uid="{923C5BE9-EA1D-4419-B82C-38C836455097}"/>
    <cellStyle name="Normal 18 2 3 3" xfId="48602" xr:uid="{56877428-4ABE-47F8-BB7C-E10446C1B0CA}"/>
    <cellStyle name="Normal 18 2 4" xfId="48603" xr:uid="{D42CDE72-E748-4A14-B455-58C9CCBB883E}"/>
    <cellStyle name="Normal 18 2 4 2" xfId="48604" xr:uid="{A6E8C8E8-4ACD-4E77-A6A5-8710B03ABEAB}"/>
    <cellStyle name="Normal 18 2 5" xfId="48605" xr:uid="{6DBDBB0F-67F1-471B-BD9A-C933D8F5B5E5}"/>
    <cellStyle name="Normal 18 3" xfId="48606" xr:uid="{C7E2E012-D9A6-4BCB-BE22-0CE90D8A4815}"/>
    <cellStyle name="Normal 18 3 2" xfId="48607" xr:uid="{D5379494-BA07-410C-A78F-3B5BAF556858}"/>
    <cellStyle name="Normal 18 3 2 2" xfId="48608" xr:uid="{C2837CD2-FB2E-46C7-B3EB-811BD217479D}"/>
    <cellStyle name="Normal 18 3 2 2 2" xfId="48609" xr:uid="{D68211A9-A447-493A-A7CB-FEA82A729B29}"/>
    <cellStyle name="Normal 18 3 2 3" xfId="48610" xr:uid="{87A2EDCD-535E-453D-B83E-2A02EE03CF73}"/>
    <cellStyle name="Normal 18 3 3" xfId="48611" xr:uid="{403923D9-C0D6-48F1-B4EF-0346212CCCB3}"/>
    <cellStyle name="Normal 18 3 3 2" xfId="48612" xr:uid="{16489C40-C43C-467D-8B50-F68842686C6B}"/>
    <cellStyle name="Normal 18 3 4" xfId="48613" xr:uid="{CE902D80-4E82-41A8-9D77-036C4A15FFE3}"/>
    <cellStyle name="Normal 18 4" xfId="48614" xr:uid="{C62466A7-2BAA-4A3B-ACF9-7FC2E6E926FD}"/>
    <cellStyle name="Normal 18 4 2" xfId="48615" xr:uid="{24BF62EF-4426-49E4-B674-01C0540331D0}"/>
    <cellStyle name="Normal 18 4 2 2" xfId="48616" xr:uid="{ABB0AECC-A2F4-426D-A2A9-D840DCF13B3F}"/>
    <cellStyle name="Normal 18 4 3" xfId="48617" xr:uid="{E5B81CFE-8B0F-48B7-824F-35EB5F0BF979}"/>
    <cellStyle name="Normal 18 5" xfId="48618" xr:uid="{B8B79D6D-F6A6-4AE3-B27C-12F4D939BEE9}"/>
    <cellStyle name="Normal 18 5 2" xfId="48619" xr:uid="{8B68D1F0-8A43-425D-B9F9-D0BCB9463920}"/>
    <cellStyle name="Normal 18 6" xfId="48620" xr:uid="{5FF13A75-FA1E-4CF6-BC2B-02273C154287}"/>
    <cellStyle name="Normal 19" xfId="48621" xr:uid="{E047C7F0-4354-4DB2-BF28-7DD81D423D3C}"/>
    <cellStyle name="Normal 19 2" xfId="48622" xr:uid="{D59EAB5C-2077-4F37-91EE-258AAA579766}"/>
    <cellStyle name="Normal 2" xfId="1" xr:uid="{00000000-0005-0000-0000-000009000000}"/>
    <cellStyle name="Normal 2 10" xfId="9" xr:uid="{00000000-0005-0000-0000-00000A000000}"/>
    <cellStyle name="Normal 2 10 2" xfId="54816" xr:uid="{419E1846-8C71-43B8-8B00-1F4CCD78115F}"/>
    <cellStyle name="Normal 2 11" xfId="48623" xr:uid="{BA6E772E-0B46-4A63-9B39-20260FF5AD14}"/>
    <cellStyle name="Normal 2 11 2" xfId="48624" xr:uid="{B0BD4D77-8EB4-4646-B059-7AF33A122328}"/>
    <cellStyle name="Normal 2 11 3" xfId="54800" xr:uid="{2181EF0A-412B-4CC1-98C1-64619A017981}"/>
    <cellStyle name="Normal 2 2" xfId="27" xr:uid="{00000000-0005-0000-0000-00000B000000}"/>
    <cellStyle name="Normal 2 2 10" xfId="140" xr:uid="{53267617-C488-496C-A745-D12479154339}"/>
    <cellStyle name="Normal 2 2 10 2" xfId="54805" xr:uid="{3EA258CD-029C-4D2D-95BB-E595572D0CB3}"/>
    <cellStyle name="Normal 2 2 11" xfId="54767" xr:uid="{51CA7FF8-7D97-4709-94F9-AF43559B6527}"/>
    <cellStyle name="Normal 2 2 11 2" xfId="54802" xr:uid="{7AB9CC5F-2723-4486-8345-C80A9530B396}"/>
    <cellStyle name="Normal 2 2 2" xfId="6" xr:uid="{00000000-0005-0000-0000-00000C000000}"/>
    <cellStyle name="Normal 2 2 2 2" xfId="183" xr:uid="{F328244C-52DC-4DBC-95EA-4B8CFF92E12E}"/>
    <cellStyle name="Normal 2 2 2 3" xfId="141" xr:uid="{F4F5C978-151B-4380-90D0-F9E7B5BB4FC5}"/>
    <cellStyle name="Normal 2 2 3" xfId="69" xr:uid="{FAC440A5-30EB-41AA-8606-33D2EEE8945E}"/>
    <cellStyle name="Normal 2 2 3 2" xfId="392" xr:uid="{A6804352-7897-403D-9DC8-90B04147D576}"/>
    <cellStyle name="Normal 2 2 4" xfId="70" xr:uid="{045F576E-A71D-4BDB-B4F4-23D675E8FDC8}"/>
    <cellStyle name="Normal 2 2 4 2" xfId="393" xr:uid="{AEB2C3B2-D13F-4C4E-B2B0-36BB49D2B631}"/>
    <cellStyle name="Normal 2 2 5" xfId="71" xr:uid="{B6BAA43A-7C9C-4F4B-B68F-2584B705B750}"/>
    <cellStyle name="Normal 2 2 5 2" xfId="394" xr:uid="{536792C4-C0A9-4443-B44C-C2B2CCB95A07}"/>
    <cellStyle name="Normal 2 2 6" xfId="72" xr:uid="{629EBE94-940A-447E-951D-074BEC8FEB3B}"/>
    <cellStyle name="Normal 2 2 6 2" xfId="395" xr:uid="{B732C7D0-0912-43BB-92A1-78D47F587935}"/>
    <cellStyle name="Normal 2 2 7" xfId="73" xr:uid="{2ECBAD54-C29E-4F14-B46E-470D923B494F}"/>
    <cellStyle name="Normal 2 2 7 2" xfId="396" xr:uid="{9473090C-EF1B-4C0E-A2B4-BBF643D08AD7}"/>
    <cellStyle name="Normal 2 2 8" xfId="74" xr:uid="{0B981AAE-3BCF-4F69-AE64-E9F47054C2DB}"/>
    <cellStyle name="Normal 2 2 8 2" xfId="397" xr:uid="{5CB96749-68CF-44CD-AEE7-FE1F2DCCDFB2}"/>
    <cellStyle name="Normal 2 2 9" xfId="75" xr:uid="{AE2E4F9F-E171-44FF-B4D8-F60CA8DCC4F5}"/>
    <cellStyle name="Normal 2 2 9 2" xfId="398" xr:uid="{541684DC-C7E8-4853-9C69-A004716195F0}"/>
    <cellStyle name="Normal 2 3" xfId="37" xr:uid="{58D9A08E-E4FE-43D7-BA54-C665BB522C79}"/>
    <cellStyle name="Normal 2 3 10" xfId="142" xr:uid="{443A19A4-88F0-4A02-A9CA-F2251C9F8D8B}"/>
    <cellStyle name="Normal 2 3 11" xfId="54787" xr:uid="{47BB80F9-EB41-4E58-A048-8D7756549EA5}"/>
    <cellStyle name="Normal 2 3 12" xfId="76" xr:uid="{FB20AEA8-CF02-4F69-A06F-B7EA3DED486F}"/>
    <cellStyle name="Normal 2 3 2" xfId="77" xr:uid="{4988377C-B689-4459-BD33-A14E90BB85CB}"/>
    <cellStyle name="Normal 2 3 2 2" xfId="184" xr:uid="{4D209597-B7B8-4BFD-A56B-FA778F1899D0}"/>
    <cellStyle name="Normal 2 3 2 3" xfId="143" xr:uid="{339E640D-314F-4E3F-9EA6-BBF2C5DDF79B}"/>
    <cellStyle name="Normal 2 3 3" xfId="78" xr:uid="{3F83F4FD-D05F-4E77-B26B-3F0151EEC424}"/>
    <cellStyle name="Normal 2 3 3 2" xfId="399" xr:uid="{2423A2A0-0241-4C66-AABD-3B70A488B21D}"/>
    <cellStyle name="Normal 2 3 4" xfId="79" xr:uid="{A4FE1A8C-4D1B-4B94-A788-F28161A7C490}"/>
    <cellStyle name="Normal 2 3 4 2" xfId="400" xr:uid="{1889DB47-CD13-44B7-85FF-CD3A00BF17BF}"/>
    <cellStyle name="Normal 2 3 5" xfId="80" xr:uid="{188AFB56-5B8C-4A9A-87E7-5CAF04F6819E}"/>
    <cellStyle name="Normal 2 3 5 2" xfId="401" xr:uid="{134204A8-9275-4CA7-8075-A73410AD2078}"/>
    <cellStyle name="Normal 2 3 6" xfId="81" xr:uid="{97802529-9D02-452A-BE34-DA911E0FEC9E}"/>
    <cellStyle name="Normal 2 3 6 2" xfId="402" xr:uid="{5E9BE62A-6F6E-4FB1-A028-325300273349}"/>
    <cellStyle name="Normal 2 3 7" xfId="82" xr:uid="{5475D217-7A5D-490D-88AF-E6B2E94921D0}"/>
    <cellStyle name="Normal 2 3 7 2" xfId="403" xr:uid="{F3EB0AE1-E823-48BE-8909-44BDD7730E16}"/>
    <cellStyle name="Normal 2 3 8" xfId="83" xr:uid="{683C7AF7-1652-4ABF-8477-4C994B4752FF}"/>
    <cellStyle name="Normal 2 3 8 2" xfId="404" xr:uid="{E89441D7-296D-423B-90EA-BAA3F7B82172}"/>
    <cellStyle name="Normal 2 3 9" xfId="84" xr:uid="{54357F15-72DD-47DA-B4EC-8A57DA67A9A3}"/>
    <cellStyle name="Normal 2 3 9 2" xfId="405" xr:uid="{E6277EAD-2CA3-4FCB-B0E1-5050B1204C1B}"/>
    <cellStyle name="Normal 2 4" xfId="85" xr:uid="{B10C7F09-55CB-4B92-AA07-67FD9FFEC2C7}"/>
    <cellStyle name="Normal 2 4 2" xfId="86" xr:uid="{9CC5C9EE-9749-4732-8DEF-E6A77FD3C225}"/>
    <cellStyle name="Normal 2 4 2 2" xfId="406" xr:uid="{5AC4BE87-EB37-4B7D-9C10-38A660D8C7FB}"/>
    <cellStyle name="Normal 2 4 3" xfId="87" xr:uid="{08B7829D-65EB-4FA2-8810-53ACE86F4F4E}"/>
    <cellStyle name="Normal 2 4 3 2" xfId="407" xr:uid="{D39F111C-A922-41CC-A78F-50EA3D6B1613}"/>
    <cellStyle name="Normal 2 4 4" xfId="88" xr:uid="{E65F9044-6E09-4354-B516-FDCD1430F638}"/>
    <cellStyle name="Normal 2 4 4 2" xfId="408" xr:uid="{3723F504-F559-4869-AC33-326780B1CFC1}"/>
    <cellStyle name="Normal 2 4 5" xfId="89" xr:uid="{84D8299E-F335-4E8D-8FBA-D37C2A68C738}"/>
    <cellStyle name="Normal 2 4 5 2" xfId="409" xr:uid="{864484AF-DADD-4EA0-ADFE-B43BAB005F37}"/>
    <cellStyle name="Normal 2 4 6" xfId="90" xr:uid="{8C6651DB-B11A-406E-87B8-91F02C32644F}"/>
    <cellStyle name="Normal 2 4 6 2" xfId="410" xr:uid="{38DEF764-8205-4D83-8C9F-AC169696C909}"/>
    <cellStyle name="Normal 2 4 7" xfId="91" xr:uid="{D064E681-9FC5-4568-A534-749AF3549EF0}"/>
    <cellStyle name="Normal 2 4 7 2" xfId="411" xr:uid="{6A396BA0-C3FF-485B-A5CA-F20B3B9001D7}"/>
    <cellStyle name="Normal 2 4 8" xfId="92" xr:uid="{4E49F748-0072-4369-8C12-816805D301C7}"/>
    <cellStyle name="Normal 2 4 8 2" xfId="412" xr:uid="{244CF77C-CF7E-476D-AB88-3543C350380F}"/>
    <cellStyle name="Normal 2 4 9" xfId="144" xr:uid="{8EFFC17B-7153-442A-B600-3117333F0C91}"/>
    <cellStyle name="Normal 2 5" xfId="93" xr:uid="{6E04FFFA-4F4A-4E0A-9D47-53641EE975D9}"/>
    <cellStyle name="Normal 2 5 2" xfId="185" xr:uid="{C4312FAF-7706-40F4-9E5B-82E5A3771CED}"/>
    <cellStyle name="Normal 2 5 3" xfId="145" xr:uid="{B30B6D24-AC57-4EA2-A913-5EECA9CD8313}"/>
    <cellStyle name="Normal 2 6" xfId="94" xr:uid="{403E8020-B692-4747-9C0F-CDD76554CF38}"/>
    <cellStyle name="Normal 2 6 2" xfId="186" xr:uid="{083A4EE8-859E-40E9-AA3A-114C9A1D816C}"/>
    <cellStyle name="Normal 2 6 3" xfId="146" xr:uid="{5D244077-11F4-4E3B-B83C-271BED006C26}"/>
    <cellStyle name="Normal 2 7" xfId="95" xr:uid="{004E0603-A714-4ED0-AF70-C9066889ADBF}"/>
    <cellStyle name="Normal 2 7 2" xfId="187" xr:uid="{DA8A4275-47DD-47CC-A9D4-7D77E7C597C4}"/>
    <cellStyle name="Normal 2 7 3" xfId="147" xr:uid="{05EB48F1-ADAC-4515-957A-3F448AC4C941}"/>
    <cellStyle name="Normal 2 8" xfId="96" xr:uid="{12E1127E-32B1-4EB2-87BE-66318E5EE6A2}"/>
    <cellStyle name="Normal 2 8 2" xfId="97" xr:uid="{E2380DB6-631A-4C18-AE76-672ADEA5025E}"/>
    <cellStyle name="Normal 2 8 2 2" xfId="413" xr:uid="{EB0D12D3-8B88-4C02-98EF-4812EDFC3ACD}"/>
    <cellStyle name="Normal 2 8 3" xfId="148" xr:uid="{C63082B7-8D57-4149-9C56-BD76C2975F86}"/>
    <cellStyle name="Normal 2 9" xfId="98" xr:uid="{CD7DEE20-20FA-4F43-853B-657F21E7495F}"/>
    <cellStyle name="Normal 2 9 2" xfId="99" xr:uid="{71CE7698-974F-449A-AE76-DAE3BD8B3CF0}"/>
    <cellStyle name="Normal 2 9 2 2" xfId="414" xr:uid="{045181EB-78DC-4192-8BBC-E62D06778177}"/>
    <cellStyle name="Normal 2 9 3" xfId="149" xr:uid="{EE7E0294-AB49-4698-8490-C750448152BC}"/>
    <cellStyle name="Normal 20" xfId="48625" xr:uid="{C5FD2ABB-3BB4-401D-B9BD-9A4DE4B44B2E}"/>
    <cellStyle name="Normal 20 2" xfId="48626" xr:uid="{E902FE3D-1DBE-4C63-9851-FA188E1DCEEF}"/>
    <cellStyle name="Normal 20 2 2" xfId="48627" xr:uid="{FC698E2C-EE42-40D8-8F16-207C0F9DAB7E}"/>
    <cellStyle name="Normal 20 2 2 2" xfId="48628" xr:uid="{DAF88F11-0054-4F14-B4BA-FBE934BF988B}"/>
    <cellStyle name="Normal 20 2 2 2 2" xfId="48629" xr:uid="{946AB38A-FDF4-4133-AA3D-0E0CAABBD118}"/>
    <cellStyle name="Normal 20 2 2 3" xfId="48630" xr:uid="{0057725B-8861-46AF-9264-7F569769BFEF}"/>
    <cellStyle name="Normal 20 2 3" xfId="48631" xr:uid="{08CCB1F8-A9EE-417E-9290-8189992C3F21}"/>
    <cellStyle name="Normal 20 2 3 2" xfId="48632" xr:uid="{0259257A-B21A-42AB-AFF0-B78CF7A873DB}"/>
    <cellStyle name="Normal 20 2 4" xfId="48633" xr:uid="{5F55DE2E-7FA4-4FFE-A8A7-CB88C696E822}"/>
    <cellStyle name="Normal 20 3" xfId="48634" xr:uid="{D537435B-6E7A-4167-ACCA-AF54D3E999CB}"/>
    <cellStyle name="Normal 20 3 2" xfId="48635" xr:uid="{A154E224-213A-4BCF-8180-E6C59A1BF23B}"/>
    <cellStyle name="Normal 20 3 2 2" xfId="48636" xr:uid="{7641A82B-8A5F-441B-80BA-2157A70B6E30}"/>
    <cellStyle name="Normal 20 3 3" xfId="48637" xr:uid="{C6002886-EE1C-4AF0-96EA-2AC3E2FDD6D0}"/>
    <cellStyle name="Normal 20 4" xfId="48638" xr:uid="{5B9B07CE-B310-4078-80B1-E9499DFE1193}"/>
    <cellStyle name="Normal 20 4 2" xfId="48639" xr:uid="{F630A226-92C4-49C6-832D-319664FD9ED9}"/>
    <cellStyle name="Normal 20 5" xfId="48640" xr:uid="{764D5325-A701-4C90-B19D-EA13E15476F4}"/>
    <cellStyle name="Normal 21" xfId="48641" xr:uid="{0FFEDECD-317D-4E55-8EB6-49C69D5BFD2E}"/>
    <cellStyle name="Normal 21 2" xfId="48642" xr:uid="{5633CE6E-6E22-4ADB-9AA9-F1C268C906DC}"/>
    <cellStyle name="Normal 21 2 2" xfId="48643" xr:uid="{C3D8146E-2773-427D-81E3-278D11E56C09}"/>
    <cellStyle name="Normal 21 2 2 2" xfId="48644" xr:uid="{87416F44-87B1-4AA9-B728-4160A1E1DAA4}"/>
    <cellStyle name="Normal 21 2 3" xfId="48645" xr:uid="{C913285E-CB96-4D99-9ED7-21016251BEE7}"/>
    <cellStyle name="Normal 21 3" xfId="48646" xr:uid="{856BBEC8-12FF-4E84-991F-AC2C2C443FA2}"/>
    <cellStyle name="Normal 21 3 2" xfId="48647" xr:uid="{9B59A7AD-8EB8-4E15-A733-1E2FB224D113}"/>
    <cellStyle name="Normal 21 4" xfId="48648" xr:uid="{F1760415-4A2A-484E-9E8A-2020EFDDD662}"/>
    <cellStyle name="Normal 22" xfId="48649" xr:uid="{625A9E9B-CCAD-416D-8E84-404A16E921E4}"/>
    <cellStyle name="Normal 23" xfId="48650" xr:uid="{5E613F74-41DA-4F99-92E1-7F4508EC33C8}"/>
    <cellStyle name="Normal 23 2" xfId="48651" xr:uid="{6C230631-7FCF-4F08-B0F4-C8825B9BAE9D}"/>
    <cellStyle name="Normal 23 2 2" xfId="48652" xr:uid="{36189213-3DF1-44EE-BE1D-3DF1F363B43C}"/>
    <cellStyle name="Normal 23 3" xfId="48653" xr:uid="{649A95C3-4259-4B30-AF91-C9C13BF1A3C2}"/>
    <cellStyle name="Normal 24" xfId="48654" xr:uid="{FEC303DF-44C6-4012-A35D-59D5168FEA02}"/>
    <cellStyle name="Normal 24 2" xfId="48655" xr:uid="{3B3FAE37-4A88-45EF-860C-E093CB7B2D98}"/>
    <cellStyle name="Normal 25" xfId="48656" xr:uid="{81FFCAC7-0350-40E1-BD87-29DFCAFD8E71}"/>
    <cellStyle name="Normal 26" xfId="54765" xr:uid="{6CBC8AD9-04F3-4A6A-A513-9844BFC0CA90}"/>
    <cellStyle name="Normal 3" xfId="2" xr:uid="{00000000-0005-0000-0000-00000D000000}"/>
    <cellStyle name="Normal 3 10" xfId="213" xr:uid="{D77C772B-4E3C-44CD-95DC-5A8E89782EAF}"/>
    <cellStyle name="Normal 3 10 2" xfId="54817" xr:uid="{43AB19E7-8C64-4D23-8171-7241F0074AA8}"/>
    <cellStyle name="Normal 3 11" xfId="173" xr:uid="{B20FFA8B-B7C5-4DDE-8B5F-FD8EE3EA9F7B}"/>
    <cellStyle name="Normal 3 11 2" xfId="54804" xr:uid="{209F25AF-60FB-467D-AC6A-2507CF1C36F0}"/>
    <cellStyle name="Normal 3 12" xfId="48657" xr:uid="{AC4F3200-8E42-46B7-ABC5-C7172EE21C67}"/>
    <cellStyle name="Normal 3 13" xfId="54821" xr:uid="{7524CC7A-99E7-499C-AC9F-2EAAACE912C2}"/>
    <cellStyle name="Normal 3 2" xfId="28" xr:uid="{00000000-0005-0000-0000-00000E000000}"/>
    <cellStyle name="Normal 3 2 10" xfId="48658" xr:uid="{894AA8B6-FD95-4D3C-A4C9-D91031044976}"/>
    <cellStyle name="Normal 3 2 10 2" xfId="48659" xr:uid="{25E44431-B756-41D6-8B5A-886B0CD913C3}"/>
    <cellStyle name="Normal 3 2 10 2 2" xfId="48660" xr:uid="{3AB1B08E-C18B-43D5-802A-5412BCABD2FF}"/>
    <cellStyle name="Normal 3 2 10 2 2 2" xfId="48661" xr:uid="{3049AB43-58B7-4B4C-B666-FACC1D4A7316}"/>
    <cellStyle name="Normal 3 2 10 2 3" xfId="48662" xr:uid="{5C48289B-9DD8-418F-AB13-257288AA4A77}"/>
    <cellStyle name="Normal 3 2 10 3" xfId="48663" xr:uid="{AE187621-C628-42D9-839D-D95730816EE5}"/>
    <cellStyle name="Normal 3 2 10 3 2" xfId="48664" xr:uid="{92D0C73A-DBE8-475D-A420-6EB005AD1D71}"/>
    <cellStyle name="Normal 3 2 10 4" xfId="48665" xr:uid="{D0C7ADE4-6756-4B07-A1B1-0FA8826FB6BE}"/>
    <cellStyle name="Normal 3 2 11" xfId="48666" xr:uid="{3857E057-188E-4CCF-B290-406C6106A311}"/>
    <cellStyle name="Normal 3 2 11 2" xfId="48667" xr:uid="{E1BD33BB-AE24-422E-931F-7A9A6018C310}"/>
    <cellStyle name="Normal 3 2 11 2 2" xfId="48668" xr:uid="{D93738FA-7199-41BD-B566-4AB0416C82F6}"/>
    <cellStyle name="Normal 3 2 11 3" xfId="48669" xr:uid="{B6A4E7AD-65B8-4AE8-AD31-90AD8B784139}"/>
    <cellStyle name="Normal 3 2 12" xfId="48670" xr:uid="{76FAE17C-D660-400A-B4CB-D44E001E0113}"/>
    <cellStyle name="Normal 3 2 12 2" xfId="48671" xr:uid="{34140594-585C-4F66-84B9-71E080F3B75A}"/>
    <cellStyle name="Normal 3 2 13" xfId="48672" xr:uid="{2241D2C6-8C89-4A9E-8C5F-ED4D12D59240}"/>
    <cellStyle name="Normal 3 2 14" xfId="54774" xr:uid="{4690848E-4045-4F65-BDED-73F784170EF4}"/>
    <cellStyle name="Normal 3 2 15" xfId="100" xr:uid="{D1FD2169-1D65-493E-B74D-40CB8E84EDB5}"/>
    <cellStyle name="Normal 3 2 16" xfId="36" xr:uid="{08CD4CE4-42B4-4FE8-A31B-6F8C0B4B5E13}"/>
    <cellStyle name="Normal 3 2 2" xfId="188" xr:uid="{93D25D95-64D0-4E11-9561-DDCE1A5765D4}"/>
    <cellStyle name="Normal 3 2 2 10" xfId="48673" xr:uid="{C987A1FD-25EC-4660-B2CA-0800C95A810B}"/>
    <cellStyle name="Normal 3 2 2 10 2" xfId="48674" xr:uid="{4A18F97C-258C-4CE9-8778-ECDF24A0C701}"/>
    <cellStyle name="Normal 3 2 2 11" xfId="48675" xr:uid="{96750D3E-AEDF-4116-AB2B-61303F55B14C}"/>
    <cellStyle name="Normal 3 2 2 12" xfId="54775" xr:uid="{8E5186BD-942B-4E52-8ED0-9CF5A9D5E32C}"/>
    <cellStyle name="Normal 3 2 2 2" xfId="48676" xr:uid="{329B3EB8-4FDA-4D4F-8636-AE7AE4D60EE5}"/>
    <cellStyle name="Normal 3 2 2 3" xfId="48677" xr:uid="{939E2628-E94D-4106-BB8D-9E1EC50A6F3A}"/>
    <cellStyle name="Normal 3 2 2 3 2" xfId="48678" xr:uid="{51F95F37-9B51-4945-A6D0-162DA1452C88}"/>
    <cellStyle name="Normal 3 2 2 3 2 2" xfId="48679" xr:uid="{FDD2BBD2-FB2A-4C41-AFEC-849F64C8A98B}"/>
    <cellStyle name="Normal 3 2 2 3 2 2 2" xfId="48680" xr:uid="{EF5A31D2-F040-4F07-BF2B-39B0142A22D7}"/>
    <cellStyle name="Normal 3 2 2 3 2 2 2 2" xfId="48681" xr:uid="{709A23E5-4C84-4BF8-A83E-DAB81A73F234}"/>
    <cellStyle name="Normal 3 2 2 3 2 2 2 2 2" xfId="48682" xr:uid="{66A34D5C-A381-4C4B-A348-5DDB08077826}"/>
    <cellStyle name="Normal 3 2 2 3 2 2 2 2 2 2" xfId="48683" xr:uid="{49E8A960-627C-4A45-BD57-D92941CF4CB8}"/>
    <cellStyle name="Normal 3 2 2 3 2 2 2 2 2 2 2" xfId="48684" xr:uid="{1673893F-8E2F-4DB6-85F9-016AF98EE3D6}"/>
    <cellStyle name="Normal 3 2 2 3 2 2 2 2 2 2 2 2" xfId="48685" xr:uid="{D6EA42EE-FF6B-48AB-9083-DEE67850B749}"/>
    <cellStyle name="Normal 3 2 2 3 2 2 2 2 2 2 3" xfId="48686" xr:uid="{7A5BAFD4-082B-4A2E-BB83-63F5F108DDF5}"/>
    <cellStyle name="Normal 3 2 2 3 2 2 2 2 2 3" xfId="48687" xr:uid="{E9DC4B6F-CF15-494F-A58E-A8939F49E84C}"/>
    <cellStyle name="Normal 3 2 2 3 2 2 2 2 2 3 2" xfId="48688" xr:uid="{C076DFFD-63BF-46AF-8837-92916681904B}"/>
    <cellStyle name="Normal 3 2 2 3 2 2 2 2 2 4" xfId="48689" xr:uid="{0FB93ED6-6917-4A1D-9EBD-33138A5885EA}"/>
    <cellStyle name="Normal 3 2 2 3 2 2 2 2 3" xfId="48690" xr:uid="{F037B4A9-BE82-4EF9-A883-C65CE9CF1DB0}"/>
    <cellStyle name="Normal 3 2 2 3 2 2 2 2 3 2" xfId="48691" xr:uid="{6FBBF850-EA55-4417-A430-F30078AD2F43}"/>
    <cellStyle name="Normal 3 2 2 3 2 2 2 2 3 2 2" xfId="48692" xr:uid="{5B6DBB60-0306-4BFC-A78B-9187439A36B3}"/>
    <cellStyle name="Normal 3 2 2 3 2 2 2 2 3 3" xfId="48693" xr:uid="{1865CEB6-41BB-4D81-A098-8643780408F5}"/>
    <cellStyle name="Normal 3 2 2 3 2 2 2 2 4" xfId="48694" xr:uid="{5A9032F4-46F8-495F-B355-06BD7BD6C101}"/>
    <cellStyle name="Normal 3 2 2 3 2 2 2 2 4 2" xfId="48695" xr:uid="{330DD16F-56A8-438A-96C9-B1AC9A622F3C}"/>
    <cellStyle name="Normal 3 2 2 3 2 2 2 2 5" xfId="48696" xr:uid="{285DDBD8-0AD1-4BBC-802C-BC043F7062A7}"/>
    <cellStyle name="Normal 3 2 2 3 2 2 2 3" xfId="48697" xr:uid="{CF31BCC3-954D-49C1-9DAF-71CCDF5D23F5}"/>
    <cellStyle name="Normal 3 2 2 3 2 2 2 3 2" xfId="48698" xr:uid="{B5241688-ED69-45CA-8171-3FC028287A6F}"/>
    <cellStyle name="Normal 3 2 2 3 2 2 2 3 2 2" xfId="48699" xr:uid="{47AECD7E-94B9-4296-A39D-0D44A6B03E62}"/>
    <cellStyle name="Normal 3 2 2 3 2 2 2 3 2 2 2" xfId="48700" xr:uid="{873BB8D7-DADD-4632-BC7A-31C7BAE57935}"/>
    <cellStyle name="Normal 3 2 2 3 2 2 2 3 2 3" xfId="48701" xr:uid="{E8473F96-FB5F-4D0D-A55D-A6515E2C6C1C}"/>
    <cellStyle name="Normal 3 2 2 3 2 2 2 3 3" xfId="48702" xr:uid="{05FA1F4C-151B-48BF-AE80-4DEF72C658D2}"/>
    <cellStyle name="Normal 3 2 2 3 2 2 2 3 3 2" xfId="48703" xr:uid="{470E4423-3E49-4343-A4E9-D2260847151F}"/>
    <cellStyle name="Normal 3 2 2 3 2 2 2 3 4" xfId="48704" xr:uid="{C9C807AE-0DD2-4331-90AB-5E60E262ECEB}"/>
    <cellStyle name="Normal 3 2 2 3 2 2 2 4" xfId="48705" xr:uid="{7F69797A-8651-42A0-B54E-C7F95AE63A9F}"/>
    <cellStyle name="Normal 3 2 2 3 2 2 2 4 2" xfId="48706" xr:uid="{0C6D4C76-967B-4761-9A63-75E980B4F5E0}"/>
    <cellStyle name="Normal 3 2 2 3 2 2 2 4 2 2" xfId="48707" xr:uid="{865B6F64-47BF-4BD5-A44D-165DC8A1828B}"/>
    <cellStyle name="Normal 3 2 2 3 2 2 2 4 3" xfId="48708" xr:uid="{3F86A9C7-5BCA-4EA5-9D28-9927072E38FA}"/>
    <cellStyle name="Normal 3 2 2 3 2 2 2 5" xfId="48709" xr:uid="{39F763B2-0810-47FE-B91F-8977D3C8489F}"/>
    <cellStyle name="Normal 3 2 2 3 2 2 2 5 2" xfId="48710" xr:uid="{9EA295AB-6EB7-410D-92A1-66FD6960ACAC}"/>
    <cellStyle name="Normal 3 2 2 3 2 2 2 6" xfId="48711" xr:uid="{0DE986C4-8A3D-4154-A46A-43A791C2D21E}"/>
    <cellStyle name="Normal 3 2 2 3 2 2 3" xfId="48712" xr:uid="{14AD5223-0F93-4D08-8082-F666EB3D52ED}"/>
    <cellStyle name="Normal 3 2 2 3 2 2 3 2" xfId="48713" xr:uid="{0868FE2A-9751-4C0B-9D59-9FF159EF692B}"/>
    <cellStyle name="Normal 3 2 2 3 2 2 3 2 2" xfId="48714" xr:uid="{1DC608A7-309C-4763-86FA-0C5048AB421D}"/>
    <cellStyle name="Normal 3 2 2 3 2 2 3 2 2 2" xfId="48715" xr:uid="{E970147A-8A75-4340-8028-59F8BC180ADD}"/>
    <cellStyle name="Normal 3 2 2 3 2 2 3 2 2 2 2" xfId="48716" xr:uid="{9B8AB8C5-93C3-4E11-BD1F-2E5F7BEC3834}"/>
    <cellStyle name="Normal 3 2 2 3 2 2 3 2 2 3" xfId="48717" xr:uid="{034CB9FD-C70A-4A7D-A18D-580F67FFB599}"/>
    <cellStyle name="Normal 3 2 2 3 2 2 3 2 3" xfId="48718" xr:uid="{91F4244A-6F5F-47AA-AFD4-FFDCA1306B5C}"/>
    <cellStyle name="Normal 3 2 2 3 2 2 3 2 3 2" xfId="48719" xr:uid="{19C0034F-1880-49EA-A8C4-9E0756552198}"/>
    <cellStyle name="Normal 3 2 2 3 2 2 3 2 4" xfId="48720" xr:uid="{DF050EBC-038A-46CA-B7AE-15B17B5AE6CD}"/>
    <cellStyle name="Normal 3 2 2 3 2 2 3 3" xfId="48721" xr:uid="{D39B3167-0968-40A6-827C-1A231338B39B}"/>
    <cellStyle name="Normal 3 2 2 3 2 2 3 3 2" xfId="48722" xr:uid="{2350D749-D642-41E2-AA65-FE15614ECEB7}"/>
    <cellStyle name="Normal 3 2 2 3 2 2 3 3 2 2" xfId="48723" xr:uid="{F7866F73-A293-4AA1-8DA7-1BF8B9CCD79D}"/>
    <cellStyle name="Normal 3 2 2 3 2 2 3 3 3" xfId="48724" xr:uid="{D6BC34B8-35C3-4B64-9C4F-6C44B698613A}"/>
    <cellStyle name="Normal 3 2 2 3 2 2 3 4" xfId="48725" xr:uid="{CE2F5E45-22D5-484B-B0A9-DE9C11D15DB0}"/>
    <cellStyle name="Normal 3 2 2 3 2 2 3 4 2" xfId="48726" xr:uid="{4DBAF98E-0E34-435F-B1CA-6C8518C3C0C7}"/>
    <cellStyle name="Normal 3 2 2 3 2 2 3 5" xfId="48727" xr:uid="{DD156482-E5B5-4FB8-B9D8-2C6FE5991F7B}"/>
    <cellStyle name="Normal 3 2 2 3 2 2 4" xfId="48728" xr:uid="{564B1F20-D114-4221-A607-A4DF583C2BD7}"/>
    <cellStyle name="Normal 3 2 2 3 2 2 4 2" xfId="48729" xr:uid="{B486F1EF-54F0-4BBC-9C9D-5C6ADCAED07C}"/>
    <cellStyle name="Normal 3 2 2 3 2 2 4 2 2" xfId="48730" xr:uid="{0F53FB3F-7C1E-4621-887F-CC0F17A593AC}"/>
    <cellStyle name="Normal 3 2 2 3 2 2 4 2 2 2" xfId="48731" xr:uid="{D0D995CA-CE5B-4131-A456-5303B2817917}"/>
    <cellStyle name="Normal 3 2 2 3 2 2 4 2 3" xfId="48732" xr:uid="{F8BCA16B-6AF8-4FFC-8617-B7337CAEF71B}"/>
    <cellStyle name="Normal 3 2 2 3 2 2 4 3" xfId="48733" xr:uid="{B41E5613-B268-4EA7-A2A2-E3F06BB65091}"/>
    <cellStyle name="Normal 3 2 2 3 2 2 4 3 2" xfId="48734" xr:uid="{0AC8C355-5215-454D-89EE-2936F7FA200A}"/>
    <cellStyle name="Normal 3 2 2 3 2 2 4 4" xfId="48735" xr:uid="{A454FAF3-4F56-4DE9-BD4A-38CB5EC9884B}"/>
    <cellStyle name="Normal 3 2 2 3 2 2 5" xfId="48736" xr:uid="{D7361805-1D66-4B2F-A41D-7A6E9C661D5B}"/>
    <cellStyle name="Normal 3 2 2 3 2 2 5 2" xfId="48737" xr:uid="{89CBA437-4D28-473C-921A-870465432DF8}"/>
    <cellStyle name="Normal 3 2 2 3 2 2 5 2 2" xfId="48738" xr:uid="{9AAAC8AC-9BC1-4FBD-A5A9-EEC4218243E2}"/>
    <cellStyle name="Normal 3 2 2 3 2 2 5 3" xfId="48739" xr:uid="{FAE05D05-E9BE-4260-9D3A-EB10F0BEC377}"/>
    <cellStyle name="Normal 3 2 2 3 2 2 6" xfId="48740" xr:uid="{6DD35BD0-9865-4025-9735-86D7C2A9DCDC}"/>
    <cellStyle name="Normal 3 2 2 3 2 2 6 2" xfId="48741" xr:uid="{710522D5-F88D-41E9-A2F7-140D4A3F4E7B}"/>
    <cellStyle name="Normal 3 2 2 3 2 2 7" xfId="48742" xr:uid="{9C448EB2-990E-4ACC-8B13-C66AE8CCD801}"/>
    <cellStyle name="Normal 3 2 2 3 2 3" xfId="48743" xr:uid="{4178DC40-7378-4BDC-9EDB-7D21FB2E32D6}"/>
    <cellStyle name="Normal 3 2 2 3 2 3 2" xfId="48744" xr:uid="{C51BFBA9-3F26-4D5A-A6DF-1B7322C6BB18}"/>
    <cellStyle name="Normal 3 2 2 3 2 3 2 2" xfId="48745" xr:uid="{D1D5B715-81D8-4387-A9E4-D7292A0F307F}"/>
    <cellStyle name="Normal 3 2 2 3 2 3 2 2 2" xfId="48746" xr:uid="{CB512585-56E2-420D-8AE5-1FF27BA3E9B4}"/>
    <cellStyle name="Normal 3 2 2 3 2 3 2 2 2 2" xfId="48747" xr:uid="{DC258B3D-5C10-4128-A0F2-EC36C11E0D1A}"/>
    <cellStyle name="Normal 3 2 2 3 2 3 2 2 2 2 2" xfId="48748" xr:uid="{36CA213D-043C-4A84-B4D9-773C1F2BD0AE}"/>
    <cellStyle name="Normal 3 2 2 3 2 3 2 2 2 3" xfId="48749" xr:uid="{3160807E-1E7C-48C2-96BE-1129D8D17685}"/>
    <cellStyle name="Normal 3 2 2 3 2 3 2 2 3" xfId="48750" xr:uid="{C2E22E9E-31A7-4B31-8723-07B44E2BFC3F}"/>
    <cellStyle name="Normal 3 2 2 3 2 3 2 2 3 2" xfId="48751" xr:uid="{F3DCC7BD-C019-4E58-BCAE-1ACC7CBCC243}"/>
    <cellStyle name="Normal 3 2 2 3 2 3 2 2 4" xfId="48752" xr:uid="{11B93799-F88A-4C0B-9E62-AF414F4090E4}"/>
    <cellStyle name="Normal 3 2 2 3 2 3 2 3" xfId="48753" xr:uid="{7C1D1543-28FF-45B5-BF42-09465622B871}"/>
    <cellStyle name="Normal 3 2 2 3 2 3 2 3 2" xfId="48754" xr:uid="{E91816A6-4B00-44DD-90F6-5D91B18FB376}"/>
    <cellStyle name="Normal 3 2 2 3 2 3 2 3 2 2" xfId="48755" xr:uid="{C0DFC6DD-2F7B-4C6C-8632-4799606386ED}"/>
    <cellStyle name="Normal 3 2 2 3 2 3 2 3 3" xfId="48756" xr:uid="{84237BE2-FB76-4015-A86B-ED5A189C3679}"/>
    <cellStyle name="Normal 3 2 2 3 2 3 2 4" xfId="48757" xr:uid="{7A15C716-3B37-41AC-BF33-214C7572FC0E}"/>
    <cellStyle name="Normal 3 2 2 3 2 3 2 4 2" xfId="48758" xr:uid="{0B9BE984-FC86-4863-939D-9D38FDF4303B}"/>
    <cellStyle name="Normal 3 2 2 3 2 3 2 5" xfId="48759" xr:uid="{0EE4B0F8-C6C3-4514-915A-934EA6E61D5D}"/>
    <cellStyle name="Normal 3 2 2 3 2 3 3" xfId="48760" xr:uid="{0F34F92A-499C-493C-BF48-0928B925FBF1}"/>
    <cellStyle name="Normal 3 2 2 3 2 3 3 2" xfId="48761" xr:uid="{F8A3909E-42A6-4386-A783-7C10845B3C3A}"/>
    <cellStyle name="Normal 3 2 2 3 2 3 3 2 2" xfId="48762" xr:uid="{180C7127-3F2E-48D4-9690-AC005908162D}"/>
    <cellStyle name="Normal 3 2 2 3 2 3 3 2 2 2" xfId="48763" xr:uid="{4BC769D2-C2EA-47B9-AFCB-75FF16246A5F}"/>
    <cellStyle name="Normal 3 2 2 3 2 3 3 2 3" xfId="48764" xr:uid="{71D150B6-B024-41C0-8291-FD2F98B7D04B}"/>
    <cellStyle name="Normal 3 2 2 3 2 3 3 3" xfId="48765" xr:uid="{8A48F3FA-3FEA-46AC-96C0-FFF829B71F96}"/>
    <cellStyle name="Normal 3 2 2 3 2 3 3 3 2" xfId="48766" xr:uid="{EC1D4DF5-0EE9-4CA7-A5E6-4E59A508079D}"/>
    <cellStyle name="Normal 3 2 2 3 2 3 3 4" xfId="48767" xr:uid="{89DCBF58-21CB-4B58-B813-39F8033F6D7A}"/>
    <cellStyle name="Normal 3 2 2 3 2 3 4" xfId="48768" xr:uid="{458F8BC9-A01E-4AB7-A6D8-66EFEAC3BB8A}"/>
    <cellStyle name="Normal 3 2 2 3 2 3 4 2" xfId="48769" xr:uid="{EACEB7B5-E1BC-4DDE-AFFD-6AC8E3DB72D3}"/>
    <cellStyle name="Normal 3 2 2 3 2 3 4 2 2" xfId="48770" xr:uid="{C767415F-AF14-4212-A0FE-FFED4AB5FD71}"/>
    <cellStyle name="Normal 3 2 2 3 2 3 4 3" xfId="48771" xr:uid="{9612293F-8885-4A8C-8FDC-88BAF4D1A126}"/>
    <cellStyle name="Normal 3 2 2 3 2 3 5" xfId="48772" xr:uid="{77BE56E2-B154-4FC7-BF9B-8432C4487BE1}"/>
    <cellStyle name="Normal 3 2 2 3 2 3 5 2" xfId="48773" xr:uid="{6C4C2C85-7445-4CB4-91D9-1A5003338B45}"/>
    <cellStyle name="Normal 3 2 2 3 2 3 6" xfId="48774" xr:uid="{C52F014D-610D-4813-B9B1-E90E6A196AF2}"/>
    <cellStyle name="Normal 3 2 2 3 2 4" xfId="48775" xr:uid="{AEAA6F2E-E32F-4801-BA7F-BD5139B90A08}"/>
    <cellStyle name="Normal 3 2 2 3 2 4 2" xfId="48776" xr:uid="{EEE94F85-4634-4432-947A-FAEA6770247D}"/>
    <cellStyle name="Normal 3 2 2 3 2 4 2 2" xfId="48777" xr:uid="{61E88153-5599-412B-B718-2304E099C270}"/>
    <cellStyle name="Normal 3 2 2 3 2 4 2 2 2" xfId="48778" xr:uid="{3F262A8C-EA0D-4BF9-B00C-DF80E532BA1E}"/>
    <cellStyle name="Normal 3 2 2 3 2 4 2 2 2 2" xfId="48779" xr:uid="{64486AEA-0EE2-4BBF-8148-C78EC63BA3AB}"/>
    <cellStyle name="Normal 3 2 2 3 2 4 2 2 3" xfId="48780" xr:uid="{9EEF17B1-5734-4BC7-8570-137697A1B0E5}"/>
    <cellStyle name="Normal 3 2 2 3 2 4 2 3" xfId="48781" xr:uid="{73B7342E-C1EB-4489-9DA8-3127D1C1FE0E}"/>
    <cellStyle name="Normal 3 2 2 3 2 4 2 3 2" xfId="48782" xr:uid="{8A741E2E-3B0B-4047-911C-62160948AFE5}"/>
    <cellStyle name="Normal 3 2 2 3 2 4 2 4" xfId="48783" xr:uid="{4F2A1C79-4CBB-410E-A572-D5B684F8AC67}"/>
    <cellStyle name="Normal 3 2 2 3 2 4 3" xfId="48784" xr:uid="{A867C6F4-5D68-4926-914D-1AD8046189A9}"/>
    <cellStyle name="Normal 3 2 2 3 2 4 3 2" xfId="48785" xr:uid="{AFF239FD-599A-41FE-AC4C-F020495BE9BD}"/>
    <cellStyle name="Normal 3 2 2 3 2 4 3 2 2" xfId="48786" xr:uid="{59A614A3-E19F-4BF7-B08D-8DC7F3E25B80}"/>
    <cellStyle name="Normal 3 2 2 3 2 4 3 3" xfId="48787" xr:uid="{302BCE7E-3E99-4AA3-9D11-2AE2CD0C7E50}"/>
    <cellStyle name="Normal 3 2 2 3 2 4 4" xfId="48788" xr:uid="{2FC9EEF7-51E9-4ABA-A2AB-9B2F383F1E7B}"/>
    <cellStyle name="Normal 3 2 2 3 2 4 4 2" xfId="48789" xr:uid="{391151C3-CAFC-4CEF-B69A-B6FAAED9B442}"/>
    <cellStyle name="Normal 3 2 2 3 2 4 5" xfId="48790" xr:uid="{302BDD9C-9D47-4A06-8BF8-41D20BBAC635}"/>
    <cellStyle name="Normal 3 2 2 3 2 5" xfId="48791" xr:uid="{29C2CD18-FA7C-4E6F-A189-DE3E5CE7B93F}"/>
    <cellStyle name="Normal 3 2 2 3 2 5 2" xfId="48792" xr:uid="{C17B420C-4090-4B8B-B694-874D08655016}"/>
    <cellStyle name="Normal 3 2 2 3 2 5 2 2" xfId="48793" xr:uid="{F8C51BD7-D45C-4ADE-9187-D227E1874C82}"/>
    <cellStyle name="Normal 3 2 2 3 2 5 2 2 2" xfId="48794" xr:uid="{C36F906F-8AC1-439C-86BE-A5D8D117ED2A}"/>
    <cellStyle name="Normal 3 2 2 3 2 5 2 3" xfId="48795" xr:uid="{09217474-6A91-4093-8747-CF0DE723B3C4}"/>
    <cellStyle name="Normal 3 2 2 3 2 5 3" xfId="48796" xr:uid="{858E752A-611A-4334-8755-2CFE9B23ECD7}"/>
    <cellStyle name="Normal 3 2 2 3 2 5 3 2" xfId="48797" xr:uid="{503673ED-190D-4206-99D0-72912A0FF021}"/>
    <cellStyle name="Normal 3 2 2 3 2 5 4" xfId="48798" xr:uid="{2D78356A-3D94-4E00-A16B-DD1B8613CF7C}"/>
    <cellStyle name="Normal 3 2 2 3 2 6" xfId="48799" xr:uid="{D24FFCBE-7033-4CFD-9170-5B855DA6D742}"/>
    <cellStyle name="Normal 3 2 2 3 2 6 2" xfId="48800" xr:uid="{EE4BF3CA-7FD1-4547-965E-E4B3232A1915}"/>
    <cellStyle name="Normal 3 2 2 3 2 6 2 2" xfId="48801" xr:uid="{F2936D88-986E-4358-ACCB-8D8FDB4C46E9}"/>
    <cellStyle name="Normal 3 2 2 3 2 6 3" xfId="48802" xr:uid="{BB2316ED-F675-48E1-973F-A7D4CC47936D}"/>
    <cellStyle name="Normal 3 2 2 3 2 7" xfId="48803" xr:uid="{4D3D4A15-16E6-415D-9231-C3A7123AA79F}"/>
    <cellStyle name="Normal 3 2 2 3 2 7 2" xfId="48804" xr:uid="{69050338-19E1-4F76-8F73-7EF419FB4251}"/>
    <cellStyle name="Normal 3 2 2 3 2 8" xfId="48805" xr:uid="{F5B03739-33CA-4067-950F-F1B9948CC8AB}"/>
    <cellStyle name="Normal 3 2 2 3 3" xfId="48806" xr:uid="{DA49EF91-DA0F-4E69-AB46-7077A27C4FFB}"/>
    <cellStyle name="Normal 3 2 2 3 3 2" xfId="48807" xr:uid="{AD39741B-E3C1-41E3-A04A-DDCADDF8B220}"/>
    <cellStyle name="Normal 3 2 2 3 3 2 2" xfId="48808" xr:uid="{B77CEFB3-8F75-4094-B18F-D600878051CC}"/>
    <cellStyle name="Normal 3 2 2 3 3 2 2 2" xfId="48809" xr:uid="{9AB99C46-9133-409D-AB31-9C2966B17FCF}"/>
    <cellStyle name="Normal 3 2 2 3 3 2 2 2 2" xfId="48810" xr:uid="{B72954F1-C303-4AFB-B89C-4F89B33C58FA}"/>
    <cellStyle name="Normal 3 2 2 3 3 2 2 2 2 2" xfId="48811" xr:uid="{40E6842C-7E12-4B1A-9F02-1D556409A104}"/>
    <cellStyle name="Normal 3 2 2 3 3 2 2 2 2 2 2" xfId="48812" xr:uid="{11C7E6BC-FDA8-4920-BE59-15D0B63F15A1}"/>
    <cellStyle name="Normal 3 2 2 3 3 2 2 2 2 3" xfId="48813" xr:uid="{EFD1ADE5-96B3-40E7-B36C-46E11C485410}"/>
    <cellStyle name="Normal 3 2 2 3 3 2 2 2 3" xfId="48814" xr:uid="{24D414FD-AA7F-499C-86B4-34147F710C16}"/>
    <cellStyle name="Normal 3 2 2 3 3 2 2 2 3 2" xfId="48815" xr:uid="{C965BBBF-9A45-4DCA-924D-2756FCB52050}"/>
    <cellStyle name="Normal 3 2 2 3 3 2 2 2 4" xfId="48816" xr:uid="{F8823482-81BA-426F-BB41-BC700F1EC3D0}"/>
    <cellStyle name="Normal 3 2 2 3 3 2 2 3" xfId="48817" xr:uid="{0217657B-FC42-4485-86FB-0BC8AB91AEE3}"/>
    <cellStyle name="Normal 3 2 2 3 3 2 2 3 2" xfId="48818" xr:uid="{22F47705-8763-4964-82FE-2EA63F196C7D}"/>
    <cellStyle name="Normal 3 2 2 3 3 2 2 3 2 2" xfId="48819" xr:uid="{C4C876CA-D7F8-445D-98F2-9D4454894E88}"/>
    <cellStyle name="Normal 3 2 2 3 3 2 2 3 3" xfId="48820" xr:uid="{CA22B3AF-D7BA-4B43-A14F-B6CA2A16CB26}"/>
    <cellStyle name="Normal 3 2 2 3 3 2 2 4" xfId="48821" xr:uid="{00F84DB1-F05B-4528-8904-7EB96987BDD9}"/>
    <cellStyle name="Normal 3 2 2 3 3 2 2 4 2" xfId="48822" xr:uid="{4C95E7E7-FED6-486E-8E8F-E0947FA34CD2}"/>
    <cellStyle name="Normal 3 2 2 3 3 2 2 5" xfId="48823" xr:uid="{C05C8981-905E-4712-A2B7-28D03A86BF6A}"/>
    <cellStyle name="Normal 3 2 2 3 3 2 3" xfId="48824" xr:uid="{CB68FA20-1DFF-452C-A796-DAFD706C552D}"/>
    <cellStyle name="Normal 3 2 2 3 3 2 3 2" xfId="48825" xr:uid="{B2CE7A41-22A3-4A96-990A-F121A46C7323}"/>
    <cellStyle name="Normal 3 2 2 3 3 2 3 2 2" xfId="48826" xr:uid="{272EFC09-CD9B-49F5-8854-262F4EB00FD1}"/>
    <cellStyle name="Normal 3 2 2 3 3 2 3 2 2 2" xfId="48827" xr:uid="{963AA4DE-545D-4DA9-8670-7F8AFF555BC8}"/>
    <cellStyle name="Normal 3 2 2 3 3 2 3 2 3" xfId="48828" xr:uid="{2220276B-AE37-437A-B7BD-6255F0191030}"/>
    <cellStyle name="Normal 3 2 2 3 3 2 3 3" xfId="48829" xr:uid="{28B9A09D-75F8-4B9A-9134-BB07BC96BE9A}"/>
    <cellStyle name="Normal 3 2 2 3 3 2 3 3 2" xfId="48830" xr:uid="{AD6789C3-40AE-42DD-9C29-CE1E18BC4736}"/>
    <cellStyle name="Normal 3 2 2 3 3 2 3 4" xfId="48831" xr:uid="{4F7B9D61-89DB-412F-8EBF-C1A2407F3F75}"/>
    <cellStyle name="Normal 3 2 2 3 3 2 4" xfId="48832" xr:uid="{9CF952E7-24F0-42DE-AF4C-CBFD2CDBE7D5}"/>
    <cellStyle name="Normal 3 2 2 3 3 2 4 2" xfId="48833" xr:uid="{5BDB77DC-92D8-4E22-93C9-0B1D395CC5AC}"/>
    <cellStyle name="Normal 3 2 2 3 3 2 4 2 2" xfId="48834" xr:uid="{728919DB-A77A-48DD-9B8B-D83EC2483017}"/>
    <cellStyle name="Normal 3 2 2 3 3 2 4 3" xfId="48835" xr:uid="{5F3B8DEC-2370-4365-AC58-399D16BD9E8B}"/>
    <cellStyle name="Normal 3 2 2 3 3 2 5" xfId="48836" xr:uid="{CE6AF580-45DF-48B5-BD32-47EB1C9F5617}"/>
    <cellStyle name="Normal 3 2 2 3 3 2 5 2" xfId="48837" xr:uid="{E2BE2F25-C1AD-425B-B6BF-2BEF28968EC8}"/>
    <cellStyle name="Normal 3 2 2 3 3 2 6" xfId="48838" xr:uid="{7012EC25-5B0D-44BB-A869-67A0DDD195CE}"/>
    <cellStyle name="Normal 3 2 2 3 3 3" xfId="48839" xr:uid="{AE7E517D-1FB3-4940-AFAF-BCFB276A648F}"/>
    <cellStyle name="Normal 3 2 2 3 3 3 2" xfId="48840" xr:uid="{5AD0C8F4-3663-480C-B295-27488B0AB671}"/>
    <cellStyle name="Normal 3 2 2 3 3 3 2 2" xfId="48841" xr:uid="{ACAB9AF4-86F7-4A20-96B8-12824AE6C8C4}"/>
    <cellStyle name="Normal 3 2 2 3 3 3 2 2 2" xfId="48842" xr:uid="{9F5FAA18-52BE-4C4E-A4F5-1E342E0A80F0}"/>
    <cellStyle name="Normal 3 2 2 3 3 3 2 2 2 2" xfId="48843" xr:uid="{BD018B55-CAF2-43BA-98B8-4F975DF75490}"/>
    <cellStyle name="Normal 3 2 2 3 3 3 2 2 3" xfId="48844" xr:uid="{0AF3EF19-C2E8-4386-8D55-B2BA1A46B3B2}"/>
    <cellStyle name="Normal 3 2 2 3 3 3 2 3" xfId="48845" xr:uid="{41B65936-3A08-4121-86C1-47DC2C8AA860}"/>
    <cellStyle name="Normal 3 2 2 3 3 3 2 3 2" xfId="48846" xr:uid="{F59CDD18-0338-47B4-BD4F-E0736AE88C34}"/>
    <cellStyle name="Normal 3 2 2 3 3 3 2 4" xfId="48847" xr:uid="{70657BF7-206A-4800-ACEB-3652B9186003}"/>
    <cellStyle name="Normal 3 2 2 3 3 3 3" xfId="48848" xr:uid="{D19F8370-C753-4A1B-982D-7C013664E12D}"/>
    <cellStyle name="Normal 3 2 2 3 3 3 3 2" xfId="48849" xr:uid="{8127765E-A191-4EE7-B2A3-4A6FDF05C6EA}"/>
    <cellStyle name="Normal 3 2 2 3 3 3 3 2 2" xfId="48850" xr:uid="{7E2DE216-3E18-4270-A5E3-8A52F03423E5}"/>
    <cellStyle name="Normal 3 2 2 3 3 3 3 3" xfId="48851" xr:uid="{D6B231FA-B5A8-4656-A8FB-7677AC8996D6}"/>
    <cellStyle name="Normal 3 2 2 3 3 3 4" xfId="48852" xr:uid="{05C01331-366D-40A5-BDF2-74B65C85032B}"/>
    <cellStyle name="Normal 3 2 2 3 3 3 4 2" xfId="48853" xr:uid="{DF61D8E9-42C2-4C8E-B7AA-EEAF3BACC609}"/>
    <cellStyle name="Normal 3 2 2 3 3 3 5" xfId="48854" xr:uid="{61C4B2FF-78DB-4758-959C-E6DB5FF49283}"/>
    <cellStyle name="Normal 3 2 2 3 3 4" xfId="48855" xr:uid="{65BC0B42-9E19-4385-857D-90B4CA45BBE5}"/>
    <cellStyle name="Normal 3 2 2 3 3 4 2" xfId="48856" xr:uid="{93FE2DE7-0FBA-4560-AAD1-BB76A5607970}"/>
    <cellStyle name="Normal 3 2 2 3 3 4 2 2" xfId="48857" xr:uid="{5606E89B-DA29-4F9C-8E33-3D196ACE6045}"/>
    <cellStyle name="Normal 3 2 2 3 3 4 2 2 2" xfId="48858" xr:uid="{0C58E6CA-3B08-4204-85B4-9297974A2237}"/>
    <cellStyle name="Normal 3 2 2 3 3 4 2 3" xfId="48859" xr:uid="{08011199-8549-4AE6-925D-B7511CDB84BA}"/>
    <cellStyle name="Normal 3 2 2 3 3 4 3" xfId="48860" xr:uid="{FF96D44E-4063-4024-BE5A-6F206BF45E5D}"/>
    <cellStyle name="Normal 3 2 2 3 3 4 3 2" xfId="48861" xr:uid="{3AE98498-2C2E-45B8-871C-932EC489B8F2}"/>
    <cellStyle name="Normal 3 2 2 3 3 4 4" xfId="48862" xr:uid="{5E87352A-C388-4541-B803-ADC9D771251A}"/>
    <cellStyle name="Normal 3 2 2 3 3 5" xfId="48863" xr:uid="{822CA044-1524-4626-B40B-D133D9E1AB4D}"/>
    <cellStyle name="Normal 3 2 2 3 3 5 2" xfId="48864" xr:uid="{F28AA7A4-7C55-4A15-A126-63DAB5716E41}"/>
    <cellStyle name="Normal 3 2 2 3 3 5 2 2" xfId="48865" xr:uid="{DB922CA8-00C4-40CB-83F9-F39C7B56AF12}"/>
    <cellStyle name="Normal 3 2 2 3 3 5 3" xfId="48866" xr:uid="{D4A0515B-B1BA-4BC3-BC78-954AF18EC0E8}"/>
    <cellStyle name="Normal 3 2 2 3 3 6" xfId="48867" xr:uid="{ECD87298-6415-4661-8E60-AFE478C38D02}"/>
    <cellStyle name="Normal 3 2 2 3 3 6 2" xfId="48868" xr:uid="{9277A7B1-C063-4741-B862-1689A9364F4B}"/>
    <cellStyle name="Normal 3 2 2 3 3 7" xfId="48869" xr:uid="{235F249A-6188-4A72-9EB0-D980DBA256C8}"/>
    <cellStyle name="Normal 3 2 2 3 4" xfId="48870" xr:uid="{5FB89004-EBC0-4DC9-8EDF-B71B01A26CED}"/>
    <cellStyle name="Normal 3 2 2 3 4 2" xfId="48871" xr:uid="{7B4F92FB-8884-4B75-87A6-17D699EC3614}"/>
    <cellStyle name="Normal 3 2 2 3 4 2 2" xfId="48872" xr:uid="{06CC0756-1632-48C3-A619-CC0E089A5EBE}"/>
    <cellStyle name="Normal 3 2 2 3 4 2 2 2" xfId="48873" xr:uid="{8DA2DCB6-89AD-4FF4-A0EB-244F41F60324}"/>
    <cellStyle name="Normal 3 2 2 3 4 2 2 2 2" xfId="48874" xr:uid="{E41F1E31-0294-45E2-838D-84D88272ADA5}"/>
    <cellStyle name="Normal 3 2 2 3 4 2 2 2 2 2" xfId="48875" xr:uid="{22A54617-ED47-4563-A8FE-E4F06BE70860}"/>
    <cellStyle name="Normal 3 2 2 3 4 2 2 2 3" xfId="48876" xr:uid="{B343658A-77C1-447B-8AE2-8E680DC22589}"/>
    <cellStyle name="Normal 3 2 2 3 4 2 2 3" xfId="48877" xr:uid="{3983FB70-A454-4885-87A2-87C61E9FB584}"/>
    <cellStyle name="Normal 3 2 2 3 4 2 2 3 2" xfId="48878" xr:uid="{878216A9-68FB-44BE-9895-ACFF59858308}"/>
    <cellStyle name="Normal 3 2 2 3 4 2 2 4" xfId="48879" xr:uid="{AD687D8A-0E62-4F55-9B74-4A764904575E}"/>
    <cellStyle name="Normal 3 2 2 3 4 2 3" xfId="48880" xr:uid="{A069D003-D4E0-4169-B5F3-C76B3C2D968C}"/>
    <cellStyle name="Normal 3 2 2 3 4 2 3 2" xfId="48881" xr:uid="{7AD452EA-2BAC-4A71-8091-7AD08E9A414A}"/>
    <cellStyle name="Normal 3 2 2 3 4 2 3 2 2" xfId="48882" xr:uid="{F2601E15-0D6E-4B11-9745-8DF03CBC1D7C}"/>
    <cellStyle name="Normal 3 2 2 3 4 2 3 3" xfId="48883" xr:uid="{6E379D27-6D85-42BD-8386-F860AAE89407}"/>
    <cellStyle name="Normal 3 2 2 3 4 2 4" xfId="48884" xr:uid="{02A76AD1-02A2-4719-A9FA-F9637D52AA21}"/>
    <cellStyle name="Normal 3 2 2 3 4 2 4 2" xfId="48885" xr:uid="{5FD92E17-5DAE-4299-A741-CEFF0202EA59}"/>
    <cellStyle name="Normal 3 2 2 3 4 2 5" xfId="48886" xr:uid="{7730E20C-A793-40DD-87CD-1EB4457C194F}"/>
    <cellStyle name="Normal 3 2 2 3 4 3" xfId="48887" xr:uid="{E6081BC4-5613-49BD-BCA7-A96C563A7359}"/>
    <cellStyle name="Normal 3 2 2 3 4 3 2" xfId="48888" xr:uid="{2810C0BE-4C76-47E9-9502-24C5EB0B42EA}"/>
    <cellStyle name="Normal 3 2 2 3 4 3 2 2" xfId="48889" xr:uid="{615E399F-913D-4035-A0AE-9E1DEBF2BDC7}"/>
    <cellStyle name="Normal 3 2 2 3 4 3 2 2 2" xfId="48890" xr:uid="{A793AF32-FF99-48E1-9BB3-E6EF26D121AF}"/>
    <cellStyle name="Normal 3 2 2 3 4 3 2 3" xfId="48891" xr:uid="{D95628D0-5708-4EB9-A6A0-31067EB9F335}"/>
    <cellStyle name="Normal 3 2 2 3 4 3 3" xfId="48892" xr:uid="{05FC2CF4-A9B2-4721-B37E-2A6DB93F93AC}"/>
    <cellStyle name="Normal 3 2 2 3 4 3 3 2" xfId="48893" xr:uid="{5B8BF5DD-EBB1-4E2C-9F65-92852622DAB0}"/>
    <cellStyle name="Normal 3 2 2 3 4 3 4" xfId="48894" xr:uid="{28E593AE-C4B6-42D0-872F-1534ABF8C7D9}"/>
    <cellStyle name="Normal 3 2 2 3 4 4" xfId="48895" xr:uid="{DE9F0777-28FA-4CEA-ACFC-F30D1FE539F8}"/>
    <cellStyle name="Normal 3 2 2 3 4 4 2" xfId="48896" xr:uid="{9C35B01F-B2C1-47E1-B40E-63B693D9A363}"/>
    <cellStyle name="Normal 3 2 2 3 4 4 2 2" xfId="48897" xr:uid="{1D66F793-6C13-40ED-864A-79F081108F16}"/>
    <cellStyle name="Normal 3 2 2 3 4 4 3" xfId="48898" xr:uid="{BFEB6680-A136-480B-9B32-56621F865668}"/>
    <cellStyle name="Normal 3 2 2 3 4 5" xfId="48899" xr:uid="{1B9A4663-7B9F-4B9D-8EE0-790722C3A368}"/>
    <cellStyle name="Normal 3 2 2 3 4 5 2" xfId="48900" xr:uid="{B88C6B68-1DC9-4677-A808-F5FA830BE966}"/>
    <cellStyle name="Normal 3 2 2 3 4 6" xfId="48901" xr:uid="{3912DA50-2B36-4CAE-9B04-7DA4EA826DE3}"/>
    <cellStyle name="Normal 3 2 2 3 5" xfId="48902" xr:uid="{BE11E2AA-931A-46D4-94B6-B3A2E234949D}"/>
    <cellStyle name="Normal 3 2 2 3 5 2" xfId="48903" xr:uid="{4A35C496-7DFC-42F0-9F6A-CF2764FE4473}"/>
    <cellStyle name="Normal 3 2 2 3 5 2 2" xfId="48904" xr:uid="{2EE443B6-C844-445C-9810-BEC47EDFF4C9}"/>
    <cellStyle name="Normal 3 2 2 3 5 2 2 2" xfId="48905" xr:uid="{70D184B8-9E92-48A1-9532-A06888151B04}"/>
    <cellStyle name="Normal 3 2 2 3 5 2 2 2 2" xfId="48906" xr:uid="{1371926E-8573-4280-B4F2-CE4098EB0409}"/>
    <cellStyle name="Normal 3 2 2 3 5 2 2 3" xfId="48907" xr:uid="{424EAB51-B2E6-40F3-BA7D-26F8C027B49D}"/>
    <cellStyle name="Normal 3 2 2 3 5 2 3" xfId="48908" xr:uid="{03098C54-B179-4DE8-BE24-1C84E4364C25}"/>
    <cellStyle name="Normal 3 2 2 3 5 2 3 2" xfId="48909" xr:uid="{9C51F86B-552D-4E89-99F4-2DDBB0DFB68F}"/>
    <cellStyle name="Normal 3 2 2 3 5 2 4" xfId="48910" xr:uid="{5D00BA74-42E5-42F3-9836-3C40924F519B}"/>
    <cellStyle name="Normal 3 2 2 3 5 3" xfId="48911" xr:uid="{8C3F6E8D-6CDE-4E3D-93C3-02BF8A56C2AC}"/>
    <cellStyle name="Normal 3 2 2 3 5 3 2" xfId="48912" xr:uid="{4206E092-02FD-4399-A2CF-00742939C4DB}"/>
    <cellStyle name="Normal 3 2 2 3 5 3 2 2" xfId="48913" xr:uid="{776636F3-16E4-4B4A-8E1B-52775C7FA408}"/>
    <cellStyle name="Normal 3 2 2 3 5 3 3" xfId="48914" xr:uid="{432F6D36-57B0-44B1-9020-07ACF5CD450D}"/>
    <cellStyle name="Normal 3 2 2 3 5 4" xfId="48915" xr:uid="{4A429F5C-3886-4693-AE6A-F6BE97557653}"/>
    <cellStyle name="Normal 3 2 2 3 5 4 2" xfId="48916" xr:uid="{ADA9EEDB-2E87-4DB4-8A09-86DEF363481D}"/>
    <cellStyle name="Normal 3 2 2 3 5 5" xfId="48917" xr:uid="{16C83BBF-F869-491E-BE95-30B83D35C96C}"/>
    <cellStyle name="Normal 3 2 2 3 6" xfId="48918" xr:uid="{63C19ECB-A2AF-4E86-8270-FFCEFB3864D2}"/>
    <cellStyle name="Normal 3 2 2 3 6 2" xfId="48919" xr:uid="{964742FD-7EA5-4C03-8322-4670EDAEE2AD}"/>
    <cellStyle name="Normal 3 2 2 3 6 2 2" xfId="48920" xr:uid="{D4262BBA-F11D-4E90-A581-7A48193E453D}"/>
    <cellStyle name="Normal 3 2 2 3 6 2 2 2" xfId="48921" xr:uid="{55528C89-4242-4F65-9E7E-6A3BF93DFECA}"/>
    <cellStyle name="Normal 3 2 2 3 6 2 3" xfId="48922" xr:uid="{24775081-EFDF-46F0-BFFF-2B32DD49A580}"/>
    <cellStyle name="Normal 3 2 2 3 6 3" xfId="48923" xr:uid="{186E20B2-8DD2-46FA-9F75-612B190B5CC8}"/>
    <cellStyle name="Normal 3 2 2 3 6 3 2" xfId="48924" xr:uid="{44BCCD54-2ED4-4E95-BB39-1CEC952F1175}"/>
    <cellStyle name="Normal 3 2 2 3 6 4" xfId="48925" xr:uid="{AAFDD120-28F1-4DCD-8A7E-9139573CCDAA}"/>
    <cellStyle name="Normal 3 2 2 3 7" xfId="48926" xr:uid="{1EBA0415-96CB-4D91-A2F6-3292A201EDFF}"/>
    <cellStyle name="Normal 3 2 2 3 7 2" xfId="48927" xr:uid="{2430A8AB-0255-446A-8B2A-BECA5B2E02FC}"/>
    <cellStyle name="Normal 3 2 2 3 7 2 2" xfId="48928" xr:uid="{878145FC-AD4E-4942-BD2F-A4AA713A3459}"/>
    <cellStyle name="Normal 3 2 2 3 7 3" xfId="48929" xr:uid="{91CD47FF-099C-4877-9528-B9151609751E}"/>
    <cellStyle name="Normal 3 2 2 3 8" xfId="48930" xr:uid="{D65C185F-B42F-4FCB-8C70-F7CB989FB4F6}"/>
    <cellStyle name="Normal 3 2 2 3 8 2" xfId="48931" xr:uid="{357885A0-3C9B-4019-9C9A-75CA4ED98BAB}"/>
    <cellStyle name="Normal 3 2 2 3 9" xfId="48932" xr:uid="{95F0EFCC-0085-4088-B161-28FBBF91413A}"/>
    <cellStyle name="Normal 3 2 2 4" xfId="48933" xr:uid="{8F079251-6F61-4D94-A9D0-DF1627544101}"/>
    <cellStyle name="Normal 3 2 2 4 2" xfId="48934" xr:uid="{31767FA8-64A5-451B-9699-77F2A146ADC1}"/>
    <cellStyle name="Normal 3 2 2 4 2 2" xfId="48935" xr:uid="{DAF0AB22-33B6-4130-A268-F38EB6D3FD87}"/>
    <cellStyle name="Normal 3 2 2 4 2 2 2" xfId="48936" xr:uid="{5473BE5A-A63A-48E0-B220-FD92997C9FCF}"/>
    <cellStyle name="Normal 3 2 2 4 2 2 2 2" xfId="48937" xr:uid="{C4146960-0CA0-4144-ACCB-0F6C960D3B3A}"/>
    <cellStyle name="Normal 3 2 2 4 2 2 2 2 2" xfId="48938" xr:uid="{06C764AD-DF5D-4D62-A181-C1D0DD80A1B0}"/>
    <cellStyle name="Normal 3 2 2 4 2 2 2 2 2 2" xfId="48939" xr:uid="{28044158-D40C-4BCE-9EB1-196359A6D674}"/>
    <cellStyle name="Normal 3 2 2 4 2 2 2 2 2 2 2" xfId="48940" xr:uid="{BDE062EF-FD57-469D-9F19-029F7EF08AB9}"/>
    <cellStyle name="Normal 3 2 2 4 2 2 2 2 2 3" xfId="48941" xr:uid="{659322CF-0FE5-45DF-AA87-94DE8D1BCA09}"/>
    <cellStyle name="Normal 3 2 2 4 2 2 2 2 3" xfId="48942" xr:uid="{59DED74D-2334-40F8-B365-3A4C507BDDA4}"/>
    <cellStyle name="Normal 3 2 2 4 2 2 2 2 3 2" xfId="48943" xr:uid="{24608540-CB1F-4E83-BF11-EB4197EFF389}"/>
    <cellStyle name="Normal 3 2 2 4 2 2 2 2 4" xfId="48944" xr:uid="{C7ED3890-8000-40B8-B880-B0A2B2D3DC85}"/>
    <cellStyle name="Normal 3 2 2 4 2 2 2 3" xfId="48945" xr:uid="{15371019-6299-4762-AAAC-944DA54B0B4A}"/>
    <cellStyle name="Normal 3 2 2 4 2 2 2 3 2" xfId="48946" xr:uid="{2B55605C-E7DF-4AEC-AC8F-F2BF1512C4FA}"/>
    <cellStyle name="Normal 3 2 2 4 2 2 2 3 2 2" xfId="48947" xr:uid="{CF922011-9D09-4EAF-BC89-8763BD1773F6}"/>
    <cellStyle name="Normal 3 2 2 4 2 2 2 3 3" xfId="48948" xr:uid="{8A2EA557-5365-4CD1-9477-7DE2F960FD30}"/>
    <cellStyle name="Normal 3 2 2 4 2 2 2 4" xfId="48949" xr:uid="{04C20460-4CDB-4D9C-AE4A-600CE69861F2}"/>
    <cellStyle name="Normal 3 2 2 4 2 2 2 4 2" xfId="48950" xr:uid="{C0015471-44A0-4C19-A32E-9927D7A537D0}"/>
    <cellStyle name="Normal 3 2 2 4 2 2 2 5" xfId="48951" xr:uid="{B4BB8B72-040F-4ADA-810A-3D4BB56795E9}"/>
    <cellStyle name="Normal 3 2 2 4 2 2 3" xfId="48952" xr:uid="{52062016-8447-458E-B9B6-F672E84B5418}"/>
    <cellStyle name="Normal 3 2 2 4 2 2 3 2" xfId="48953" xr:uid="{39232B00-4FFB-40C1-AFC8-7F710273C147}"/>
    <cellStyle name="Normal 3 2 2 4 2 2 3 2 2" xfId="48954" xr:uid="{81E92571-CABB-4AD2-A966-463E6B1896B5}"/>
    <cellStyle name="Normal 3 2 2 4 2 2 3 2 2 2" xfId="48955" xr:uid="{DADEAB3D-3029-4CE0-B323-4EB93E9144B1}"/>
    <cellStyle name="Normal 3 2 2 4 2 2 3 2 3" xfId="48956" xr:uid="{548A00FB-5318-4D13-AFBA-D86DE41C483A}"/>
    <cellStyle name="Normal 3 2 2 4 2 2 3 3" xfId="48957" xr:uid="{73C42D12-D1A1-4CF0-A631-78B60AD1D2FC}"/>
    <cellStyle name="Normal 3 2 2 4 2 2 3 3 2" xfId="48958" xr:uid="{D2D9A675-BC45-4DE0-852B-8D011E08E4BF}"/>
    <cellStyle name="Normal 3 2 2 4 2 2 3 4" xfId="48959" xr:uid="{F15E08B1-BEEC-4839-8089-95195A3F80C4}"/>
    <cellStyle name="Normal 3 2 2 4 2 2 4" xfId="48960" xr:uid="{A3A278C5-9BF2-4CD6-9BAB-A4C4975712AD}"/>
    <cellStyle name="Normal 3 2 2 4 2 2 4 2" xfId="48961" xr:uid="{0DFC1E87-50D0-405A-9E3B-511D2FDD0C2E}"/>
    <cellStyle name="Normal 3 2 2 4 2 2 4 2 2" xfId="48962" xr:uid="{369F5458-4115-4A58-BC6F-298034C2E0E9}"/>
    <cellStyle name="Normal 3 2 2 4 2 2 4 3" xfId="48963" xr:uid="{6485ABAC-7A50-4CD0-A0F4-3A18AF998E81}"/>
    <cellStyle name="Normal 3 2 2 4 2 2 5" xfId="48964" xr:uid="{04E7FF3A-21C9-4B32-B78B-311546562804}"/>
    <cellStyle name="Normal 3 2 2 4 2 2 5 2" xfId="48965" xr:uid="{16B21BA1-A988-4D99-B687-1CBA5B6FB0B8}"/>
    <cellStyle name="Normal 3 2 2 4 2 2 6" xfId="48966" xr:uid="{815DAC25-D8C4-48DB-887F-78F411D42916}"/>
    <cellStyle name="Normal 3 2 2 4 2 3" xfId="48967" xr:uid="{117A95AD-9F88-424F-9E72-0F868871B70A}"/>
    <cellStyle name="Normal 3 2 2 4 2 3 2" xfId="48968" xr:uid="{8903DB0E-D10B-4F6D-A97D-D6675C137BD8}"/>
    <cellStyle name="Normal 3 2 2 4 2 3 2 2" xfId="48969" xr:uid="{BDB1BEF6-2565-45B8-98F2-B22DED835F03}"/>
    <cellStyle name="Normal 3 2 2 4 2 3 2 2 2" xfId="48970" xr:uid="{005AD676-90EE-411F-90E8-7451C8B77E73}"/>
    <cellStyle name="Normal 3 2 2 4 2 3 2 2 2 2" xfId="48971" xr:uid="{458E2D9F-6C54-4353-A415-66CEE0BB6948}"/>
    <cellStyle name="Normal 3 2 2 4 2 3 2 2 3" xfId="48972" xr:uid="{44B056B8-645B-4937-AC9B-0C878B16D69D}"/>
    <cellStyle name="Normal 3 2 2 4 2 3 2 3" xfId="48973" xr:uid="{3AF9C50A-5176-4942-A869-478E2C6D4364}"/>
    <cellStyle name="Normal 3 2 2 4 2 3 2 3 2" xfId="48974" xr:uid="{E3260145-FE4E-4808-A429-0CC311573595}"/>
    <cellStyle name="Normal 3 2 2 4 2 3 2 4" xfId="48975" xr:uid="{17467955-D622-43B9-A86A-C1AF5AD399FF}"/>
    <cellStyle name="Normal 3 2 2 4 2 3 3" xfId="48976" xr:uid="{B9F7DF7A-436A-4EB3-8A91-C2EDB3B5DE87}"/>
    <cellStyle name="Normal 3 2 2 4 2 3 3 2" xfId="48977" xr:uid="{704FD8F0-6EF6-4F68-8844-0C4C1251FCA5}"/>
    <cellStyle name="Normal 3 2 2 4 2 3 3 2 2" xfId="48978" xr:uid="{045B48D8-AD0D-4B93-832C-2B37711A2185}"/>
    <cellStyle name="Normal 3 2 2 4 2 3 3 3" xfId="48979" xr:uid="{5EEF6746-22C9-404A-87F0-45E3B92EDBE9}"/>
    <cellStyle name="Normal 3 2 2 4 2 3 4" xfId="48980" xr:uid="{281ACF55-E95F-4693-B39C-96A999AE0025}"/>
    <cellStyle name="Normal 3 2 2 4 2 3 4 2" xfId="48981" xr:uid="{477DE59D-7259-4504-96C5-6F9F6A459B91}"/>
    <cellStyle name="Normal 3 2 2 4 2 3 5" xfId="48982" xr:uid="{33BE8DA1-C51F-470A-94C2-7DDD9049DA45}"/>
    <cellStyle name="Normal 3 2 2 4 2 4" xfId="48983" xr:uid="{D1244050-618C-4561-BC70-E8E69F3AB3C9}"/>
    <cellStyle name="Normal 3 2 2 4 2 4 2" xfId="48984" xr:uid="{9D464AA1-5263-432C-8FEB-86014F3BF4C5}"/>
    <cellStyle name="Normal 3 2 2 4 2 4 2 2" xfId="48985" xr:uid="{B7EE646C-A7E9-45D4-8640-F57A2A5A2A8F}"/>
    <cellStyle name="Normal 3 2 2 4 2 4 2 2 2" xfId="48986" xr:uid="{127997F9-FABC-4AB5-96AC-7BDF368A972C}"/>
    <cellStyle name="Normal 3 2 2 4 2 4 2 3" xfId="48987" xr:uid="{5928F54C-13A0-42B4-81DF-94E2CFEF3A93}"/>
    <cellStyle name="Normal 3 2 2 4 2 4 3" xfId="48988" xr:uid="{558F049C-B48A-4764-8FAA-DC6DCBC98A89}"/>
    <cellStyle name="Normal 3 2 2 4 2 4 3 2" xfId="48989" xr:uid="{EB4AE79A-3DB1-479E-B14B-D093991403FB}"/>
    <cellStyle name="Normal 3 2 2 4 2 4 4" xfId="48990" xr:uid="{4AE76458-AF4E-43F5-BAD3-5ED73E32487F}"/>
    <cellStyle name="Normal 3 2 2 4 2 5" xfId="48991" xr:uid="{1D5326C5-FB0B-47D5-BDF2-0E41C33831EA}"/>
    <cellStyle name="Normal 3 2 2 4 2 5 2" xfId="48992" xr:uid="{286AFB19-6FD1-4AEE-93C4-0BE7EC573A29}"/>
    <cellStyle name="Normal 3 2 2 4 2 5 2 2" xfId="48993" xr:uid="{E95418C3-0208-4443-920A-050285E8A4DB}"/>
    <cellStyle name="Normal 3 2 2 4 2 5 3" xfId="48994" xr:uid="{56D72E69-E830-45DA-ACC4-7F623AAF776F}"/>
    <cellStyle name="Normal 3 2 2 4 2 6" xfId="48995" xr:uid="{E213A3D3-ED6A-4D8B-AAB8-8EDD1449DCE1}"/>
    <cellStyle name="Normal 3 2 2 4 2 6 2" xfId="48996" xr:uid="{1FFCF4E9-D665-48E8-8702-F14E121DB5EC}"/>
    <cellStyle name="Normal 3 2 2 4 2 7" xfId="48997" xr:uid="{35476EC2-DDE5-479A-8F65-838B7C9BEA92}"/>
    <cellStyle name="Normal 3 2 2 4 3" xfId="48998" xr:uid="{16A08EF5-DF00-47E6-A3CC-BF9114016C7F}"/>
    <cellStyle name="Normal 3 2 2 4 3 2" xfId="48999" xr:uid="{F828C63E-AAEA-417E-BDFC-EB26CD945F0E}"/>
    <cellStyle name="Normal 3 2 2 4 3 2 2" xfId="49000" xr:uid="{A56AFF2F-1884-4755-B4C4-FB046D62B7CC}"/>
    <cellStyle name="Normal 3 2 2 4 3 2 2 2" xfId="49001" xr:uid="{247E7207-D212-4A26-A809-46B6162FBF70}"/>
    <cellStyle name="Normal 3 2 2 4 3 2 2 2 2" xfId="49002" xr:uid="{92B1F07E-7C3D-4275-9EB5-F87543D34203}"/>
    <cellStyle name="Normal 3 2 2 4 3 2 2 2 2 2" xfId="49003" xr:uid="{B3395AAD-1D07-4922-ADBD-8334C26C34DC}"/>
    <cellStyle name="Normal 3 2 2 4 3 2 2 2 3" xfId="49004" xr:uid="{1D2554C8-1A4F-4266-8B1F-64B1ED2E7ABC}"/>
    <cellStyle name="Normal 3 2 2 4 3 2 2 3" xfId="49005" xr:uid="{3A68BE09-E61D-4A85-893A-9A3AF3A4D190}"/>
    <cellStyle name="Normal 3 2 2 4 3 2 2 3 2" xfId="49006" xr:uid="{FCF25AAF-BFFD-4635-9F95-3AF4CBCC6709}"/>
    <cellStyle name="Normal 3 2 2 4 3 2 2 4" xfId="49007" xr:uid="{F3A2F8C2-869A-4017-8D61-735E5F163FDA}"/>
    <cellStyle name="Normal 3 2 2 4 3 2 3" xfId="49008" xr:uid="{0BE33B2B-1D37-4A7B-841D-0934C4B7B48C}"/>
    <cellStyle name="Normal 3 2 2 4 3 2 3 2" xfId="49009" xr:uid="{26CD80E1-E0F9-4DDD-B3DB-4FC24700EE10}"/>
    <cellStyle name="Normal 3 2 2 4 3 2 3 2 2" xfId="49010" xr:uid="{08EB6774-0C6A-49A9-91C4-231381B6FBA1}"/>
    <cellStyle name="Normal 3 2 2 4 3 2 3 3" xfId="49011" xr:uid="{421CEDE2-9D33-4DF2-890C-1351E7E67071}"/>
    <cellStyle name="Normal 3 2 2 4 3 2 4" xfId="49012" xr:uid="{6E1CF174-DD2C-464C-9F7D-6813255B479B}"/>
    <cellStyle name="Normal 3 2 2 4 3 2 4 2" xfId="49013" xr:uid="{61163875-E5AA-42E3-9B82-98B13161FD32}"/>
    <cellStyle name="Normal 3 2 2 4 3 2 5" xfId="49014" xr:uid="{44B9B691-5A9F-4520-BF3E-5F8952710700}"/>
    <cellStyle name="Normal 3 2 2 4 3 3" xfId="49015" xr:uid="{9D7A626D-ED6A-4F17-9DBA-3889F8BF1DB9}"/>
    <cellStyle name="Normal 3 2 2 4 3 3 2" xfId="49016" xr:uid="{1B00F245-2CEC-4310-B5D4-B221569A8049}"/>
    <cellStyle name="Normal 3 2 2 4 3 3 2 2" xfId="49017" xr:uid="{07395070-DBBD-4055-AD82-05BA40ED77E1}"/>
    <cellStyle name="Normal 3 2 2 4 3 3 2 2 2" xfId="49018" xr:uid="{F54DF3C3-3D8F-4543-9253-DA3CAD63349B}"/>
    <cellStyle name="Normal 3 2 2 4 3 3 2 3" xfId="49019" xr:uid="{0A40B842-A6C4-4DD9-8283-78CCCF77A748}"/>
    <cellStyle name="Normal 3 2 2 4 3 3 3" xfId="49020" xr:uid="{E9A1980D-C09E-42C9-9711-C1D69928B7AE}"/>
    <cellStyle name="Normal 3 2 2 4 3 3 3 2" xfId="49021" xr:uid="{3067338F-C011-4226-8B86-AFB6CE5AEEEB}"/>
    <cellStyle name="Normal 3 2 2 4 3 3 4" xfId="49022" xr:uid="{7D3CC9FF-BB94-417F-A32B-E24AF89A4585}"/>
    <cellStyle name="Normal 3 2 2 4 3 4" xfId="49023" xr:uid="{3D2B1E63-58ED-4173-9831-734B059D9848}"/>
    <cellStyle name="Normal 3 2 2 4 3 4 2" xfId="49024" xr:uid="{6478B4D6-5456-4158-A238-C733B532DA58}"/>
    <cellStyle name="Normal 3 2 2 4 3 4 2 2" xfId="49025" xr:uid="{F267C593-2639-4982-9F5E-326BF6257E43}"/>
    <cellStyle name="Normal 3 2 2 4 3 4 3" xfId="49026" xr:uid="{A8AEF674-4B43-4396-95E2-1D2192F52CBD}"/>
    <cellStyle name="Normal 3 2 2 4 3 5" xfId="49027" xr:uid="{7F12556F-58F2-4ABC-A9D2-BBFF94C1877A}"/>
    <cellStyle name="Normal 3 2 2 4 3 5 2" xfId="49028" xr:uid="{8ADEC61F-E0FF-4062-B819-9BB187379FBA}"/>
    <cellStyle name="Normal 3 2 2 4 3 6" xfId="49029" xr:uid="{33674697-19A8-4069-93C3-6D732FCFBF3A}"/>
    <cellStyle name="Normal 3 2 2 4 4" xfId="49030" xr:uid="{2B26C5A8-F43F-42CB-A016-ED3241C9AE9C}"/>
    <cellStyle name="Normal 3 2 2 4 4 2" xfId="49031" xr:uid="{DBB3C295-3745-45BA-BF75-1F079E7C5808}"/>
    <cellStyle name="Normal 3 2 2 4 4 2 2" xfId="49032" xr:uid="{AA0BDDD8-872E-4470-8D1D-4C276FF8D1C2}"/>
    <cellStyle name="Normal 3 2 2 4 4 2 2 2" xfId="49033" xr:uid="{91257AC0-6E90-435D-A3E0-56D77BD50013}"/>
    <cellStyle name="Normal 3 2 2 4 4 2 2 2 2" xfId="49034" xr:uid="{52279B2C-8AC4-45FB-82D0-8272E09BFF40}"/>
    <cellStyle name="Normal 3 2 2 4 4 2 2 3" xfId="49035" xr:uid="{C8408693-4F1D-4B31-BD63-8AE877252560}"/>
    <cellStyle name="Normal 3 2 2 4 4 2 3" xfId="49036" xr:uid="{7D5AFE7E-924B-4FD8-B2A6-16FE3AAD9C01}"/>
    <cellStyle name="Normal 3 2 2 4 4 2 3 2" xfId="49037" xr:uid="{3CBB0878-4D54-4D96-A027-BB90D819AB62}"/>
    <cellStyle name="Normal 3 2 2 4 4 2 4" xfId="49038" xr:uid="{821B7DCA-DC2F-4A8C-922E-821D07C36B55}"/>
    <cellStyle name="Normal 3 2 2 4 4 3" xfId="49039" xr:uid="{F99E1C4A-611D-4CFF-9700-05C49FB39CA1}"/>
    <cellStyle name="Normal 3 2 2 4 4 3 2" xfId="49040" xr:uid="{34712734-D5CC-4AB1-B591-C92AFDD01A40}"/>
    <cellStyle name="Normal 3 2 2 4 4 3 2 2" xfId="49041" xr:uid="{439D0B96-E6A9-49FC-B8DB-A75E4EC8CF13}"/>
    <cellStyle name="Normal 3 2 2 4 4 3 3" xfId="49042" xr:uid="{DE584B62-4A76-43D5-85B4-4EE7E62CB7B5}"/>
    <cellStyle name="Normal 3 2 2 4 4 4" xfId="49043" xr:uid="{97F54652-F76F-46DB-91B2-232F9E2CD8D1}"/>
    <cellStyle name="Normal 3 2 2 4 4 4 2" xfId="49044" xr:uid="{62739F56-98FE-40A7-952B-0846179B87E4}"/>
    <cellStyle name="Normal 3 2 2 4 4 5" xfId="49045" xr:uid="{49F0A350-F65D-4657-9D1E-E52274B8F0CA}"/>
    <cellStyle name="Normal 3 2 2 4 5" xfId="49046" xr:uid="{A71EFA2C-643B-4743-8559-33D5EDC87CFA}"/>
    <cellStyle name="Normal 3 2 2 4 5 2" xfId="49047" xr:uid="{83A6F65A-73ED-4A11-A623-029AA643877D}"/>
    <cellStyle name="Normal 3 2 2 4 5 2 2" xfId="49048" xr:uid="{94F91305-F086-4BE0-A8CE-E5D3CDF7DAF4}"/>
    <cellStyle name="Normal 3 2 2 4 5 2 2 2" xfId="49049" xr:uid="{9AA1C4AC-1A8F-4E30-997C-562A1D7843F6}"/>
    <cellStyle name="Normal 3 2 2 4 5 2 3" xfId="49050" xr:uid="{058601B0-05C8-4589-8B72-BA546A29481E}"/>
    <cellStyle name="Normal 3 2 2 4 5 3" xfId="49051" xr:uid="{2FC0F48A-E205-4E6F-AF4B-204471A5714D}"/>
    <cellStyle name="Normal 3 2 2 4 5 3 2" xfId="49052" xr:uid="{C7EA0B59-2F87-4A0A-8E56-ED3807865C40}"/>
    <cellStyle name="Normal 3 2 2 4 5 4" xfId="49053" xr:uid="{0A2C6528-2293-4DE0-BC7D-3ADDA281579D}"/>
    <cellStyle name="Normal 3 2 2 4 6" xfId="49054" xr:uid="{3E84537E-E460-429B-A7F8-5D3460299FF0}"/>
    <cellStyle name="Normal 3 2 2 4 6 2" xfId="49055" xr:uid="{634A877E-FB92-4232-8958-54CA73C974D8}"/>
    <cellStyle name="Normal 3 2 2 4 6 2 2" xfId="49056" xr:uid="{6BB9E798-8E80-4837-BA36-94F1614FDB02}"/>
    <cellStyle name="Normal 3 2 2 4 6 3" xfId="49057" xr:uid="{363C8769-9AC2-41C3-9FC4-EC03E93F786D}"/>
    <cellStyle name="Normal 3 2 2 4 7" xfId="49058" xr:uid="{90E6863B-09B9-4C12-876B-B1CCE6850338}"/>
    <cellStyle name="Normal 3 2 2 4 7 2" xfId="49059" xr:uid="{F2A5AE4E-DDE6-4825-BB89-394698680110}"/>
    <cellStyle name="Normal 3 2 2 4 8" xfId="49060" xr:uid="{641A9010-1CEC-4D42-9BE6-888767011A1D}"/>
    <cellStyle name="Normal 3 2 2 5" xfId="49061" xr:uid="{4FA59894-521C-4DA1-A163-A1FC6825498B}"/>
    <cellStyle name="Normal 3 2 2 5 2" xfId="49062" xr:uid="{98C83A19-9563-43FA-8A1D-366A107692E7}"/>
    <cellStyle name="Normal 3 2 2 5 2 2" xfId="49063" xr:uid="{18EC6B9E-2D59-4D52-8BEA-B32546843B5D}"/>
    <cellStyle name="Normal 3 2 2 5 2 2 2" xfId="49064" xr:uid="{F8C47CA7-948A-4AAF-9067-68F2A2C8E46B}"/>
    <cellStyle name="Normal 3 2 2 5 2 2 2 2" xfId="49065" xr:uid="{3359C1F5-D2E6-4B98-891A-165E9BBD4126}"/>
    <cellStyle name="Normal 3 2 2 5 2 2 2 2 2" xfId="49066" xr:uid="{EC6CAD51-543C-45B1-8D29-B738736A2861}"/>
    <cellStyle name="Normal 3 2 2 5 2 2 2 2 2 2" xfId="49067" xr:uid="{3E649592-2208-4875-9416-131E29BE7E5A}"/>
    <cellStyle name="Normal 3 2 2 5 2 2 2 2 3" xfId="49068" xr:uid="{3530A164-3900-4AE9-8E73-A42088E06126}"/>
    <cellStyle name="Normal 3 2 2 5 2 2 2 3" xfId="49069" xr:uid="{241192B6-AFA7-43EC-B4CA-37274F04CF1C}"/>
    <cellStyle name="Normal 3 2 2 5 2 2 2 3 2" xfId="49070" xr:uid="{FE783EF4-2874-4E22-BF9A-10F676FF9BF4}"/>
    <cellStyle name="Normal 3 2 2 5 2 2 2 4" xfId="49071" xr:uid="{CBFE704D-1490-4201-9FD9-165757D933CC}"/>
    <cellStyle name="Normal 3 2 2 5 2 2 3" xfId="49072" xr:uid="{A9026E20-B440-46A3-9B91-4B663F2C119F}"/>
    <cellStyle name="Normal 3 2 2 5 2 2 3 2" xfId="49073" xr:uid="{A57C6F21-5C27-4794-8B2A-D7A0A2545D6F}"/>
    <cellStyle name="Normal 3 2 2 5 2 2 3 2 2" xfId="49074" xr:uid="{200715A4-4681-4F0D-91D4-39D3D2387D1C}"/>
    <cellStyle name="Normal 3 2 2 5 2 2 3 3" xfId="49075" xr:uid="{1135023D-BD67-4F21-8BF9-35C7EB67E5E5}"/>
    <cellStyle name="Normal 3 2 2 5 2 2 4" xfId="49076" xr:uid="{FB0FFA29-6B28-40CB-9E99-EFA7546966BF}"/>
    <cellStyle name="Normal 3 2 2 5 2 2 4 2" xfId="49077" xr:uid="{B46178F8-0112-4278-A242-7F8E1F17DEED}"/>
    <cellStyle name="Normal 3 2 2 5 2 2 5" xfId="49078" xr:uid="{E6F78DFE-E9D2-4F79-9AB6-8953F7A7BE24}"/>
    <cellStyle name="Normal 3 2 2 5 2 3" xfId="49079" xr:uid="{FB8E8A18-D42C-48A4-8C8F-5E8AB33B2CF2}"/>
    <cellStyle name="Normal 3 2 2 5 2 3 2" xfId="49080" xr:uid="{3261873B-258A-401F-BB33-EC2CB829D000}"/>
    <cellStyle name="Normal 3 2 2 5 2 3 2 2" xfId="49081" xr:uid="{3DD43042-7B7D-48DB-9135-1752A269B4F1}"/>
    <cellStyle name="Normal 3 2 2 5 2 3 2 2 2" xfId="49082" xr:uid="{D3269AD9-DF5C-4329-89A0-B4A99807DF8C}"/>
    <cellStyle name="Normal 3 2 2 5 2 3 2 3" xfId="49083" xr:uid="{354C46EA-6396-4ECC-A11D-5A6E9B8A8B3E}"/>
    <cellStyle name="Normal 3 2 2 5 2 3 3" xfId="49084" xr:uid="{10B24AEB-381A-4A4E-8F66-440B3F5246BD}"/>
    <cellStyle name="Normal 3 2 2 5 2 3 3 2" xfId="49085" xr:uid="{1295C001-C34B-4309-8281-55066D9D2E55}"/>
    <cellStyle name="Normal 3 2 2 5 2 3 4" xfId="49086" xr:uid="{BA274F5E-01B1-4777-99FF-035EE0158F33}"/>
    <cellStyle name="Normal 3 2 2 5 2 4" xfId="49087" xr:uid="{44521387-BE7A-4D1D-9BEF-3381B9027605}"/>
    <cellStyle name="Normal 3 2 2 5 2 4 2" xfId="49088" xr:uid="{A033CDB6-6B88-4115-936A-0DD928013F25}"/>
    <cellStyle name="Normal 3 2 2 5 2 4 2 2" xfId="49089" xr:uid="{F88BBBD3-3D5F-49B6-9E27-56267E1C7162}"/>
    <cellStyle name="Normal 3 2 2 5 2 4 3" xfId="49090" xr:uid="{F7D01A99-B226-4BCB-A838-5CC896F21414}"/>
    <cellStyle name="Normal 3 2 2 5 2 5" xfId="49091" xr:uid="{30194FD4-3204-4736-9351-6417A23A3769}"/>
    <cellStyle name="Normal 3 2 2 5 2 5 2" xfId="49092" xr:uid="{9D18F4A1-9504-49F3-94CF-002092963FB5}"/>
    <cellStyle name="Normal 3 2 2 5 2 6" xfId="49093" xr:uid="{4E86416D-B5DC-40CC-ABDA-2AA7EBAE390E}"/>
    <cellStyle name="Normal 3 2 2 5 3" xfId="49094" xr:uid="{4DD748AC-CA63-4D31-8253-D9421BDBB2FB}"/>
    <cellStyle name="Normal 3 2 2 5 3 2" xfId="49095" xr:uid="{BF44C144-2F74-40C6-9184-31304A2DC6AC}"/>
    <cellStyle name="Normal 3 2 2 5 3 2 2" xfId="49096" xr:uid="{7FB008BD-5ACD-476E-A2FC-5642E36D9923}"/>
    <cellStyle name="Normal 3 2 2 5 3 2 2 2" xfId="49097" xr:uid="{006C2C2A-ED65-44EE-BDA7-BB6E09820692}"/>
    <cellStyle name="Normal 3 2 2 5 3 2 2 2 2" xfId="49098" xr:uid="{5A553A65-ECB5-48DC-8443-FE8235A673CB}"/>
    <cellStyle name="Normal 3 2 2 5 3 2 2 3" xfId="49099" xr:uid="{D1B5143A-7339-4ED1-966B-11C768AFB5F4}"/>
    <cellStyle name="Normal 3 2 2 5 3 2 3" xfId="49100" xr:uid="{855F9A87-B8E3-49D2-B855-7AA1F8B76E70}"/>
    <cellStyle name="Normal 3 2 2 5 3 2 3 2" xfId="49101" xr:uid="{EB90C5B2-A995-4CA0-9F3D-49439A01F208}"/>
    <cellStyle name="Normal 3 2 2 5 3 2 4" xfId="49102" xr:uid="{5843592A-8716-471F-90EB-A7D503133A31}"/>
    <cellStyle name="Normal 3 2 2 5 3 3" xfId="49103" xr:uid="{5BFBE06D-4713-4090-B81F-D35193AAE567}"/>
    <cellStyle name="Normal 3 2 2 5 3 3 2" xfId="49104" xr:uid="{465CE387-33AA-45E4-ABC2-6313A1B636DB}"/>
    <cellStyle name="Normal 3 2 2 5 3 3 2 2" xfId="49105" xr:uid="{A33470FF-AEC0-4E7B-BDDE-78F414D88269}"/>
    <cellStyle name="Normal 3 2 2 5 3 3 3" xfId="49106" xr:uid="{ADEC98B7-8E38-425D-A21D-679AA8CE3707}"/>
    <cellStyle name="Normal 3 2 2 5 3 4" xfId="49107" xr:uid="{C2DE1A2E-DA57-4D1E-801F-C2AA9E9CEFDC}"/>
    <cellStyle name="Normal 3 2 2 5 3 4 2" xfId="49108" xr:uid="{7F29B0DC-16EC-456B-ABF5-DC3AB2822ECB}"/>
    <cellStyle name="Normal 3 2 2 5 3 5" xfId="49109" xr:uid="{8E94CFCB-717D-462A-B87D-FBF13E02C49F}"/>
    <cellStyle name="Normal 3 2 2 5 4" xfId="49110" xr:uid="{26DBE391-BF0E-4E35-9F87-64FC0522097D}"/>
    <cellStyle name="Normal 3 2 2 5 4 2" xfId="49111" xr:uid="{3661B3C1-8744-4CA3-8231-F489F1B95A9D}"/>
    <cellStyle name="Normal 3 2 2 5 4 2 2" xfId="49112" xr:uid="{3A3E970E-80AE-4F36-A19C-10AA6512C1FD}"/>
    <cellStyle name="Normal 3 2 2 5 4 2 2 2" xfId="49113" xr:uid="{40445FA4-1DBD-47FF-A842-59A82E3EA31A}"/>
    <cellStyle name="Normal 3 2 2 5 4 2 3" xfId="49114" xr:uid="{2BFBF381-A508-4681-9FB2-3D0522EAC44F}"/>
    <cellStyle name="Normal 3 2 2 5 4 3" xfId="49115" xr:uid="{343FC713-A29C-42CE-9311-0FBF3BC7DCB5}"/>
    <cellStyle name="Normal 3 2 2 5 4 3 2" xfId="49116" xr:uid="{EC7AE16E-2CFC-4E4E-8DA1-4BCC6957D76D}"/>
    <cellStyle name="Normal 3 2 2 5 4 4" xfId="49117" xr:uid="{78BABB6D-DB74-4A4B-9A45-C0F7CADE325A}"/>
    <cellStyle name="Normal 3 2 2 5 5" xfId="49118" xr:uid="{574F67B1-BD1C-4428-B9B4-4A0874DE60AD}"/>
    <cellStyle name="Normal 3 2 2 5 5 2" xfId="49119" xr:uid="{01C4FC35-4E6E-4654-9E0B-2EAE183590B0}"/>
    <cellStyle name="Normal 3 2 2 5 5 2 2" xfId="49120" xr:uid="{3C227852-AEA3-4A8F-926A-2E47244ECA9E}"/>
    <cellStyle name="Normal 3 2 2 5 5 3" xfId="49121" xr:uid="{F97CF33C-EB7F-4FA5-A486-178CE860B2F8}"/>
    <cellStyle name="Normal 3 2 2 5 6" xfId="49122" xr:uid="{B6B615F9-0288-4098-95F6-91FBF77522CC}"/>
    <cellStyle name="Normal 3 2 2 5 6 2" xfId="49123" xr:uid="{8BD1CC7C-67D5-48B2-8F23-C355D7208C52}"/>
    <cellStyle name="Normal 3 2 2 5 7" xfId="49124" xr:uid="{4FA74A01-C4AB-484C-BF51-28788CBFA676}"/>
    <cellStyle name="Normal 3 2 2 6" xfId="49125" xr:uid="{9113521E-2A4A-4427-9BE5-4FA8FA72F34C}"/>
    <cellStyle name="Normal 3 2 2 6 2" xfId="49126" xr:uid="{8BA50B67-F52D-423B-83BE-7160BFBF0144}"/>
    <cellStyle name="Normal 3 2 2 6 2 2" xfId="49127" xr:uid="{FC5E3CCF-15D0-42EB-BFBD-B10F504D86C3}"/>
    <cellStyle name="Normal 3 2 2 6 2 2 2" xfId="49128" xr:uid="{B53BEF4E-EEC4-420C-97DC-D9BC31163EF7}"/>
    <cellStyle name="Normal 3 2 2 6 2 2 2 2" xfId="49129" xr:uid="{5108F287-20FD-4938-A77B-259C84506091}"/>
    <cellStyle name="Normal 3 2 2 6 2 2 2 2 2" xfId="49130" xr:uid="{10564EC7-25D4-4BFF-94AD-C95DE1D62D2D}"/>
    <cellStyle name="Normal 3 2 2 6 2 2 2 3" xfId="49131" xr:uid="{BF588583-8294-4E02-92B0-6AC63C4B0BD1}"/>
    <cellStyle name="Normal 3 2 2 6 2 2 3" xfId="49132" xr:uid="{866E035A-5960-408A-AC58-933DA04DAF90}"/>
    <cellStyle name="Normal 3 2 2 6 2 2 3 2" xfId="49133" xr:uid="{B058BC6E-E55C-4336-B531-CEE88B2EA625}"/>
    <cellStyle name="Normal 3 2 2 6 2 2 4" xfId="49134" xr:uid="{18CF9602-D583-4DD2-9B7E-95841A1BB682}"/>
    <cellStyle name="Normal 3 2 2 6 2 3" xfId="49135" xr:uid="{6D148488-1452-412C-9115-62FB71DF5412}"/>
    <cellStyle name="Normal 3 2 2 6 2 3 2" xfId="49136" xr:uid="{70978939-92EE-4689-968E-F2660C3008A1}"/>
    <cellStyle name="Normal 3 2 2 6 2 3 2 2" xfId="49137" xr:uid="{85D035C4-907B-4EA4-9057-3C961525420B}"/>
    <cellStyle name="Normal 3 2 2 6 2 3 3" xfId="49138" xr:uid="{7B99D910-645C-4766-9243-C211EBFDE872}"/>
    <cellStyle name="Normal 3 2 2 6 2 4" xfId="49139" xr:uid="{2D038D68-DEA5-4EA8-A3E3-995DCAAC13B4}"/>
    <cellStyle name="Normal 3 2 2 6 2 4 2" xfId="49140" xr:uid="{71F6B28D-CE8B-4C93-BA83-5BDC5EB9A70F}"/>
    <cellStyle name="Normal 3 2 2 6 2 5" xfId="49141" xr:uid="{125321A6-3EA3-460A-A8F1-E3C020B52455}"/>
    <cellStyle name="Normal 3 2 2 6 3" xfId="49142" xr:uid="{4806342F-1A27-4351-9391-82266C7D203C}"/>
    <cellStyle name="Normal 3 2 2 6 3 2" xfId="49143" xr:uid="{B47A6186-CC27-4D7A-AFEB-EFD9CEBCA481}"/>
    <cellStyle name="Normal 3 2 2 6 3 2 2" xfId="49144" xr:uid="{16C38320-5758-47DC-9C3C-7B689284EE3C}"/>
    <cellStyle name="Normal 3 2 2 6 3 2 2 2" xfId="49145" xr:uid="{97B424A4-216E-4851-9565-0C4FF488F7F5}"/>
    <cellStyle name="Normal 3 2 2 6 3 2 3" xfId="49146" xr:uid="{645AACEC-A038-40F3-932C-FD30E84B4644}"/>
    <cellStyle name="Normal 3 2 2 6 3 3" xfId="49147" xr:uid="{2561FE2C-E1E7-4E3F-9B48-CD9CEAE3828C}"/>
    <cellStyle name="Normal 3 2 2 6 3 3 2" xfId="49148" xr:uid="{4508263F-4913-41F6-80F0-55716A959E53}"/>
    <cellStyle name="Normal 3 2 2 6 3 4" xfId="49149" xr:uid="{285DCFAC-D014-41E0-A163-9CF88C13AAB8}"/>
    <cellStyle name="Normal 3 2 2 6 4" xfId="49150" xr:uid="{63EDFDD1-EE89-4054-AC88-C0505A692822}"/>
    <cellStyle name="Normal 3 2 2 6 4 2" xfId="49151" xr:uid="{B7E32D99-4896-4F0D-9BD4-A2565F48DE38}"/>
    <cellStyle name="Normal 3 2 2 6 4 2 2" xfId="49152" xr:uid="{CAB92036-1B08-4299-A814-3A39E9F6222F}"/>
    <cellStyle name="Normal 3 2 2 6 4 3" xfId="49153" xr:uid="{80112978-E60D-4572-B296-26CC0D25CF04}"/>
    <cellStyle name="Normal 3 2 2 6 5" xfId="49154" xr:uid="{C73CF64F-5873-4FFD-A464-41B91E6619A3}"/>
    <cellStyle name="Normal 3 2 2 6 5 2" xfId="49155" xr:uid="{403462A9-2D15-4B54-B9CA-A4066765858E}"/>
    <cellStyle name="Normal 3 2 2 6 6" xfId="49156" xr:uid="{EB73D629-0F29-4544-9BFD-615EE181B026}"/>
    <cellStyle name="Normal 3 2 2 7" xfId="49157" xr:uid="{07C80160-9723-4CD8-942C-AF29CE8400A1}"/>
    <cellStyle name="Normal 3 2 2 7 2" xfId="49158" xr:uid="{8888CC3C-0A22-4062-8C95-B4F378748595}"/>
    <cellStyle name="Normal 3 2 2 7 2 2" xfId="49159" xr:uid="{C3421B88-410E-418E-AFC1-8E6BE2C61D83}"/>
    <cellStyle name="Normal 3 2 2 7 2 2 2" xfId="49160" xr:uid="{B6D12A78-E3B0-4EC5-B06A-81A76863BB47}"/>
    <cellStyle name="Normal 3 2 2 7 2 2 2 2" xfId="49161" xr:uid="{35B2AF7F-9DBB-49B9-8CCF-F8128AF1F945}"/>
    <cellStyle name="Normal 3 2 2 7 2 2 3" xfId="49162" xr:uid="{49BD00D1-5F1C-4385-8770-F9EB64B4ACEC}"/>
    <cellStyle name="Normal 3 2 2 7 2 3" xfId="49163" xr:uid="{8F104961-D626-4EDF-A636-4FD1EA1B41BF}"/>
    <cellStyle name="Normal 3 2 2 7 2 3 2" xfId="49164" xr:uid="{93641889-FC1D-4DC2-AD02-B44019E5BC23}"/>
    <cellStyle name="Normal 3 2 2 7 2 4" xfId="49165" xr:uid="{5980FCF9-62FC-4B2C-85E9-EDFD1DE37FA6}"/>
    <cellStyle name="Normal 3 2 2 7 3" xfId="49166" xr:uid="{E1B4C996-D18B-419E-A32C-2E629D08EF61}"/>
    <cellStyle name="Normal 3 2 2 7 3 2" xfId="49167" xr:uid="{0DAF49DD-D97A-45CF-91AA-70986D96E4FB}"/>
    <cellStyle name="Normal 3 2 2 7 3 2 2" xfId="49168" xr:uid="{93A82E4C-D607-40FA-A51B-9DEF5B520182}"/>
    <cellStyle name="Normal 3 2 2 7 3 3" xfId="49169" xr:uid="{995EB6DB-CB40-4DD2-BCA1-4AFBE516D790}"/>
    <cellStyle name="Normal 3 2 2 7 4" xfId="49170" xr:uid="{C30738D9-6157-47E5-AD75-5F4C157CED91}"/>
    <cellStyle name="Normal 3 2 2 7 4 2" xfId="49171" xr:uid="{3F26D9C6-FACF-4121-BCFC-7317C494CA41}"/>
    <cellStyle name="Normal 3 2 2 7 5" xfId="49172" xr:uid="{06D78AD8-DF40-4BC9-847D-B065472FE599}"/>
    <cellStyle name="Normal 3 2 2 8" xfId="49173" xr:uid="{0AB70193-2AEC-40AB-8514-30EB55CCBE80}"/>
    <cellStyle name="Normal 3 2 2 8 2" xfId="49174" xr:uid="{95433B12-89C8-4260-8021-1FFF3560D8AA}"/>
    <cellStyle name="Normal 3 2 2 8 2 2" xfId="49175" xr:uid="{DA8B0483-E55E-4C2F-ABD6-BD9D5E7E1089}"/>
    <cellStyle name="Normal 3 2 2 8 2 2 2" xfId="49176" xr:uid="{6E556980-FFDA-413E-94CC-4C0F3E5275D6}"/>
    <cellStyle name="Normal 3 2 2 8 2 3" xfId="49177" xr:uid="{A2F78169-7F46-419A-99A3-E9E670A58537}"/>
    <cellStyle name="Normal 3 2 2 8 3" xfId="49178" xr:uid="{193FDE89-DC73-406A-BA79-F5455821FC70}"/>
    <cellStyle name="Normal 3 2 2 8 3 2" xfId="49179" xr:uid="{778A0EE3-E321-42E1-8FF6-51680A25A718}"/>
    <cellStyle name="Normal 3 2 2 8 4" xfId="49180" xr:uid="{396C455D-A2F7-4454-85AC-AEEDB0B004D1}"/>
    <cellStyle name="Normal 3 2 2 9" xfId="49181" xr:uid="{7163AE2B-B016-4F59-854D-099199D5E21A}"/>
    <cellStyle name="Normal 3 2 2 9 2" xfId="49182" xr:uid="{126891C4-34C0-412C-AA2E-43D8C9E3C831}"/>
    <cellStyle name="Normal 3 2 2 9 2 2" xfId="49183" xr:uid="{6009382D-C06D-4E97-BBD7-35440A4F343A}"/>
    <cellStyle name="Normal 3 2 2 9 3" xfId="49184" xr:uid="{3C9E81AC-DBDD-49C9-A26C-DAD1DA49361D}"/>
    <cellStyle name="Normal 3 2 3" xfId="150" xr:uid="{52AFB056-D460-4421-B84C-E1E2BC4B0109}"/>
    <cellStyle name="Normal 3 2 4" xfId="49185" xr:uid="{68FC3000-0E78-4322-A188-AB9DE5688EDF}"/>
    <cellStyle name="Normal 3 2 5" xfId="49186" xr:uid="{62164034-D5C9-475E-804F-003DD7AD9600}"/>
    <cellStyle name="Normal 3 2 5 2" xfId="49187" xr:uid="{EECD2D79-3B79-4257-BDE5-A971553EFB78}"/>
    <cellStyle name="Normal 3 2 5 2 2" xfId="49188" xr:uid="{D9E0668C-71A2-4197-9247-A5ADBD4FA6F4}"/>
    <cellStyle name="Normal 3 2 5 2 2 2" xfId="49189" xr:uid="{97872C7F-2A15-46BF-B316-7AF99B48D710}"/>
    <cellStyle name="Normal 3 2 5 2 2 2 2" xfId="49190" xr:uid="{CD0CCCC1-520A-4706-BE2B-6D0942041169}"/>
    <cellStyle name="Normal 3 2 5 2 2 2 2 2" xfId="49191" xr:uid="{6D86D4D2-FAEF-45F4-A25E-C3503E74C4E1}"/>
    <cellStyle name="Normal 3 2 5 2 2 2 2 2 2" xfId="49192" xr:uid="{093689FC-F6DF-4A72-ACDC-95E7B9A30C6F}"/>
    <cellStyle name="Normal 3 2 5 2 2 2 2 2 2 2" xfId="49193" xr:uid="{D93436DE-E354-411E-B709-2BC40CDED0F0}"/>
    <cellStyle name="Normal 3 2 5 2 2 2 2 2 2 2 2" xfId="49194" xr:uid="{77FBD8C3-498A-4BBE-90D9-A5E56BC245C7}"/>
    <cellStyle name="Normal 3 2 5 2 2 2 2 2 2 3" xfId="49195" xr:uid="{F5DF1710-2F10-4601-B36D-E13CE198662F}"/>
    <cellStyle name="Normal 3 2 5 2 2 2 2 2 3" xfId="49196" xr:uid="{E5C2F169-E4F3-4AB1-82A2-26FCEDA2BF8E}"/>
    <cellStyle name="Normal 3 2 5 2 2 2 2 2 3 2" xfId="49197" xr:uid="{06C6EE5A-6C87-4936-A166-A2F04CAB6891}"/>
    <cellStyle name="Normal 3 2 5 2 2 2 2 2 4" xfId="49198" xr:uid="{47636770-AEBF-4391-BB6C-A8ABC18F2C53}"/>
    <cellStyle name="Normal 3 2 5 2 2 2 2 3" xfId="49199" xr:uid="{1B71BB4A-3575-40A8-BC82-0E67E1F5E4FE}"/>
    <cellStyle name="Normal 3 2 5 2 2 2 2 3 2" xfId="49200" xr:uid="{43CEF25A-F442-46CD-AF99-6D87370A230F}"/>
    <cellStyle name="Normal 3 2 5 2 2 2 2 3 2 2" xfId="49201" xr:uid="{2E45F924-AB96-48DA-8D54-473489D273CD}"/>
    <cellStyle name="Normal 3 2 5 2 2 2 2 3 3" xfId="49202" xr:uid="{81A9D818-4CFA-48B5-ACF2-F394B78C3184}"/>
    <cellStyle name="Normal 3 2 5 2 2 2 2 4" xfId="49203" xr:uid="{40DA5F05-191A-4988-99C6-7F9A51A69609}"/>
    <cellStyle name="Normal 3 2 5 2 2 2 2 4 2" xfId="49204" xr:uid="{106DA20D-16D9-44AE-B038-0A947511E7EB}"/>
    <cellStyle name="Normal 3 2 5 2 2 2 2 5" xfId="49205" xr:uid="{01711018-8B67-4056-B318-201C9A276CFD}"/>
    <cellStyle name="Normal 3 2 5 2 2 2 3" xfId="49206" xr:uid="{33FB9BBF-BC5E-4D26-9FBE-CF51CD79709D}"/>
    <cellStyle name="Normal 3 2 5 2 2 2 3 2" xfId="49207" xr:uid="{843C2252-9401-4ED7-8A81-88D7C123ED04}"/>
    <cellStyle name="Normal 3 2 5 2 2 2 3 2 2" xfId="49208" xr:uid="{565E2557-AF31-4DCE-8D8C-757D15270A26}"/>
    <cellStyle name="Normal 3 2 5 2 2 2 3 2 2 2" xfId="49209" xr:uid="{02923132-A411-4234-BADF-D6BE368D8516}"/>
    <cellStyle name="Normal 3 2 5 2 2 2 3 2 3" xfId="49210" xr:uid="{69D48CBF-C07E-453D-920D-E3F6D79EDE02}"/>
    <cellStyle name="Normal 3 2 5 2 2 2 3 3" xfId="49211" xr:uid="{D4E57AB9-91C5-41C8-BA8E-B51899B4E639}"/>
    <cellStyle name="Normal 3 2 5 2 2 2 3 3 2" xfId="49212" xr:uid="{20F2184B-24A6-46A9-9AA3-550D96634AAC}"/>
    <cellStyle name="Normal 3 2 5 2 2 2 3 4" xfId="49213" xr:uid="{29CBB434-A902-4A3A-8619-26E9D2FE41CA}"/>
    <cellStyle name="Normal 3 2 5 2 2 2 4" xfId="49214" xr:uid="{0E6FA534-509F-407B-B07F-C2F61C13F512}"/>
    <cellStyle name="Normal 3 2 5 2 2 2 4 2" xfId="49215" xr:uid="{5676B7BA-3B0A-4DA8-90B2-71077029CF94}"/>
    <cellStyle name="Normal 3 2 5 2 2 2 4 2 2" xfId="49216" xr:uid="{942A76AF-E36C-468A-B3BE-60AA479B365F}"/>
    <cellStyle name="Normal 3 2 5 2 2 2 4 3" xfId="49217" xr:uid="{7FD0169D-4FAA-4395-B191-B283E1F68836}"/>
    <cellStyle name="Normal 3 2 5 2 2 2 5" xfId="49218" xr:uid="{F8DA5C32-24B4-4A15-9659-89992A41B545}"/>
    <cellStyle name="Normal 3 2 5 2 2 2 5 2" xfId="49219" xr:uid="{4FC7D6F9-9F3A-48C7-B2F2-A3B7A51CB2A9}"/>
    <cellStyle name="Normal 3 2 5 2 2 2 6" xfId="49220" xr:uid="{236B5377-FC20-4AD1-BCEB-17BE546D8F06}"/>
    <cellStyle name="Normal 3 2 5 2 2 3" xfId="49221" xr:uid="{53B7BC7E-F096-4DCD-88FB-AABCAB82A073}"/>
    <cellStyle name="Normal 3 2 5 2 2 3 2" xfId="49222" xr:uid="{2D4FF002-A217-48B1-9016-8E0BB1A48C65}"/>
    <cellStyle name="Normal 3 2 5 2 2 3 2 2" xfId="49223" xr:uid="{6625D707-A407-4EAB-A633-A87F87736AF8}"/>
    <cellStyle name="Normal 3 2 5 2 2 3 2 2 2" xfId="49224" xr:uid="{7592F390-8931-42A7-BC3F-9316ED367508}"/>
    <cellStyle name="Normal 3 2 5 2 2 3 2 2 2 2" xfId="49225" xr:uid="{5D0372CA-93AD-476E-ADD1-3374013781DB}"/>
    <cellStyle name="Normal 3 2 5 2 2 3 2 2 3" xfId="49226" xr:uid="{21D8E590-6A33-4F0D-8E7A-F29A9F965D10}"/>
    <cellStyle name="Normal 3 2 5 2 2 3 2 3" xfId="49227" xr:uid="{C6FCC742-1D5F-4E4E-85BF-34D0A05C53D8}"/>
    <cellStyle name="Normal 3 2 5 2 2 3 2 3 2" xfId="49228" xr:uid="{8B7EAC4E-214E-47EA-8ECF-2E07E4367F89}"/>
    <cellStyle name="Normal 3 2 5 2 2 3 2 4" xfId="49229" xr:uid="{7A48419F-7CC7-47FA-A821-47BD6B5D67D4}"/>
    <cellStyle name="Normal 3 2 5 2 2 3 3" xfId="49230" xr:uid="{774A2A96-5D64-40F5-8A28-1A67270222E9}"/>
    <cellStyle name="Normal 3 2 5 2 2 3 3 2" xfId="49231" xr:uid="{3F929486-53DB-4839-882D-9A126A513904}"/>
    <cellStyle name="Normal 3 2 5 2 2 3 3 2 2" xfId="49232" xr:uid="{D455C00C-0B37-41DC-8808-1489371AA58D}"/>
    <cellStyle name="Normal 3 2 5 2 2 3 3 3" xfId="49233" xr:uid="{99EA81DA-4AE2-4585-B74A-06FB2FE04644}"/>
    <cellStyle name="Normal 3 2 5 2 2 3 4" xfId="49234" xr:uid="{F3983F34-1693-4423-A81F-5D5A81AF0EF0}"/>
    <cellStyle name="Normal 3 2 5 2 2 3 4 2" xfId="49235" xr:uid="{4ECC84AF-ADFF-4C6A-886D-CEF3679AE362}"/>
    <cellStyle name="Normal 3 2 5 2 2 3 5" xfId="49236" xr:uid="{CB7CCC33-AEC1-436B-B477-4754BEE7EADD}"/>
    <cellStyle name="Normal 3 2 5 2 2 4" xfId="49237" xr:uid="{1B34FC4C-2E5C-492F-A2A8-C0233F168BA4}"/>
    <cellStyle name="Normal 3 2 5 2 2 4 2" xfId="49238" xr:uid="{FB809A70-E9C6-40CF-B4A7-1FF3B9BDBE08}"/>
    <cellStyle name="Normal 3 2 5 2 2 4 2 2" xfId="49239" xr:uid="{A3BDD251-292C-4784-BBCA-C0A0949A7C08}"/>
    <cellStyle name="Normal 3 2 5 2 2 4 2 2 2" xfId="49240" xr:uid="{CBBD1F24-F5B2-4A8A-B5BD-35F3371B3B0A}"/>
    <cellStyle name="Normal 3 2 5 2 2 4 2 3" xfId="49241" xr:uid="{E3FE43E0-D01F-4EDA-B3F3-4B30B17A5117}"/>
    <cellStyle name="Normal 3 2 5 2 2 4 3" xfId="49242" xr:uid="{19626B1D-E7D8-430B-A698-993BE5C6858D}"/>
    <cellStyle name="Normal 3 2 5 2 2 4 3 2" xfId="49243" xr:uid="{35A64B13-349D-44EA-A8B7-F0A8085042D8}"/>
    <cellStyle name="Normal 3 2 5 2 2 4 4" xfId="49244" xr:uid="{D1FE4672-C27F-4393-89B5-819589B870AD}"/>
    <cellStyle name="Normal 3 2 5 2 2 5" xfId="49245" xr:uid="{91DE76E2-81CA-4AC0-B15A-80DD75FE6E34}"/>
    <cellStyle name="Normal 3 2 5 2 2 5 2" xfId="49246" xr:uid="{8781E4B1-5A20-4FB4-BDB8-B3DB9E6C9B0D}"/>
    <cellStyle name="Normal 3 2 5 2 2 5 2 2" xfId="49247" xr:uid="{F1ED404D-5D5D-4689-B9F2-A594EF1E07D1}"/>
    <cellStyle name="Normal 3 2 5 2 2 5 3" xfId="49248" xr:uid="{B27671DB-B06C-45B7-B682-F782F00EB05E}"/>
    <cellStyle name="Normal 3 2 5 2 2 6" xfId="49249" xr:uid="{F2DD8DB8-607D-4698-9BD2-DE792DA92ED3}"/>
    <cellStyle name="Normal 3 2 5 2 2 6 2" xfId="49250" xr:uid="{88C95400-CC02-41A3-96E0-F0B14D6BFEE8}"/>
    <cellStyle name="Normal 3 2 5 2 2 7" xfId="49251" xr:uid="{20FA2A97-A077-459B-A02B-1350A54A754A}"/>
    <cellStyle name="Normal 3 2 5 2 3" xfId="49252" xr:uid="{A3E5E0B5-A614-4171-A610-188BA1FFED3A}"/>
    <cellStyle name="Normal 3 2 5 2 3 2" xfId="49253" xr:uid="{CF656D7C-1571-49DA-B5AE-9F7F23EA98A6}"/>
    <cellStyle name="Normal 3 2 5 2 3 2 2" xfId="49254" xr:uid="{41084942-DF1A-4603-A9E6-F4F11F40A581}"/>
    <cellStyle name="Normal 3 2 5 2 3 2 2 2" xfId="49255" xr:uid="{C183CBDA-9CCC-4AF2-8EEE-BF348E457407}"/>
    <cellStyle name="Normal 3 2 5 2 3 2 2 2 2" xfId="49256" xr:uid="{16771018-E574-47DE-B530-D4C69187D3D0}"/>
    <cellStyle name="Normal 3 2 5 2 3 2 2 2 2 2" xfId="49257" xr:uid="{B01321D3-E2D9-42EF-BD2C-959D701BFC26}"/>
    <cellStyle name="Normal 3 2 5 2 3 2 2 2 3" xfId="49258" xr:uid="{DCD1D8D4-EDB2-4425-9317-DCC0535DFD76}"/>
    <cellStyle name="Normal 3 2 5 2 3 2 2 3" xfId="49259" xr:uid="{6EC964A1-B456-48F2-A2CA-3A7281FAA06F}"/>
    <cellStyle name="Normal 3 2 5 2 3 2 2 3 2" xfId="49260" xr:uid="{C146788E-D887-4FCA-9D3C-80247048646C}"/>
    <cellStyle name="Normal 3 2 5 2 3 2 2 4" xfId="49261" xr:uid="{C6083CE6-CAE1-4CFD-809A-2DEFAD118CB8}"/>
    <cellStyle name="Normal 3 2 5 2 3 2 3" xfId="49262" xr:uid="{C65FAC1E-FF99-428A-88D7-D247AA20BFD1}"/>
    <cellStyle name="Normal 3 2 5 2 3 2 3 2" xfId="49263" xr:uid="{C7711441-75D9-4A08-B519-B4F3725B36ED}"/>
    <cellStyle name="Normal 3 2 5 2 3 2 3 2 2" xfId="49264" xr:uid="{2D6FB4F6-C5CE-4497-AFF7-A5B03D96F5A9}"/>
    <cellStyle name="Normal 3 2 5 2 3 2 3 3" xfId="49265" xr:uid="{E573D681-B1C0-48F3-A639-C8FBAA5A4E69}"/>
    <cellStyle name="Normal 3 2 5 2 3 2 4" xfId="49266" xr:uid="{DBCF83A7-A183-43B8-AAE4-19D0CC3BCC11}"/>
    <cellStyle name="Normal 3 2 5 2 3 2 4 2" xfId="49267" xr:uid="{649E382E-D948-4B55-936E-F9D704CD7F53}"/>
    <cellStyle name="Normal 3 2 5 2 3 2 5" xfId="49268" xr:uid="{0C3EE6C5-EBD8-418B-BF65-FE426786DA9C}"/>
    <cellStyle name="Normal 3 2 5 2 3 3" xfId="49269" xr:uid="{68ED20A9-A626-4A9F-8C66-648C897882CE}"/>
    <cellStyle name="Normal 3 2 5 2 3 3 2" xfId="49270" xr:uid="{52AB74AC-7652-4887-B75D-45CB13D70C59}"/>
    <cellStyle name="Normal 3 2 5 2 3 3 2 2" xfId="49271" xr:uid="{59BB75BA-E1A9-4836-BF8C-6713AA8D7F9A}"/>
    <cellStyle name="Normal 3 2 5 2 3 3 2 2 2" xfId="49272" xr:uid="{B1E8B55F-8066-4C56-B4BA-9BAAEDCB1AB4}"/>
    <cellStyle name="Normal 3 2 5 2 3 3 2 3" xfId="49273" xr:uid="{D8CD03AE-5032-4284-99C4-662D076420D9}"/>
    <cellStyle name="Normal 3 2 5 2 3 3 3" xfId="49274" xr:uid="{BC4C2D68-457F-413C-A7E5-659933F6D1FD}"/>
    <cellStyle name="Normal 3 2 5 2 3 3 3 2" xfId="49275" xr:uid="{303A88F2-E101-46C5-B5C0-6E4930B5C24C}"/>
    <cellStyle name="Normal 3 2 5 2 3 3 4" xfId="49276" xr:uid="{7BF10AB2-15AE-454A-903B-41D9FF5398F1}"/>
    <cellStyle name="Normal 3 2 5 2 3 4" xfId="49277" xr:uid="{D29EA6A0-A820-4002-BE81-333823A84A29}"/>
    <cellStyle name="Normal 3 2 5 2 3 4 2" xfId="49278" xr:uid="{34B7A130-E1EF-4845-8012-0B04934140B3}"/>
    <cellStyle name="Normal 3 2 5 2 3 4 2 2" xfId="49279" xr:uid="{5F93F385-5DDA-4137-85A1-D40C83043FAE}"/>
    <cellStyle name="Normal 3 2 5 2 3 4 3" xfId="49280" xr:uid="{029137C5-858D-434A-B650-DBDDF648AD77}"/>
    <cellStyle name="Normal 3 2 5 2 3 5" xfId="49281" xr:uid="{403DE99F-D4BF-448A-9865-DB016A321BE0}"/>
    <cellStyle name="Normal 3 2 5 2 3 5 2" xfId="49282" xr:uid="{339341BF-D3BE-4559-B183-573F7C32FFC8}"/>
    <cellStyle name="Normal 3 2 5 2 3 6" xfId="49283" xr:uid="{6EB91C72-5E4F-421F-B483-ADE721C1C806}"/>
    <cellStyle name="Normal 3 2 5 2 4" xfId="49284" xr:uid="{1A6CD2E1-74DE-4DCB-ACF6-EB0AF27DAC90}"/>
    <cellStyle name="Normal 3 2 5 2 4 2" xfId="49285" xr:uid="{D2F90FDA-8B1E-4218-8D46-A50D69F529EF}"/>
    <cellStyle name="Normal 3 2 5 2 4 2 2" xfId="49286" xr:uid="{33268BDC-1739-44B3-A457-F2B0FEC2D71E}"/>
    <cellStyle name="Normal 3 2 5 2 4 2 2 2" xfId="49287" xr:uid="{EE87E90C-DC20-43C4-B502-BF76410AE22E}"/>
    <cellStyle name="Normal 3 2 5 2 4 2 2 2 2" xfId="49288" xr:uid="{CD623251-EA2A-4F59-BBB3-FDF6358DA768}"/>
    <cellStyle name="Normal 3 2 5 2 4 2 2 3" xfId="49289" xr:uid="{04195855-E177-474A-B392-71E69E68907C}"/>
    <cellStyle name="Normal 3 2 5 2 4 2 3" xfId="49290" xr:uid="{E746340B-BCA0-4DD7-A093-DDE47CF18AF1}"/>
    <cellStyle name="Normal 3 2 5 2 4 2 3 2" xfId="49291" xr:uid="{A3BFB0C7-6B4B-4F65-A563-8BF1C0836D74}"/>
    <cellStyle name="Normal 3 2 5 2 4 2 4" xfId="49292" xr:uid="{E20064A1-5F7D-41BA-A1E7-4D15092691E2}"/>
    <cellStyle name="Normal 3 2 5 2 4 3" xfId="49293" xr:uid="{4DE0C4AC-BE6C-45EB-B541-CA152824FCA5}"/>
    <cellStyle name="Normal 3 2 5 2 4 3 2" xfId="49294" xr:uid="{3E3377CC-A723-4F1D-B2D8-107EEE4399B1}"/>
    <cellStyle name="Normal 3 2 5 2 4 3 2 2" xfId="49295" xr:uid="{BB1BBBC0-D7F6-4743-A07D-A3EB365ACC03}"/>
    <cellStyle name="Normal 3 2 5 2 4 3 3" xfId="49296" xr:uid="{1141D48C-A4DD-4943-BF17-188C113E6EC5}"/>
    <cellStyle name="Normal 3 2 5 2 4 4" xfId="49297" xr:uid="{3224589F-8E31-4838-A20D-F78BF0C61325}"/>
    <cellStyle name="Normal 3 2 5 2 4 4 2" xfId="49298" xr:uid="{752FDD07-F738-4422-B760-30FB7F1892B8}"/>
    <cellStyle name="Normal 3 2 5 2 4 5" xfId="49299" xr:uid="{9A4D1D64-F7BC-417E-8693-595B7E18EB7B}"/>
    <cellStyle name="Normal 3 2 5 2 5" xfId="49300" xr:uid="{D769DD28-E53D-4B77-A17C-06EE814C7F19}"/>
    <cellStyle name="Normal 3 2 5 2 5 2" xfId="49301" xr:uid="{ED9D9D29-B3FE-45B9-9E04-72848D160C63}"/>
    <cellStyle name="Normal 3 2 5 2 5 2 2" xfId="49302" xr:uid="{5A607642-8354-4616-ADC2-820B69AEE67F}"/>
    <cellStyle name="Normal 3 2 5 2 5 2 2 2" xfId="49303" xr:uid="{2851C505-20A2-47D5-82A5-6082ADED35A4}"/>
    <cellStyle name="Normal 3 2 5 2 5 2 3" xfId="49304" xr:uid="{A746BF3C-FB42-4857-BDE4-75313E2C322F}"/>
    <cellStyle name="Normal 3 2 5 2 5 3" xfId="49305" xr:uid="{E61AA8E4-61A3-4076-9720-050877D089C2}"/>
    <cellStyle name="Normal 3 2 5 2 5 3 2" xfId="49306" xr:uid="{A6C0DB1D-8D2F-4D9B-8C41-543D984ECCDC}"/>
    <cellStyle name="Normal 3 2 5 2 5 4" xfId="49307" xr:uid="{4B5CE083-56DC-4787-9142-B46D59133A88}"/>
    <cellStyle name="Normal 3 2 5 2 6" xfId="49308" xr:uid="{A081AF47-E307-4B71-9DA6-9AEFA0DB1854}"/>
    <cellStyle name="Normal 3 2 5 2 6 2" xfId="49309" xr:uid="{8113CC03-7BFD-4812-A828-DB05404015EC}"/>
    <cellStyle name="Normal 3 2 5 2 6 2 2" xfId="49310" xr:uid="{2A2FEEBF-80C1-4065-91DC-9EB1DAF4D29A}"/>
    <cellStyle name="Normal 3 2 5 2 6 3" xfId="49311" xr:uid="{C2C37024-D7D7-4F62-820C-3CA46052B490}"/>
    <cellStyle name="Normal 3 2 5 2 7" xfId="49312" xr:uid="{AD6A9489-7340-4805-B58C-9C5266D53C76}"/>
    <cellStyle name="Normal 3 2 5 2 7 2" xfId="49313" xr:uid="{9B6F5140-E34F-4A58-947E-6C349B0C4A10}"/>
    <cellStyle name="Normal 3 2 5 2 8" xfId="49314" xr:uid="{3F5ACBFC-AA30-4F58-A42F-C4EC58D85564}"/>
    <cellStyle name="Normal 3 2 5 3" xfId="49315" xr:uid="{F7693129-D36E-4096-B3A8-CC4B71C15C42}"/>
    <cellStyle name="Normal 3 2 5 3 2" xfId="49316" xr:uid="{4A47D0A8-3463-424E-9682-3290D1D82418}"/>
    <cellStyle name="Normal 3 2 5 3 2 2" xfId="49317" xr:uid="{D6E1B280-FEAA-4ACB-BC53-66026403956E}"/>
    <cellStyle name="Normal 3 2 5 3 2 2 2" xfId="49318" xr:uid="{E442B7C9-0394-4FB3-9D00-144C4A672DE8}"/>
    <cellStyle name="Normal 3 2 5 3 2 2 2 2" xfId="49319" xr:uid="{20B50B86-24B2-43BA-BF2C-828EA11B616E}"/>
    <cellStyle name="Normal 3 2 5 3 2 2 2 2 2" xfId="49320" xr:uid="{B002C8C4-318D-44C7-B6A3-C0E9B7DBA761}"/>
    <cellStyle name="Normal 3 2 5 3 2 2 2 2 2 2" xfId="49321" xr:uid="{5BA59296-5098-4D87-AFCE-805192514C2A}"/>
    <cellStyle name="Normal 3 2 5 3 2 2 2 2 3" xfId="49322" xr:uid="{A65946EC-836F-474F-8DA8-DC68B79E9762}"/>
    <cellStyle name="Normal 3 2 5 3 2 2 2 3" xfId="49323" xr:uid="{96487D4E-3D9B-43A1-8A87-7CE4F14A8AA4}"/>
    <cellStyle name="Normal 3 2 5 3 2 2 2 3 2" xfId="49324" xr:uid="{B7E9C18E-F0FC-401A-AF68-353008109FB3}"/>
    <cellStyle name="Normal 3 2 5 3 2 2 2 4" xfId="49325" xr:uid="{AD48A9D8-F4E3-4668-89D2-4B947EFE196A}"/>
    <cellStyle name="Normal 3 2 5 3 2 2 3" xfId="49326" xr:uid="{D20404C7-47C9-4358-A1B9-EDD4820BE108}"/>
    <cellStyle name="Normal 3 2 5 3 2 2 3 2" xfId="49327" xr:uid="{3A3FCC5B-6610-4AFC-B2DC-8570BE75AE06}"/>
    <cellStyle name="Normal 3 2 5 3 2 2 3 2 2" xfId="49328" xr:uid="{84DA0910-00EA-4813-98D9-89F0A5B98DD1}"/>
    <cellStyle name="Normal 3 2 5 3 2 2 3 3" xfId="49329" xr:uid="{9512A970-FE4E-4E07-A933-F4E4D7357058}"/>
    <cellStyle name="Normal 3 2 5 3 2 2 4" xfId="49330" xr:uid="{F5749628-6D32-411E-94F3-BD38C6AE73AF}"/>
    <cellStyle name="Normal 3 2 5 3 2 2 4 2" xfId="49331" xr:uid="{E013BB88-B250-4D1B-B999-CD236F65B72E}"/>
    <cellStyle name="Normal 3 2 5 3 2 2 5" xfId="49332" xr:uid="{4E4F399D-254A-4BA7-83CB-3E70BEF82AC1}"/>
    <cellStyle name="Normal 3 2 5 3 2 3" xfId="49333" xr:uid="{AD330C0D-6C83-4A00-8CE9-E01404750E65}"/>
    <cellStyle name="Normal 3 2 5 3 2 3 2" xfId="49334" xr:uid="{E9EB8BF7-6D2E-4027-85E4-67068C5A1E1E}"/>
    <cellStyle name="Normal 3 2 5 3 2 3 2 2" xfId="49335" xr:uid="{78775AA5-E61E-4934-8EF4-6FF665A75A13}"/>
    <cellStyle name="Normal 3 2 5 3 2 3 2 2 2" xfId="49336" xr:uid="{C34942A7-8B3A-4604-97C0-AABE0F76B6FF}"/>
    <cellStyle name="Normal 3 2 5 3 2 3 2 3" xfId="49337" xr:uid="{062903B9-DA80-425A-9B8F-CE55B89AD70A}"/>
    <cellStyle name="Normal 3 2 5 3 2 3 3" xfId="49338" xr:uid="{8DC8804C-DE4F-40ED-A811-0C9B06108571}"/>
    <cellStyle name="Normal 3 2 5 3 2 3 3 2" xfId="49339" xr:uid="{30311B2E-55BF-40B8-8407-F7B95631AEE6}"/>
    <cellStyle name="Normal 3 2 5 3 2 3 4" xfId="49340" xr:uid="{5BE957E8-F017-42F5-9ED1-87C45073534C}"/>
    <cellStyle name="Normal 3 2 5 3 2 4" xfId="49341" xr:uid="{E558349B-626E-4F87-BF8C-EB6EE0151285}"/>
    <cellStyle name="Normal 3 2 5 3 2 4 2" xfId="49342" xr:uid="{3171013C-5D04-4FC1-876D-C08CCB47DD3A}"/>
    <cellStyle name="Normal 3 2 5 3 2 4 2 2" xfId="49343" xr:uid="{22D2260C-68C7-477A-A839-D084F62A8BE6}"/>
    <cellStyle name="Normal 3 2 5 3 2 4 3" xfId="49344" xr:uid="{9E093FE9-5AF9-4425-9833-C5D321FCFAC7}"/>
    <cellStyle name="Normal 3 2 5 3 2 5" xfId="49345" xr:uid="{A9276791-D5A1-4DE7-8609-1710AB1C2FD1}"/>
    <cellStyle name="Normal 3 2 5 3 2 5 2" xfId="49346" xr:uid="{E1A804AB-0472-4D40-BD0C-F86C5DFDB4E1}"/>
    <cellStyle name="Normal 3 2 5 3 2 6" xfId="49347" xr:uid="{234CA67C-4413-48E5-8A22-D3FDEED22B4E}"/>
    <cellStyle name="Normal 3 2 5 3 3" xfId="49348" xr:uid="{2E16B264-1ABB-46A8-83F8-C37DF521BFFA}"/>
    <cellStyle name="Normal 3 2 5 3 3 2" xfId="49349" xr:uid="{E158DF3B-33C0-405D-8853-A43029C50324}"/>
    <cellStyle name="Normal 3 2 5 3 3 2 2" xfId="49350" xr:uid="{458F90C8-953E-4210-8383-60799F4A98BF}"/>
    <cellStyle name="Normal 3 2 5 3 3 2 2 2" xfId="49351" xr:uid="{A60B5B15-9225-4997-8419-DFC0D1F38BE4}"/>
    <cellStyle name="Normal 3 2 5 3 3 2 2 2 2" xfId="49352" xr:uid="{E10C21AD-28FF-489D-8AF6-619F826245D6}"/>
    <cellStyle name="Normal 3 2 5 3 3 2 2 3" xfId="49353" xr:uid="{E771DAAD-EC76-4925-B7E3-ACB3483C8171}"/>
    <cellStyle name="Normal 3 2 5 3 3 2 3" xfId="49354" xr:uid="{BA1F5057-4D09-43A0-9A7B-70DDB7602B78}"/>
    <cellStyle name="Normal 3 2 5 3 3 2 3 2" xfId="49355" xr:uid="{170EE3D7-F428-461E-BCA6-A843B06012FA}"/>
    <cellStyle name="Normal 3 2 5 3 3 2 4" xfId="49356" xr:uid="{B0F4BF52-B7DB-417B-A691-73324F9CB4FA}"/>
    <cellStyle name="Normal 3 2 5 3 3 3" xfId="49357" xr:uid="{1E50988D-717E-4F0B-819F-0B0B75CCC237}"/>
    <cellStyle name="Normal 3 2 5 3 3 3 2" xfId="49358" xr:uid="{B70DB796-4DAE-4FED-B9B2-924F1F9F138A}"/>
    <cellStyle name="Normal 3 2 5 3 3 3 2 2" xfId="49359" xr:uid="{9A03ED25-6A25-43FC-B3EB-0BA4173049A8}"/>
    <cellStyle name="Normal 3 2 5 3 3 3 3" xfId="49360" xr:uid="{5D0F4CC2-7673-4F53-9BE5-6A273AD3620E}"/>
    <cellStyle name="Normal 3 2 5 3 3 4" xfId="49361" xr:uid="{CF8570C3-0EAC-4888-A52D-D9DA8B1E1CDD}"/>
    <cellStyle name="Normal 3 2 5 3 3 4 2" xfId="49362" xr:uid="{E8D8EC85-78A0-4D05-8C15-5D64F9188D83}"/>
    <cellStyle name="Normal 3 2 5 3 3 5" xfId="49363" xr:uid="{31EBB8A0-9377-40AB-8A28-6DE35783F6F1}"/>
    <cellStyle name="Normal 3 2 5 3 4" xfId="49364" xr:uid="{44098A42-F5FB-4D94-B2A4-073C030F64EC}"/>
    <cellStyle name="Normal 3 2 5 3 4 2" xfId="49365" xr:uid="{42DF108D-0374-4A64-9A63-410D022D04A4}"/>
    <cellStyle name="Normal 3 2 5 3 4 2 2" xfId="49366" xr:uid="{1FF96E80-297A-488B-BBB9-F8D3209A170D}"/>
    <cellStyle name="Normal 3 2 5 3 4 2 2 2" xfId="49367" xr:uid="{80C67089-8526-4D4A-8CE8-388E9CD13112}"/>
    <cellStyle name="Normal 3 2 5 3 4 2 3" xfId="49368" xr:uid="{BA616415-2793-4206-A32A-E63B02BC22A9}"/>
    <cellStyle name="Normal 3 2 5 3 4 3" xfId="49369" xr:uid="{CE62916D-FC38-4B2C-B642-D7B85CCCF03C}"/>
    <cellStyle name="Normal 3 2 5 3 4 3 2" xfId="49370" xr:uid="{1854C888-93A5-4243-A0FD-DA5E69D694AF}"/>
    <cellStyle name="Normal 3 2 5 3 4 4" xfId="49371" xr:uid="{BE5634F3-1D03-40D1-9BE7-77A088771EC6}"/>
    <cellStyle name="Normal 3 2 5 3 5" xfId="49372" xr:uid="{3B681223-D701-4EAE-804D-CFB2918D99D6}"/>
    <cellStyle name="Normal 3 2 5 3 5 2" xfId="49373" xr:uid="{BD5FCDC6-84BF-494D-BB27-63B4EBBBD3C7}"/>
    <cellStyle name="Normal 3 2 5 3 5 2 2" xfId="49374" xr:uid="{DDE78F96-242C-4D4B-88C7-2296FF542FC1}"/>
    <cellStyle name="Normal 3 2 5 3 5 3" xfId="49375" xr:uid="{6A53AE6E-2008-422E-8D58-2E263099B81A}"/>
    <cellStyle name="Normal 3 2 5 3 6" xfId="49376" xr:uid="{0DDCA40C-5F5C-4BD6-B493-12E08D6F89A9}"/>
    <cellStyle name="Normal 3 2 5 3 6 2" xfId="49377" xr:uid="{448F3CDC-5152-4AA6-9930-67A1B70E62CB}"/>
    <cellStyle name="Normal 3 2 5 3 7" xfId="49378" xr:uid="{55FDD2FB-CAA3-4BD8-AA35-7CE91C722FBB}"/>
    <cellStyle name="Normal 3 2 5 4" xfId="49379" xr:uid="{25FEB686-C0E3-4FAF-8EB8-EF6ACB5B4BC8}"/>
    <cellStyle name="Normal 3 2 5 4 2" xfId="49380" xr:uid="{BF3DBE3C-2AC4-4431-A75B-EE813CF21BB7}"/>
    <cellStyle name="Normal 3 2 5 4 2 2" xfId="49381" xr:uid="{04BAFA53-D5A0-41B0-9142-C5888A3E4A07}"/>
    <cellStyle name="Normal 3 2 5 4 2 2 2" xfId="49382" xr:uid="{DBAA85C5-E4DE-418E-AF7F-EDB46EA872C9}"/>
    <cellStyle name="Normal 3 2 5 4 2 2 2 2" xfId="49383" xr:uid="{843FD21C-3E94-4B57-9268-02AF92D1CC09}"/>
    <cellStyle name="Normal 3 2 5 4 2 2 2 2 2" xfId="49384" xr:uid="{C3317F57-18AE-47CC-AA47-432B42C83BDF}"/>
    <cellStyle name="Normal 3 2 5 4 2 2 2 3" xfId="49385" xr:uid="{73B04474-F11F-4314-8BF0-3C87C7B2A825}"/>
    <cellStyle name="Normal 3 2 5 4 2 2 3" xfId="49386" xr:uid="{01854BA1-877E-4AA1-9E9F-6A163B4AB5B6}"/>
    <cellStyle name="Normal 3 2 5 4 2 2 3 2" xfId="49387" xr:uid="{426234D1-061C-4CFB-8A01-E0870F3455E9}"/>
    <cellStyle name="Normal 3 2 5 4 2 2 4" xfId="49388" xr:uid="{A440B0C8-FC42-4843-A6ED-8B4D1700ACC0}"/>
    <cellStyle name="Normal 3 2 5 4 2 3" xfId="49389" xr:uid="{D9630359-7CCD-48E0-A48D-C654FEF38472}"/>
    <cellStyle name="Normal 3 2 5 4 2 3 2" xfId="49390" xr:uid="{C0F8DBED-501A-497F-8595-2413313ECBCD}"/>
    <cellStyle name="Normal 3 2 5 4 2 3 2 2" xfId="49391" xr:uid="{F36ADF9B-5D74-42D7-824B-0EEA590AC5E9}"/>
    <cellStyle name="Normal 3 2 5 4 2 3 3" xfId="49392" xr:uid="{1272A6C8-9D48-4EE9-9BA9-605890809162}"/>
    <cellStyle name="Normal 3 2 5 4 2 4" xfId="49393" xr:uid="{E1170C3A-360F-48F4-A00C-2B81B6D0E5A4}"/>
    <cellStyle name="Normal 3 2 5 4 2 4 2" xfId="49394" xr:uid="{31C78490-A86F-4E6F-BC68-34105FE089E7}"/>
    <cellStyle name="Normal 3 2 5 4 2 5" xfId="49395" xr:uid="{37932927-563F-4750-9587-1442842BE6D7}"/>
    <cellStyle name="Normal 3 2 5 4 3" xfId="49396" xr:uid="{EED6CA3B-5F92-4588-9812-70E77D7A2FC2}"/>
    <cellStyle name="Normal 3 2 5 4 3 2" xfId="49397" xr:uid="{DAE992A2-9CAC-4835-A435-E677AE0EDFC9}"/>
    <cellStyle name="Normal 3 2 5 4 3 2 2" xfId="49398" xr:uid="{826D73D0-28F1-487D-AA70-3022855106BE}"/>
    <cellStyle name="Normal 3 2 5 4 3 2 2 2" xfId="49399" xr:uid="{BDEA30C7-23C2-4F6B-AF3A-2917D2EBF96B}"/>
    <cellStyle name="Normal 3 2 5 4 3 2 3" xfId="49400" xr:uid="{8FDD5BC5-C9C4-4F5D-879F-E81480BCE93E}"/>
    <cellStyle name="Normal 3 2 5 4 3 3" xfId="49401" xr:uid="{42CB3048-C648-4E12-BBFB-6B65FA88B274}"/>
    <cellStyle name="Normal 3 2 5 4 3 3 2" xfId="49402" xr:uid="{70ABCFC8-ACBA-4B7D-86DE-901449C5CF67}"/>
    <cellStyle name="Normal 3 2 5 4 3 4" xfId="49403" xr:uid="{CF591649-B056-4326-9C9E-D108D8649E97}"/>
    <cellStyle name="Normal 3 2 5 4 4" xfId="49404" xr:uid="{68039854-ABCE-4589-859A-0FD380B4D59D}"/>
    <cellStyle name="Normal 3 2 5 4 4 2" xfId="49405" xr:uid="{186C8B36-742F-4A2A-B459-D020EF3BEA92}"/>
    <cellStyle name="Normal 3 2 5 4 4 2 2" xfId="49406" xr:uid="{BF6E6E5D-8576-4757-B08D-1157639BB000}"/>
    <cellStyle name="Normal 3 2 5 4 4 3" xfId="49407" xr:uid="{E0D81D5C-888F-4B56-B60F-8D1CFD0EE030}"/>
    <cellStyle name="Normal 3 2 5 4 5" xfId="49408" xr:uid="{A07C8F17-871F-4A7D-9416-7D79376C4BF7}"/>
    <cellStyle name="Normal 3 2 5 4 5 2" xfId="49409" xr:uid="{C266079B-18EA-43C2-A360-5BA6696DC8B8}"/>
    <cellStyle name="Normal 3 2 5 4 6" xfId="49410" xr:uid="{CA4E5D0C-A02C-40D0-AB8A-82A0B67589A7}"/>
    <cellStyle name="Normal 3 2 5 5" xfId="49411" xr:uid="{D2A65D72-30FF-434C-B773-33B538CFB4CC}"/>
    <cellStyle name="Normal 3 2 5 5 2" xfId="49412" xr:uid="{7DFDAEC5-AA30-483E-842E-1600C3FE10D1}"/>
    <cellStyle name="Normal 3 2 5 5 2 2" xfId="49413" xr:uid="{EB205688-53D1-416C-B475-1E94E4731A1B}"/>
    <cellStyle name="Normal 3 2 5 5 2 2 2" xfId="49414" xr:uid="{4EF05F7B-2CBC-4666-92B8-B413D34DC5F8}"/>
    <cellStyle name="Normal 3 2 5 5 2 2 2 2" xfId="49415" xr:uid="{597C1BCF-D627-4862-A4F3-5877B6A9F6C2}"/>
    <cellStyle name="Normal 3 2 5 5 2 2 3" xfId="49416" xr:uid="{D09D64F6-1AA5-4AC7-B218-971FBC754F17}"/>
    <cellStyle name="Normal 3 2 5 5 2 3" xfId="49417" xr:uid="{73376484-9AFB-4C94-AE94-28EDA28B4CCE}"/>
    <cellStyle name="Normal 3 2 5 5 2 3 2" xfId="49418" xr:uid="{65F799A2-D03D-414F-BBCE-CF27CB405C4E}"/>
    <cellStyle name="Normal 3 2 5 5 2 4" xfId="49419" xr:uid="{400329E5-E016-41C2-8366-A4489F032B67}"/>
    <cellStyle name="Normal 3 2 5 5 3" xfId="49420" xr:uid="{E07FB24C-C3FD-4F4D-9100-50C5F7967A8E}"/>
    <cellStyle name="Normal 3 2 5 5 3 2" xfId="49421" xr:uid="{DAFFC7D1-39E2-45DF-8670-4287182CB6F4}"/>
    <cellStyle name="Normal 3 2 5 5 3 2 2" xfId="49422" xr:uid="{9F878708-5282-4E35-A6E1-9AB296CB2904}"/>
    <cellStyle name="Normal 3 2 5 5 3 3" xfId="49423" xr:uid="{4E446CA6-2267-4789-A4F9-6F6226C41019}"/>
    <cellStyle name="Normal 3 2 5 5 4" xfId="49424" xr:uid="{85840435-35B4-4605-BADB-F6474BF37743}"/>
    <cellStyle name="Normal 3 2 5 5 4 2" xfId="49425" xr:uid="{7910D4D4-763B-4938-AA7A-78CDA6FEF4BB}"/>
    <cellStyle name="Normal 3 2 5 5 5" xfId="49426" xr:uid="{AD1303F4-059C-4A77-8EA6-E9C1E9ABAC87}"/>
    <cellStyle name="Normal 3 2 5 6" xfId="49427" xr:uid="{39084A84-3422-4613-8BA6-1EACF479EBBF}"/>
    <cellStyle name="Normal 3 2 5 6 2" xfId="49428" xr:uid="{5E608CF6-8D89-477B-BA2E-2FC6357B44F3}"/>
    <cellStyle name="Normal 3 2 5 6 2 2" xfId="49429" xr:uid="{19118858-C46B-47D0-A38D-3936DF37F173}"/>
    <cellStyle name="Normal 3 2 5 6 2 2 2" xfId="49430" xr:uid="{4683C515-AA97-4603-8AF8-9C54DE1693D6}"/>
    <cellStyle name="Normal 3 2 5 6 2 3" xfId="49431" xr:uid="{07EA74CC-CD31-4D50-87A7-3674AFC1CC47}"/>
    <cellStyle name="Normal 3 2 5 6 3" xfId="49432" xr:uid="{FFE81373-1DC8-45E1-B9FF-CDD2CCED133D}"/>
    <cellStyle name="Normal 3 2 5 6 3 2" xfId="49433" xr:uid="{ABB828FE-92A9-4C59-A333-02F5F86DDF48}"/>
    <cellStyle name="Normal 3 2 5 6 4" xfId="49434" xr:uid="{87F3C330-BF33-4F5A-B5C9-76A0E05FD601}"/>
    <cellStyle name="Normal 3 2 5 7" xfId="49435" xr:uid="{AE3975EF-63C3-4760-AAE4-5C18816A0FC3}"/>
    <cellStyle name="Normal 3 2 5 7 2" xfId="49436" xr:uid="{229996E4-ADF1-4F68-916B-56C5CB3A6307}"/>
    <cellStyle name="Normal 3 2 5 7 2 2" xfId="49437" xr:uid="{579ADF79-3FCC-4207-9ECA-4226A7C241B8}"/>
    <cellStyle name="Normal 3 2 5 7 3" xfId="49438" xr:uid="{D4BC34C8-316C-46DC-923E-BDB3E8A4788F}"/>
    <cellStyle name="Normal 3 2 5 8" xfId="49439" xr:uid="{FFEA5C7A-1874-419E-B899-D814520AB89D}"/>
    <cellStyle name="Normal 3 2 5 8 2" xfId="49440" xr:uid="{2EF17B5A-E441-4CB0-95B7-44647811605C}"/>
    <cellStyle name="Normal 3 2 5 9" xfId="49441" xr:uid="{574D6990-1AB8-40C2-8086-2A98C96080D6}"/>
    <cellStyle name="Normal 3 2 6" xfId="49442" xr:uid="{F6F4BDF9-1DE8-490A-9289-18E43339EAF9}"/>
    <cellStyle name="Normal 3 2 6 2" xfId="49443" xr:uid="{158B568B-9559-4BB4-ADA0-ECA4154C6472}"/>
    <cellStyle name="Normal 3 2 6 2 2" xfId="49444" xr:uid="{69DEBFA3-F9C4-4DBC-B2AA-6C2874D696C0}"/>
    <cellStyle name="Normal 3 2 6 2 2 2" xfId="49445" xr:uid="{2B02B8B6-E212-4330-B1CF-C15106DDB057}"/>
    <cellStyle name="Normal 3 2 6 2 2 2 2" xfId="49446" xr:uid="{C4C3AD49-0D4C-4D3E-828F-265F95CB77E2}"/>
    <cellStyle name="Normal 3 2 6 2 2 2 2 2" xfId="49447" xr:uid="{2264DA4D-55CF-4D9B-B4ED-81D87B0449BC}"/>
    <cellStyle name="Normal 3 2 6 2 2 2 2 2 2" xfId="49448" xr:uid="{2134D226-4204-4AAC-91D6-4B2641A8B8C3}"/>
    <cellStyle name="Normal 3 2 6 2 2 2 2 2 2 2" xfId="49449" xr:uid="{34EF1970-6317-48C0-B9F1-5A350EC941B6}"/>
    <cellStyle name="Normal 3 2 6 2 2 2 2 2 3" xfId="49450" xr:uid="{2FD7993F-13E4-410C-88EE-B62A832E55C1}"/>
    <cellStyle name="Normal 3 2 6 2 2 2 2 3" xfId="49451" xr:uid="{8CA12D68-E019-4F82-8AAB-7502A1EB8777}"/>
    <cellStyle name="Normal 3 2 6 2 2 2 2 3 2" xfId="49452" xr:uid="{6384B601-DB73-4BA7-80E9-F7A24C06CEC7}"/>
    <cellStyle name="Normal 3 2 6 2 2 2 2 4" xfId="49453" xr:uid="{0CEF49A5-77C9-406B-889E-7B28CF72D4C5}"/>
    <cellStyle name="Normal 3 2 6 2 2 2 3" xfId="49454" xr:uid="{5569B255-CE90-4C49-9A4B-0497E7CB4D61}"/>
    <cellStyle name="Normal 3 2 6 2 2 2 3 2" xfId="49455" xr:uid="{4EEF08D0-A2E6-40CF-8F46-165DBB21759A}"/>
    <cellStyle name="Normal 3 2 6 2 2 2 3 2 2" xfId="49456" xr:uid="{59E7B313-5862-4431-9EFB-013955518CBD}"/>
    <cellStyle name="Normal 3 2 6 2 2 2 3 3" xfId="49457" xr:uid="{E730894F-8C50-4EF3-B674-AA254224DE28}"/>
    <cellStyle name="Normal 3 2 6 2 2 2 4" xfId="49458" xr:uid="{6D7B82DA-1F72-4518-9EE4-E2FCA13AEA63}"/>
    <cellStyle name="Normal 3 2 6 2 2 2 4 2" xfId="49459" xr:uid="{73C42559-1D42-46C9-9F06-8601076D3A2B}"/>
    <cellStyle name="Normal 3 2 6 2 2 2 5" xfId="49460" xr:uid="{7D9F8766-DB67-4E8A-9AB6-812B1FA210D4}"/>
    <cellStyle name="Normal 3 2 6 2 2 3" xfId="49461" xr:uid="{3FD7D646-5C24-4E4B-8821-CA668857822D}"/>
    <cellStyle name="Normal 3 2 6 2 2 3 2" xfId="49462" xr:uid="{DD5FBFDB-25B5-4161-BBBD-2200770A9545}"/>
    <cellStyle name="Normal 3 2 6 2 2 3 2 2" xfId="49463" xr:uid="{9B644523-D257-41E0-BB84-E34719E77A18}"/>
    <cellStyle name="Normal 3 2 6 2 2 3 2 2 2" xfId="49464" xr:uid="{91C82099-35A6-4311-B33D-F23329B32605}"/>
    <cellStyle name="Normal 3 2 6 2 2 3 2 3" xfId="49465" xr:uid="{D9BA767B-F202-4784-BFA9-3C31CC5DAB2C}"/>
    <cellStyle name="Normal 3 2 6 2 2 3 3" xfId="49466" xr:uid="{7C81DDF2-54F4-44A5-B77E-C0AACF0D011F}"/>
    <cellStyle name="Normal 3 2 6 2 2 3 3 2" xfId="49467" xr:uid="{94C0AC62-4857-4073-B913-B81792E61455}"/>
    <cellStyle name="Normal 3 2 6 2 2 3 4" xfId="49468" xr:uid="{CDC82C4A-138E-48E2-BF29-0291B8376719}"/>
    <cellStyle name="Normal 3 2 6 2 2 4" xfId="49469" xr:uid="{F8653FF2-196E-4942-9753-49938CAF9DE6}"/>
    <cellStyle name="Normal 3 2 6 2 2 4 2" xfId="49470" xr:uid="{3E8AD257-AE53-4AB5-9F16-D45B5C26BD26}"/>
    <cellStyle name="Normal 3 2 6 2 2 4 2 2" xfId="49471" xr:uid="{19F215C9-799A-4402-8A0F-B28DC2D38300}"/>
    <cellStyle name="Normal 3 2 6 2 2 4 3" xfId="49472" xr:uid="{A55427EA-111D-4465-ACED-5684E7736BDB}"/>
    <cellStyle name="Normal 3 2 6 2 2 5" xfId="49473" xr:uid="{C06B83E3-A1BE-4EB7-B99D-D87B91F89EDC}"/>
    <cellStyle name="Normal 3 2 6 2 2 5 2" xfId="49474" xr:uid="{525EB726-FF1B-40E0-8B83-3629F94C53D3}"/>
    <cellStyle name="Normal 3 2 6 2 2 6" xfId="49475" xr:uid="{3ECF50C4-19B5-4667-9241-56ADE07CA2D8}"/>
    <cellStyle name="Normal 3 2 6 2 3" xfId="49476" xr:uid="{02273698-F5CF-40B3-835A-284B9C9BA51D}"/>
    <cellStyle name="Normal 3 2 6 2 3 2" xfId="49477" xr:uid="{B5ADA03D-023D-4E74-BB04-917FBA212096}"/>
    <cellStyle name="Normal 3 2 6 2 3 2 2" xfId="49478" xr:uid="{BF90852D-B683-4A65-A3E2-97AB06FB250F}"/>
    <cellStyle name="Normal 3 2 6 2 3 2 2 2" xfId="49479" xr:uid="{9322EF4E-B2C3-4CCE-A327-32C123A42C34}"/>
    <cellStyle name="Normal 3 2 6 2 3 2 2 2 2" xfId="49480" xr:uid="{D9AC77C1-BE44-4EA2-8AAD-3C3E315EF37B}"/>
    <cellStyle name="Normal 3 2 6 2 3 2 2 3" xfId="49481" xr:uid="{0FE46435-7311-4FBF-8C7C-FC708706D030}"/>
    <cellStyle name="Normal 3 2 6 2 3 2 3" xfId="49482" xr:uid="{4D383AD1-5B7D-4304-9D56-0B01AE5FC7C7}"/>
    <cellStyle name="Normal 3 2 6 2 3 2 3 2" xfId="49483" xr:uid="{7C30A653-412D-44EE-A251-4BB5875F4DC7}"/>
    <cellStyle name="Normal 3 2 6 2 3 2 4" xfId="49484" xr:uid="{FE9A3CBE-AA87-402B-B23C-EF81A810778C}"/>
    <cellStyle name="Normal 3 2 6 2 3 3" xfId="49485" xr:uid="{6D824D24-7240-4E16-887E-7BBA1664394B}"/>
    <cellStyle name="Normal 3 2 6 2 3 3 2" xfId="49486" xr:uid="{9C552840-E3CE-43FF-ADFB-CC75BC6BD18A}"/>
    <cellStyle name="Normal 3 2 6 2 3 3 2 2" xfId="49487" xr:uid="{7CC6DBFB-0E1A-4128-A51D-FFE35CD63980}"/>
    <cellStyle name="Normal 3 2 6 2 3 3 3" xfId="49488" xr:uid="{F0A3AE52-BCE0-4DF2-86B1-1A2F230740F8}"/>
    <cellStyle name="Normal 3 2 6 2 3 4" xfId="49489" xr:uid="{4B75C4F6-B21F-4BF0-B758-E73B6EC01623}"/>
    <cellStyle name="Normal 3 2 6 2 3 4 2" xfId="49490" xr:uid="{A0616901-FBDC-4222-A32A-8B0A59A4BDB7}"/>
    <cellStyle name="Normal 3 2 6 2 3 5" xfId="49491" xr:uid="{B44717D8-7491-4B22-A9A1-69C0155B153E}"/>
    <cellStyle name="Normal 3 2 6 2 4" xfId="49492" xr:uid="{6A62F7DC-CD56-4EC6-99C9-C7B8F6C55681}"/>
    <cellStyle name="Normal 3 2 6 2 4 2" xfId="49493" xr:uid="{4FF4E4C0-5A7F-47BB-B572-AE19F40107AF}"/>
    <cellStyle name="Normal 3 2 6 2 4 2 2" xfId="49494" xr:uid="{5818080C-98FC-40CE-AF38-64575C4616F1}"/>
    <cellStyle name="Normal 3 2 6 2 4 2 2 2" xfId="49495" xr:uid="{5CB71DCD-CF18-4D92-9797-D211F1865960}"/>
    <cellStyle name="Normal 3 2 6 2 4 2 3" xfId="49496" xr:uid="{3DB4A92F-87D6-4C09-8805-67EE0E0872AD}"/>
    <cellStyle name="Normal 3 2 6 2 4 3" xfId="49497" xr:uid="{CDEE6455-8590-4071-BB30-3741221FB12C}"/>
    <cellStyle name="Normal 3 2 6 2 4 3 2" xfId="49498" xr:uid="{D7F89A79-C0CC-4BB3-9BBF-A0788B76DA79}"/>
    <cellStyle name="Normal 3 2 6 2 4 4" xfId="49499" xr:uid="{3643A718-12BC-4CD1-9B99-F0F39C136161}"/>
    <cellStyle name="Normal 3 2 6 2 5" xfId="49500" xr:uid="{E2EB7414-7F0E-4F72-A06B-FD701B5064AC}"/>
    <cellStyle name="Normal 3 2 6 2 5 2" xfId="49501" xr:uid="{8A53F88A-1D0F-450E-88CC-9819BADF13C7}"/>
    <cellStyle name="Normal 3 2 6 2 5 2 2" xfId="49502" xr:uid="{326898CC-0F08-4DDC-9B68-740303018170}"/>
    <cellStyle name="Normal 3 2 6 2 5 3" xfId="49503" xr:uid="{21374D47-AD9A-4F90-9637-6682D38CCF1F}"/>
    <cellStyle name="Normal 3 2 6 2 6" xfId="49504" xr:uid="{BA26E926-52A6-4369-9A3E-BD29D28FC342}"/>
    <cellStyle name="Normal 3 2 6 2 6 2" xfId="49505" xr:uid="{722D513B-0592-47E6-AF90-08E9146DEB27}"/>
    <cellStyle name="Normal 3 2 6 2 7" xfId="49506" xr:uid="{BCE2DEFA-5ABA-4A86-9189-B0ABBFF1BF34}"/>
    <cellStyle name="Normal 3 2 6 3" xfId="49507" xr:uid="{0064AF47-6BE1-49A3-8592-21F0682A4DE4}"/>
    <cellStyle name="Normal 3 2 6 3 2" xfId="49508" xr:uid="{B180C3DC-60E7-4B03-A920-30D571BA228C}"/>
    <cellStyle name="Normal 3 2 6 3 2 2" xfId="49509" xr:uid="{5CACD3C5-C772-4EA0-AC03-0BCDCCEF63DE}"/>
    <cellStyle name="Normal 3 2 6 3 2 2 2" xfId="49510" xr:uid="{AD406BBF-2C36-4D49-B4D5-2C8C7A681EC1}"/>
    <cellStyle name="Normal 3 2 6 3 2 2 2 2" xfId="49511" xr:uid="{E3614066-D670-4841-A066-1999644973BC}"/>
    <cellStyle name="Normal 3 2 6 3 2 2 2 2 2" xfId="49512" xr:uid="{4309B691-F513-4549-B19A-B273BD88EF80}"/>
    <cellStyle name="Normal 3 2 6 3 2 2 2 3" xfId="49513" xr:uid="{A9CEFF2C-1246-401D-B763-273C314C8FAC}"/>
    <cellStyle name="Normal 3 2 6 3 2 2 3" xfId="49514" xr:uid="{C6162A27-A9F1-4A50-9B64-D60C4DBB5F90}"/>
    <cellStyle name="Normal 3 2 6 3 2 2 3 2" xfId="49515" xr:uid="{F6826F62-9ED2-4B03-90DD-184FB6BA180D}"/>
    <cellStyle name="Normal 3 2 6 3 2 2 4" xfId="49516" xr:uid="{EF7A7DD9-10FF-4FD7-B10E-7D44D29F63C5}"/>
    <cellStyle name="Normal 3 2 6 3 2 3" xfId="49517" xr:uid="{2B2F0394-5C7D-4AFC-9D9C-5E7C729E4ABF}"/>
    <cellStyle name="Normal 3 2 6 3 2 3 2" xfId="49518" xr:uid="{6736D064-DD06-4BAD-9039-2C65265D4C79}"/>
    <cellStyle name="Normal 3 2 6 3 2 3 2 2" xfId="49519" xr:uid="{964B1104-CFBD-4E0E-90C3-47C2097A884E}"/>
    <cellStyle name="Normal 3 2 6 3 2 3 3" xfId="49520" xr:uid="{C231E21E-F487-472C-A432-A731AF9F3843}"/>
    <cellStyle name="Normal 3 2 6 3 2 4" xfId="49521" xr:uid="{F9605247-DDDC-40A9-A281-9F0A3B84520A}"/>
    <cellStyle name="Normal 3 2 6 3 2 4 2" xfId="49522" xr:uid="{484A7614-29B3-4891-96B6-99326C795B3E}"/>
    <cellStyle name="Normal 3 2 6 3 2 5" xfId="49523" xr:uid="{D37F39AF-FD53-4F19-B616-0E3BE02DDBCC}"/>
    <cellStyle name="Normal 3 2 6 3 3" xfId="49524" xr:uid="{01AECF0C-C67B-4F65-BAB0-92BCEEB2EAEE}"/>
    <cellStyle name="Normal 3 2 6 3 3 2" xfId="49525" xr:uid="{3BBB013C-3164-4A86-B486-49B61CF1152C}"/>
    <cellStyle name="Normal 3 2 6 3 3 2 2" xfId="49526" xr:uid="{415DCD75-777E-4898-B3AD-5C95D0BA776D}"/>
    <cellStyle name="Normal 3 2 6 3 3 2 2 2" xfId="49527" xr:uid="{A7AE3465-40EB-4ADC-91EB-2A8A1B59D651}"/>
    <cellStyle name="Normal 3 2 6 3 3 2 3" xfId="49528" xr:uid="{D29380FC-1CC9-4D29-91F7-4951AAEF1DFE}"/>
    <cellStyle name="Normal 3 2 6 3 3 3" xfId="49529" xr:uid="{9417D1BB-CA44-46AD-AFD5-8EACFF743806}"/>
    <cellStyle name="Normal 3 2 6 3 3 3 2" xfId="49530" xr:uid="{58B1887E-619C-47B2-9730-37EBCC27F60D}"/>
    <cellStyle name="Normal 3 2 6 3 3 4" xfId="49531" xr:uid="{130B65F9-00D3-430B-8B3D-84DAB4897BAD}"/>
    <cellStyle name="Normal 3 2 6 3 4" xfId="49532" xr:uid="{AE5EB314-9E7E-4E0F-B648-61B8A414B228}"/>
    <cellStyle name="Normal 3 2 6 3 4 2" xfId="49533" xr:uid="{CB1EFD96-6FD5-4E8F-8807-1C96A7173B14}"/>
    <cellStyle name="Normal 3 2 6 3 4 2 2" xfId="49534" xr:uid="{04B2FF5F-DF2C-4606-B14A-182C1992F92D}"/>
    <cellStyle name="Normal 3 2 6 3 4 3" xfId="49535" xr:uid="{C637647D-9730-4508-B79E-E8A8B69CDD27}"/>
    <cellStyle name="Normal 3 2 6 3 5" xfId="49536" xr:uid="{B62FE120-DEC1-4544-802D-12CB48B1DBAC}"/>
    <cellStyle name="Normal 3 2 6 3 5 2" xfId="49537" xr:uid="{4A6C6CFB-AC59-48B9-80CB-4FE17B79872F}"/>
    <cellStyle name="Normal 3 2 6 3 6" xfId="49538" xr:uid="{B7A35621-5E74-4341-B0D9-5FCCF9F71277}"/>
    <cellStyle name="Normal 3 2 6 4" xfId="49539" xr:uid="{9156CD14-A894-4D13-BAA8-22CF06947BE5}"/>
    <cellStyle name="Normal 3 2 6 4 2" xfId="49540" xr:uid="{C18B8373-8A06-411A-984F-E16B35BFE905}"/>
    <cellStyle name="Normal 3 2 6 4 2 2" xfId="49541" xr:uid="{87B03862-E875-4D97-BB3C-E0EC39BEEAAA}"/>
    <cellStyle name="Normal 3 2 6 4 2 2 2" xfId="49542" xr:uid="{FC6C5B02-F9E2-46C1-A182-DA997BF764F6}"/>
    <cellStyle name="Normal 3 2 6 4 2 2 2 2" xfId="49543" xr:uid="{0953AF9C-D732-45C2-B7D3-45C96EEA64E9}"/>
    <cellStyle name="Normal 3 2 6 4 2 2 3" xfId="49544" xr:uid="{9A828F0A-A48D-4B52-94DD-A10EE6A87E53}"/>
    <cellStyle name="Normal 3 2 6 4 2 3" xfId="49545" xr:uid="{7087C97B-7CAC-475C-98A5-94F16536DBA6}"/>
    <cellStyle name="Normal 3 2 6 4 2 3 2" xfId="49546" xr:uid="{62FB1FD6-D73A-44ED-855A-A7573C4B68DA}"/>
    <cellStyle name="Normal 3 2 6 4 2 4" xfId="49547" xr:uid="{851DA9F5-3FA2-465E-8F27-2E3A0E4973E4}"/>
    <cellStyle name="Normal 3 2 6 4 3" xfId="49548" xr:uid="{6C1D0ED8-231F-49AE-A824-0F48954B7C41}"/>
    <cellStyle name="Normal 3 2 6 4 3 2" xfId="49549" xr:uid="{0D2DFA33-3076-4031-BD24-432AD4EA7714}"/>
    <cellStyle name="Normal 3 2 6 4 3 2 2" xfId="49550" xr:uid="{F90B1C61-9E7D-4A16-A01C-3EE99F3AF17E}"/>
    <cellStyle name="Normal 3 2 6 4 3 3" xfId="49551" xr:uid="{1E4A2E58-2D26-4BD2-A5E2-C61AD2D257BB}"/>
    <cellStyle name="Normal 3 2 6 4 4" xfId="49552" xr:uid="{ACA51DE2-33E2-4819-A96D-16908F60EBCD}"/>
    <cellStyle name="Normal 3 2 6 4 4 2" xfId="49553" xr:uid="{1F0C9C98-6ADE-42A5-A10D-EF8B214E72E2}"/>
    <cellStyle name="Normal 3 2 6 4 5" xfId="49554" xr:uid="{82D7ED0F-A982-421A-99E7-FC8ABF7E7B74}"/>
    <cellStyle name="Normal 3 2 6 5" xfId="49555" xr:uid="{8B09B0D4-3ECF-4408-9797-E4AEF53EC1D7}"/>
    <cellStyle name="Normal 3 2 6 5 2" xfId="49556" xr:uid="{C71CC192-B2FA-4CF2-97B1-70B428C1FCBE}"/>
    <cellStyle name="Normal 3 2 6 5 2 2" xfId="49557" xr:uid="{E86C0062-5EDF-4F81-AAC9-1FCCB4778953}"/>
    <cellStyle name="Normal 3 2 6 5 2 2 2" xfId="49558" xr:uid="{CF515AF3-096E-48DE-9BF7-9F88F3651EF3}"/>
    <cellStyle name="Normal 3 2 6 5 2 3" xfId="49559" xr:uid="{FE2E7850-A284-4EE0-AB9D-AF1EAE7CA53C}"/>
    <cellStyle name="Normal 3 2 6 5 3" xfId="49560" xr:uid="{27D4367E-217A-4281-9738-532AE6C5F87E}"/>
    <cellStyle name="Normal 3 2 6 5 3 2" xfId="49561" xr:uid="{C222F706-D00D-4C62-8BBF-8EC03C758FE6}"/>
    <cellStyle name="Normal 3 2 6 5 4" xfId="49562" xr:uid="{EB336EEB-DF0E-4E49-AA19-D509143F7793}"/>
    <cellStyle name="Normal 3 2 6 6" xfId="49563" xr:uid="{B7448A36-3782-422F-934C-4893642EE6A0}"/>
    <cellStyle name="Normal 3 2 6 6 2" xfId="49564" xr:uid="{413CDB82-07C9-47AE-943E-AA43A090C8F9}"/>
    <cellStyle name="Normal 3 2 6 6 2 2" xfId="49565" xr:uid="{5C3CF57B-3035-412A-871E-820285B91327}"/>
    <cellStyle name="Normal 3 2 6 6 3" xfId="49566" xr:uid="{A2C9ADDA-0388-44A3-AFFF-21EBF471B740}"/>
    <cellStyle name="Normal 3 2 6 7" xfId="49567" xr:uid="{58F532A3-33F1-44EB-8E90-900ABBA2BAEC}"/>
    <cellStyle name="Normal 3 2 6 7 2" xfId="49568" xr:uid="{04CA7C80-A392-463E-AD23-034331B9EA4F}"/>
    <cellStyle name="Normal 3 2 6 8" xfId="49569" xr:uid="{AE52B7EC-B897-41C3-AD35-D36B2CAEF993}"/>
    <cellStyle name="Normal 3 2 7" xfId="49570" xr:uid="{F39635B5-3937-436E-9218-55538D07FE41}"/>
    <cellStyle name="Normal 3 2 7 2" xfId="49571" xr:uid="{33F92A36-5E01-41E2-BE07-AC8D8A00BCD6}"/>
    <cellStyle name="Normal 3 2 7 2 2" xfId="49572" xr:uid="{4F7AB36B-E07A-49B2-AEF5-3AF02843CF71}"/>
    <cellStyle name="Normal 3 2 7 2 2 2" xfId="49573" xr:uid="{DFA1363E-C0BB-46D9-B106-12404ECC962E}"/>
    <cellStyle name="Normal 3 2 7 2 2 2 2" xfId="49574" xr:uid="{943F2E71-8577-4DD2-A81D-CB1CADA4804C}"/>
    <cellStyle name="Normal 3 2 7 2 2 2 2 2" xfId="49575" xr:uid="{EA48992A-78A5-4F0A-84F0-EAD920696A88}"/>
    <cellStyle name="Normal 3 2 7 2 2 2 2 2 2" xfId="49576" xr:uid="{BB6E8C1B-3AC6-4E6D-96AA-F17A1871F51D}"/>
    <cellStyle name="Normal 3 2 7 2 2 2 2 3" xfId="49577" xr:uid="{A4757E0A-1618-432F-926F-446858CF5027}"/>
    <cellStyle name="Normal 3 2 7 2 2 2 3" xfId="49578" xr:uid="{AB0CA2F5-8298-4C48-B3BA-B382F58C3A8F}"/>
    <cellStyle name="Normal 3 2 7 2 2 2 3 2" xfId="49579" xr:uid="{B0704C1B-618F-4ADD-A599-939B32A0252F}"/>
    <cellStyle name="Normal 3 2 7 2 2 2 4" xfId="49580" xr:uid="{09B57A12-3C57-4143-848E-0D31B9FBAD71}"/>
    <cellStyle name="Normal 3 2 7 2 2 3" xfId="49581" xr:uid="{08357CBE-E68F-46C3-A6A2-84B419A54030}"/>
    <cellStyle name="Normal 3 2 7 2 2 3 2" xfId="49582" xr:uid="{94AF103C-2232-4B2B-AEAA-7498CCD9EE41}"/>
    <cellStyle name="Normal 3 2 7 2 2 3 2 2" xfId="49583" xr:uid="{4D72C804-981B-4874-8171-D89F5ECB7302}"/>
    <cellStyle name="Normal 3 2 7 2 2 3 3" xfId="49584" xr:uid="{FECE51B4-7255-44F8-BC5C-91116D718D78}"/>
    <cellStyle name="Normal 3 2 7 2 2 4" xfId="49585" xr:uid="{5675A410-E3BC-451A-8102-BEE094265C2F}"/>
    <cellStyle name="Normal 3 2 7 2 2 4 2" xfId="49586" xr:uid="{CEB4F3C5-59F3-4FF7-963B-0BBFDED53B43}"/>
    <cellStyle name="Normal 3 2 7 2 2 5" xfId="49587" xr:uid="{71499F7E-E721-4A0F-AB7C-1C5BE43EFEE6}"/>
    <cellStyle name="Normal 3 2 7 2 3" xfId="49588" xr:uid="{99F19D16-5082-447D-97B5-1214D991FB87}"/>
    <cellStyle name="Normal 3 2 7 2 3 2" xfId="49589" xr:uid="{F3445A93-F324-4A21-91D7-B039FBABBB39}"/>
    <cellStyle name="Normal 3 2 7 2 3 2 2" xfId="49590" xr:uid="{E2CB0C30-C1E5-4F98-B123-7A1074139869}"/>
    <cellStyle name="Normal 3 2 7 2 3 2 2 2" xfId="49591" xr:uid="{9CFB9019-EFE5-44C6-B590-99BC26660308}"/>
    <cellStyle name="Normal 3 2 7 2 3 2 3" xfId="49592" xr:uid="{91E21419-7828-413C-94C9-049BBB603FD0}"/>
    <cellStyle name="Normal 3 2 7 2 3 3" xfId="49593" xr:uid="{F83952DD-090D-414F-8C7A-FE2EF72FC3C8}"/>
    <cellStyle name="Normal 3 2 7 2 3 3 2" xfId="49594" xr:uid="{81B74E20-847C-4A7A-AAC3-24B228993A01}"/>
    <cellStyle name="Normal 3 2 7 2 3 4" xfId="49595" xr:uid="{BA749FB1-CD61-41C1-8C6C-2D3FB4879620}"/>
    <cellStyle name="Normal 3 2 7 2 4" xfId="49596" xr:uid="{2AF0F131-3E6D-45BB-A150-21DAE072822D}"/>
    <cellStyle name="Normal 3 2 7 2 4 2" xfId="49597" xr:uid="{7200F1F9-B8F7-49D5-A724-2F73AE7E5B8A}"/>
    <cellStyle name="Normal 3 2 7 2 4 2 2" xfId="49598" xr:uid="{FF625CD7-307A-4802-9A33-362B600BCBFF}"/>
    <cellStyle name="Normal 3 2 7 2 4 3" xfId="49599" xr:uid="{D7983EB5-4D71-4FA9-AF14-1D1486C233B7}"/>
    <cellStyle name="Normal 3 2 7 2 5" xfId="49600" xr:uid="{0C77D707-78B0-4C39-94A7-3F2FC782521A}"/>
    <cellStyle name="Normal 3 2 7 2 5 2" xfId="49601" xr:uid="{F988B6E1-6D81-454F-9B0C-A09577ABFF4F}"/>
    <cellStyle name="Normal 3 2 7 2 6" xfId="49602" xr:uid="{80C318D9-E1B2-4A19-B00E-95B899B27D89}"/>
    <cellStyle name="Normal 3 2 7 3" xfId="49603" xr:uid="{32DD59BC-DDF4-425C-8DF6-25CF5F2E2E4C}"/>
    <cellStyle name="Normal 3 2 7 3 2" xfId="49604" xr:uid="{ECF8B18D-0864-4293-AB49-8CCB5B24D6A2}"/>
    <cellStyle name="Normal 3 2 7 3 2 2" xfId="49605" xr:uid="{DCEA5512-E172-4461-88E6-D5E70CB68B02}"/>
    <cellStyle name="Normal 3 2 7 3 2 2 2" xfId="49606" xr:uid="{A6584973-6C50-4A47-B070-8EB6769C9FEB}"/>
    <cellStyle name="Normal 3 2 7 3 2 2 2 2" xfId="49607" xr:uid="{291E707B-69E3-4A03-89EC-6520190B1768}"/>
    <cellStyle name="Normal 3 2 7 3 2 2 3" xfId="49608" xr:uid="{C025C784-728F-4961-BFFB-AEB3C9CF3F21}"/>
    <cellStyle name="Normal 3 2 7 3 2 3" xfId="49609" xr:uid="{26C3B667-A0A7-4E4C-8E9A-0E81923B3445}"/>
    <cellStyle name="Normal 3 2 7 3 2 3 2" xfId="49610" xr:uid="{B7157F18-ADFC-4385-9DF6-FFEB78650D70}"/>
    <cellStyle name="Normal 3 2 7 3 2 4" xfId="49611" xr:uid="{7BC48675-2175-4DFE-B81A-25B56533B645}"/>
    <cellStyle name="Normal 3 2 7 3 3" xfId="49612" xr:uid="{FA822C7B-A1EB-4BF2-8275-322A5A6C23DF}"/>
    <cellStyle name="Normal 3 2 7 3 3 2" xfId="49613" xr:uid="{6BC5780B-4924-4562-9987-281F52BA9BC2}"/>
    <cellStyle name="Normal 3 2 7 3 3 2 2" xfId="49614" xr:uid="{11EF3017-C903-4EA6-B7FD-022BD7722EA7}"/>
    <cellStyle name="Normal 3 2 7 3 3 3" xfId="49615" xr:uid="{DF6D0930-8568-4507-A3BC-4CB66AB75D90}"/>
    <cellStyle name="Normal 3 2 7 3 4" xfId="49616" xr:uid="{E29CBDD9-301D-4CC3-98ED-E5006DCE01BE}"/>
    <cellStyle name="Normal 3 2 7 3 4 2" xfId="49617" xr:uid="{1BF5CB08-251B-4039-990A-393AF7F54628}"/>
    <cellStyle name="Normal 3 2 7 3 5" xfId="49618" xr:uid="{A8382B34-F0FF-4595-9FD3-1EDCCB0825DD}"/>
    <cellStyle name="Normal 3 2 7 4" xfId="49619" xr:uid="{5CC10BBD-7F95-48AB-90F6-90EB18F0617E}"/>
    <cellStyle name="Normal 3 2 7 4 2" xfId="49620" xr:uid="{660A582D-7EBF-430E-9024-865690CE077E}"/>
    <cellStyle name="Normal 3 2 7 4 2 2" xfId="49621" xr:uid="{0333DDBB-4D1C-4C98-9096-172B97569C5F}"/>
    <cellStyle name="Normal 3 2 7 4 2 2 2" xfId="49622" xr:uid="{7F245C06-D651-4DCB-9AB5-8A3228FE1A07}"/>
    <cellStyle name="Normal 3 2 7 4 2 3" xfId="49623" xr:uid="{E5E95133-4256-4923-86F9-0F29182E1DB7}"/>
    <cellStyle name="Normal 3 2 7 4 3" xfId="49624" xr:uid="{E98D6064-9513-493B-9192-5A0368BE9BCF}"/>
    <cellStyle name="Normal 3 2 7 4 3 2" xfId="49625" xr:uid="{55B1C5B5-805F-40DB-AE15-004E1D5C0F8A}"/>
    <cellStyle name="Normal 3 2 7 4 4" xfId="49626" xr:uid="{71938273-51E2-4A4C-86B5-D6AA82EF642E}"/>
    <cellStyle name="Normal 3 2 7 5" xfId="49627" xr:uid="{77F10441-6C92-4CD8-B329-A506A3690260}"/>
    <cellStyle name="Normal 3 2 7 5 2" xfId="49628" xr:uid="{D90A22B7-CD60-4F92-B913-7333D679FAA1}"/>
    <cellStyle name="Normal 3 2 7 5 2 2" xfId="49629" xr:uid="{E4C7F126-D14B-4767-8DB0-887F35125C5B}"/>
    <cellStyle name="Normal 3 2 7 5 3" xfId="49630" xr:uid="{8E184CBC-D1F8-4164-8CA3-939F0430C490}"/>
    <cellStyle name="Normal 3 2 7 6" xfId="49631" xr:uid="{B06C0AD0-81AC-45C7-AE0B-1B8C44E161D7}"/>
    <cellStyle name="Normal 3 2 7 6 2" xfId="49632" xr:uid="{598AF946-4059-48C6-BD4D-DD448F3D54C9}"/>
    <cellStyle name="Normal 3 2 7 7" xfId="49633" xr:uid="{CF2691B1-28B7-4716-B9E7-D7BE980EBB5F}"/>
    <cellStyle name="Normal 3 2 8" xfId="49634" xr:uid="{8FEED7B7-60DE-4F18-9A81-59BA882F88C4}"/>
    <cellStyle name="Normal 3 2 8 2" xfId="49635" xr:uid="{78E941E7-A7D2-41C2-B7DE-6ADB39A67C1D}"/>
    <cellStyle name="Normal 3 2 8 2 2" xfId="49636" xr:uid="{525F634F-373A-4FE1-B86B-1AEF3E5BB8F8}"/>
    <cellStyle name="Normal 3 2 8 2 2 2" xfId="49637" xr:uid="{F3DDB535-08B7-4670-B1B1-DA1CBF60E167}"/>
    <cellStyle name="Normal 3 2 8 2 2 2 2" xfId="49638" xr:uid="{0B834173-17D9-4D1F-B2F1-03A8333C572D}"/>
    <cellStyle name="Normal 3 2 8 2 2 2 2 2" xfId="49639" xr:uid="{8EFD2BDC-5BC2-4B37-83C1-892F8470F485}"/>
    <cellStyle name="Normal 3 2 8 2 2 2 3" xfId="49640" xr:uid="{972ABF98-8164-4FC3-BA5B-DD05B137DFEE}"/>
    <cellStyle name="Normal 3 2 8 2 2 3" xfId="49641" xr:uid="{04B6616D-4C25-4354-B2BB-F450A1D06D41}"/>
    <cellStyle name="Normal 3 2 8 2 2 3 2" xfId="49642" xr:uid="{EFFDD698-21C4-4DEF-95FB-954F6AEF6BC9}"/>
    <cellStyle name="Normal 3 2 8 2 2 4" xfId="49643" xr:uid="{ABA27443-049B-4497-8FA5-C49C874E7E5E}"/>
    <cellStyle name="Normal 3 2 8 2 3" xfId="49644" xr:uid="{21BBD9AF-12B6-491E-B87C-3388D1091F19}"/>
    <cellStyle name="Normal 3 2 8 2 3 2" xfId="49645" xr:uid="{A7CBE42B-1210-4B9C-B0BC-8721D181A481}"/>
    <cellStyle name="Normal 3 2 8 2 3 2 2" xfId="49646" xr:uid="{AC0369D1-E2B4-41E2-B95B-F04262A65552}"/>
    <cellStyle name="Normal 3 2 8 2 3 3" xfId="49647" xr:uid="{719D0B22-5030-45E4-AC0F-FECAA36D0972}"/>
    <cellStyle name="Normal 3 2 8 2 4" xfId="49648" xr:uid="{53C0D60E-F276-41B3-8B91-9BC279B0F696}"/>
    <cellStyle name="Normal 3 2 8 2 4 2" xfId="49649" xr:uid="{C7E3BCB5-7408-489A-AA14-CE728E21C023}"/>
    <cellStyle name="Normal 3 2 8 2 5" xfId="49650" xr:uid="{FF353CF0-1537-4015-990B-7B6F53B65A2F}"/>
    <cellStyle name="Normal 3 2 8 3" xfId="49651" xr:uid="{F7827D92-41A4-4855-8E96-3005765FE9E7}"/>
    <cellStyle name="Normal 3 2 8 3 2" xfId="49652" xr:uid="{D0A2F3F5-D2D1-480B-B253-5AAFEC2A22C2}"/>
    <cellStyle name="Normal 3 2 8 3 2 2" xfId="49653" xr:uid="{4A7722B9-8624-4B99-A15C-3FE39D7A3BAF}"/>
    <cellStyle name="Normal 3 2 8 3 2 2 2" xfId="49654" xr:uid="{FAD60DDD-25C9-497A-A91C-BEB55D29DB84}"/>
    <cellStyle name="Normal 3 2 8 3 2 3" xfId="49655" xr:uid="{D8240A53-2A4C-48FD-BC84-2464CDC6787D}"/>
    <cellStyle name="Normal 3 2 8 3 3" xfId="49656" xr:uid="{90C13DA6-7AA7-4D7C-BE5E-97D4322795A5}"/>
    <cellStyle name="Normal 3 2 8 3 3 2" xfId="49657" xr:uid="{1E02FD81-E8C4-4DAC-9CBA-3ADB3D8FC47D}"/>
    <cellStyle name="Normal 3 2 8 3 4" xfId="49658" xr:uid="{3868E108-3CDE-46A4-9CFD-E03F2858BC4F}"/>
    <cellStyle name="Normal 3 2 8 4" xfId="49659" xr:uid="{B3DBC7FD-755C-4645-A176-23B53926A149}"/>
    <cellStyle name="Normal 3 2 8 4 2" xfId="49660" xr:uid="{C0402B93-AFCE-4E02-92CC-50BB8A6D54CC}"/>
    <cellStyle name="Normal 3 2 8 4 2 2" xfId="49661" xr:uid="{1505C72C-DFA7-4045-B04E-76C8CCC40DF4}"/>
    <cellStyle name="Normal 3 2 8 4 3" xfId="49662" xr:uid="{D3253D9C-E44D-4B79-91E2-E0A825B4F350}"/>
    <cellStyle name="Normal 3 2 8 5" xfId="49663" xr:uid="{98F4B023-D236-49CB-B11F-8DAAC2FBC3B0}"/>
    <cellStyle name="Normal 3 2 8 5 2" xfId="49664" xr:uid="{A53EDFB5-752F-4E7C-B673-D1891463503B}"/>
    <cellStyle name="Normal 3 2 8 6" xfId="49665" xr:uid="{BBA1E4CC-D4EC-45E6-9820-FB8916E8E820}"/>
    <cellStyle name="Normal 3 2 9" xfId="49666" xr:uid="{2844259B-E190-46D1-9281-C8C51E4B5B10}"/>
    <cellStyle name="Normal 3 2 9 2" xfId="49667" xr:uid="{B894AA42-79F7-4E4A-BAE3-6523774B41EE}"/>
    <cellStyle name="Normal 3 2 9 2 2" xfId="49668" xr:uid="{9A73512C-18DD-4075-B0B3-5EAF01390A69}"/>
    <cellStyle name="Normal 3 2 9 2 2 2" xfId="49669" xr:uid="{928E269A-5A43-46B3-8D29-2B862C362A28}"/>
    <cellStyle name="Normal 3 2 9 2 2 2 2" xfId="49670" xr:uid="{A281D349-853A-4909-902C-854BC4E682B9}"/>
    <cellStyle name="Normal 3 2 9 2 2 3" xfId="49671" xr:uid="{390F4835-29A9-4F21-B800-7243180712E3}"/>
    <cellStyle name="Normal 3 2 9 2 3" xfId="49672" xr:uid="{FA9C4268-1D31-4F1E-8531-CBF4EE99073E}"/>
    <cellStyle name="Normal 3 2 9 2 3 2" xfId="49673" xr:uid="{55F528C5-5529-4778-A218-9076791A4CB3}"/>
    <cellStyle name="Normal 3 2 9 2 4" xfId="49674" xr:uid="{589F8928-F4F7-416D-B68A-7E814459F78C}"/>
    <cellStyle name="Normal 3 2 9 3" xfId="49675" xr:uid="{A44D139C-05DC-405B-BA5C-D42972E43989}"/>
    <cellStyle name="Normal 3 2 9 3 2" xfId="49676" xr:uid="{A2384C04-AD45-46EA-8CDF-A808B6E405E3}"/>
    <cellStyle name="Normal 3 2 9 3 2 2" xfId="49677" xr:uid="{5181BE0D-2ACA-4D08-BCE6-6F41CB896B4B}"/>
    <cellStyle name="Normal 3 2 9 3 3" xfId="49678" xr:uid="{A14163FD-6EDD-42DB-9556-7908BBE781D7}"/>
    <cellStyle name="Normal 3 2 9 4" xfId="49679" xr:uid="{B5F442F1-D728-4612-AEF2-62425D297FE4}"/>
    <cellStyle name="Normal 3 2 9 4 2" xfId="49680" xr:uid="{3D01C46E-1BD5-44A4-96B8-5B7A4A5149C8}"/>
    <cellStyle name="Normal 3 2 9 5" xfId="49681" xr:uid="{65986709-7E6D-4728-8982-AC59A443877E}"/>
    <cellStyle name="Normal 3 3" xfId="29" xr:uid="{744BA6F4-1C01-4D7B-A063-AAB64840D292}"/>
    <cellStyle name="Normal 3 3 10" xfId="49682" xr:uid="{A5D289F3-79D9-43B9-AB69-C745E1E1B7B3}"/>
    <cellStyle name="Normal 3 3 10 2" xfId="49683" xr:uid="{4EAC3439-EF12-4648-93FC-FC4FD0837E18}"/>
    <cellStyle name="Normal 3 3 10 2 2" xfId="49684" xr:uid="{FC2AEF74-0BE7-4353-A2A0-D0B15378DB31}"/>
    <cellStyle name="Normal 3 3 10 2 2 2" xfId="49685" xr:uid="{7A306A35-4E2A-4CDA-95BF-5921EBC68571}"/>
    <cellStyle name="Normal 3 3 10 2 3" xfId="49686" xr:uid="{18566648-6B55-4750-9B99-4E13F0B557A1}"/>
    <cellStyle name="Normal 3 3 10 3" xfId="49687" xr:uid="{3DCDA88D-3CC0-4F30-A2E7-E5E880979DE0}"/>
    <cellStyle name="Normal 3 3 10 3 2" xfId="49688" xr:uid="{69E23745-C18F-4248-A487-51BE1AF679B5}"/>
    <cellStyle name="Normal 3 3 10 4" xfId="49689" xr:uid="{F3371923-F232-4B94-9535-C039494A2188}"/>
    <cellStyle name="Normal 3 3 11" xfId="49690" xr:uid="{B78D06DD-9DBB-41C2-8482-634DDF1ED727}"/>
    <cellStyle name="Normal 3 3 11 2" xfId="49691" xr:uid="{A0C9C5C1-E43C-4316-90E4-2850627E4EFB}"/>
    <cellStyle name="Normal 3 3 11 2 2" xfId="49692" xr:uid="{8317B075-829F-40CE-9DD1-AF7D5BAA7B9D}"/>
    <cellStyle name="Normal 3 3 11 3" xfId="49693" xr:uid="{0EA4CECE-CF60-418A-9DC9-E60CA95028D5}"/>
    <cellStyle name="Normal 3 3 12" xfId="49694" xr:uid="{F31D59B8-D8C9-4ACD-A1BE-8CBB96BD6352}"/>
    <cellStyle name="Normal 3 3 12 2" xfId="49695" xr:uid="{5ED54CBF-E7F2-436A-A0A2-9CF318791ACE}"/>
    <cellStyle name="Normal 3 3 13" xfId="49696" xr:uid="{324B2824-3788-42FB-878A-9285B4527C80}"/>
    <cellStyle name="Normal 3 3 14" xfId="54776" xr:uid="{582688A6-8007-436E-A679-CF62E0AFBC42}"/>
    <cellStyle name="Normal 3 3 15" xfId="101" xr:uid="{A5F1189D-9B5A-4AEF-B138-736831C251E8}"/>
    <cellStyle name="Normal 3 3 2" xfId="189" xr:uid="{F03A3BEF-C021-495E-AFA3-6B043542BA53}"/>
    <cellStyle name="Normal 3 3 3" xfId="151" xr:uid="{B8E3D68B-B511-4393-AECC-545F6D962CA6}"/>
    <cellStyle name="Normal 3 3 4" xfId="49697" xr:uid="{4275E4F1-8E7F-48F0-8718-9EAB25AEBED9}"/>
    <cellStyle name="Normal 3 3 5" xfId="49698" xr:uid="{3CFCA990-1475-4859-A39E-CD39DED34367}"/>
    <cellStyle name="Normal 3 3 5 2" xfId="49699" xr:uid="{8393F9CD-B201-4FF7-8C32-2C7B1F3DBB77}"/>
    <cellStyle name="Normal 3 3 5 2 2" xfId="49700" xr:uid="{8B337FB2-AA0A-442C-85F3-F08B543F72D6}"/>
    <cellStyle name="Normal 3 3 5 2 2 2" xfId="49701" xr:uid="{E6F31DCC-57F2-4DC7-AB1E-99D0EE20B78E}"/>
    <cellStyle name="Normal 3 3 5 2 2 2 2" xfId="49702" xr:uid="{428CE720-88B8-47ED-B010-6604F9A0CD8E}"/>
    <cellStyle name="Normal 3 3 5 2 2 2 2 2" xfId="49703" xr:uid="{BAB7FDB7-A216-4B60-A8DF-6C55BD36468E}"/>
    <cellStyle name="Normal 3 3 5 2 2 2 2 2 2" xfId="49704" xr:uid="{FEA6F8E3-D598-4491-9AFF-B125C770EBB2}"/>
    <cellStyle name="Normal 3 3 5 2 2 2 2 2 2 2" xfId="49705" xr:uid="{8FD1CD06-59A8-4FCD-B19C-C77181F76D3B}"/>
    <cellStyle name="Normal 3 3 5 2 2 2 2 2 2 2 2" xfId="49706" xr:uid="{8BB2083A-5D92-4ED9-B03C-BEA8B20ECFBC}"/>
    <cellStyle name="Normal 3 3 5 2 2 2 2 2 2 3" xfId="49707" xr:uid="{98C27310-28C4-4A93-8655-A29323775C7C}"/>
    <cellStyle name="Normal 3 3 5 2 2 2 2 2 3" xfId="49708" xr:uid="{12245D4E-3EA2-4B70-98D9-58EAE77FBFF3}"/>
    <cellStyle name="Normal 3 3 5 2 2 2 2 2 3 2" xfId="49709" xr:uid="{46CBA4B8-5515-4320-BE9F-2FAB867B60EC}"/>
    <cellStyle name="Normal 3 3 5 2 2 2 2 2 4" xfId="49710" xr:uid="{DDAB9994-E759-4417-9D50-3DFA2673E847}"/>
    <cellStyle name="Normal 3 3 5 2 2 2 2 3" xfId="49711" xr:uid="{681120E7-0BB0-4B87-86D9-349FE059C7A3}"/>
    <cellStyle name="Normal 3 3 5 2 2 2 2 3 2" xfId="49712" xr:uid="{63F36031-BED0-41CA-A0F7-DD76D56FF2C7}"/>
    <cellStyle name="Normal 3 3 5 2 2 2 2 3 2 2" xfId="49713" xr:uid="{18759904-8AA7-466C-91BB-F6DECBC2BCF1}"/>
    <cellStyle name="Normal 3 3 5 2 2 2 2 3 3" xfId="49714" xr:uid="{951E3CE2-004E-40CD-B409-A3D9ABD46290}"/>
    <cellStyle name="Normal 3 3 5 2 2 2 2 4" xfId="49715" xr:uid="{DB619536-4A29-4517-A180-73F36511F2BD}"/>
    <cellStyle name="Normal 3 3 5 2 2 2 2 4 2" xfId="49716" xr:uid="{527C80A9-5666-4C60-8DD2-7A2F19027D6E}"/>
    <cellStyle name="Normal 3 3 5 2 2 2 2 5" xfId="49717" xr:uid="{ECB8C608-C605-43CD-9B87-EF142432CDB0}"/>
    <cellStyle name="Normal 3 3 5 2 2 2 3" xfId="49718" xr:uid="{727D4693-A07B-4139-BDE3-E23CA8C6DB4E}"/>
    <cellStyle name="Normal 3 3 5 2 2 2 3 2" xfId="49719" xr:uid="{3B633211-F2BA-47AB-B871-5E2EA4D8D466}"/>
    <cellStyle name="Normal 3 3 5 2 2 2 3 2 2" xfId="49720" xr:uid="{9B5CA650-8DE3-4F9E-B9EA-DB82A79E54E4}"/>
    <cellStyle name="Normal 3 3 5 2 2 2 3 2 2 2" xfId="49721" xr:uid="{52A75A9F-6D60-4DB6-9C29-000BAEBC7D85}"/>
    <cellStyle name="Normal 3 3 5 2 2 2 3 2 3" xfId="49722" xr:uid="{B2F74094-77B1-44B3-BFEC-1AC965FEBA10}"/>
    <cellStyle name="Normal 3 3 5 2 2 2 3 3" xfId="49723" xr:uid="{830419A4-C60D-4DD1-8563-C89EB48ED84C}"/>
    <cellStyle name="Normal 3 3 5 2 2 2 3 3 2" xfId="49724" xr:uid="{BD8C9963-7B76-4EFD-8495-9C517B46F40B}"/>
    <cellStyle name="Normal 3 3 5 2 2 2 3 4" xfId="49725" xr:uid="{A3830754-8FB3-44C3-836D-911869E0098D}"/>
    <cellStyle name="Normal 3 3 5 2 2 2 4" xfId="49726" xr:uid="{C2E4513B-8CF3-4862-8151-2BA8661DD21A}"/>
    <cellStyle name="Normal 3 3 5 2 2 2 4 2" xfId="49727" xr:uid="{BD5CB55B-1680-4577-A8EE-5CD885D06EC3}"/>
    <cellStyle name="Normal 3 3 5 2 2 2 4 2 2" xfId="49728" xr:uid="{43FE8758-3541-4F9A-B647-4AE35C9D7E1F}"/>
    <cellStyle name="Normal 3 3 5 2 2 2 4 3" xfId="49729" xr:uid="{9C63AF80-CD2F-4D9B-A78E-733E24D281F8}"/>
    <cellStyle name="Normal 3 3 5 2 2 2 5" xfId="49730" xr:uid="{53013D23-0BEB-4B53-B8F8-1AD2B2E6B277}"/>
    <cellStyle name="Normal 3 3 5 2 2 2 5 2" xfId="49731" xr:uid="{F8C283A3-A959-4E3C-9743-FFBE59D99675}"/>
    <cellStyle name="Normal 3 3 5 2 2 2 6" xfId="49732" xr:uid="{7C7AEA5B-2357-403C-B49C-732CC1FFE11A}"/>
    <cellStyle name="Normal 3 3 5 2 2 3" xfId="49733" xr:uid="{709CD443-C59F-48D8-8126-8003A4D8985D}"/>
    <cellStyle name="Normal 3 3 5 2 2 3 2" xfId="49734" xr:uid="{03A4EAEE-A936-4967-A538-CE1765C99414}"/>
    <cellStyle name="Normal 3 3 5 2 2 3 2 2" xfId="49735" xr:uid="{4F1392CA-FE4A-40FC-9617-562A7A214AC3}"/>
    <cellStyle name="Normal 3 3 5 2 2 3 2 2 2" xfId="49736" xr:uid="{017EC5E8-99AF-4390-BFF1-1107B70A926F}"/>
    <cellStyle name="Normal 3 3 5 2 2 3 2 2 2 2" xfId="49737" xr:uid="{346C5C85-749D-47E7-AC4E-9F0C98C47C1C}"/>
    <cellStyle name="Normal 3 3 5 2 2 3 2 2 3" xfId="49738" xr:uid="{5D7557A8-3676-4E3E-96DD-1CB357E02EE3}"/>
    <cellStyle name="Normal 3 3 5 2 2 3 2 3" xfId="49739" xr:uid="{C984BE92-9FC7-4F95-B62A-59CA87D55757}"/>
    <cellStyle name="Normal 3 3 5 2 2 3 2 3 2" xfId="49740" xr:uid="{F3E1FA16-9E7A-4E1C-AD5E-DB038B41A38D}"/>
    <cellStyle name="Normal 3 3 5 2 2 3 2 4" xfId="49741" xr:uid="{B350B512-AD2C-4572-9754-380224E331C0}"/>
    <cellStyle name="Normal 3 3 5 2 2 3 3" xfId="49742" xr:uid="{C91C5369-1EC1-4261-81B6-2C9C60054041}"/>
    <cellStyle name="Normal 3 3 5 2 2 3 3 2" xfId="49743" xr:uid="{F6335E04-8ACB-435A-B856-06237A0BC558}"/>
    <cellStyle name="Normal 3 3 5 2 2 3 3 2 2" xfId="49744" xr:uid="{753D4A3E-51A8-48EF-9C72-BABBF0EE16A4}"/>
    <cellStyle name="Normal 3 3 5 2 2 3 3 3" xfId="49745" xr:uid="{E5709995-B8BF-42BE-B0B8-D7E5CBF3255D}"/>
    <cellStyle name="Normal 3 3 5 2 2 3 4" xfId="49746" xr:uid="{1B6A2C25-830E-4BE5-83AD-6046C4555938}"/>
    <cellStyle name="Normal 3 3 5 2 2 3 4 2" xfId="49747" xr:uid="{9A4BA3D0-0863-4F3B-9EE4-5A09FC8ACA44}"/>
    <cellStyle name="Normal 3 3 5 2 2 3 5" xfId="49748" xr:uid="{B76352C6-20D6-4268-8E72-C7F8F6F1C97E}"/>
    <cellStyle name="Normal 3 3 5 2 2 4" xfId="49749" xr:uid="{8D20E3D7-B78C-40EE-BCE0-A523D475AA24}"/>
    <cellStyle name="Normal 3 3 5 2 2 4 2" xfId="49750" xr:uid="{1EA75AD3-BF51-4B44-8FC9-223AE3325909}"/>
    <cellStyle name="Normal 3 3 5 2 2 4 2 2" xfId="49751" xr:uid="{E056AE3F-D3E0-4F75-B677-1FEEF3EDDE03}"/>
    <cellStyle name="Normal 3 3 5 2 2 4 2 2 2" xfId="49752" xr:uid="{062F75A6-D99F-4FA2-B332-15677034D022}"/>
    <cellStyle name="Normal 3 3 5 2 2 4 2 3" xfId="49753" xr:uid="{FCDD908E-1150-44EE-9C09-00BF5756F6B8}"/>
    <cellStyle name="Normal 3 3 5 2 2 4 3" xfId="49754" xr:uid="{68907AE5-719C-45F2-8ED8-FCBB1434737C}"/>
    <cellStyle name="Normal 3 3 5 2 2 4 3 2" xfId="49755" xr:uid="{158DDF85-5B74-4F37-A757-52A07AFD453A}"/>
    <cellStyle name="Normal 3 3 5 2 2 4 4" xfId="49756" xr:uid="{171BFE24-F884-4BD9-9102-2F01FD72D70B}"/>
    <cellStyle name="Normal 3 3 5 2 2 5" xfId="49757" xr:uid="{7FC59B2D-B9DD-4BAF-A03E-C8FE4D19A123}"/>
    <cellStyle name="Normal 3 3 5 2 2 5 2" xfId="49758" xr:uid="{57402138-84E7-42CF-B45C-608B76B15DAF}"/>
    <cellStyle name="Normal 3 3 5 2 2 5 2 2" xfId="49759" xr:uid="{60A1A3B2-3863-46E0-A715-9CDF1B45B203}"/>
    <cellStyle name="Normal 3 3 5 2 2 5 3" xfId="49760" xr:uid="{B552C86A-49CC-4878-946C-1F2D9D97D155}"/>
    <cellStyle name="Normal 3 3 5 2 2 6" xfId="49761" xr:uid="{9463010D-F43F-44BD-8308-BA425A580010}"/>
    <cellStyle name="Normal 3 3 5 2 2 6 2" xfId="49762" xr:uid="{E753B9EF-B41C-49E8-BA0A-BE97E937B78C}"/>
    <cellStyle name="Normal 3 3 5 2 2 7" xfId="49763" xr:uid="{0D69D9A1-4EC3-4D42-B4C5-1D138144FD65}"/>
    <cellStyle name="Normal 3 3 5 2 3" xfId="49764" xr:uid="{E7BA31D1-B967-442A-8106-307DA5F93A4C}"/>
    <cellStyle name="Normal 3 3 5 2 3 2" xfId="49765" xr:uid="{DC01C736-3622-43DF-A868-97C5D227FB48}"/>
    <cellStyle name="Normal 3 3 5 2 3 2 2" xfId="49766" xr:uid="{04D3A319-E48B-43E7-BCA5-44D5CE7EA2AF}"/>
    <cellStyle name="Normal 3 3 5 2 3 2 2 2" xfId="49767" xr:uid="{6DCD1D3E-4A8B-4681-8E51-C6109704A23F}"/>
    <cellStyle name="Normal 3 3 5 2 3 2 2 2 2" xfId="49768" xr:uid="{2E3CEDDC-0F34-4F21-908F-37ECBEFA8B07}"/>
    <cellStyle name="Normal 3 3 5 2 3 2 2 2 2 2" xfId="49769" xr:uid="{D44AB102-9433-4CFE-A82C-1BBB899B2302}"/>
    <cellStyle name="Normal 3 3 5 2 3 2 2 2 3" xfId="49770" xr:uid="{A8D92CDF-E39C-40E2-8BA3-C67F71FABF49}"/>
    <cellStyle name="Normal 3 3 5 2 3 2 2 3" xfId="49771" xr:uid="{FCDE5D5C-9AF8-42DA-ADC4-6C4537CC7DBF}"/>
    <cellStyle name="Normal 3 3 5 2 3 2 2 3 2" xfId="49772" xr:uid="{487B9F49-97C1-4DA1-8DB1-8822A0CF9F5F}"/>
    <cellStyle name="Normal 3 3 5 2 3 2 2 4" xfId="49773" xr:uid="{2686A0E6-A276-43E4-A56D-9AB24DFA22B7}"/>
    <cellStyle name="Normal 3 3 5 2 3 2 3" xfId="49774" xr:uid="{BEB15B43-8EE2-4936-8589-0B6B15CA5F5C}"/>
    <cellStyle name="Normal 3 3 5 2 3 2 3 2" xfId="49775" xr:uid="{5DA44E22-E75F-4CED-8C01-155089C9A911}"/>
    <cellStyle name="Normal 3 3 5 2 3 2 3 2 2" xfId="49776" xr:uid="{634EF2D7-DBDE-4EC6-8C80-1F24BCC040F4}"/>
    <cellStyle name="Normal 3 3 5 2 3 2 3 3" xfId="49777" xr:uid="{2DC21B3C-10D5-4881-9E9C-40A781551EC8}"/>
    <cellStyle name="Normal 3 3 5 2 3 2 4" xfId="49778" xr:uid="{1BF2162C-8BDC-48B2-AE54-7BA55D4B5059}"/>
    <cellStyle name="Normal 3 3 5 2 3 2 4 2" xfId="49779" xr:uid="{3717C462-4EE0-477A-BDE8-032EE5BC9A4A}"/>
    <cellStyle name="Normal 3 3 5 2 3 2 5" xfId="49780" xr:uid="{771276E0-DBEC-43E7-B884-7976E351F2B3}"/>
    <cellStyle name="Normal 3 3 5 2 3 3" xfId="49781" xr:uid="{C19D93D7-9654-4736-8F15-7CC557D9F0C5}"/>
    <cellStyle name="Normal 3 3 5 2 3 3 2" xfId="49782" xr:uid="{7BD3CE88-A91C-4564-823A-A212B02A685C}"/>
    <cellStyle name="Normal 3 3 5 2 3 3 2 2" xfId="49783" xr:uid="{EAD934F5-E5FA-4D92-BAEF-BC5BDE328277}"/>
    <cellStyle name="Normal 3 3 5 2 3 3 2 2 2" xfId="49784" xr:uid="{25EB874E-154F-4AE0-8330-15E6007DAF1D}"/>
    <cellStyle name="Normal 3 3 5 2 3 3 2 3" xfId="49785" xr:uid="{4F71550B-2C5F-4191-9B40-C2D2A93F2A4D}"/>
    <cellStyle name="Normal 3 3 5 2 3 3 3" xfId="49786" xr:uid="{BDA91D84-D7AE-4CB3-879D-315115562267}"/>
    <cellStyle name="Normal 3 3 5 2 3 3 3 2" xfId="49787" xr:uid="{2ECA3BD9-98A9-48AD-B36F-0D39D97298E2}"/>
    <cellStyle name="Normal 3 3 5 2 3 3 4" xfId="49788" xr:uid="{7CC19956-3C65-49F2-A648-2AB63B28BCDD}"/>
    <cellStyle name="Normal 3 3 5 2 3 4" xfId="49789" xr:uid="{A050C3C3-47C2-4722-AF39-5B3921052F65}"/>
    <cellStyle name="Normal 3 3 5 2 3 4 2" xfId="49790" xr:uid="{DEA32533-E7C8-4F70-A281-CE39CB111EC4}"/>
    <cellStyle name="Normal 3 3 5 2 3 4 2 2" xfId="49791" xr:uid="{9A79F86E-F93D-4F0E-8D84-DB403332BB55}"/>
    <cellStyle name="Normal 3 3 5 2 3 4 3" xfId="49792" xr:uid="{6FF587F1-16FE-451B-9029-6D52CD137CFE}"/>
    <cellStyle name="Normal 3 3 5 2 3 5" xfId="49793" xr:uid="{CA964216-CF07-44E0-9AF5-A13237CCA6C1}"/>
    <cellStyle name="Normal 3 3 5 2 3 5 2" xfId="49794" xr:uid="{5320C058-10F4-46C9-B49B-EC34F968069E}"/>
    <cellStyle name="Normal 3 3 5 2 3 6" xfId="49795" xr:uid="{0DCB7B70-F7E5-4B78-8E06-17CB5DBFA65F}"/>
    <cellStyle name="Normal 3 3 5 2 4" xfId="49796" xr:uid="{A65C4FD7-25DF-42CE-9AF5-25E9BC3ED342}"/>
    <cellStyle name="Normal 3 3 5 2 4 2" xfId="49797" xr:uid="{EB63F8AC-EBED-495F-9945-603477E6F9A1}"/>
    <cellStyle name="Normal 3 3 5 2 4 2 2" xfId="49798" xr:uid="{6898ACB3-150E-4A31-80C6-621A8D2DC307}"/>
    <cellStyle name="Normal 3 3 5 2 4 2 2 2" xfId="49799" xr:uid="{3D038AD3-9E11-4F14-8EC2-22AFF3A0F1D8}"/>
    <cellStyle name="Normal 3 3 5 2 4 2 2 2 2" xfId="49800" xr:uid="{46F278CC-0118-4BF7-9D23-DF56A794913A}"/>
    <cellStyle name="Normal 3 3 5 2 4 2 2 3" xfId="49801" xr:uid="{E6EF36FA-AD77-4A7F-BBDE-32D68721FAF8}"/>
    <cellStyle name="Normal 3 3 5 2 4 2 3" xfId="49802" xr:uid="{CDE61216-8879-49B1-B69F-76FDA5E98D40}"/>
    <cellStyle name="Normal 3 3 5 2 4 2 3 2" xfId="49803" xr:uid="{DC3ACDCF-E1CB-423E-87A8-AF13BD21E3D4}"/>
    <cellStyle name="Normal 3 3 5 2 4 2 4" xfId="49804" xr:uid="{7A1B4F5F-6448-45B7-B02F-48F6D47B62E3}"/>
    <cellStyle name="Normal 3 3 5 2 4 3" xfId="49805" xr:uid="{C7BFCDBE-F6C1-4A36-934E-328EB9E04708}"/>
    <cellStyle name="Normal 3 3 5 2 4 3 2" xfId="49806" xr:uid="{71EF2968-A9B9-4123-AB70-F13C66F25F98}"/>
    <cellStyle name="Normal 3 3 5 2 4 3 2 2" xfId="49807" xr:uid="{1D189400-F855-4E32-AF19-B404BA97D75C}"/>
    <cellStyle name="Normal 3 3 5 2 4 3 3" xfId="49808" xr:uid="{E001792B-39DF-455A-807D-81099622B582}"/>
    <cellStyle name="Normal 3 3 5 2 4 4" xfId="49809" xr:uid="{CE0711C5-DF98-4E11-B1DA-02296937E325}"/>
    <cellStyle name="Normal 3 3 5 2 4 4 2" xfId="49810" xr:uid="{E885D6C1-9D5A-425E-A200-2ADA0D564D80}"/>
    <cellStyle name="Normal 3 3 5 2 4 5" xfId="49811" xr:uid="{72610821-B603-4BAE-980C-2BB0F7746666}"/>
    <cellStyle name="Normal 3 3 5 2 5" xfId="49812" xr:uid="{08192C76-3995-4545-8AE7-BBAD99AC99BE}"/>
    <cellStyle name="Normal 3 3 5 2 5 2" xfId="49813" xr:uid="{C93C3E26-D953-4348-BBAC-AD11823B63C6}"/>
    <cellStyle name="Normal 3 3 5 2 5 2 2" xfId="49814" xr:uid="{DF058F8A-8565-429B-BAF2-07AED10B6531}"/>
    <cellStyle name="Normal 3 3 5 2 5 2 2 2" xfId="49815" xr:uid="{658885E2-7EE6-401C-9CC1-F50EF9B442BD}"/>
    <cellStyle name="Normal 3 3 5 2 5 2 3" xfId="49816" xr:uid="{93CE65A4-F0AB-4860-8CF2-F5DD154D4482}"/>
    <cellStyle name="Normal 3 3 5 2 5 3" xfId="49817" xr:uid="{E297496F-A59D-4E1D-9CF5-8C16A0BA8236}"/>
    <cellStyle name="Normal 3 3 5 2 5 3 2" xfId="49818" xr:uid="{87ABB7EE-DDDD-4CE7-B526-D4B1CF79DFE6}"/>
    <cellStyle name="Normal 3 3 5 2 5 4" xfId="49819" xr:uid="{C1DE8EA2-B312-4603-B3BC-A47FBDD9D362}"/>
    <cellStyle name="Normal 3 3 5 2 6" xfId="49820" xr:uid="{A3E9531C-40BD-4437-824C-2C971F0DEFE1}"/>
    <cellStyle name="Normal 3 3 5 2 6 2" xfId="49821" xr:uid="{25C0EC54-939E-453E-A50C-4C751310A9E5}"/>
    <cellStyle name="Normal 3 3 5 2 6 2 2" xfId="49822" xr:uid="{EBABFCFA-B4AA-4E6B-8681-C981AE24B06F}"/>
    <cellStyle name="Normal 3 3 5 2 6 3" xfId="49823" xr:uid="{531062D4-E7B7-42DD-92F2-101D4B487EAC}"/>
    <cellStyle name="Normal 3 3 5 2 7" xfId="49824" xr:uid="{124E6D36-8457-4FC5-AFB8-C2ABB1FBF70E}"/>
    <cellStyle name="Normal 3 3 5 2 7 2" xfId="49825" xr:uid="{FFE7F0FF-2803-4F50-8EB4-A5694D1C6C63}"/>
    <cellStyle name="Normal 3 3 5 2 8" xfId="49826" xr:uid="{B9635EE2-F20B-45C9-B2D6-974484E1A255}"/>
    <cellStyle name="Normal 3 3 5 3" xfId="49827" xr:uid="{C28E9206-B364-4900-A8BB-BDDED2A84CD4}"/>
    <cellStyle name="Normal 3 3 5 3 2" xfId="49828" xr:uid="{7D88513A-DD11-474F-821C-AAD19A298606}"/>
    <cellStyle name="Normal 3 3 5 3 2 2" xfId="49829" xr:uid="{94119781-A707-4D0B-85CF-F191EB8B826D}"/>
    <cellStyle name="Normal 3 3 5 3 2 2 2" xfId="49830" xr:uid="{B1726615-72A3-451A-B6D2-B5811763FCC4}"/>
    <cellStyle name="Normal 3 3 5 3 2 2 2 2" xfId="49831" xr:uid="{CEC37679-EFC9-459E-8A1E-9B7AAA1314A4}"/>
    <cellStyle name="Normal 3 3 5 3 2 2 2 2 2" xfId="49832" xr:uid="{77F0BCD4-0B7B-4EC7-8083-771619E8C7D5}"/>
    <cellStyle name="Normal 3 3 5 3 2 2 2 2 2 2" xfId="49833" xr:uid="{DBB0AAB1-6722-46E8-95B9-57B31548EBC4}"/>
    <cellStyle name="Normal 3 3 5 3 2 2 2 2 3" xfId="49834" xr:uid="{D3AA1969-23BA-48A2-9D2B-581A1138DD92}"/>
    <cellStyle name="Normal 3 3 5 3 2 2 2 3" xfId="49835" xr:uid="{58FB627E-396D-401B-8519-CB35AE8D68BB}"/>
    <cellStyle name="Normal 3 3 5 3 2 2 2 3 2" xfId="49836" xr:uid="{D3BB8F5F-E3F9-4898-AEFC-F3C9541B13B3}"/>
    <cellStyle name="Normal 3 3 5 3 2 2 2 4" xfId="49837" xr:uid="{3B8F1766-6F81-4F85-BA19-23F8EAC9C974}"/>
    <cellStyle name="Normal 3 3 5 3 2 2 3" xfId="49838" xr:uid="{8D49796B-068F-4573-9AC4-723A8CFD24A0}"/>
    <cellStyle name="Normal 3 3 5 3 2 2 3 2" xfId="49839" xr:uid="{B45514C0-2B77-467D-A619-293E011C3B33}"/>
    <cellStyle name="Normal 3 3 5 3 2 2 3 2 2" xfId="49840" xr:uid="{F7605014-D12C-4B58-B696-3D3DBC82A66F}"/>
    <cellStyle name="Normal 3 3 5 3 2 2 3 3" xfId="49841" xr:uid="{BAD188CD-4930-4103-A11A-2359F5A621B9}"/>
    <cellStyle name="Normal 3 3 5 3 2 2 4" xfId="49842" xr:uid="{9E8C0187-C0BB-4540-891F-72EBD21DADEA}"/>
    <cellStyle name="Normal 3 3 5 3 2 2 4 2" xfId="49843" xr:uid="{030EA7BB-1DC8-486C-A8D2-FB57CCCA2A42}"/>
    <cellStyle name="Normal 3 3 5 3 2 2 5" xfId="49844" xr:uid="{60E62943-7145-4B75-A7FC-3ADC23D20C59}"/>
    <cellStyle name="Normal 3 3 5 3 2 3" xfId="49845" xr:uid="{EB2C318F-27E3-478E-9445-A1F9AA2AE2A2}"/>
    <cellStyle name="Normal 3 3 5 3 2 3 2" xfId="49846" xr:uid="{7CEDF284-40F6-497A-96D9-AC23C6F593C9}"/>
    <cellStyle name="Normal 3 3 5 3 2 3 2 2" xfId="49847" xr:uid="{22D159BD-5892-4F9A-8A43-C44DD5C096B7}"/>
    <cellStyle name="Normal 3 3 5 3 2 3 2 2 2" xfId="49848" xr:uid="{A1C277CC-C2F2-4600-900E-D3C6C9CF70F3}"/>
    <cellStyle name="Normal 3 3 5 3 2 3 2 3" xfId="49849" xr:uid="{E5828B99-8DAE-4AA2-A71D-8E07204E73AA}"/>
    <cellStyle name="Normal 3 3 5 3 2 3 3" xfId="49850" xr:uid="{450D50C1-F2E7-45E7-9CB7-E6858975AAA2}"/>
    <cellStyle name="Normal 3 3 5 3 2 3 3 2" xfId="49851" xr:uid="{4E946F7C-8BB3-406F-9C32-E6309BBDDEC3}"/>
    <cellStyle name="Normal 3 3 5 3 2 3 4" xfId="49852" xr:uid="{D2B50AAD-F1B4-4060-BCD7-F2E6407E2F2C}"/>
    <cellStyle name="Normal 3 3 5 3 2 4" xfId="49853" xr:uid="{4553F203-6A68-481E-B2F3-0A29E1E7862E}"/>
    <cellStyle name="Normal 3 3 5 3 2 4 2" xfId="49854" xr:uid="{ECCDD696-C0AE-4FA8-9BE5-E4879514B29E}"/>
    <cellStyle name="Normal 3 3 5 3 2 4 2 2" xfId="49855" xr:uid="{E45C7C3B-B415-4FA9-A4BE-1D583E903603}"/>
    <cellStyle name="Normal 3 3 5 3 2 4 3" xfId="49856" xr:uid="{93492726-6697-4F75-9C0E-5D584A5AC8E9}"/>
    <cellStyle name="Normal 3 3 5 3 2 5" xfId="49857" xr:uid="{FEED9B9D-F43C-4A2A-AECA-2C3284FD26FC}"/>
    <cellStyle name="Normal 3 3 5 3 2 5 2" xfId="49858" xr:uid="{F8337D2C-634C-4637-BE0A-FBE0EA35F88F}"/>
    <cellStyle name="Normal 3 3 5 3 2 6" xfId="49859" xr:uid="{7CE4C3FD-5155-4068-BDE3-EE679FDD58D3}"/>
    <cellStyle name="Normal 3 3 5 3 3" xfId="49860" xr:uid="{1A624D7B-1E7B-48C5-8188-05BA4DE4FBBE}"/>
    <cellStyle name="Normal 3 3 5 3 3 2" xfId="49861" xr:uid="{6C8D6529-00C1-42A8-9D5F-16BB5F9870CE}"/>
    <cellStyle name="Normal 3 3 5 3 3 2 2" xfId="49862" xr:uid="{712993BC-5109-458F-A485-4B41F3139F98}"/>
    <cellStyle name="Normal 3 3 5 3 3 2 2 2" xfId="49863" xr:uid="{5B15A839-E220-47E7-B886-EC0E07FF3A38}"/>
    <cellStyle name="Normal 3 3 5 3 3 2 2 2 2" xfId="49864" xr:uid="{7AB5E7C8-B31C-4420-85F8-0496D241D244}"/>
    <cellStyle name="Normal 3 3 5 3 3 2 2 3" xfId="49865" xr:uid="{61BD794F-E6D1-4AB5-93AC-8F2AD26A4755}"/>
    <cellStyle name="Normal 3 3 5 3 3 2 3" xfId="49866" xr:uid="{372403A2-D08C-4046-A3F7-41E7EFDE48FF}"/>
    <cellStyle name="Normal 3 3 5 3 3 2 3 2" xfId="49867" xr:uid="{CFCF59D4-994E-45BF-AD60-71E3CBF8AAE2}"/>
    <cellStyle name="Normal 3 3 5 3 3 2 4" xfId="49868" xr:uid="{44390F54-3522-4E05-8197-AF75D1E36543}"/>
    <cellStyle name="Normal 3 3 5 3 3 3" xfId="49869" xr:uid="{9E74D8A4-C882-4D36-9E02-48BE309C1C3A}"/>
    <cellStyle name="Normal 3 3 5 3 3 3 2" xfId="49870" xr:uid="{DE9FC204-1147-4101-98D5-5DB00A307375}"/>
    <cellStyle name="Normal 3 3 5 3 3 3 2 2" xfId="49871" xr:uid="{E1D060CA-EB25-4CF6-B55A-279CFA8838CC}"/>
    <cellStyle name="Normal 3 3 5 3 3 3 3" xfId="49872" xr:uid="{EF2ABCA6-5EC5-4299-ACC6-FC5DB0A3C168}"/>
    <cellStyle name="Normal 3 3 5 3 3 4" xfId="49873" xr:uid="{71D07F5D-15B5-4E62-A62B-6C6819A60BE3}"/>
    <cellStyle name="Normal 3 3 5 3 3 4 2" xfId="49874" xr:uid="{F8FD9EAD-7CD7-445D-A804-C35AFF3E9BF8}"/>
    <cellStyle name="Normal 3 3 5 3 3 5" xfId="49875" xr:uid="{B498E064-36B1-4C34-ADD8-926E64B7FC30}"/>
    <cellStyle name="Normal 3 3 5 3 4" xfId="49876" xr:uid="{594477DE-9E65-4455-84AB-2C8E23BA54D0}"/>
    <cellStyle name="Normal 3 3 5 3 4 2" xfId="49877" xr:uid="{560543B8-4D1D-41B7-9CCC-3FFC12014A96}"/>
    <cellStyle name="Normal 3 3 5 3 4 2 2" xfId="49878" xr:uid="{2B425BA3-2D4A-4AFA-A2BC-DE7EFEE9B1D8}"/>
    <cellStyle name="Normal 3 3 5 3 4 2 2 2" xfId="49879" xr:uid="{EA707ACA-F188-449F-923A-4701338262CD}"/>
    <cellStyle name="Normal 3 3 5 3 4 2 3" xfId="49880" xr:uid="{9583093E-5A08-4DFB-88D2-E5AB9C944064}"/>
    <cellStyle name="Normal 3 3 5 3 4 3" xfId="49881" xr:uid="{800F79C2-B5ED-419E-BC5E-982F1FB503EC}"/>
    <cellStyle name="Normal 3 3 5 3 4 3 2" xfId="49882" xr:uid="{0AE82842-D6EE-465A-8A54-647DEA835D99}"/>
    <cellStyle name="Normal 3 3 5 3 4 4" xfId="49883" xr:uid="{877286BB-62D8-4BE5-B550-64FC23BEA6A0}"/>
    <cellStyle name="Normal 3 3 5 3 5" xfId="49884" xr:uid="{24BBF955-C020-45D2-9449-A319DE171D8B}"/>
    <cellStyle name="Normal 3 3 5 3 5 2" xfId="49885" xr:uid="{A286F12E-3785-4712-AA46-3EF0F54A843E}"/>
    <cellStyle name="Normal 3 3 5 3 5 2 2" xfId="49886" xr:uid="{3DB8CE1D-257F-4974-94F8-CB9A8CD2235E}"/>
    <cellStyle name="Normal 3 3 5 3 5 3" xfId="49887" xr:uid="{D7BA4544-0F60-4CC7-B06F-7A7D0F2A5F50}"/>
    <cellStyle name="Normal 3 3 5 3 6" xfId="49888" xr:uid="{444064D4-2B95-4A84-A881-CA779D832D13}"/>
    <cellStyle name="Normal 3 3 5 3 6 2" xfId="49889" xr:uid="{9FD86E2D-A2D6-426C-98DA-20B4BAEED343}"/>
    <cellStyle name="Normal 3 3 5 3 7" xfId="49890" xr:uid="{EA8C30FA-8F43-4AAC-BB16-CC4F6CCB512E}"/>
    <cellStyle name="Normal 3 3 5 4" xfId="49891" xr:uid="{27AC12FB-B88B-491C-94A3-A3DC48326F01}"/>
    <cellStyle name="Normal 3 3 5 4 2" xfId="49892" xr:uid="{06A32294-5532-4684-AC45-2B2F6CE84311}"/>
    <cellStyle name="Normal 3 3 5 4 2 2" xfId="49893" xr:uid="{59AD339E-211C-4E3B-B1DA-FF17A9B1E83B}"/>
    <cellStyle name="Normal 3 3 5 4 2 2 2" xfId="49894" xr:uid="{434F1875-2F4A-4DAF-8AC8-8AD5A723C72E}"/>
    <cellStyle name="Normal 3 3 5 4 2 2 2 2" xfId="49895" xr:uid="{EC427534-5F8F-4259-8854-AD770775D37E}"/>
    <cellStyle name="Normal 3 3 5 4 2 2 2 2 2" xfId="49896" xr:uid="{7F706A38-D03E-47C7-B62D-5A849B8C4FA3}"/>
    <cellStyle name="Normal 3 3 5 4 2 2 2 3" xfId="49897" xr:uid="{B64EB6AE-8480-4F1D-B47E-112CFF8A225D}"/>
    <cellStyle name="Normal 3 3 5 4 2 2 3" xfId="49898" xr:uid="{7FFDD6F2-A89A-4CA6-AC84-9922D846FD95}"/>
    <cellStyle name="Normal 3 3 5 4 2 2 3 2" xfId="49899" xr:uid="{56DA391B-DDA9-4889-9067-49BC600F51D8}"/>
    <cellStyle name="Normal 3 3 5 4 2 2 4" xfId="49900" xr:uid="{C4486706-A5A8-4848-ADE4-9E6D798EE2C3}"/>
    <cellStyle name="Normal 3 3 5 4 2 3" xfId="49901" xr:uid="{F3AB98AD-2A8C-41B4-BC40-0E49970C60B7}"/>
    <cellStyle name="Normal 3 3 5 4 2 3 2" xfId="49902" xr:uid="{F6D85A74-13C5-45D5-B4A6-332AF5C45C6D}"/>
    <cellStyle name="Normal 3 3 5 4 2 3 2 2" xfId="49903" xr:uid="{B0303395-3EAB-40BB-92B7-FFFD31D8B758}"/>
    <cellStyle name="Normal 3 3 5 4 2 3 3" xfId="49904" xr:uid="{0EFAFF39-2D4E-40B7-82B5-CC6EECBBACFD}"/>
    <cellStyle name="Normal 3 3 5 4 2 4" xfId="49905" xr:uid="{49F3B4EA-3AEB-43E9-ADC3-BD7D0FDD96AA}"/>
    <cellStyle name="Normal 3 3 5 4 2 4 2" xfId="49906" xr:uid="{44B4E846-BD55-4AB1-B146-1949E520348B}"/>
    <cellStyle name="Normal 3 3 5 4 2 5" xfId="49907" xr:uid="{454D3B1C-AF96-4D59-9CA4-8E6A98275B72}"/>
    <cellStyle name="Normal 3 3 5 4 3" xfId="49908" xr:uid="{ED9943E5-3612-4338-948E-491D4334D006}"/>
    <cellStyle name="Normal 3 3 5 4 3 2" xfId="49909" xr:uid="{4126C7D9-8A13-4293-ACAF-A2B645D6D42B}"/>
    <cellStyle name="Normal 3 3 5 4 3 2 2" xfId="49910" xr:uid="{305A8CB9-7EC8-481F-9862-3C6088A79863}"/>
    <cellStyle name="Normal 3 3 5 4 3 2 2 2" xfId="49911" xr:uid="{81458B2C-B5A2-463F-8687-40725FE4ED70}"/>
    <cellStyle name="Normal 3 3 5 4 3 2 3" xfId="49912" xr:uid="{0D681D6B-D143-4DE7-AE76-88B1B48D406E}"/>
    <cellStyle name="Normal 3 3 5 4 3 3" xfId="49913" xr:uid="{78811D89-38D9-41A8-BD38-84FDDA23B183}"/>
    <cellStyle name="Normal 3 3 5 4 3 3 2" xfId="49914" xr:uid="{CE456EDD-AAF5-4BFE-BDBD-F1E2C69E5AE9}"/>
    <cellStyle name="Normal 3 3 5 4 3 4" xfId="49915" xr:uid="{6D94F332-20E9-40FD-A3C1-06A09E99C6BB}"/>
    <cellStyle name="Normal 3 3 5 4 4" xfId="49916" xr:uid="{209005E1-634A-4845-A55A-8F86A69273D9}"/>
    <cellStyle name="Normal 3 3 5 4 4 2" xfId="49917" xr:uid="{80838906-592B-4C44-AD75-20DEC52134C5}"/>
    <cellStyle name="Normal 3 3 5 4 4 2 2" xfId="49918" xr:uid="{DA0EE421-43FC-4405-A6D7-90049E959CA7}"/>
    <cellStyle name="Normal 3 3 5 4 4 3" xfId="49919" xr:uid="{2FE4D155-4DC4-4F04-8352-A8598AE9CCC0}"/>
    <cellStyle name="Normal 3 3 5 4 5" xfId="49920" xr:uid="{B100252F-7286-400D-B9C1-7730097A4571}"/>
    <cellStyle name="Normal 3 3 5 4 5 2" xfId="49921" xr:uid="{F25F1849-5FAF-47A1-8AD5-5D7A2869A6F8}"/>
    <cellStyle name="Normal 3 3 5 4 6" xfId="49922" xr:uid="{011FD4AD-C14B-46BC-8D0F-5A12BA15EC21}"/>
    <cellStyle name="Normal 3 3 5 5" xfId="49923" xr:uid="{ACB8275F-93D9-4CF2-A180-5B5FC5A7F4D6}"/>
    <cellStyle name="Normal 3 3 5 5 2" xfId="49924" xr:uid="{29E1E1FE-3F1B-410A-BDE7-3B938A98FEA7}"/>
    <cellStyle name="Normal 3 3 5 5 2 2" xfId="49925" xr:uid="{60B8D8AF-ECDD-4A22-8EF8-881765907B42}"/>
    <cellStyle name="Normal 3 3 5 5 2 2 2" xfId="49926" xr:uid="{6F2B94BB-D225-42FB-A1E8-6FA2D33B803C}"/>
    <cellStyle name="Normal 3 3 5 5 2 2 2 2" xfId="49927" xr:uid="{FF8C2F18-6820-455A-AE30-B6000AF89348}"/>
    <cellStyle name="Normal 3 3 5 5 2 2 3" xfId="49928" xr:uid="{4182DF23-50BB-41E5-86C0-4859AC02FBF7}"/>
    <cellStyle name="Normal 3 3 5 5 2 3" xfId="49929" xr:uid="{0EB9435D-35F4-46C8-A3EA-A6F38E76B361}"/>
    <cellStyle name="Normal 3 3 5 5 2 3 2" xfId="49930" xr:uid="{6C4B9114-16B1-4BF3-A667-AB39FBA859E1}"/>
    <cellStyle name="Normal 3 3 5 5 2 4" xfId="49931" xr:uid="{B59DC208-38D8-492D-B790-4F5151384B4C}"/>
    <cellStyle name="Normal 3 3 5 5 3" xfId="49932" xr:uid="{E029D9E8-0731-4B3A-9C66-7B90AAF158B9}"/>
    <cellStyle name="Normal 3 3 5 5 3 2" xfId="49933" xr:uid="{1C0405FF-DDAC-4E59-A0A1-4ED98748D399}"/>
    <cellStyle name="Normal 3 3 5 5 3 2 2" xfId="49934" xr:uid="{4A6E38B8-206C-4E64-AEF3-BDEE713A4C21}"/>
    <cellStyle name="Normal 3 3 5 5 3 3" xfId="49935" xr:uid="{95A04391-9E13-4F5B-A946-36DDF781F86F}"/>
    <cellStyle name="Normal 3 3 5 5 4" xfId="49936" xr:uid="{5DFF3D1A-E7DB-4BDE-AE10-1D0D6A310124}"/>
    <cellStyle name="Normal 3 3 5 5 4 2" xfId="49937" xr:uid="{6D5708FF-B148-4E37-83A5-E4622BD5A90F}"/>
    <cellStyle name="Normal 3 3 5 5 5" xfId="49938" xr:uid="{0BCE807C-83B1-4C89-B151-E95FB81DA778}"/>
    <cellStyle name="Normal 3 3 5 6" xfId="49939" xr:uid="{AD9A6444-4984-4263-A1C6-2500ED9CBF16}"/>
    <cellStyle name="Normal 3 3 5 6 2" xfId="49940" xr:uid="{765A0821-30AC-4F72-A24B-46CA49679158}"/>
    <cellStyle name="Normal 3 3 5 6 2 2" xfId="49941" xr:uid="{A300482C-CC2E-4FA3-9173-0D551D400E81}"/>
    <cellStyle name="Normal 3 3 5 6 2 2 2" xfId="49942" xr:uid="{EF744796-08DB-4069-8DE5-8A00DA272C65}"/>
    <cellStyle name="Normal 3 3 5 6 2 3" xfId="49943" xr:uid="{E4B60326-3E0E-4B1E-9115-403172A469FF}"/>
    <cellStyle name="Normal 3 3 5 6 3" xfId="49944" xr:uid="{F562F8F7-63A7-40FA-AD4A-D7CAF19709CE}"/>
    <cellStyle name="Normal 3 3 5 6 3 2" xfId="49945" xr:uid="{21F20D75-F3C9-4630-86AB-23998446AD37}"/>
    <cellStyle name="Normal 3 3 5 6 4" xfId="49946" xr:uid="{C98E7317-B462-451E-B290-BDAC198D7133}"/>
    <cellStyle name="Normal 3 3 5 7" xfId="49947" xr:uid="{897FC15E-F082-4070-B1EC-E2D7418E7866}"/>
    <cellStyle name="Normal 3 3 5 7 2" xfId="49948" xr:uid="{08F330B3-F97B-40C7-9ADA-FFB9B625D695}"/>
    <cellStyle name="Normal 3 3 5 7 2 2" xfId="49949" xr:uid="{8AA9E479-B4D8-473A-AEA3-5D2A53E12F2E}"/>
    <cellStyle name="Normal 3 3 5 7 3" xfId="49950" xr:uid="{881A6EF6-33E5-4269-AD01-CD43509BD39B}"/>
    <cellStyle name="Normal 3 3 5 8" xfId="49951" xr:uid="{F0AA0625-6996-4201-97C3-C0CFDA2831EA}"/>
    <cellStyle name="Normal 3 3 5 8 2" xfId="49952" xr:uid="{35198E77-890E-42E0-8B27-753125AEF745}"/>
    <cellStyle name="Normal 3 3 5 9" xfId="49953" xr:uid="{7123AC5C-60CA-4128-A213-D0A162A026A9}"/>
    <cellStyle name="Normal 3 3 6" xfId="49954" xr:uid="{19F8FEBA-4FA6-440C-B6AA-A73DB10D90DC}"/>
    <cellStyle name="Normal 3 3 6 2" xfId="49955" xr:uid="{8A02F44B-DBB9-467F-B7CB-7856CC93AF5B}"/>
    <cellStyle name="Normal 3 3 6 2 2" xfId="49956" xr:uid="{F00E3234-351C-4CCB-9DD1-65CE08E479A5}"/>
    <cellStyle name="Normal 3 3 6 2 2 2" xfId="49957" xr:uid="{842F5FF5-8E09-432F-8DFF-BB6EA864C153}"/>
    <cellStyle name="Normal 3 3 6 2 2 2 2" xfId="49958" xr:uid="{D7188C06-4460-4A62-B6D6-78073C6183CF}"/>
    <cellStyle name="Normal 3 3 6 2 2 2 2 2" xfId="49959" xr:uid="{BC41E031-0E79-4842-B9E5-B87BD5EF97AD}"/>
    <cellStyle name="Normal 3 3 6 2 2 2 2 2 2" xfId="49960" xr:uid="{F829B0C0-207A-40E5-9A81-64F84C6F4691}"/>
    <cellStyle name="Normal 3 3 6 2 2 2 2 2 2 2" xfId="49961" xr:uid="{80528324-59E2-4FF9-8762-EECBD1967266}"/>
    <cellStyle name="Normal 3 3 6 2 2 2 2 2 3" xfId="49962" xr:uid="{AD91D957-662A-4CD0-8EE9-65D051FE24A8}"/>
    <cellStyle name="Normal 3 3 6 2 2 2 2 3" xfId="49963" xr:uid="{C5317EE4-80A7-42A4-ACDF-A11D606451C5}"/>
    <cellStyle name="Normal 3 3 6 2 2 2 2 3 2" xfId="49964" xr:uid="{D1A2B6DD-287F-4BF2-A90C-685C963CF00C}"/>
    <cellStyle name="Normal 3 3 6 2 2 2 2 4" xfId="49965" xr:uid="{5F5BB973-BCF1-4398-9355-C209CA0267CA}"/>
    <cellStyle name="Normal 3 3 6 2 2 2 3" xfId="49966" xr:uid="{C6F82F7F-F2F6-4C68-9C61-F8B28208DE19}"/>
    <cellStyle name="Normal 3 3 6 2 2 2 3 2" xfId="49967" xr:uid="{51CD0D67-3FFA-4200-9CCE-B7E6AFF5C3B1}"/>
    <cellStyle name="Normal 3 3 6 2 2 2 3 2 2" xfId="49968" xr:uid="{E34C9CE6-EFE4-4A09-A441-6C159BA3A79A}"/>
    <cellStyle name="Normal 3 3 6 2 2 2 3 3" xfId="49969" xr:uid="{ECD511F2-C980-40FE-AE9A-F8385ADECE58}"/>
    <cellStyle name="Normal 3 3 6 2 2 2 4" xfId="49970" xr:uid="{84218D9D-DB1F-4637-AE43-47BE74C42845}"/>
    <cellStyle name="Normal 3 3 6 2 2 2 4 2" xfId="49971" xr:uid="{1884EC32-A21D-41D6-B3C7-9143EDEAC765}"/>
    <cellStyle name="Normal 3 3 6 2 2 2 5" xfId="49972" xr:uid="{57B62FE4-8BE5-44DE-9232-1CA52A43F795}"/>
    <cellStyle name="Normal 3 3 6 2 2 3" xfId="49973" xr:uid="{07042D7A-097F-4EB4-8F28-20D3A6884F6D}"/>
    <cellStyle name="Normal 3 3 6 2 2 3 2" xfId="49974" xr:uid="{07E50D22-9430-4685-956E-DC468653AAC4}"/>
    <cellStyle name="Normal 3 3 6 2 2 3 2 2" xfId="49975" xr:uid="{76B691B7-1AAA-4741-BF77-91B2543FD4C9}"/>
    <cellStyle name="Normal 3 3 6 2 2 3 2 2 2" xfId="49976" xr:uid="{B28625D3-DC55-4D67-BD09-E46031887080}"/>
    <cellStyle name="Normal 3 3 6 2 2 3 2 3" xfId="49977" xr:uid="{0566CF02-1C47-4C7E-BFF5-A6077F2EE982}"/>
    <cellStyle name="Normal 3 3 6 2 2 3 3" xfId="49978" xr:uid="{EF2BED75-2880-447B-A30C-FB14E668F2C2}"/>
    <cellStyle name="Normal 3 3 6 2 2 3 3 2" xfId="49979" xr:uid="{2C391BF8-79D4-41AA-938E-3CFFF5FD62EC}"/>
    <cellStyle name="Normal 3 3 6 2 2 3 4" xfId="49980" xr:uid="{40031EB1-6FF1-48E9-B591-268B00D93E80}"/>
    <cellStyle name="Normal 3 3 6 2 2 4" xfId="49981" xr:uid="{66BE353A-8B6D-44B9-B0F9-19045F32EB30}"/>
    <cellStyle name="Normal 3 3 6 2 2 4 2" xfId="49982" xr:uid="{12C92772-01E5-4524-AE96-64A93BEF9B01}"/>
    <cellStyle name="Normal 3 3 6 2 2 4 2 2" xfId="49983" xr:uid="{4A7289E5-5502-4806-BF79-CD619086A42A}"/>
    <cellStyle name="Normal 3 3 6 2 2 4 3" xfId="49984" xr:uid="{C033DD38-A4FA-4EBB-B175-30949426A86A}"/>
    <cellStyle name="Normal 3 3 6 2 2 5" xfId="49985" xr:uid="{04E84E20-9A6E-41E7-9F38-0C4949A02F73}"/>
    <cellStyle name="Normal 3 3 6 2 2 5 2" xfId="49986" xr:uid="{66391F84-7AD4-462D-AD80-A07363C63F66}"/>
    <cellStyle name="Normal 3 3 6 2 2 6" xfId="49987" xr:uid="{7D0D56A9-3994-4B46-B685-6208E309101A}"/>
    <cellStyle name="Normal 3 3 6 2 3" xfId="49988" xr:uid="{62CBE382-BA7E-4D88-BEED-627D11351843}"/>
    <cellStyle name="Normal 3 3 6 2 3 2" xfId="49989" xr:uid="{E2CEF467-673B-4CBE-86DF-E9E77DC657F8}"/>
    <cellStyle name="Normal 3 3 6 2 3 2 2" xfId="49990" xr:uid="{BC059262-3490-4749-B2EE-7F267A1D7D42}"/>
    <cellStyle name="Normal 3 3 6 2 3 2 2 2" xfId="49991" xr:uid="{A510EBAE-7D79-45D9-975C-AD9A9602D3AB}"/>
    <cellStyle name="Normal 3 3 6 2 3 2 2 2 2" xfId="49992" xr:uid="{8A17D980-FC8E-4380-80C2-BCED956A1828}"/>
    <cellStyle name="Normal 3 3 6 2 3 2 2 3" xfId="49993" xr:uid="{7C65897F-ECB9-4BFA-8F21-45FC56626027}"/>
    <cellStyle name="Normal 3 3 6 2 3 2 3" xfId="49994" xr:uid="{1D0CD6B3-A2C4-42A4-A209-72F6DD6F8EFF}"/>
    <cellStyle name="Normal 3 3 6 2 3 2 3 2" xfId="49995" xr:uid="{F7D569BF-96B9-4251-9827-E3FA7A2380FA}"/>
    <cellStyle name="Normal 3 3 6 2 3 2 4" xfId="49996" xr:uid="{FA4660FD-1D08-4150-8EBD-A33CF9F7D6A7}"/>
    <cellStyle name="Normal 3 3 6 2 3 3" xfId="49997" xr:uid="{D1F6984A-EBDB-4C34-A8E5-FB60922D91A2}"/>
    <cellStyle name="Normal 3 3 6 2 3 3 2" xfId="49998" xr:uid="{263883D0-C3EB-4FD6-8673-5AA277FD319B}"/>
    <cellStyle name="Normal 3 3 6 2 3 3 2 2" xfId="49999" xr:uid="{85CE7A0D-B4B7-48BF-B000-FA8DA12AC386}"/>
    <cellStyle name="Normal 3 3 6 2 3 3 3" xfId="50000" xr:uid="{720288B2-A22A-49A0-8D36-D3313B1DC648}"/>
    <cellStyle name="Normal 3 3 6 2 3 4" xfId="50001" xr:uid="{5ABF6D24-C003-48B5-B002-E21A59FE1091}"/>
    <cellStyle name="Normal 3 3 6 2 3 4 2" xfId="50002" xr:uid="{3B38AA73-28C3-4E4A-8608-13AC684B8272}"/>
    <cellStyle name="Normal 3 3 6 2 3 5" xfId="50003" xr:uid="{9B804210-9175-4C1C-A927-E61D4BB52824}"/>
    <cellStyle name="Normal 3 3 6 2 4" xfId="50004" xr:uid="{4B65DAC1-1628-4C46-A846-4C0D132C94E9}"/>
    <cellStyle name="Normal 3 3 6 2 4 2" xfId="50005" xr:uid="{98CB8172-2A63-433E-BE3B-2931C91463DC}"/>
    <cellStyle name="Normal 3 3 6 2 4 2 2" xfId="50006" xr:uid="{798F56A7-D656-4080-B58A-2F1543925DD4}"/>
    <cellStyle name="Normal 3 3 6 2 4 2 2 2" xfId="50007" xr:uid="{A740BEA9-5682-4910-B5CF-D1E137910BC0}"/>
    <cellStyle name="Normal 3 3 6 2 4 2 3" xfId="50008" xr:uid="{1EB6F4BE-5BFF-4AA0-A9DD-40C659CB3686}"/>
    <cellStyle name="Normal 3 3 6 2 4 3" xfId="50009" xr:uid="{EE9BBA31-AE1D-4F57-B6AA-6715B00DFB02}"/>
    <cellStyle name="Normal 3 3 6 2 4 3 2" xfId="50010" xr:uid="{F0D5DE94-4C7D-47D3-A2D6-B13F29A9176F}"/>
    <cellStyle name="Normal 3 3 6 2 4 4" xfId="50011" xr:uid="{5B59288D-01D3-4378-89ED-FA89237566FC}"/>
    <cellStyle name="Normal 3 3 6 2 5" xfId="50012" xr:uid="{25CBF2D4-77CC-4183-96A0-4A6EBCCFDE91}"/>
    <cellStyle name="Normal 3 3 6 2 5 2" xfId="50013" xr:uid="{A1A06AC7-AD10-4445-BF4B-9D26DB6E0ABB}"/>
    <cellStyle name="Normal 3 3 6 2 5 2 2" xfId="50014" xr:uid="{E97106A1-DFB2-43B0-A4EF-BEB850605817}"/>
    <cellStyle name="Normal 3 3 6 2 5 3" xfId="50015" xr:uid="{1E3402F0-0AF6-4F39-84AC-BF231D4E8A5A}"/>
    <cellStyle name="Normal 3 3 6 2 6" xfId="50016" xr:uid="{5019C491-6A3A-41AF-B30B-7E0F98A4C665}"/>
    <cellStyle name="Normal 3 3 6 2 6 2" xfId="50017" xr:uid="{D0B65EE1-DDAC-4281-978C-27BCF0FB5893}"/>
    <cellStyle name="Normal 3 3 6 2 7" xfId="50018" xr:uid="{48735A9F-D8E4-498D-A30B-6AA039542A74}"/>
    <cellStyle name="Normal 3 3 6 3" xfId="50019" xr:uid="{68861D76-213D-4329-9D8B-92E0AF52EB6D}"/>
    <cellStyle name="Normal 3 3 6 3 2" xfId="50020" xr:uid="{7FCFC86A-78E9-45A7-86E4-EDD540BE5D41}"/>
    <cellStyle name="Normal 3 3 6 3 2 2" xfId="50021" xr:uid="{5E66D1A5-5533-4897-BCD1-2B95BE9AE246}"/>
    <cellStyle name="Normal 3 3 6 3 2 2 2" xfId="50022" xr:uid="{054C50B6-6735-4591-99B8-7686EE1225C4}"/>
    <cellStyle name="Normal 3 3 6 3 2 2 2 2" xfId="50023" xr:uid="{FC803CB9-8C94-40CE-AF10-E1667C80D1A7}"/>
    <cellStyle name="Normal 3 3 6 3 2 2 2 2 2" xfId="50024" xr:uid="{FC6BA80E-87FE-455F-B836-AA97E7C4400D}"/>
    <cellStyle name="Normal 3 3 6 3 2 2 2 3" xfId="50025" xr:uid="{765B2BB3-6160-4D32-BAB3-48FECFE491CD}"/>
    <cellStyle name="Normal 3 3 6 3 2 2 3" xfId="50026" xr:uid="{C0B9A6A4-25E4-4E63-9864-AE10AB51121E}"/>
    <cellStyle name="Normal 3 3 6 3 2 2 3 2" xfId="50027" xr:uid="{339E2659-BB31-4F11-99BB-49F6D6C98B25}"/>
    <cellStyle name="Normal 3 3 6 3 2 2 4" xfId="50028" xr:uid="{BE6FB99F-792E-42FC-AB8A-9A795BED41D8}"/>
    <cellStyle name="Normal 3 3 6 3 2 3" xfId="50029" xr:uid="{0F6B09FC-C854-4253-908A-802D67AF0D39}"/>
    <cellStyle name="Normal 3 3 6 3 2 3 2" xfId="50030" xr:uid="{515188E5-69EA-49D3-B49B-54E429A0DA11}"/>
    <cellStyle name="Normal 3 3 6 3 2 3 2 2" xfId="50031" xr:uid="{8C182DB0-B667-40C1-9940-80A571CF78EF}"/>
    <cellStyle name="Normal 3 3 6 3 2 3 3" xfId="50032" xr:uid="{87B2E31B-F98F-46AB-AF94-0CAAEE019F3A}"/>
    <cellStyle name="Normal 3 3 6 3 2 4" xfId="50033" xr:uid="{56B0B33E-625E-4894-AB07-7106D44C30DE}"/>
    <cellStyle name="Normal 3 3 6 3 2 4 2" xfId="50034" xr:uid="{EF6E2F7D-F936-46CF-8598-F53106646640}"/>
    <cellStyle name="Normal 3 3 6 3 2 5" xfId="50035" xr:uid="{CFD69543-4501-4AE6-BBC6-BD7CE36AD292}"/>
    <cellStyle name="Normal 3 3 6 3 3" xfId="50036" xr:uid="{70160CAD-F401-4EEF-BDA4-44306357D842}"/>
    <cellStyle name="Normal 3 3 6 3 3 2" xfId="50037" xr:uid="{AEB8771F-4DF3-4911-B2F4-9B20C229F895}"/>
    <cellStyle name="Normal 3 3 6 3 3 2 2" xfId="50038" xr:uid="{C04DBC0D-1C7A-465A-8988-CB8B3F7D6998}"/>
    <cellStyle name="Normal 3 3 6 3 3 2 2 2" xfId="50039" xr:uid="{ECFE3909-F8BE-4EBB-BBD7-3C151E0372E4}"/>
    <cellStyle name="Normal 3 3 6 3 3 2 3" xfId="50040" xr:uid="{AD4905E6-E2E2-4D07-904C-D5A402F9FCC8}"/>
    <cellStyle name="Normal 3 3 6 3 3 3" xfId="50041" xr:uid="{9618AA5F-2FB2-4967-A047-59B54CD22BA9}"/>
    <cellStyle name="Normal 3 3 6 3 3 3 2" xfId="50042" xr:uid="{BB6ECEAD-AD4B-4C4A-A99F-1959AA70175D}"/>
    <cellStyle name="Normal 3 3 6 3 3 4" xfId="50043" xr:uid="{E504A996-05EB-4387-A964-F1A16FB1380C}"/>
    <cellStyle name="Normal 3 3 6 3 4" xfId="50044" xr:uid="{2C39CCB7-B712-4108-8AEE-8C3F5B4E9927}"/>
    <cellStyle name="Normal 3 3 6 3 4 2" xfId="50045" xr:uid="{D0A05007-9AE8-4209-BC8E-E888803FAB3D}"/>
    <cellStyle name="Normal 3 3 6 3 4 2 2" xfId="50046" xr:uid="{32B32799-5D01-49EC-8478-5DE141D1814E}"/>
    <cellStyle name="Normal 3 3 6 3 4 3" xfId="50047" xr:uid="{38C6A662-C08A-4A15-A6D7-8F4ECCC659EB}"/>
    <cellStyle name="Normal 3 3 6 3 5" xfId="50048" xr:uid="{F77DDAAF-2138-482D-971E-B3DED634026B}"/>
    <cellStyle name="Normal 3 3 6 3 5 2" xfId="50049" xr:uid="{1EE2ABF6-253D-4D35-B9F1-59D60B3993BE}"/>
    <cellStyle name="Normal 3 3 6 3 6" xfId="50050" xr:uid="{67C6ECB8-C997-4D95-B474-332A656D2BA5}"/>
    <cellStyle name="Normal 3 3 6 4" xfId="50051" xr:uid="{B392E7C6-34AA-4E56-AFEB-4D1A692C4F7B}"/>
    <cellStyle name="Normal 3 3 6 4 2" xfId="50052" xr:uid="{80DBE687-8CCD-4DD7-BC0F-D7D1C2A0F204}"/>
    <cellStyle name="Normal 3 3 6 4 2 2" xfId="50053" xr:uid="{94A2B961-29DD-49A1-AAE8-BC950C9E7917}"/>
    <cellStyle name="Normal 3 3 6 4 2 2 2" xfId="50054" xr:uid="{D3973577-FC00-41A9-A709-8C56FC2E1F1E}"/>
    <cellStyle name="Normal 3 3 6 4 2 2 2 2" xfId="50055" xr:uid="{174AB4A3-61AD-4172-9A57-C48F335A3C78}"/>
    <cellStyle name="Normal 3 3 6 4 2 2 3" xfId="50056" xr:uid="{49D6F7B1-1E38-4143-A3A8-CA1BA6F8C2F8}"/>
    <cellStyle name="Normal 3 3 6 4 2 3" xfId="50057" xr:uid="{598E5B6E-35A9-4CBB-BB03-BE7790C51A19}"/>
    <cellStyle name="Normal 3 3 6 4 2 3 2" xfId="50058" xr:uid="{B1FA61D9-6672-4645-B011-2ECA6E9BB5AD}"/>
    <cellStyle name="Normal 3 3 6 4 2 4" xfId="50059" xr:uid="{E9AD43BE-3F33-4697-B1D3-A8339CA9CC8B}"/>
    <cellStyle name="Normal 3 3 6 4 3" xfId="50060" xr:uid="{96315678-925B-4855-B9D1-A566EE151639}"/>
    <cellStyle name="Normal 3 3 6 4 3 2" xfId="50061" xr:uid="{F0688BED-33C7-4DAE-A40B-54C016BA474B}"/>
    <cellStyle name="Normal 3 3 6 4 3 2 2" xfId="50062" xr:uid="{E3D708ED-22CE-4C80-B377-F1A1B007C5E7}"/>
    <cellStyle name="Normal 3 3 6 4 3 3" xfId="50063" xr:uid="{FD3881D3-9995-40A6-BCE4-DE7904CD27FA}"/>
    <cellStyle name="Normal 3 3 6 4 4" xfId="50064" xr:uid="{B4433CEC-AAD6-4ADA-81A0-6B7BC3EB04A9}"/>
    <cellStyle name="Normal 3 3 6 4 4 2" xfId="50065" xr:uid="{85999519-4C8A-462D-BD87-2B2DE619A41A}"/>
    <cellStyle name="Normal 3 3 6 4 5" xfId="50066" xr:uid="{DC8078EC-59E8-470A-9723-9EA67075426C}"/>
    <cellStyle name="Normal 3 3 6 5" xfId="50067" xr:uid="{82813450-02FC-43C9-9A8D-29AE547579BE}"/>
    <cellStyle name="Normal 3 3 6 5 2" xfId="50068" xr:uid="{3AF06260-EA86-4301-B107-F3D539BA305E}"/>
    <cellStyle name="Normal 3 3 6 5 2 2" xfId="50069" xr:uid="{6D71D3D2-A1B4-4D41-AAA0-1A5F76D28ECD}"/>
    <cellStyle name="Normal 3 3 6 5 2 2 2" xfId="50070" xr:uid="{C53A2E8D-342F-4E6E-BC87-9020344C8458}"/>
    <cellStyle name="Normal 3 3 6 5 2 3" xfId="50071" xr:uid="{516AE9B5-AE0D-4B0C-87D4-3F5104BB02C5}"/>
    <cellStyle name="Normal 3 3 6 5 3" xfId="50072" xr:uid="{495C19A9-B9A4-40C7-B195-1BE8BDE41F3E}"/>
    <cellStyle name="Normal 3 3 6 5 3 2" xfId="50073" xr:uid="{3FE91CC2-5DD1-446F-868C-FD21589027D4}"/>
    <cellStyle name="Normal 3 3 6 5 4" xfId="50074" xr:uid="{AAAAC91E-626C-4C4D-A942-FB74B69B08D9}"/>
    <cellStyle name="Normal 3 3 6 6" xfId="50075" xr:uid="{9C6954E3-CB41-40EF-B098-E30CD283D03E}"/>
    <cellStyle name="Normal 3 3 6 6 2" xfId="50076" xr:uid="{DEB6B72E-EB19-4A73-BA0E-0A188B8936BC}"/>
    <cellStyle name="Normal 3 3 6 6 2 2" xfId="50077" xr:uid="{130B646E-1874-43BE-961C-90E3FDE8A49B}"/>
    <cellStyle name="Normal 3 3 6 6 3" xfId="50078" xr:uid="{AD27859D-4755-42CF-84A0-2D15653FD368}"/>
    <cellStyle name="Normal 3 3 6 7" xfId="50079" xr:uid="{89BE1F96-C815-4A92-8F38-EF404DDE1FEE}"/>
    <cellStyle name="Normal 3 3 6 7 2" xfId="50080" xr:uid="{55DA2C02-15B7-46B9-AC31-15CBD5DE63D3}"/>
    <cellStyle name="Normal 3 3 6 8" xfId="50081" xr:uid="{8F98D15C-EB79-4CAE-8E69-2406FECAE11F}"/>
    <cellStyle name="Normal 3 3 7" xfId="50082" xr:uid="{24165B30-692A-4459-809A-420A07966B5F}"/>
    <cellStyle name="Normal 3 3 7 2" xfId="50083" xr:uid="{C6D28782-DAA0-4409-90EE-A422D2307A2C}"/>
    <cellStyle name="Normal 3 3 7 2 2" xfId="50084" xr:uid="{2BF18491-2391-4EE5-A9C3-ABDECEF8F213}"/>
    <cellStyle name="Normal 3 3 7 2 2 2" xfId="50085" xr:uid="{2E7B2AFC-B76F-4E06-A824-9B67884AF638}"/>
    <cellStyle name="Normal 3 3 7 2 2 2 2" xfId="50086" xr:uid="{C647BD52-EF16-4257-959C-7FBFCA7E1001}"/>
    <cellStyle name="Normal 3 3 7 2 2 2 2 2" xfId="50087" xr:uid="{CD4A29E0-0E7F-4040-BA53-D5B688732CDC}"/>
    <cellStyle name="Normal 3 3 7 2 2 2 2 2 2" xfId="50088" xr:uid="{16475C1E-8971-4186-9F28-76F1EDDB8A54}"/>
    <cellStyle name="Normal 3 3 7 2 2 2 2 3" xfId="50089" xr:uid="{818C763C-489B-4416-BF35-86F8AA148700}"/>
    <cellStyle name="Normal 3 3 7 2 2 2 3" xfId="50090" xr:uid="{789FB3CC-7068-4F14-ADC0-7A17C48B7148}"/>
    <cellStyle name="Normal 3 3 7 2 2 2 3 2" xfId="50091" xr:uid="{07850FFA-C11B-4F5F-8566-744A78731AF5}"/>
    <cellStyle name="Normal 3 3 7 2 2 2 4" xfId="50092" xr:uid="{973E1499-53DD-4E1E-9A1F-F2949C3087FA}"/>
    <cellStyle name="Normal 3 3 7 2 2 3" xfId="50093" xr:uid="{6298B8C0-91F6-4F2C-A005-7443D906D9DB}"/>
    <cellStyle name="Normal 3 3 7 2 2 3 2" xfId="50094" xr:uid="{CDA3A0A4-EF6B-4740-B609-11DDB38CE39D}"/>
    <cellStyle name="Normal 3 3 7 2 2 3 2 2" xfId="50095" xr:uid="{F3C612DB-0607-46F6-825C-A04A1966A69C}"/>
    <cellStyle name="Normal 3 3 7 2 2 3 3" xfId="50096" xr:uid="{CD491EC2-2C26-4598-A987-7C8EC268BD9D}"/>
    <cellStyle name="Normal 3 3 7 2 2 4" xfId="50097" xr:uid="{539D2E29-5A63-44DA-A712-3733881CB10A}"/>
    <cellStyle name="Normal 3 3 7 2 2 4 2" xfId="50098" xr:uid="{8265E4CA-3C13-42DD-8E2E-0EDEB4B86132}"/>
    <cellStyle name="Normal 3 3 7 2 2 5" xfId="50099" xr:uid="{AA701788-93F2-4F4C-97E0-3D4D5875FE84}"/>
    <cellStyle name="Normal 3 3 7 2 3" xfId="50100" xr:uid="{B5A654AD-0736-4A8E-871C-E0EEABF043EF}"/>
    <cellStyle name="Normal 3 3 7 2 3 2" xfId="50101" xr:uid="{4B0C7261-976C-4111-BA9D-A964D248821B}"/>
    <cellStyle name="Normal 3 3 7 2 3 2 2" xfId="50102" xr:uid="{95B40B08-FFF1-4537-9279-F80648436FC6}"/>
    <cellStyle name="Normal 3 3 7 2 3 2 2 2" xfId="50103" xr:uid="{03D82831-438B-4AA7-A7F1-BFF8D000542A}"/>
    <cellStyle name="Normal 3 3 7 2 3 2 3" xfId="50104" xr:uid="{31C2B8FF-AE5E-4EBD-A1F6-DEE0A7A005D5}"/>
    <cellStyle name="Normal 3 3 7 2 3 3" xfId="50105" xr:uid="{DF626E51-63A5-462E-800A-33533636079D}"/>
    <cellStyle name="Normal 3 3 7 2 3 3 2" xfId="50106" xr:uid="{F95D3F20-C674-45AA-B045-AE707E39653A}"/>
    <cellStyle name="Normal 3 3 7 2 3 4" xfId="50107" xr:uid="{B1476781-A29B-41DC-87B2-01FFE9389126}"/>
    <cellStyle name="Normal 3 3 7 2 4" xfId="50108" xr:uid="{4B2BEB83-36C7-4681-8EDC-6D18AFEFB126}"/>
    <cellStyle name="Normal 3 3 7 2 4 2" xfId="50109" xr:uid="{D43246C5-74F3-44CD-BC78-2784AECB7B79}"/>
    <cellStyle name="Normal 3 3 7 2 4 2 2" xfId="50110" xr:uid="{6E512050-6E65-44F1-A524-9AFDA74951B8}"/>
    <cellStyle name="Normal 3 3 7 2 4 3" xfId="50111" xr:uid="{4401B059-35BA-4288-97A2-3ED59EF2B5C9}"/>
    <cellStyle name="Normal 3 3 7 2 5" xfId="50112" xr:uid="{2B911BFF-6795-4996-9E4D-97BB3B45CFFD}"/>
    <cellStyle name="Normal 3 3 7 2 5 2" xfId="50113" xr:uid="{55507E85-1CC7-441B-B223-DB1D89FC2F53}"/>
    <cellStyle name="Normal 3 3 7 2 6" xfId="50114" xr:uid="{79964F62-8063-4E70-944F-323BBA9E2EE1}"/>
    <cellStyle name="Normal 3 3 7 3" xfId="50115" xr:uid="{FD396DE2-7DA0-411E-9D6B-ABCFE2378D84}"/>
    <cellStyle name="Normal 3 3 7 3 2" xfId="50116" xr:uid="{3C5265EE-8DD7-4FC4-B961-F0BCC19125EE}"/>
    <cellStyle name="Normal 3 3 7 3 2 2" xfId="50117" xr:uid="{88485A66-B563-4E50-9373-4A6E4BF9A65C}"/>
    <cellStyle name="Normal 3 3 7 3 2 2 2" xfId="50118" xr:uid="{7152B3C6-4E0E-4037-9D7A-0047A2A8B3B7}"/>
    <cellStyle name="Normal 3 3 7 3 2 2 2 2" xfId="50119" xr:uid="{20758D34-8D37-4160-9093-DE9DAA98A775}"/>
    <cellStyle name="Normal 3 3 7 3 2 2 3" xfId="50120" xr:uid="{B3AC7637-F401-4FAE-BBF3-88C126E7206F}"/>
    <cellStyle name="Normal 3 3 7 3 2 3" xfId="50121" xr:uid="{8AB0CBDB-B5BC-4AF0-AEAC-B0742C0DD5C0}"/>
    <cellStyle name="Normal 3 3 7 3 2 3 2" xfId="50122" xr:uid="{D98DF792-85D7-4029-B478-CB0091F1F037}"/>
    <cellStyle name="Normal 3 3 7 3 2 4" xfId="50123" xr:uid="{53E3C573-1DA3-4DCD-8F00-1380D921C247}"/>
    <cellStyle name="Normal 3 3 7 3 3" xfId="50124" xr:uid="{5EE61891-49B4-4F9D-8D9C-0C8C991D0752}"/>
    <cellStyle name="Normal 3 3 7 3 3 2" xfId="50125" xr:uid="{664B9247-53FF-4875-89F4-F0AD27AC5509}"/>
    <cellStyle name="Normal 3 3 7 3 3 2 2" xfId="50126" xr:uid="{1CA3E7AA-FED5-4D94-9F15-B71C0CD9EF12}"/>
    <cellStyle name="Normal 3 3 7 3 3 3" xfId="50127" xr:uid="{68F595EF-09DE-401E-BF3C-3367413B5B2C}"/>
    <cellStyle name="Normal 3 3 7 3 4" xfId="50128" xr:uid="{0C58AD9F-A924-45AD-B780-0649D7FBB306}"/>
    <cellStyle name="Normal 3 3 7 3 4 2" xfId="50129" xr:uid="{3AA89198-AF54-4394-9A97-AE96B2458D3B}"/>
    <cellStyle name="Normal 3 3 7 3 5" xfId="50130" xr:uid="{B8D6FD62-6DF3-4DB9-95A5-47FF8F82911E}"/>
    <cellStyle name="Normal 3 3 7 4" xfId="50131" xr:uid="{7C121344-9F61-4BF4-9A1B-190FA51C5070}"/>
    <cellStyle name="Normal 3 3 7 4 2" xfId="50132" xr:uid="{9F078099-E075-47BF-A699-96F845B201EE}"/>
    <cellStyle name="Normal 3 3 7 4 2 2" xfId="50133" xr:uid="{7A63541C-C334-4282-BA8B-DE68AC94A9F2}"/>
    <cellStyle name="Normal 3 3 7 4 2 2 2" xfId="50134" xr:uid="{2821E968-EF7C-4340-B8B6-160363752CC4}"/>
    <cellStyle name="Normal 3 3 7 4 2 3" xfId="50135" xr:uid="{96213E2C-09CC-47BF-84CD-E3AEA0AE26EF}"/>
    <cellStyle name="Normal 3 3 7 4 3" xfId="50136" xr:uid="{E2F6CDEE-F3BF-42CD-B37A-5A6A8C8709BB}"/>
    <cellStyle name="Normal 3 3 7 4 3 2" xfId="50137" xr:uid="{F9720CBB-2E2D-4B7F-92CC-D7FF28EC15BD}"/>
    <cellStyle name="Normal 3 3 7 4 4" xfId="50138" xr:uid="{44452363-B7F7-4299-9F51-FBA3AF698EB3}"/>
    <cellStyle name="Normal 3 3 7 5" xfId="50139" xr:uid="{AA08E25E-D305-4A7A-9B9E-EA0415CCFA85}"/>
    <cellStyle name="Normal 3 3 7 5 2" xfId="50140" xr:uid="{4D29FE2E-5533-459B-B983-31D05B3CB62F}"/>
    <cellStyle name="Normal 3 3 7 5 2 2" xfId="50141" xr:uid="{043BA17A-674E-400A-9083-0DF3A3566635}"/>
    <cellStyle name="Normal 3 3 7 5 3" xfId="50142" xr:uid="{DCBAF53B-6D8B-4054-9B04-626362F0F15B}"/>
    <cellStyle name="Normal 3 3 7 6" xfId="50143" xr:uid="{126B6804-C31A-417C-B35E-D624C60C5DCE}"/>
    <cellStyle name="Normal 3 3 7 6 2" xfId="50144" xr:uid="{D92358B9-40E5-4BEF-AF95-31C38BD8FDA1}"/>
    <cellStyle name="Normal 3 3 7 7" xfId="50145" xr:uid="{3046F53C-B142-4A36-B06F-44B603033BA8}"/>
    <cellStyle name="Normal 3 3 8" xfId="50146" xr:uid="{7D05A10B-E441-456D-B4DE-03FB00545AAC}"/>
    <cellStyle name="Normal 3 3 8 2" xfId="50147" xr:uid="{6259FC1F-B064-400E-9511-FA2A2F5E9BB2}"/>
    <cellStyle name="Normal 3 3 8 2 2" xfId="50148" xr:uid="{78EB520D-9AF0-4E27-B5D4-705FD3F543D3}"/>
    <cellStyle name="Normal 3 3 8 2 2 2" xfId="50149" xr:uid="{28DDB2EB-F8C4-46A0-9FAE-3A194B3347FE}"/>
    <cellStyle name="Normal 3 3 8 2 2 2 2" xfId="50150" xr:uid="{372748EB-3082-4EDD-98AE-0EF17EB515AC}"/>
    <cellStyle name="Normal 3 3 8 2 2 2 2 2" xfId="50151" xr:uid="{0956FC83-F0E9-4BC5-90A7-073F22E59386}"/>
    <cellStyle name="Normal 3 3 8 2 2 2 3" xfId="50152" xr:uid="{B2700C3A-38E8-4DBB-8C8E-A4F348A52A45}"/>
    <cellStyle name="Normal 3 3 8 2 2 3" xfId="50153" xr:uid="{C05701A6-73C4-410C-8745-461553D9CC9F}"/>
    <cellStyle name="Normal 3 3 8 2 2 3 2" xfId="50154" xr:uid="{1BD0844A-0CAC-4A35-898F-B13C9551093B}"/>
    <cellStyle name="Normal 3 3 8 2 2 4" xfId="50155" xr:uid="{ABB82463-B6EE-45EE-A844-2A42161CF5F6}"/>
    <cellStyle name="Normal 3 3 8 2 3" xfId="50156" xr:uid="{D643F16D-B0E4-495C-A9B8-C2E18065DC9A}"/>
    <cellStyle name="Normal 3 3 8 2 3 2" xfId="50157" xr:uid="{30A2160B-F3A3-471E-B5A7-A9611F4379C6}"/>
    <cellStyle name="Normal 3 3 8 2 3 2 2" xfId="50158" xr:uid="{ABB9A53D-4765-41C9-90A7-6473FFEA23D4}"/>
    <cellStyle name="Normal 3 3 8 2 3 3" xfId="50159" xr:uid="{2050C6F1-0439-45BF-AD20-685CFCFF1B79}"/>
    <cellStyle name="Normal 3 3 8 2 4" xfId="50160" xr:uid="{FA662643-7FEC-44E8-AE0C-DCB537DB65DD}"/>
    <cellStyle name="Normal 3 3 8 2 4 2" xfId="50161" xr:uid="{9EE1BD56-BE3A-4F1C-98BB-6B8669456A1C}"/>
    <cellStyle name="Normal 3 3 8 2 5" xfId="50162" xr:uid="{25DA7E5C-6215-4AB6-97DC-2E53C621ED78}"/>
    <cellStyle name="Normal 3 3 8 3" xfId="50163" xr:uid="{39DC9802-344D-4249-9973-5326072AD5DC}"/>
    <cellStyle name="Normal 3 3 8 3 2" xfId="50164" xr:uid="{3F83D638-96D5-4542-9CF0-8EAAD20912F9}"/>
    <cellStyle name="Normal 3 3 8 3 2 2" xfId="50165" xr:uid="{3B632842-3D01-4B1B-B51D-6A1D275DC2D7}"/>
    <cellStyle name="Normal 3 3 8 3 2 2 2" xfId="50166" xr:uid="{ED36B531-A1B5-4B85-9CD8-6F10492DDF0F}"/>
    <cellStyle name="Normal 3 3 8 3 2 3" xfId="50167" xr:uid="{0B7A874E-CDAB-4698-985F-9B3A42F42B61}"/>
    <cellStyle name="Normal 3 3 8 3 3" xfId="50168" xr:uid="{1B5606C4-D078-4AAA-A9CE-94517B536848}"/>
    <cellStyle name="Normal 3 3 8 3 3 2" xfId="50169" xr:uid="{0281E77A-FB22-4EFC-A084-CBA0D298AC74}"/>
    <cellStyle name="Normal 3 3 8 3 4" xfId="50170" xr:uid="{55CDCBC6-96EF-4EED-B2D8-7701D3AFA182}"/>
    <cellStyle name="Normal 3 3 8 4" xfId="50171" xr:uid="{39AB101B-38D7-43AC-9683-C62961DDEF00}"/>
    <cellStyle name="Normal 3 3 8 4 2" xfId="50172" xr:uid="{CCAD3BB7-75A1-4151-BF25-07B6DBF4A70C}"/>
    <cellStyle name="Normal 3 3 8 4 2 2" xfId="50173" xr:uid="{04BEA938-1A94-4EEC-8B96-23B3B2DFABCA}"/>
    <cellStyle name="Normal 3 3 8 4 3" xfId="50174" xr:uid="{87A98BED-C99B-472C-B063-88F030F63166}"/>
    <cellStyle name="Normal 3 3 8 5" xfId="50175" xr:uid="{94C1AAA6-31E6-494B-B221-7B2F9B5A1090}"/>
    <cellStyle name="Normal 3 3 8 5 2" xfId="50176" xr:uid="{3532CD77-4F05-4DA6-B05D-543239EBE913}"/>
    <cellStyle name="Normal 3 3 8 6" xfId="50177" xr:uid="{FEC72FF7-BBE0-405B-AD3A-BA14D15AA7D1}"/>
    <cellStyle name="Normal 3 3 9" xfId="50178" xr:uid="{FC810E67-546B-41DB-AFAA-F38FB17A099D}"/>
    <cellStyle name="Normal 3 3 9 2" xfId="50179" xr:uid="{F8B360C0-FC87-47D9-8D26-2423277480AB}"/>
    <cellStyle name="Normal 3 3 9 2 2" xfId="50180" xr:uid="{7DC5A766-99D8-4B02-90E4-85845C4F0A37}"/>
    <cellStyle name="Normal 3 3 9 2 2 2" xfId="50181" xr:uid="{D329ED75-B518-4C4A-9D9C-B37A82636543}"/>
    <cellStyle name="Normal 3 3 9 2 2 2 2" xfId="50182" xr:uid="{DA716545-CF84-4686-B3C9-CFC0371CBB91}"/>
    <cellStyle name="Normal 3 3 9 2 2 3" xfId="50183" xr:uid="{DAB82D59-614B-4986-84B4-277176CB1871}"/>
    <cellStyle name="Normal 3 3 9 2 3" xfId="50184" xr:uid="{3DB63B9B-1699-4082-B2D9-C66645EFAD06}"/>
    <cellStyle name="Normal 3 3 9 2 3 2" xfId="50185" xr:uid="{3ED1BAEC-FE7B-41E5-8D44-54E915AB67D1}"/>
    <cellStyle name="Normal 3 3 9 2 4" xfId="50186" xr:uid="{23E6016C-C603-4D5E-8417-3225EE8C1FD2}"/>
    <cellStyle name="Normal 3 3 9 3" xfId="50187" xr:uid="{72C7976D-9E7F-4D6C-99E0-FF88A645D8B9}"/>
    <cellStyle name="Normal 3 3 9 3 2" xfId="50188" xr:uid="{A2517960-9E8F-4723-B064-B9B43674FD5A}"/>
    <cellStyle name="Normal 3 3 9 3 2 2" xfId="50189" xr:uid="{F5E48FCA-C31A-444B-944C-0EAB6455E578}"/>
    <cellStyle name="Normal 3 3 9 3 3" xfId="50190" xr:uid="{9243EB4F-F271-4BB7-8A70-20BE8E9EBC03}"/>
    <cellStyle name="Normal 3 3 9 4" xfId="50191" xr:uid="{4E00CBF0-2AA9-42BC-A992-3B9A9005DF97}"/>
    <cellStyle name="Normal 3 3 9 4 2" xfId="50192" xr:uid="{2DFBE7FF-C90A-487A-BD62-348EA70ACCFE}"/>
    <cellStyle name="Normal 3 3 9 5" xfId="50193" xr:uid="{105441D6-C1F6-4263-BDC9-A1A0C15E554C}"/>
    <cellStyle name="Normal 3 4" xfId="102" xr:uid="{8FD8D946-2F87-430B-BECE-CE0F81CA2268}"/>
    <cellStyle name="Normal 3 4 2" xfId="190" xr:uid="{3BA49756-BD2F-44AC-B96A-C38B01ADE31B}"/>
    <cellStyle name="Normal 3 4 3" xfId="152" xr:uid="{5F4483B5-50B8-43B8-9E7A-F1115B51C0DA}"/>
    <cellStyle name="Normal 3 5" xfId="103" xr:uid="{421DA7DE-C55C-424D-A83F-EB7114B4C8D9}"/>
    <cellStyle name="Normal 3 5 2" xfId="191" xr:uid="{D6F4A5C9-AFE6-4922-ADFE-21CC1D8A4904}"/>
    <cellStyle name="Normal 3 5 3" xfId="153" xr:uid="{85608153-60E4-40B6-B27A-0F8FA1FF6412}"/>
    <cellStyle name="Normal 3 6" xfId="104" xr:uid="{E8FB3768-BF38-4182-B4B3-CCED532A67B7}"/>
    <cellStyle name="Normal 3 6 2" xfId="192" xr:uid="{7CBEA1DF-D1AF-451D-8002-B220BEA4C10B}"/>
    <cellStyle name="Normal 3 6 3" xfId="154" xr:uid="{71BFAEA5-7F0B-44BC-B398-2A336586E612}"/>
    <cellStyle name="Normal 3 7" xfId="105" xr:uid="{C577CF54-1A73-41A3-936B-F39A3CBCB012}"/>
    <cellStyle name="Normal 3 7 2" xfId="193" xr:uid="{EF766764-9EBF-45F6-ACA0-0DF754EE9A90}"/>
    <cellStyle name="Normal 3 7 3" xfId="155" xr:uid="{7362AADE-7480-4E2A-9521-6323D0B39DA3}"/>
    <cellStyle name="Normal 3 8" xfId="106" xr:uid="{83306FA4-0B98-4D3A-B0CE-91336C858648}"/>
    <cellStyle name="Normal 3 8 2" xfId="194" xr:uid="{0AD50A42-66F1-41D4-B5AA-279B13DF4E3E}"/>
    <cellStyle name="Normal 3 8 3" xfId="156" xr:uid="{6569CC6E-894F-4DD1-A0CC-C3614B3D85EE}"/>
    <cellStyle name="Normal 3 9" xfId="107" xr:uid="{056E71D9-5ED0-4D78-A057-A82172F1AA9D}"/>
    <cellStyle name="Normal 3 9 2" xfId="195" xr:uid="{097E60EC-5714-43F2-8EED-E1A836A80B11}"/>
    <cellStyle name="Normal 3 9 3" xfId="157" xr:uid="{CD183027-B39E-4B23-941A-8F37CB022153}"/>
    <cellStyle name="Normal 4" xfId="5" xr:uid="{00000000-0005-0000-0000-00000F000000}"/>
    <cellStyle name="Normal 4 2" xfId="4" xr:uid="{00000000-0005-0000-0000-000010000000}"/>
    <cellStyle name="Normal 4 2 10" xfId="158" xr:uid="{B33BDFF4-67AA-416D-8D3D-F0A187869F31}"/>
    <cellStyle name="Normal 4 2 11" xfId="50194" xr:uid="{A5539E19-CE7F-4F6E-AC9F-89356436D1E9}"/>
    <cellStyle name="Normal 4 2 12" xfId="54778" xr:uid="{F56EBAC5-FA1C-49B6-8DBF-0B0D9961AC7E}"/>
    <cellStyle name="Normal 4 2 2" xfId="108" xr:uid="{AB1FD510-2012-46E1-8685-6837F8F90C10}"/>
    <cellStyle name="Normal 4 2 2 2" xfId="196" xr:uid="{DAE46DF0-D7A5-474C-9688-FC880BF18BAC}"/>
    <cellStyle name="Normal 4 2 2 3" xfId="159" xr:uid="{21B0C5DC-EA4D-4148-AAFA-E1194E32FA46}"/>
    <cellStyle name="Normal 4 2 3" xfId="109" xr:uid="{4617DD21-E7C0-4ECD-B8B2-274BA9A45BDE}"/>
    <cellStyle name="Normal 4 2 3 2" xfId="415" xr:uid="{48ABA631-B5C1-484A-B23C-ED89D6EA5F54}"/>
    <cellStyle name="Normal 4 2 4" xfId="110" xr:uid="{53941B16-E82E-404A-AD8D-EB6A9EF126DF}"/>
    <cellStyle name="Normal 4 2 4 2" xfId="416" xr:uid="{E7F9B395-99BC-45D1-AC26-1FB9B8AAA6F8}"/>
    <cellStyle name="Normal 4 2 5" xfId="111" xr:uid="{0E4D907A-9795-4560-A838-A63452E45908}"/>
    <cellStyle name="Normal 4 2 5 2" xfId="417" xr:uid="{B04185BE-8752-4568-BCA5-357AC808E581}"/>
    <cellStyle name="Normal 4 2 6" xfId="112" xr:uid="{2B289339-F731-4613-84E9-FDCB7D6730BC}"/>
    <cellStyle name="Normal 4 2 6 2" xfId="418" xr:uid="{82BCCA53-E004-4CE2-BF4C-B5220A0BFE5E}"/>
    <cellStyle name="Normal 4 2 7" xfId="113" xr:uid="{0715AE43-ACF4-4A37-ABE4-652653485BC2}"/>
    <cellStyle name="Normal 4 2 7 2" xfId="419" xr:uid="{3ADE443F-5ACA-448D-9B1C-2ED3986AA70C}"/>
    <cellStyle name="Normal 4 2 8" xfId="114" xr:uid="{CF117645-313B-4157-8FD9-767F7C2E645E}"/>
    <cellStyle name="Normal 4 2 8 2" xfId="420" xr:uid="{545124FF-D176-474A-8971-4B303A2B9D1F}"/>
    <cellStyle name="Normal 4 2 9" xfId="115" xr:uid="{75488E54-3FDF-4BB6-AE9C-271E16356F75}"/>
    <cellStyle name="Normal 4 2 9 2" xfId="421" xr:uid="{14E92660-EA02-44F8-A997-2FEB6CB72E33}"/>
    <cellStyle name="Normal 4 3" xfId="116" xr:uid="{BA5DFA57-A7AD-4158-AE9C-3D620EBC5682}"/>
    <cellStyle name="Normal 4 3 10" xfId="160" xr:uid="{915E0ED3-7DAE-4755-A5D9-3DDE56E76004}"/>
    <cellStyle name="Normal 4 3 2" xfId="117" xr:uid="{A02B98C2-458D-4B54-9CF7-216582BD27E8}"/>
    <cellStyle name="Normal 4 3 2 2" xfId="197" xr:uid="{05C79A6A-F390-47E2-9958-96FFB059E6FD}"/>
    <cellStyle name="Normal 4 3 2 3" xfId="161" xr:uid="{3E0144B6-EB7A-4765-9B8F-0D19DDB42A4F}"/>
    <cellStyle name="Normal 4 3 3" xfId="118" xr:uid="{E00B4188-5421-495D-8CD8-3CC3EFB59F85}"/>
    <cellStyle name="Normal 4 3 3 2" xfId="422" xr:uid="{6F55DCCA-2B55-4760-AB2E-C270CBB08362}"/>
    <cellStyle name="Normal 4 3 4" xfId="119" xr:uid="{8F9DB53D-2C77-48CB-ABA5-4AF02BC236FC}"/>
    <cellStyle name="Normal 4 3 4 2" xfId="423" xr:uid="{9D94CEB2-27D6-4CE2-A33B-80E0EDE77377}"/>
    <cellStyle name="Normal 4 3 5" xfId="120" xr:uid="{821DFB77-C702-4ED6-85F8-4227478EE4D8}"/>
    <cellStyle name="Normal 4 3 5 2" xfId="424" xr:uid="{0201D1D2-D9EF-406E-BEEE-4B4F62C3FFD1}"/>
    <cellStyle name="Normal 4 3 6" xfId="121" xr:uid="{C0DE0898-A1C3-4DCF-B1CD-473F3BC8EB4D}"/>
    <cellStyle name="Normal 4 3 6 2" xfId="425" xr:uid="{B7719920-93C7-43B4-A446-4CD9C8BDAB5A}"/>
    <cellStyle name="Normal 4 3 7" xfId="122" xr:uid="{067312D3-B9D5-43C1-8CE8-C91508C25894}"/>
    <cellStyle name="Normal 4 3 7 2" xfId="426" xr:uid="{71243F72-32B7-474E-9053-12A6D5FC7C56}"/>
    <cellStyle name="Normal 4 3 8" xfId="123" xr:uid="{5A24369F-A274-4EF9-8696-675B7C5552DA}"/>
    <cellStyle name="Normal 4 3 8 2" xfId="427" xr:uid="{E0A74054-E260-401D-AC81-EFF197266D7A}"/>
    <cellStyle name="Normal 4 3 9" xfId="124" xr:uid="{AC4F463E-5487-417A-9683-C822CACBEB28}"/>
    <cellStyle name="Normal 4 3 9 2" xfId="428" xr:uid="{26983307-5C91-4168-99D9-BF59099A0E0F}"/>
    <cellStyle name="Normal 4 4" xfId="125" xr:uid="{4A530132-123D-472C-8DC6-53EEA98B832C}"/>
    <cellStyle name="Normal 4 4 2" xfId="198" xr:uid="{3216C987-ACF9-40A3-B87B-C3E1A0724E64}"/>
    <cellStyle name="Normal 4 4 3" xfId="162" xr:uid="{A7037A14-87A2-4F89-938B-9D623C3C24E2}"/>
    <cellStyle name="Normal 4 4 4" xfId="50195" xr:uid="{D550259A-FACA-4FFA-91BF-EEEDB1085D9D}"/>
    <cellStyle name="Normal 4 5" xfId="126" xr:uid="{A94780E2-AAF9-4EB2-ABE5-DD472223F3A5}"/>
    <cellStyle name="Normal 4 5 2" xfId="199" xr:uid="{89B4EF44-C2FC-47C4-A433-45E6089BAEC5}"/>
    <cellStyle name="Normal 4 5 3" xfId="163" xr:uid="{1832EF72-B6EF-4D92-9178-146A9C2CF25E}"/>
    <cellStyle name="Normal 4 6" xfId="54777" xr:uid="{0106C28C-C378-4B79-BC6B-B786D675CC82}"/>
    <cellStyle name="Normal 4 6 2" xfId="54801" xr:uid="{6D823DFC-EFE3-4D09-B996-173FB48C8EBE}"/>
    <cellStyle name="Normal 5" xfId="15" xr:uid="{00000000-0005-0000-0000-000011000000}"/>
    <cellStyle name="Normal 5 2" xfId="17" xr:uid="{00000000-0005-0000-0000-000012000000}"/>
    <cellStyle name="Normal 5 2 10" xfId="50196" xr:uid="{F1E91387-8B93-49BB-BB41-9F3F2AC69616}"/>
    <cellStyle name="Normal 5 2 10 2" xfId="50197" xr:uid="{027C3C3B-4C4B-4AE2-B563-560172E741CA}"/>
    <cellStyle name="Normal 5 2 10 2 2" xfId="50198" xr:uid="{4605CE84-4449-45E8-8625-2D3B1EC429DF}"/>
    <cellStyle name="Normal 5 2 10 2 2 2" xfId="50199" xr:uid="{72367497-26B7-4EB5-A092-B6D12447ECEA}"/>
    <cellStyle name="Normal 5 2 10 2 3" xfId="50200" xr:uid="{DDADDCB2-D9D0-4338-A9C6-2EB600601562}"/>
    <cellStyle name="Normal 5 2 10 3" xfId="50201" xr:uid="{7FD8C31A-91FC-4765-BA96-6BB7C3C67864}"/>
    <cellStyle name="Normal 5 2 10 3 2" xfId="50202" xr:uid="{30EDF113-9319-4EC0-8734-3A991B80CC8C}"/>
    <cellStyle name="Normal 5 2 10 4" xfId="50203" xr:uid="{38AFAF23-05C5-48CF-A52D-12835DCF77D1}"/>
    <cellStyle name="Normal 5 2 11" xfId="50204" xr:uid="{8474FDFD-6F06-42E5-B483-244B90C05833}"/>
    <cellStyle name="Normal 5 2 11 2" xfId="50205" xr:uid="{752E3C08-99B2-4934-A49E-D4CB96B9296B}"/>
    <cellStyle name="Normal 5 2 11 2 2" xfId="50206" xr:uid="{B1F48981-0D1B-49B1-B5A1-83A1A8B50282}"/>
    <cellStyle name="Normal 5 2 11 3" xfId="50207" xr:uid="{45C84ECB-7870-4FB9-BF1B-F81969CDD0AF}"/>
    <cellStyle name="Normal 5 2 12" xfId="50208" xr:uid="{63FDB735-C82E-4438-8C83-F63E6C747797}"/>
    <cellStyle name="Normal 5 2 12 2" xfId="50209" xr:uid="{C3E9F848-14B6-4A50-ADC4-0F5CB8EE41A5}"/>
    <cellStyle name="Normal 5 2 13" xfId="50210" xr:uid="{F5F79DF2-6E9E-46E6-BA62-C9B5E20A17FF}"/>
    <cellStyle name="Normal 5 2 14" xfId="54780" xr:uid="{CB43990A-800B-4757-AED5-6850F7295C11}"/>
    <cellStyle name="Normal 5 2 2" xfId="200" xr:uid="{B907E7D8-3565-4DB9-B894-C6C6DE65AD0C}"/>
    <cellStyle name="Normal 5 2 3" xfId="164" xr:uid="{D889304B-A544-4DF9-9965-CCB642E6B0AE}"/>
    <cellStyle name="Normal 5 2 4" xfId="50211" xr:uid="{ACE75FF2-2FD2-4F86-ACCD-3CF303FCEC6D}"/>
    <cellStyle name="Normal 5 2 5" xfId="50212" xr:uid="{18368C0C-54C4-4A00-9A43-BBA37AEAF8AC}"/>
    <cellStyle name="Normal 5 2 5 2" xfId="50213" xr:uid="{F71C9CD5-EF49-4A9A-9F64-8F61889431EC}"/>
    <cellStyle name="Normal 5 2 5 2 2" xfId="50214" xr:uid="{1FC0E81E-78CE-4DB1-9767-D767D520C9E3}"/>
    <cellStyle name="Normal 5 2 5 2 2 2" xfId="50215" xr:uid="{A380B2F5-6123-487F-A66D-D570BAB78D60}"/>
    <cellStyle name="Normal 5 2 5 2 2 2 2" xfId="50216" xr:uid="{D05183C4-27B3-422F-9310-5131E6D759CD}"/>
    <cellStyle name="Normal 5 2 5 2 2 2 2 2" xfId="50217" xr:uid="{876A072D-5476-41A6-93D9-38337BA8A042}"/>
    <cellStyle name="Normal 5 2 5 2 2 2 2 2 2" xfId="50218" xr:uid="{2E08F635-CF84-497E-B93B-B1B1133FBF90}"/>
    <cellStyle name="Normal 5 2 5 2 2 2 2 2 2 2" xfId="50219" xr:uid="{203EA201-743C-4FFD-8F50-872D724FDD31}"/>
    <cellStyle name="Normal 5 2 5 2 2 2 2 2 2 2 2" xfId="50220" xr:uid="{3F132C6A-4494-4DA2-86C2-FC7CC1A7CCC0}"/>
    <cellStyle name="Normal 5 2 5 2 2 2 2 2 2 3" xfId="50221" xr:uid="{AA76C153-DA67-421A-ADF4-80155ACA7596}"/>
    <cellStyle name="Normal 5 2 5 2 2 2 2 2 3" xfId="50222" xr:uid="{9FD001E9-DBA9-4275-AD9D-A344E59AE029}"/>
    <cellStyle name="Normal 5 2 5 2 2 2 2 2 3 2" xfId="50223" xr:uid="{A56A2182-4923-40CB-83E5-876592584152}"/>
    <cellStyle name="Normal 5 2 5 2 2 2 2 2 4" xfId="50224" xr:uid="{4F6F43B9-6350-4BC0-9198-79BA4B795A04}"/>
    <cellStyle name="Normal 5 2 5 2 2 2 2 3" xfId="50225" xr:uid="{351560B0-DCF1-4281-B6F6-1A1AEF3BEEC6}"/>
    <cellStyle name="Normal 5 2 5 2 2 2 2 3 2" xfId="50226" xr:uid="{3F502720-D287-42E6-B875-3B05CAA70C09}"/>
    <cellStyle name="Normal 5 2 5 2 2 2 2 3 2 2" xfId="50227" xr:uid="{2C606B6D-DEFC-4401-B853-19793F4EB0C1}"/>
    <cellStyle name="Normal 5 2 5 2 2 2 2 3 3" xfId="50228" xr:uid="{7D4F8F17-7178-41C4-A83D-19C6A9CF6E0A}"/>
    <cellStyle name="Normal 5 2 5 2 2 2 2 4" xfId="50229" xr:uid="{9547EFF3-0AAB-4BC9-90FE-2ACB4EFE5D21}"/>
    <cellStyle name="Normal 5 2 5 2 2 2 2 4 2" xfId="50230" xr:uid="{2B97206A-46F1-4975-B59B-474A27C52F02}"/>
    <cellStyle name="Normal 5 2 5 2 2 2 2 5" xfId="50231" xr:uid="{6CEDFBAE-A26D-46B4-B1D1-E032AC8D6F56}"/>
    <cellStyle name="Normal 5 2 5 2 2 2 3" xfId="50232" xr:uid="{FF1A0251-60C4-4573-973B-2089F37F2209}"/>
    <cellStyle name="Normal 5 2 5 2 2 2 3 2" xfId="50233" xr:uid="{940ADA03-2187-4D06-AD8D-A65DCA6613D2}"/>
    <cellStyle name="Normal 5 2 5 2 2 2 3 2 2" xfId="50234" xr:uid="{ABF9C7F4-F8A5-434B-888E-AFFC0CCEB0FA}"/>
    <cellStyle name="Normal 5 2 5 2 2 2 3 2 2 2" xfId="50235" xr:uid="{CA9C7804-53EE-4792-9FD7-38DF0AC60651}"/>
    <cellStyle name="Normal 5 2 5 2 2 2 3 2 3" xfId="50236" xr:uid="{3FA83125-E661-4E00-8A4B-652C6E6D3B6F}"/>
    <cellStyle name="Normal 5 2 5 2 2 2 3 3" xfId="50237" xr:uid="{538BF2E4-B458-4C00-AF65-0263DB255E4C}"/>
    <cellStyle name="Normal 5 2 5 2 2 2 3 3 2" xfId="50238" xr:uid="{330E079C-23A3-475D-BA9C-B9E62AC25793}"/>
    <cellStyle name="Normal 5 2 5 2 2 2 3 4" xfId="50239" xr:uid="{80D09624-5D35-46D2-8F68-D38274BEA92B}"/>
    <cellStyle name="Normal 5 2 5 2 2 2 4" xfId="50240" xr:uid="{D1A2D1C6-2F96-4294-B012-0BA9AAF61FF0}"/>
    <cellStyle name="Normal 5 2 5 2 2 2 4 2" xfId="50241" xr:uid="{0C532FB4-7170-4B46-9408-7117FED7D766}"/>
    <cellStyle name="Normal 5 2 5 2 2 2 4 2 2" xfId="50242" xr:uid="{6A28459A-1AAA-479C-9F99-712DFD4E7FB0}"/>
    <cellStyle name="Normal 5 2 5 2 2 2 4 3" xfId="50243" xr:uid="{8EC964CC-40C4-421C-80CD-D5C35ACA862F}"/>
    <cellStyle name="Normal 5 2 5 2 2 2 5" xfId="50244" xr:uid="{BBD5BA48-3736-43EF-936C-B89320042935}"/>
    <cellStyle name="Normal 5 2 5 2 2 2 5 2" xfId="50245" xr:uid="{25A59E67-1674-43D8-B5BD-226FA2F5AE36}"/>
    <cellStyle name="Normal 5 2 5 2 2 2 6" xfId="50246" xr:uid="{214C9334-FD0C-4F65-A2E0-430539BA16A5}"/>
    <cellStyle name="Normal 5 2 5 2 2 3" xfId="50247" xr:uid="{D49BA290-66C8-4990-ABFB-0E5E05C4DEDF}"/>
    <cellStyle name="Normal 5 2 5 2 2 3 2" xfId="50248" xr:uid="{CAF5F43D-76DB-42ED-81AA-CFA70DAEFB63}"/>
    <cellStyle name="Normal 5 2 5 2 2 3 2 2" xfId="50249" xr:uid="{4BF36C4F-F87D-48E7-BE2F-BD8EC1BF9413}"/>
    <cellStyle name="Normal 5 2 5 2 2 3 2 2 2" xfId="50250" xr:uid="{A59C88A5-7E99-45CB-A8F7-5D0DE9E9A233}"/>
    <cellStyle name="Normal 5 2 5 2 2 3 2 2 2 2" xfId="50251" xr:uid="{759947AC-158B-48A4-9B06-39ABB5F4A6CE}"/>
    <cellStyle name="Normal 5 2 5 2 2 3 2 2 3" xfId="50252" xr:uid="{DFA172F7-9D99-468B-8E57-BBB465AE3A85}"/>
    <cellStyle name="Normal 5 2 5 2 2 3 2 3" xfId="50253" xr:uid="{A7FF4EF4-89F0-43F9-B292-E73114208194}"/>
    <cellStyle name="Normal 5 2 5 2 2 3 2 3 2" xfId="50254" xr:uid="{088E9FE1-1EA0-4054-8D4B-8A77FA941826}"/>
    <cellStyle name="Normal 5 2 5 2 2 3 2 4" xfId="50255" xr:uid="{8C17744B-634B-4A3E-AA5E-974E649B1277}"/>
    <cellStyle name="Normal 5 2 5 2 2 3 3" xfId="50256" xr:uid="{4C54E63E-4ED0-4909-8D1C-990B97BA041F}"/>
    <cellStyle name="Normal 5 2 5 2 2 3 3 2" xfId="50257" xr:uid="{175AC2B4-84B3-4543-8866-8EF6DF33C237}"/>
    <cellStyle name="Normal 5 2 5 2 2 3 3 2 2" xfId="50258" xr:uid="{9D388802-1624-4CE6-924B-45B32E0F2E34}"/>
    <cellStyle name="Normal 5 2 5 2 2 3 3 3" xfId="50259" xr:uid="{F2EF76E4-A7CD-42CB-A74B-E61994093F71}"/>
    <cellStyle name="Normal 5 2 5 2 2 3 4" xfId="50260" xr:uid="{5471CF4C-EADC-4241-BE8C-783EF30B4A26}"/>
    <cellStyle name="Normal 5 2 5 2 2 3 4 2" xfId="50261" xr:uid="{3A440CD5-2AFF-4015-8BA3-CDB1E796AFCC}"/>
    <cellStyle name="Normal 5 2 5 2 2 3 5" xfId="50262" xr:uid="{BD6D8A70-13CE-4D10-AE1D-8157D561A5A8}"/>
    <cellStyle name="Normal 5 2 5 2 2 4" xfId="50263" xr:uid="{BA73BAEA-F851-494D-9BB5-91D3BB55F3DA}"/>
    <cellStyle name="Normal 5 2 5 2 2 4 2" xfId="50264" xr:uid="{971F7CBE-C024-49A6-A80D-43D8D0B6D947}"/>
    <cellStyle name="Normal 5 2 5 2 2 4 2 2" xfId="50265" xr:uid="{06693FBD-E327-4437-B0EA-3D96833CB69D}"/>
    <cellStyle name="Normal 5 2 5 2 2 4 2 2 2" xfId="50266" xr:uid="{077C9488-60C1-4FAD-80F8-56A6B1B3FA7C}"/>
    <cellStyle name="Normal 5 2 5 2 2 4 2 3" xfId="50267" xr:uid="{A66C7A61-A5C5-4CA7-B58A-549E81AE9D86}"/>
    <cellStyle name="Normal 5 2 5 2 2 4 3" xfId="50268" xr:uid="{BFCB89BD-A7AD-4535-8396-ABB1B8E92906}"/>
    <cellStyle name="Normal 5 2 5 2 2 4 3 2" xfId="50269" xr:uid="{433DD8A7-CC35-43CB-A90D-FD32E5732B2D}"/>
    <cellStyle name="Normal 5 2 5 2 2 4 4" xfId="50270" xr:uid="{8E39E178-8983-4BE4-A2B4-2DFED587E402}"/>
    <cellStyle name="Normal 5 2 5 2 2 5" xfId="50271" xr:uid="{8ED0C476-A324-48D7-86CA-222DFA9B4431}"/>
    <cellStyle name="Normal 5 2 5 2 2 5 2" xfId="50272" xr:uid="{50191B93-A7DF-4DFA-A50F-33F75F7AA0D1}"/>
    <cellStyle name="Normal 5 2 5 2 2 5 2 2" xfId="50273" xr:uid="{85CA8F86-AD55-4747-BDD5-9550569B0A3A}"/>
    <cellStyle name="Normal 5 2 5 2 2 5 3" xfId="50274" xr:uid="{7692EFBE-169E-4843-840E-A17B4FFBE41D}"/>
    <cellStyle name="Normal 5 2 5 2 2 6" xfId="50275" xr:uid="{DD7A7194-B949-4E0B-9983-89F823B792F2}"/>
    <cellStyle name="Normal 5 2 5 2 2 6 2" xfId="50276" xr:uid="{A8DE2F20-42F8-41CD-974A-6CE7701E2EFA}"/>
    <cellStyle name="Normal 5 2 5 2 2 7" xfId="50277" xr:uid="{A68FF625-01D4-433B-B587-7816D9ABD297}"/>
    <cellStyle name="Normal 5 2 5 2 3" xfId="50278" xr:uid="{05E8DF33-EC02-43F2-AB70-E3FF8CD9AC95}"/>
    <cellStyle name="Normal 5 2 5 2 3 2" xfId="50279" xr:uid="{45E6229D-8867-4F18-8E58-2961E9BC01A8}"/>
    <cellStyle name="Normal 5 2 5 2 3 2 2" xfId="50280" xr:uid="{CFBC9766-87B1-42CE-96BC-B61E2B0BEA0D}"/>
    <cellStyle name="Normal 5 2 5 2 3 2 2 2" xfId="50281" xr:uid="{0FCE8DCC-2546-447F-8E5C-F552F407ED75}"/>
    <cellStyle name="Normal 5 2 5 2 3 2 2 2 2" xfId="50282" xr:uid="{88F36AF8-362D-4261-B82C-6973A1B7F56E}"/>
    <cellStyle name="Normal 5 2 5 2 3 2 2 2 2 2" xfId="50283" xr:uid="{34AB921D-573B-4B33-BA72-4B20BB5C48F2}"/>
    <cellStyle name="Normal 5 2 5 2 3 2 2 2 3" xfId="50284" xr:uid="{07590E71-B6AC-4A38-A93F-89EA84F1DAD3}"/>
    <cellStyle name="Normal 5 2 5 2 3 2 2 3" xfId="50285" xr:uid="{7B0B1604-0A50-46DF-9EED-6234B5E9C22A}"/>
    <cellStyle name="Normal 5 2 5 2 3 2 2 3 2" xfId="50286" xr:uid="{5EA71AE8-893B-4ADF-95F8-DADB0613319D}"/>
    <cellStyle name="Normal 5 2 5 2 3 2 2 4" xfId="50287" xr:uid="{6381596A-2858-4C52-A130-5E28364C98AB}"/>
    <cellStyle name="Normal 5 2 5 2 3 2 3" xfId="50288" xr:uid="{4F964752-CEC7-4A77-AF25-04A00B6872B9}"/>
    <cellStyle name="Normal 5 2 5 2 3 2 3 2" xfId="50289" xr:uid="{BA081EE3-A372-4906-83B0-1BCF94373476}"/>
    <cellStyle name="Normal 5 2 5 2 3 2 3 2 2" xfId="50290" xr:uid="{38EBFFF1-1F31-4D96-A4CA-3497266E2710}"/>
    <cellStyle name="Normal 5 2 5 2 3 2 3 3" xfId="50291" xr:uid="{29540E9E-B37B-442F-A481-FD83543F178D}"/>
    <cellStyle name="Normal 5 2 5 2 3 2 4" xfId="50292" xr:uid="{5DA30F35-FF79-445F-87FA-73EE32CDCDC4}"/>
    <cellStyle name="Normal 5 2 5 2 3 2 4 2" xfId="50293" xr:uid="{0E5C25DB-B3D0-4897-ADE7-C05931D0E378}"/>
    <cellStyle name="Normal 5 2 5 2 3 2 5" xfId="50294" xr:uid="{D4678D28-B975-4848-ACBF-270F0A28928B}"/>
    <cellStyle name="Normal 5 2 5 2 3 3" xfId="50295" xr:uid="{D458B3EC-3324-4DFA-9F51-9636A2C04981}"/>
    <cellStyle name="Normal 5 2 5 2 3 3 2" xfId="50296" xr:uid="{7B54F089-4ED5-4A39-B694-CD6067730C0D}"/>
    <cellStyle name="Normal 5 2 5 2 3 3 2 2" xfId="50297" xr:uid="{65C4245D-8CA0-4F05-A4D1-218105EE6763}"/>
    <cellStyle name="Normal 5 2 5 2 3 3 2 2 2" xfId="50298" xr:uid="{1056F852-4279-47E4-B07C-8686F423131D}"/>
    <cellStyle name="Normal 5 2 5 2 3 3 2 3" xfId="50299" xr:uid="{92CA6F3A-919D-4450-AE87-D722DB05293D}"/>
    <cellStyle name="Normal 5 2 5 2 3 3 3" xfId="50300" xr:uid="{AF4CCD7C-934E-4463-9B1E-6F323408B525}"/>
    <cellStyle name="Normal 5 2 5 2 3 3 3 2" xfId="50301" xr:uid="{C5F7C225-D3BD-44FB-AEB5-C33319551269}"/>
    <cellStyle name="Normal 5 2 5 2 3 3 4" xfId="50302" xr:uid="{A3C82139-72E5-4F36-9B65-92C6F694D9AF}"/>
    <cellStyle name="Normal 5 2 5 2 3 4" xfId="50303" xr:uid="{D95D26A2-45AE-45B4-B144-1E64540C5FB7}"/>
    <cellStyle name="Normal 5 2 5 2 3 4 2" xfId="50304" xr:uid="{586520A1-4639-4CC9-9FEA-8E2B0F774B4B}"/>
    <cellStyle name="Normal 5 2 5 2 3 4 2 2" xfId="50305" xr:uid="{26B489BB-5190-4207-818E-559741D2D04F}"/>
    <cellStyle name="Normal 5 2 5 2 3 4 3" xfId="50306" xr:uid="{76414301-52E0-4DCC-8B26-E0DCC9EE1BFC}"/>
    <cellStyle name="Normal 5 2 5 2 3 5" xfId="50307" xr:uid="{560BB636-BBA8-4CC4-AB7F-7DFFDB3135DB}"/>
    <cellStyle name="Normal 5 2 5 2 3 5 2" xfId="50308" xr:uid="{B3FAE830-664A-4F37-A8CE-FBF94A242BE1}"/>
    <cellStyle name="Normal 5 2 5 2 3 6" xfId="50309" xr:uid="{1466C402-1464-4BA5-902A-2FBAD701FE7C}"/>
    <cellStyle name="Normal 5 2 5 2 4" xfId="50310" xr:uid="{20E829F7-B299-4BC8-8283-CEA28E263644}"/>
    <cellStyle name="Normal 5 2 5 2 4 2" xfId="50311" xr:uid="{B3A33B7E-3A6D-46A9-97AB-F136CA432D08}"/>
    <cellStyle name="Normal 5 2 5 2 4 2 2" xfId="50312" xr:uid="{6A8459F3-F4A5-4A23-A340-8B4CE62976E4}"/>
    <cellStyle name="Normal 5 2 5 2 4 2 2 2" xfId="50313" xr:uid="{2FD88569-E5D5-438C-84CF-DF8A042029F4}"/>
    <cellStyle name="Normal 5 2 5 2 4 2 2 2 2" xfId="50314" xr:uid="{23175208-C65B-4506-AAD3-B7A1EA2A203F}"/>
    <cellStyle name="Normal 5 2 5 2 4 2 2 3" xfId="50315" xr:uid="{AEED69A2-8840-461C-92D3-39D82F2B6F82}"/>
    <cellStyle name="Normal 5 2 5 2 4 2 3" xfId="50316" xr:uid="{671E8962-30E1-404D-9913-E86094AE1623}"/>
    <cellStyle name="Normal 5 2 5 2 4 2 3 2" xfId="50317" xr:uid="{E6CFF6BD-D70A-4500-A34B-A36DBC881F93}"/>
    <cellStyle name="Normal 5 2 5 2 4 2 4" xfId="50318" xr:uid="{578CA51B-1D2E-4A03-99B8-E7E6784F424A}"/>
    <cellStyle name="Normal 5 2 5 2 4 3" xfId="50319" xr:uid="{9A77ADA9-34CB-4C9B-A68E-60CA61CA39E0}"/>
    <cellStyle name="Normal 5 2 5 2 4 3 2" xfId="50320" xr:uid="{E80DB062-8F3A-49E7-9980-188EBC666693}"/>
    <cellStyle name="Normal 5 2 5 2 4 3 2 2" xfId="50321" xr:uid="{2590EC3C-D09D-4C5B-9C4D-27A12A7ACB45}"/>
    <cellStyle name="Normal 5 2 5 2 4 3 3" xfId="50322" xr:uid="{9C5A206D-BB4B-4DFB-A865-BBD97639B888}"/>
    <cellStyle name="Normal 5 2 5 2 4 4" xfId="50323" xr:uid="{74FEA34E-1572-45E6-8C29-FAF80F86A04D}"/>
    <cellStyle name="Normal 5 2 5 2 4 4 2" xfId="50324" xr:uid="{7AD243B5-6CB3-4183-BA36-0D5D0BB2C1D6}"/>
    <cellStyle name="Normal 5 2 5 2 4 5" xfId="50325" xr:uid="{3F9426A4-DDDD-4674-AA21-AC31F5EA55ED}"/>
    <cellStyle name="Normal 5 2 5 2 5" xfId="50326" xr:uid="{C2DAE35A-E7B1-4A79-9635-60E4C33B08B0}"/>
    <cellStyle name="Normal 5 2 5 2 5 2" xfId="50327" xr:uid="{8CC44046-2B9B-4AD1-8A84-4DB69D0838B0}"/>
    <cellStyle name="Normal 5 2 5 2 5 2 2" xfId="50328" xr:uid="{323B6363-B6F0-40D5-93EC-BE037450E4E3}"/>
    <cellStyle name="Normal 5 2 5 2 5 2 2 2" xfId="50329" xr:uid="{2BFDA6FA-5147-42F4-A1F9-677B8DC7C0EE}"/>
    <cellStyle name="Normal 5 2 5 2 5 2 3" xfId="50330" xr:uid="{276DB762-09B0-41F5-A7AB-3E5BD50B0F18}"/>
    <cellStyle name="Normal 5 2 5 2 5 3" xfId="50331" xr:uid="{9FA20A04-5B8C-473D-B8DD-CABD000BF51D}"/>
    <cellStyle name="Normal 5 2 5 2 5 3 2" xfId="50332" xr:uid="{3694D388-7FD3-47F0-B75D-ACF24C5D22B2}"/>
    <cellStyle name="Normal 5 2 5 2 5 4" xfId="50333" xr:uid="{6937C2DE-C15F-4619-B0D2-09F7FBF42617}"/>
    <cellStyle name="Normal 5 2 5 2 6" xfId="50334" xr:uid="{17FB9995-F926-4CD1-9E55-7B6FB7EDCD16}"/>
    <cellStyle name="Normal 5 2 5 2 6 2" xfId="50335" xr:uid="{B5776DA3-736D-4144-BF05-4B08226EFB63}"/>
    <cellStyle name="Normal 5 2 5 2 6 2 2" xfId="50336" xr:uid="{83AB34C8-E18F-432A-AF4D-F2700C3F9476}"/>
    <cellStyle name="Normal 5 2 5 2 6 3" xfId="50337" xr:uid="{9DE5063B-13BB-4B12-9D91-AEFDFF27F2E0}"/>
    <cellStyle name="Normal 5 2 5 2 7" xfId="50338" xr:uid="{5656E70D-AF2E-4D40-810E-03D712D3113A}"/>
    <cellStyle name="Normal 5 2 5 2 7 2" xfId="50339" xr:uid="{1A0DFD99-8B7B-4253-BE1C-9767EB82CD76}"/>
    <cellStyle name="Normal 5 2 5 2 8" xfId="50340" xr:uid="{1276F0C2-BAE8-4526-BF32-EE9997D3E6EE}"/>
    <cellStyle name="Normal 5 2 5 3" xfId="50341" xr:uid="{2568A05E-B62D-44D1-BDBE-027020602CD1}"/>
    <cellStyle name="Normal 5 2 5 3 2" xfId="50342" xr:uid="{B395EC4F-02E5-4404-AB1D-4CC1FDEF3237}"/>
    <cellStyle name="Normal 5 2 5 3 2 2" xfId="50343" xr:uid="{8E33F322-323D-4419-90C3-99A90C07EB2A}"/>
    <cellStyle name="Normal 5 2 5 3 2 2 2" xfId="50344" xr:uid="{DA149A8E-3580-4120-BE96-58776C33040A}"/>
    <cellStyle name="Normal 5 2 5 3 2 2 2 2" xfId="50345" xr:uid="{7F198E1F-CBE0-4185-99D5-AB02E8FF1904}"/>
    <cellStyle name="Normal 5 2 5 3 2 2 2 2 2" xfId="50346" xr:uid="{C1B2FA34-2D83-4C75-AC64-542221E811CB}"/>
    <cellStyle name="Normal 5 2 5 3 2 2 2 2 2 2" xfId="50347" xr:uid="{C842A5B2-DF06-4628-BBAC-D3AA93E0DC3B}"/>
    <cellStyle name="Normal 5 2 5 3 2 2 2 2 3" xfId="50348" xr:uid="{B34F3455-7474-4990-AB0C-81FC6B0DFADA}"/>
    <cellStyle name="Normal 5 2 5 3 2 2 2 3" xfId="50349" xr:uid="{76B0562A-4452-425C-A743-AF1F33CC0A37}"/>
    <cellStyle name="Normal 5 2 5 3 2 2 2 3 2" xfId="50350" xr:uid="{B5305A8D-25D1-41F5-BB92-D592FF986CDE}"/>
    <cellStyle name="Normal 5 2 5 3 2 2 2 4" xfId="50351" xr:uid="{98899E52-CFF0-4AEC-99D8-DF168353AC19}"/>
    <cellStyle name="Normal 5 2 5 3 2 2 3" xfId="50352" xr:uid="{AE9B0227-3D4C-43E3-8091-5297E3F428B5}"/>
    <cellStyle name="Normal 5 2 5 3 2 2 3 2" xfId="50353" xr:uid="{7A365668-33E1-4BFD-90CE-DAA59BDA649F}"/>
    <cellStyle name="Normal 5 2 5 3 2 2 3 2 2" xfId="50354" xr:uid="{FCA9EF13-EF34-44BB-82F8-D6FD37597F5D}"/>
    <cellStyle name="Normal 5 2 5 3 2 2 3 3" xfId="50355" xr:uid="{235D9B75-B567-4A13-9278-E4AE688D7E85}"/>
    <cellStyle name="Normal 5 2 5 3 2 2 4" xfId="50356" xr:uid="{E2441EE2-1E64-4A32-BB0B-7DEA04B1D7F9}"/>
    <cellStyle name="Normal 5 2 5 3 2 2 4 2" xfId="50357" xr:uid="{E9052EFE-2CDF-4678-9A2A-92541CBE68DD}"/>
    <cellStyle name="Normal 5 2 5 3 2 2 5" xfId="50358" xr:uid="{A50F2288-D050-470B-9228-8F8EF24535B4}"/>
    <cellStyle name="Normal 5 2 5 3 2 3" xfId="50359" xr:uid="{EB5A5DDD-CA27-484A-9CCC-7A4D1A23E32A}"/>
    <cellStyle name="Normal 5 2 5 3 2 3 2" xfId="50360" xr:uid="{67EDEA51-4C72-43E2-8D7D-90673E7B1676}"/>
    <cellStyle name="Normal 5 2 5 3 2 3 2 2" xfId="50361" xr:uid="{7B9C30B0-6D8B-449D-B673-C207831FAF87}"/>
    <cellStyle name="Normal 5 2 5 3 2 3 2 2 2" xfId="50362" xr:uid="{185DE2C4-3502-49F5-8EE1-545CE0F92EF4}"/>
    <cellStyle name="Normal 5 2 5 3 2 3 2 3" xfId="50363" xr:uid="{9C5AE922-F2EA-4F26-8F7D-C64C34FEE159}"/>
    <cellStyle name="Normal 5 2 5 3 2 3 3" xfId="50364" xr:uid="{BFAC0A47-C5F4-4191-A00D-37760CB88CF0}"/>
    <cellStyle name="Normal 5 2 5 3 2 3 3 2" xfId="50365" xr:uid="{A9C6D704-7073-497E-963B-8DFF950D7346}"/>
    <cellStyle name="Normal 5 2 5 3 2 3 4" xfId="50366" xr:uid="{B3608498-9708-422B-A945-A14C64490C50}"/>
    <cellStyle name="Normal 5 2 5 3 2 4" xfId="50367" xr:uid="{C18B6241-4C14-4E8C-9C0F-F02ADC46539A}"/>
    <cellStyle name="Normal 5 2 5 3 2 4 2" xfId="50368" xr:uid="{DD252376-0E10-41A9-AA82-A4D109B3FE7C}"/>
    <cellStyle name="Normal 5 2 5 3 2 4 2 2" xfId="50369" xr:uid="{BEC0D105-38F4-4A56-A04E-0AF78888153E}"/>
    <cellStyle name="Normal 5 2 5 3 2 4 3" xfId="50370" xr:uid="{6F4B1247-CA35-4E74-9D3F-D6F3F345554D}"/>
    <cellStyle name="Normal 5 2 5 3 2 5" xfId="50371" xr:uid="{EBFF8799-56F4-4CA0-8200-483B5DAE4D97}"/>
    <cellStyle name="Normal 5 2 5 3 2 5 2" xfId="50372" xr:uid="{C8A6D0F6-FCB6-4212-8DA5-A6037AC6BBD6}"/>
    <cellStyle name="Normal 5 2 5 3 2 6" xfId="50373" xr:uid="{D183E6FE-2044-40AC-B5EE-09400827D399}"/>
    <cellStyle name="Normal 5 2 5 3 3" xfId="50374" xr:uid="{77CE8C70-5267-4B13-B7BD-FB6B9B0592B8}"/>
    <cellStyle name="Normal 5 2 5 3 3 2" xfId="50375" xr:uid="{A0DC6A10-05F3-4FB4-B69B-AB9E14DCDE95}"/>
    <cellStyle name="Normal 5 2 5 3 3 2 2" xfId="50376" xr:uid="{149C1DE3-61C7-4952-9B00-3C0B2963D9E0}"/>
    <cellStyle name="Normal 5 2 5 3 3 2 2 2" xfId="50377" xr:uid="{4D26AE0F-5E09-49D6-9EBF-D65CDA5E9433}"/>
    <cellStyle name="Normal 5 2 5 3 3 2 2 2 2" xfId="50378" xr:uid="{7C92A2EF-FDE0-4A25-9F93-CE013BB6662D}"/>
    <cellStyle name="Normal 5 2 5 3 3 2 2 3" xfId="50379" xr:uid="{D547DC55-EEAC-49CB-A197-2F1D3AF49AE4}"/>
    <cellStyle name="Normal 5 2 5 3 3 2 3" xfId="50380" xr:uid="{F8D76D71-B008-49F4-9570-A8BACC986F0C}"/>
    <cellStyle name="Normal 5 2 5 3 3 2 3 2" xfId="50381" xr:uid="{7D06B525-B0EC-4F2C-A6A9-F9447CE76135}"/>
    <cellStyle name="Normal 5 2 5 3 3 2 4" xfId="50382" xr:uid="{3393025A-805D-4B53-8A2A-2C69E647E777}"/>
    <cellStyle name="Normal 5 2 5 3 3 3" xfId="50383" xr:uid="{AC487AFC-8697-460C-A620-377E3BC10483}"/>
    <cellStyle name="Normal 5 2 5 3 3 3 2" xfId="50384" xr:uid="{75925D3C-371F-4985-8CA3-324C5DB15D1B}"/>
    <cellStyle name="Normal 5 2 5 3 3 3 2 2" xfId="50385" xr:uid="{4C2CDF22-E0B1-4A9F-9C4D-813D7603405F}"/>
    <cellStyle name="Normal 5 2 5 3 3 3 3" xfId="50386" xr:uid="{8921E283-CFDD-4ABD-81FA-5D3585055BE8}"/>
    <cellStyle name="Normal 5 2 5 3 3 4" xfId="50387" xr:uid="{AAA4D72B-2DE6-4E44-8A1E-321BD56C1891}"/>
    <cellStyle name="Normal 5 2 5 3 3 4 2" xfId="50388" xr:uid="{71D8E41A-C227-4033-AB85-519BD4C5A1F4}"/>
    <cellStyle name="Normal 5 2 5 3 3 5" xfId="50389" xr:uid="{20FAE08C-F711-436C-9A1B-72284799B878}"/>
    <cellStyle name="Normal 5 2 5 3 4" xfId="50390" xr:uid="{130AC37B-3C5B-4A69-82AD-C841E3205495}"/>
    <cellStyle name="Normal 5 2 5 3 4 2" xfId="50391" xr:uid="{2E671F43-F30A-44C5-B75D-8CDC8F2FE4E0}"/>
    <cellStyle name="Normal 5 2 5 3 4 2 2" xfId="50392" xr:uid="{F4E65B90-B459-42D3-BDDC-43945C700AB3}"/>
    <cellStyle name="Normal 5 2 5 3 4 2 2 2" xfId="50393" xr:uid="{0B4BAD04-9ACB-4318-9EB0-ED074C3D8838}"/>
    <cellStyle name="Normal 5 2 5 3 4 2 3" xfId="50394" xr:uid="{FF4F9BFC-58C5-491F-8D02-B10C789C2501}"/>
    <cellStyle name="Normal 5 2 5 3 4 3" xfId="50395" xr:uid="{A29B8B62-14AE-487E-998C-977999F6AB2C}"/>
    <cellStyle name="Normal 5 2 5 3 4 3 2" xfId="50396" xr:uid="{00FB3B52-FC4F-44DC-8822-59D519CAC701}"/>
    <cellStyle name="Normal 5 2 5 3 4 4" xfId="50397" xr:uid="{5203AFEA-CF97-4EE5-8E66-3431695D7CED}"/>
    <cellStyle name="Normal 5 2 5 3 5" xfId="50398" xr:uid="{2A62C5D4-96A2-40D4-8A16-E1DD9F24BC9A}"/>
    <cellStyle name="Normal 5 2 5 3 5 2" xfId="50399" xr:uid="{B62BFF13-F7F2-4CC2-B8F7-CB8563A7AB0A}"/>
    <cellStyle name="Normal 5 2 5 3 5 2 2" xfId="50400" xr:uid="{107964DD-5B2B-4DAA-9431-3E2FEB8D9A97}"/>
    <cellStyle name="Normal 5 2 5 3 5 3" xfId="50401" xr:uid="{12860D6E-BC6B-4F35-95CD-36660636D02F}"/>
    <cellStyle name="Normal 5 2 5 3 6" xfId="50402" xr:uid="{7A4E8C28-ACC4-4B63-A692-9C0648D019AD}"/>
    <cellStyle name="Normal 5 2 5 3 6 2" xfId="50403" xr:uid="{2E320820-83A8-43C4-973D-C2D1A83BF212}"/>
    <cellStyle name="Normal 5 2 5 3 7" xfId="50404" xr:uid="{5E103006-5948-4CA4-980E-F9F8EB98DB37}"/>
    <cellStyle name="Normal 5 2 5 4" xfId="50405" xr:uid="{A7CB9E16-BEBC-41A4-8B3A-53FC00FB1250}"/>
    <cellStyle name="Normal 5 2 5 4 2" xfId="50406" xr:uid="{81DD3AB5-4EEA-4F3D-9684-571EAB29F650}"/>
    <cellStyle name="Normal 5 2 5 4 2 2" xfId="50407" xr:uid="{FDEAA713-5FDB-4ECD-83D6-415BA0C9E103}"/>
    <cellStyle name="Normal 5 2 5 4 2 2 2" xfId="50408" xr:uid="{DE1F55CE-9AB7-4FD7-AF41-85A655E8AB8C}"/>
    <cellStyle name="Normal 5 2 5 4 2 2 2 2" xfId="50409" xr:uid="{5D3D86DD-3E27-45F3-B708-CAAE34D7F617}"/>
    <cellStyle name="Normal 5 2 5 4 2 2 2 2 2" xfId="50410" xr:uid="{BA0A516C-B8E2-4A62-9A75-D00F57288397}"/>
    <cellStyle name="Normal 5 2 5 4 2 2 2 3" xfId="50411" xr:uid="{86964A05-E39A-490E-8E8A-4C9D624E2EF7}"/>
    <cellStyle name="Normal 5 2 5 4 2 2 3" xfId="50412" xr:uid="{A80E98C2-B933-4C5A-AEBD-60E93395F74E}"/>
    <cellStyle name="Normal 5 2 5 4 2 2 3 2" xfId="50413" xr:uid="{78CC674C-DC83-4909-87F8-A647F2C788AA}"/>
    <cellStyle name="Normal 5 2 5 4 2 2 4" xfId="50414" xr:uid="{0BD7B8AA-F23E-4C5E-9764-4F874851C3D0}"/>
    <cellStyle name="Normal 5 2 5 4 2 3" xfId="50415" xr:uid="{91FEEBD4-D2AB-46B8-9871-115C507454B7}"/>
    <cellStyle name="Normal 5 2 5 4 2 3 2" xfId="50416" xr:uid="{8C6BEBE6-5EEB-4E06-9643-7CE380235AD9}"/>
    <cellStyle name="Normal 5 2 5 4 2 3 2 2" xfId="50417" xr:uid="{F995342E-93DB-4B04-8E67-CEC4D692BC75}"/>
    <cellStyle name="Normal 5 2 5 4 2 3 3" xfId="50418" xr:uid="{11F0A1BC-6C42-473A-A623-0AD8441AADAE}"/>
    <cellStyle name="Normal 5 2 5 4 2 4" xfId="50419" xr:uid="{0994AF0C-70B3-435C-B6EC-1FB0C650A5A2}"/>
    <cellStyle name="Normal 5 2 5 4 2 4 2" xfId="50420" xr:uid="{9DDC5B50-A217-4D4F-B3DC-469D2BE2F321}"/>
    <cellStyle name="Normal 5 2 5 4 2 5" xfId="50421" xr:uid="{2F9E8302-677F-4C15-9EE3-476E2E27615C}"/>
    <cellStyle name="Normal 5 2 5 4 3" xfId="50422" xr:uid="{CA362E19-DB23-4D3C-9390-D0CA2665FD9F}"/>
    <cellStyle name="Normal 5 2 5 4 3 2" xfId="50423" xr:uid="{8A42FE9D-415B-482C-ADE2-E893282CF48C}"/>
    <cellStyle name="Normal 5 2 5 4 3 2 2" xfId="50424" xr:uid="{66C4A056-DC66-443C-A914-C3210AE2A6F4}"/>
    <cellStyle name="Normal 5 2 5 4 3 2 2 2" xfId="50425" xr:uid="{1F76B2C1-1837-4BE6-8370-E084B26D4CEA}"/>
    <cellStyle name="Normal 5 2 5 4 3 2 3" xfId="50426" xr:uid="{FEBB1E32-7B43-4EC1-9B9D-4D293CC37AA6}"/>
    <cellStyle name="Normal 5 2 5 4 3 3" xfId="50427" xr:uid="{6FEC3049-D6E9-48E4-857B-8CB14B3F8A9A}"/>
    <cellStyle name="Normal 5 2 5 4 3 3 2" xfId="50428" xr:uid="{80BCD12C-1620-4B14-B8AB-7ACF33FEFC22}"/>
    <cellStyle name="Normal 5 2 5 4 3 4" xfId="50429" xr:uid="{D71F0AC5-48EF-4039-AC5A-DDE8BC539BA8}"/>
    <cellStyle name="Normal 5 2 5 4 4" xfId="50430" xr:uid="{9DEF998D-13A3-46F3-8A11-2D46090C75F9}"/>
    <cellStyle name="Normal 5 2 5 4 4 2" xfId="50431" xr:uid="{C6501E5F-116B-42F2-85C0-81B42BC5191E}"/>
    <cellStyle name="Normal 5 2 5 4 4 2 2" xfId="50432" xr:uid="{60D22C49-2BF3-42AC-8A8F-72A8EE7920D3}"/>
    <cellStyle name="Normal 5 2 5 4 4 3" xfId="50433" xr:uid="{97D7814F-2465-4059-A7EE-C826CBE8EB76}"/>
    <cellStyle name="Normal 5 2 5 4 5" xfId="50434" xr:uid="{B0DA2612-CAF6-47B2-BE8C-34916926DCCB}"/>
    <cellStyle name="Normal 5 2 5 4 5 2" xfId="50435" xr:uid="{D735B0A3-88BF-4786-9D09-4F0838E6CC75}"/>
    <cellStyle name="Normal 5 2 5 4 6" xfId="50436" xr:uid="{EFE9A48B-2F6E-4B4D-AB9D-21058C290F9C}"/>
    <cellStyle name="Normal 5 2 5 5" xfId="50437" xr:uid="{61658493-9285-4E80-A579-2AAADDE73129}"/>
    <cellStyle name="Normal 5 2 5 5 2" xfId="50438" xr:uid="{F92F9318-4F4D-49B7-80D5-D20AF4278002}"/>
    <cellStyle name="Normal 5 2 5 5 2 2" xfId="50439" xr:uid="{5F6A4ED2-7D85-441B-B37E-FEBF2C59DE87}"/>
    <cellStyle name="Normal 5 2 5 5 2 2 2" xfId="50440" xr:uid="{2FFA67F6-EA22-4BAE-ABE8-ABD143E039B5}"/>
    <cellStyle name="Normal 5 2 5 5 2 2 2 2" xfId="50441" xr:uid="{0202716C-D0D0-420E-ADA1-FD7A0A487ECF}"/>
    <cellStyle name="Normal 5 2 5 5 2 2 3" xfId="50442" xr:uid="{B4D30FA0-4FAC-4173-8662-57B21953C792}"/>
    <cellStyle name="Normal 5 2 5 5 2 3" xfId="50443" xr:uid="{8D8C48A9-59B3-4C43-9DFE-28F10E5A135E}"/>
    <cellStyle name="Normal 5 2 5 5 2 3 2" xfId="50444" xr:uid="{5FF0E648-914E-4C8F-B048-2E04D36E2D3D}"/>
    <cellStyle name="Normal 5 2 5 5 2 4" xfId="50445" xr:uid="{227D6457-2C92-4387-8F77-6ADD9744EDB0}"/>
    <cellStyle name="Normal 5 2 5 5 3" xfId="50446" xr:uid="{651B44FF-2B08-4A4A-AFC4-AE0BB7D790AA}"/>
    <cellStyle name="Normal 5 2 5 5 3 2" xfId="50447" xr:uid="{BE7BC73B-ACB4-49AE-B5CB-F7CD48F99D87}"/>
    <cellStyle name="Normal 5 2 5 5 3 2 2" xfId="50448" xr:uid="{F580AC29-366E-4360-80A2-9688378EADFE}"/>
    <cellStyle name="Normal 5 2 5 5 3 3" xfId="50449" xr:uid="{13341270-4A69-40E4-BA72-77F7C7921072}"/>
    <cellStyle name="Normal 5 2 5 5 4" xfId="50450" xr:uid="{F639D1F7-C7B1-45D7-8C48-898BBD112E54}"/>
    <cellStyle name="Normal 5 2 5 5 4 2" xfId="50451" xr:uid="{0E286889-142A-4F91-A632-FFE8E7250297}"/>
    <cellStyle name="Normal 5 2 5 5 5" xfId="50452" xr:uid="{A2AEA4A7-E56F-4C54-9A64-CD9CDD6D4D87}"/>
    <cellStyle name="Normal 5 2 5 6" xfId="50453" xr:uid="{B6BA65A7-2B27-49F2-85E8-EE6F8DE945EF}"/>
    <cellStyle name="Normal 5 2 5 6 2" xfId="50454" xr:uid="{0E5071CA-4F92-4273-96C4-AE68D2826C39}"/>
    <cellStyle name="Normal 5 2 5 6 2 2" xfId="50455" xr:uid="{A8432EF0-B976-49E3-BB23-94697CD0678B}"/>
    <cellStyle name="Normal 5 2 5 6 2 2 2" xfId="50456" xr:uid="{339C3ECA-ABB8-46BF-A979-5931D9FFCE3F}"/>
    <cellStyle name="Normal 5 2 5 6 2 3" xfId="50457" xr:uid="{2D4299B8-A333-4135-A42F-CCE37F6D127B}"/>
    <cellStyle name="Normal 5 2 5 6 3" xfId="50458" xr:uid="{99C7757D-B55F-465D-85B0-44A3E70C8ED3}"/>
    <cellStyle name="Normal 5 2 5 6 3 2" xfId="50459" xr:uid="{7AA58E2C-D3A0-4EED-93D1-5BB71431A6DE}"/>
    <cellStyle name="Normal 5 2 5 6 4" xfId="50460" xr:uid="{43D40237-0B0F-42DF-9C70-66BEE15BDD46}"/>
    <cellStyle name="Normal 5 2 5 7" xfId="50461" xr:uid="{1A1CBCCF-2737-4159-9420-5F86C41B3B41}"/>
    <cellStyle name="Normal 5 2 5 7 2" xfId="50462" xr:uid="{8CE7E85A-B6A0-4E27-80E1-F230B3869991}"/>
    <cellStyle name="Normal 5 2 5 7 2 2" xfId="50463" xr:uid="{BCD03F02-23EA-4E57-9FE0-E65785E8B9A5}"/>
    <cellStyle name="Normal 5 2 5 7 3" xfId="50464" xr:uid="{9A11D0E8-357A-42F7-B07B-3CD4DBD826C2}"/>
    <cellStyle name="Normal 5 2 5 8" xfId="50465" xr:uid="{D3B98C54-1374-47A4-9710-E91410410D26}"/>
    <cellStyle name="Normal 5 2 5 8 2" xfId="50466" xr:uid="{0910EBF3-C01D-452B-878E-FDBB5F54664A}"/>
    <cellStyle name="Normal 5 2 5 9" xfId="50467" xr:uid="{9D3BF684-5A6D-4F54-98AB-599CD03EC2E3}"/>
    <cellStyle name="Normal 5 2 6" xfId="50468" xr:uid="{E7D97B37-C11B-4AB7-89C1-B187804A6859}"/>
    <cellStyle name="Normal 5 2 6 2" xfId="50469" xr:uid="{1A782741-9AAC-4EF1-83BA-072F33167909}"/>
    <cellStyle name="Normal 5 2 6 2 2" xfId="50470" xr:uid="{2D495B23-28FB-4892-AE8C-451F437506C5}"/>
    <cellStyle name="Normal 5 2 6 2 2 2" xfId="50471" xr:uid="{42D0C3EC-F0C3-4393-9600-39771FD25BDC}"/>
    <cellStyle name="Normal 5 2 6 2 2 2 2" xfId="50472" xr:uid="{96A35FE2-868A-4FF1-A89A-5A63768BA558}"/>
    <cellStyle name="Normal 5 2 6 2 2 2 2 2" xfId="50473" xr:uid="{DD17E78D-88E9-4422-9C8E-DA44A4AD3939}"/>
    <cellStyle name="Normal 5 2 6 2 2 2 2 2 2" xfId="50474" xr:uid="{B938D46F-DE88-459A-A9D0-2776183B1650}"/>
    <cellStyle name="Normal 5 2 6 2 2 2 2 2 2 2" xfId="50475" xr:uid="{C3402A37-740B-4F1E-B8AF-425622EB8612}"/>
    <cellStyle name="Normal 5 2 6 2 2 2 2 2 3" xfId="50476" xr:uid="{B6EB732B-E1CF-4B6E-9D03-9E5DDF774465}"/>
    <cellStyle name="Normal 5 2 6 2 2 2 2 3" xfId="50477" xr:uid="{7D562A88-BDFF-455C-B8D7-6BA96F0C9D51}"/>
    <cellStyle name="Normal 5 2 6 2 2 2 2 3 2" xfId="50478" xr:uid="{35779C35-62C4-49D3-BA67-DA84500174F8}"/>
    <cellStyle name="Normal 5 2 6 2 2 2 2 4" xfId="50479" xr:uid="{3344C09D-BC84-464E-BBE0-F269489524C1}"/>
    <cellStyle name="Normal 5 2 6 2 2 2 3" xfId="50480" xr:uid="{28E23683-27E7-45D1-A2A8-F2202E1DA19A}"/>
    <cellStyle name="Normal 5 2 6 2 2 2 3 2" xfId="50481" xr:uid="{774DA7D1-ED34-443A-8756-EF924F92AF2F}"/>
    <cellStyle name="Normal 5 2 6 2 2 2 3 2 2" xfId="50482" xr:uid="{181D35DB-5A70-4A0F-8217-8A1231941D4C}"/>
    <cellStyle name="Normal 5 2 6 2 2 2 3 3" xfId="50483" xr:uid="{B6F01D19-0786-45EB-BD6E-DFB873088AB1}"/>
    <cellStyle name="Normal 5 2 6 2 2 2 4" xfId="50484" xr:uid="{66099F0F-43F9-4199-BF72-35011B26B184}"/>
    <cellStyle name="Normal 5 2 6 2 2 2 4 2" xfId="50485" xr:uid="{294E96C4-DA35-4B0A-95BB-67F807FAC9D7}"/>
    <cellStyle name="Normal 5 2 6 2 2 2 5" xfId="50486" xr:uid="{35B0B640-8A7C-4775-8015-166B4EF96B76}"/>
    <cellStyle name="Normal 5 2 6 2 2 3" xfId="50487" xr:uid="{38DFCE22-33B7-4C8A-901C-AD1FCF5ED720}"/>
    <cellStyle name="Normal 5 2 6 2 2 3 2" xfId="50488" xr:uid="{157A7CE2-367D-42C0-A1DE-098ECD562652}"/>
    <cellStyle name="Normal 5 2 6 2 2 3 2 2" xfId="50489" xr:uid="{D57783E2-A85F-46B0-83C3-3198442FCF36}"/>
    <cellStyle name="Normal 5 2 6 2 2 3 2 2 2" xfId="50490" xr:uid="{4C514D56-078C-49C4-B8C0-7962FCD45A08}"/>
    <cellStyle name="Normal 5 2 6 2 2 3 2 3" xfId="50491" xr:uid="{1DB07401-C0C8-4E4B-BDD8-032EF328D1DE}"/>
    <cellStyle name="Normal 5 2 6 2 2 3 3" xfId="50492" xr:uid="{1E495021-5BD4-4662-BA36-F1C2F95FACB5}"/>
    <cellStyle name="Normal 5 2 6 2 2 3 3 2" xfId="50493" xr:uid="{F2E1B3E5-B361-4840-8735-418024EFDE47}"/>
    <cellStyle name="Normal 5 2 6 2 2 3 4" xfId="50494" xr:uid="{5DF7EEF1-217E-4FDD-9888-AD47AB7EF2C4}"/>
    <cellStyle name="Normal 5 2 6 2 2 4" xfId="50495" xr:uid="{C7C24EB0-F1DA-4578-BE91-65D391D6553A}"/>
    <cellStyle name="Normal 5 2 6 2 2 4 2" xfId="50496" xr:uid="{7C7F1588-80AE-4C0A-A851-78AF3F5C1072}"/>
    <cellStyle name="Normal 5 2 6 2 2 4 2 2" xfId="50497" xr:uid="{B61C795F-9DB1-4940-B7AC-1D740961C131}"/>
    <cellStyle name="Normal 5 2 6 2 2 4 3" xfId="50498" xr:uid="{201035B6-FEA0-4D1E-88C5-D5B7AA12EE03}"/>
    <cellStyle name="Normal 5 2 6 2 2 5" xfId="50499" xr:uid="{9C8A1CCC-8836-44C1-B8DA-552E4709C221}"/>
    <cellStyle name="Normal 5 2 6 2 2 5 2" xfId="50500" xr:uid="{9F22E140-13D2-45A6-8459-729FD195D9B4}"/>
    <cellStyle name="Normal 5 2 6 2 2 6" xfId="50501" xr:uid="{24F48DC6-4989-4A25-B596-34E91098FBEC}"/>
    <cellStyle name="Normal 5 2 6 2 3" xfId="50502" xr:uid="{ADD655A9-8498-4AF9-92F8-083749C043F1}"/>
    <cellStyle name="Normal 5 2 6 2 3 2" xfId="50503" xr:uid="{3E11C5BD-38DC-4F32-A75D-9DED51310F2E}"/>
    <cellStyle name="Normal 5 2 6 2 3 2 2" xfId="50504" xr:uid="{BFD87E8C-EF1D-447B-92F3-746230791A42}"/>
    <cellStyle name="Normal 5 2 6 2 3 2 2 2" xfId="50505" xr:uid="{E4F2EE66-2F64-419D-BB89-077863BDDEE5}"/>
    <cellStyle name="Normal 5 2 6 2 3 2 2 2 2" xfId="50506" xr:uid="{AE7FC4B3-7A1B-4BA8-BC3C-E4A34AB403D4}"/>
    <cellStyle name="Normal 5 2 6 2 3 2 2 3" xfId="50507" xr:uid="{1C244EF4-2517-4E92-9157-9A248790DBCB}"/>
    <cellStyle name="Normal 5 2 6 2 3 2 3" xfId="50508" xr:uid="{3AD43692-EAAD-401E-8617-F3A11CB4A5AE}"/>
    <cellStyle name="Normal 5 2 6 2 3 2 3 2" xfId="50509" xr:uid="{09661431-E428-496B-A20B-0FDAA0C2651F}"/>
    <cellStyle name="Normal 5 2 6 2 3 2 4" xfId="50510" xr:uid="{38507868-D25C-4C07-84DB-5715C2C05FDC}"/>
    <cellStyle name="Normal 5 2 6 2 3 3" xfId="50511" xr:uid="{5A5865BD-836F-4FA5-84BE-D6FCB44236B1}"/>
    <cellStyle name="Normal 5 2 6 2 3 3 2" xfId="50512" xr:uid="{4E762426-FEFB-4B27-BE52-B97BBBD419FA}"/>
    <cellStyle name="Normal 5 2 6 2 3 3 2 2" xfId="50513" xr:uid="{0566AAEB-B674-48BB-8AB9-EADBE9E492F7}"/>
    <cellStyle name="Normal 5 2 6 2 3 3 3" xfId="50514" xr:uid="{A11677CB-FDE7-404E-A649-AAAAB648FE46}"/>
    <cellStyle name="Normal 5 2 6 2 3 4" xfId="50515" xr:uid="{9B564E71-4E8D-4FE2-9435-D75D31454055}"/>
    <cellStyle name="Normal 5 2 6 2 3 4 2" xfId="50516" xr:uid="{7526E6BF-270F-427F-9F00-7F06924CABF2}"/>
    <cellStyle name="Normal 5 2 6 2 3 5" xfId="50517" xr:uid="{943AB8FD-E099-4CDE-A891-5768EB621FC0}"/>
    <cellStyle name="Normal 5 2 6 2 4" xfId="50518" xr:uid="{478219F4-43BE-4213-9C01-D881C22A77DF}"/>
    <cellStyle name="Normal 5 2 6 2 4 2" xfId="50519" xr:uid="{9006BADD-4225-4EB8-A274-D1D59F437F99}"/>
    <cellStyle name="Normal 5 2 6 2 4 2 2" xfId="50520" xr:uid="{E9E27B04-80F8-44DB-89ED-042B5F657272}"/>
    <cellStyle name="Normal 5 2 6 2 4 2 2 2" xfId="50521" xr:uid="{24AC6F97-0F72-415A-B8F7-489B78618FD5}"/>
    <cellStyle name="Normal 5 2 6 2 4 2 3" xfId="50522" xr:uid="{1D06E99A-7D2F-476A-BA50-1FC96E331999}"/>
    <cellStyle name="Normal 5 2 6 2 4 3" xfId="50523" xr:uid="{EB96B42D-55D9-4CA2-B6D8-4B8DE6500BF3}"/>
    <cellStyle name="Normal 5 2 6 2 4 3 2" xfId="50524" xr:uid="{75FCE00F-9378-4443-8BAC-EE41CCDFB031}"/>
    <cellStyle name="Normal 5 2 6 2 4 4" xfId="50525" xr:uid="{AC2EA755-F875-489A-825B-6844D8B9890B}"/>
    <cellStyle name="Normal 5 2 6 2 5" xfId="50526" xr:uid="{4D99282F-CACA-49F4-84C0-3083AEA7C7EA}"/>
    <cellStyle name="Normal 5 2 6 2 5 2" xfId="50527" xr:uid="{C74B1F3B-7E34-4EF4-91B0-8004FF2A0F4E}"/>
    <cellStyle name="Normal 5 2 6 2 5 2 2" xfId="50528" xr:uid="{7C0F2E62-F871-477B-BBAD-9F641FFD3A71}"/>
    <cellStyle name="Normal 5 2 6 2 5 3" xfId="50529" xr:uid="{AD483BE4-5909-4D00-8B17-B1B0211293B5}"/>
    <cellStyle name="Normal 5 2 6 2 6" xfId="50530" xr:uid="{2D688535-2C95-44A9-947F-D090A4497D7F}"/>
    <cellStyle name="Normal 5 2 6 2 6 2" xfId="50531" xr:uid="{9BC36F8C-BF66-400C-BB03-AE652ABDCC18}"/>
    <cellStyle name="Normal 5 2 6 2 7" xfId="50532" xr:uid="{FFD61810-2F00-4D36-B50F-DCF643A543AA}"/>
    <cellStyle name="Normal 5 2 6 3" xfId="50533" xr:uid="{23FAC142-7094-42AA-9E97-365032CC9899}"/>
    <cellStyle name="Normal 5 2 6 3 2" xfId="50534" xr:uid="{B1A7277B-AC53-4867-B491-C64D16C246F4}"/>
    <cellStyle name="Normal 5 2 6 3 2 2" xfId="50535" xr:uid="{00BB4E48-B7A8-4756-93FC-36A9DB03A799}"/>
    <cellStyle name="Normal 5 2 6 3 2 2 2" xfId="50536" xr:uid="{000CA27D-7E8A-422A-965E-30A7AA1E1748}"/>
    <cellStyle name="Normal 5 2 6 3 2 2 2 2" xfId="50537" xr:uid="{C0F90168-44F1-4D45-A040-49A98F8AA568}"/>
    <cellStyle name="Normal 5 2 6 3 2 2 2 2 2" xfId="50538" xr:uid="{4D9633FD-70C5-4088-8A46-44A06696D04B}"/>
    <cellStyle name="Normal 5 2 6 3 2 2 2 3" xfId="50539" xr:uid="{6CCEC474-D39A-4EC6-8A9B-EE2F63CFB0B1}"/>
    <cellStyle name="Normal 5 2 6 3 2 2 3" xfId="50540" xr:uid="{907B2533-F47E-4224-B3E9-ADEFB3853548}"/>
    <cellStyle name="Normal 5 2 6 3 2 2 3 2" xfId="50541" xr:uid="{D9503E6B-3A9D-4F6D-B4FC-18745EA32CC0}"/>
    <cellStyle name="Normal 5 2 6 3 2 2 4" xfId="50542" xr:uid="{0D6C057F-5FC0-4A8A-A925-22221C044914}"/>
    <cellStyle name="Normal 5 2 6 3 2 3" xfId="50543" xr:uid="{A78A93D2-DEF6-4BFD-B0E9-DEF92D581F33}"/>
    <cellStyle name="Normal 5 2 6 3 2 3 2" xfId="50544" xr:uid="{105F83C0-6DD1-4347-8449-A4FC8287C15F}"/>
    <cellStyle name="Normal 5 2 6 3 2 3 2 2" xfId="50545" xr:uid="{D715D7BA-895A-4EB7-A0B2-C2D844BA3ECD}"/>
    <cellStyle name="Normal 5 2 6 3 2 3 3" xfId="50546" xr:uid="{1D47A512-EB6D-478E-9B5A-841D26F79C56}"/>
    <cellStyle name="Normal 5 2 6 3 2 4" xfId="50547" xr:uid="{0D8D9C01-093A-4109-A8F4-C7F1D0551F46}"/>
    <cellStyle name="Normal 5 2 6 3 2 4 2" xfId="50548" xr:uid="{5D02206D-02EA-4F49-ACC6-CE31093369C7}"/>
    <cellStyle name="Normal 5 2 6 3 2 5" xfId="50549" xr:uid="{DFB3EF08-E367-4AA4-8C21-E990677E6475}"/>
    <cellStyle name="Normal 5 2 6 3 3" xfId="50550" xr:uid="{3FD62F92-8DCB-4F7F-B0BA-A959242ED789}"/>
    <cellStyle name="Normal 5 2 6 3 3 2" xfId="50551" xr:uid="{D376FBD4-AD3A-4A16-B9C3-2AA3F9DB982A}"/>
    <cellStyle name="Normal 5 2 6 3 3 2 2" xfId="50552" xr:uid="{2DEB9416-B5E3-4DE5-980E-AE9B31319E9C}"/>
    <cellStyle name="Normal 5 2 6 3 3 2 2 2" xfId="50553" xr:uid="{EB14C3B7-517D-4927-86B3-803022D43C44}"/>
    <cellStyle name="Normal 5 2 6 3 3 2 3" xfId="50554" xr:uid="{2133FBFA-1F1B-4F6D-B9E8-1A1241601C8E}"/>
    <cellStyle name="Normal 5 2 6 3 3 3" xfId="50555" xr:uid="{3CD69856-B84F-446C-A14C-7FE96115F2B5}"/>
    <cellStyle name="Normal 5 2 6 3 3 3 2" xfId="50556" xr:uid="{D8FC9418-7648-451E-99BE-DF61538F1582}"/>
    <cellStyle name="Normal 5 2 6 3 3 4" xfId="50557" xr:uid="{8B428656-92D5-4C9C-AA63-91A522C27878}"/>
    <cellStyle name="Normal 5 2 6 3 4" xfId="50558" xr:uid="{771BC013-1A1F-4CE2-8AC1-14AA1A782CC0}"/>
    <cellStyle name="Normal 5 2 6 3 4 2" xfId="50559" xr:uid="{85EDB688-105C-4CA1-80E1-A9AB31729A61}"/>
    <cellStyle name="Normal 5 2 6 3 4 2 2" xfId="50560" xr:uid="{80CF41F1-BD61-4727-A29E-C60A7DD4CB13}"/>
    <cellStyle name="Normal 5 2 6 3 4 3" xfId="50561" xr:uid="{E95B0DC4-D6A9-4EDD-B78A-64EEC71DDB0F}"/>
    <cellStyle name="Normal 5 2 6 3 5" xfId="50562" xr:uid="{C0CE5788-0AF3-49A3-AB2D-6FF9E3537B8E}"/>
    <cellStyle name="Normal 5 2 6 3 5 2" xfId="50563" xr:uid="{79DAC317-10F4-4832-BBC5-187814DBCB04}"/>
    <cellStyle name="Normal 5 2 6 3 6" xfId="50564" xr:uid="{0AE32AFC-33C2-4F88-9939-2434406B5046}"/>
    <cellStyle name="Normal 5 2 6 4" xfId="50565" xr:uid="{755A875A-EF52-473B-8497-C9C3CF012D03}"/>
    <cellStyle name="Normal 5 2 6 4 2" xfId="50566" xr:uid="{77B5B95E-8D43-449B-ADDE-21B7DD2C2B5C}"/>
    <cellStyle name="Normal 5 2 6 4 2 2" xfId="50567" xr:uid="{2A551246-F3AD-43B7-BF86-937958ACF246}"/>
    <cellStyle name="Normal 5 2 6 4 2 2 2" xfId="50568" xr:uid="{12AC08C3-20EC-47BD-9D85-BBE8F0926560}"/>
    <cellStyle name="Normal 5 2 6 4 2 2 2 2" xfId="50569" xr:uid="{D3F87CEA-F7C6-4FC7-A032-6854A505FBC9}"/>
    <cellStyle name="Normal 5 2 6 4 2 2 3" xfId="50570" xr:uid="{9D300561-B3A3-4CB4-9A1E-36D224AFB82C}"/>
    <cellStyle name="Normal 5 2 6 4 2 3" xfId="50571" xr:uid="{069D16DD-2869-4E65-A3C1-DC176F416FE8}"/>
    <cellStyle name="Normal 5 2 6 4 2 3 2" xfId="50572" xr:uid="{E6243C95-C4BC-41A7-BE2A-825C3B86038D}"/>
    <cellStyle name="Normal 5 2 6 4 2 4" xfId="50573" xr:uid="{B6C58394-F3FA-4A0E-A7AF-5AEEFB71D78A}"/>
    <cellStyle name="Normal 5 2 6 4 3" xfId="50574" xr:uid="{D9D0B153-4C19-478C-9404-36A2ACD0ABBB}"/>
    <cellStyle name="Normal 5 2 6 4 3 2" xfId="50575" xr:uid="{76E980C3-67F5-4EEF-897F-72D0B9F621C4}"/>
    <cellStyle name="Normal 5 2 6 4 3 2 2" xfId="50576" xr:uid="{51B88D2D-D37B-4DC0-95CB-A48FA3F928FC}"/>
    <cellStyle name="Normal 5 2 6 4 3 3" xfId="50577" xr:uid="{98ED4859-8C90-43D9-BE60-8BBB0CC3FE12}"/>
    <cellStyle name="Normal 5 2 6 4 4" xfId="50578" xr:uid="{C3FEDF5B-2976-491E-962E-3EDB6806AEFB}"/>
    <cellStyle name="Normal 5 2 6 4 4 2" xfId="50579" xr:uid="{156E5B6E-54EE-4D66-8535-86E631855EC3}"/>
    <cellStyle name="Normal 5 2 6 4 5" xfId="50580" xr:uid="{363FAAAB-B525-4945-AD1A-E4787C8020CE}"/>
    <cellStyle name="Normal 5 2 6 5" xfId="50581" xr:uid="{7E85FC17-3790-49B8-94C6-60A827240C88}"/>
    <cellStyle name="Normal 5 2 6 5 2" xfId="50582" xr:uid="{623D0FC4-AB03-45ED-A1FC-64AC17D4F2F8}"/>
    <cellStyle name="Normal 5 2 6 5 2 2" xfId="50583" xr:uid="{352625A3-CB59-4D98-9519-B3D256294F5D}"/>
    <cellStyle name="Normal 5 2 6 5 2 2 2" xfId="50584" xr:uid="{6BE862C7-DCBC-4708-8AD0-166DF5416DB5}"/>
    <cellStyle name="Normal 5 2 6 5 2 3" xfId="50585" xr:uid="{D7FF9201-E4EB-42DE-A748-62843076FE43}"/>
    <cellStyle name="Normal 5 2 6 5 3" xfId="50586" xr:uid="{DECDB477-D27E-44A2-8E38-75AA2EAC3BF5}"/>
    <cellStyle name="Normal 5 2 6 5 3 2" xfId="50587" xr:uid="{C47D21AE-A51D-4951-B3B7-52CFC60ECE06}"/>
    <cellStyle name="Normal 5 2 6 5 4" xfId="50588" xr:uid="{D5352708-57A5-48F4-AD79-9B4CDECF1E42}"/>
    <cellStyle name="Normal 5 2 6 6" xfId="50589" xr:uid="{89CB89FE-2ABE-46EE-A26B-D84E4BF91EEF}"/>
    <cellStyle name="Normal 5 2 6 6 2" xfId="50590" xr:uid="{B9A5A069-099B-476C-B521-FB242AEC0F31}"/>
    <cellStyle name="Normal 5 2 6 6 2 2" xfId="50591" xr:uid="{E8C77FD0-8E47-49C8-8D65-1CA9A468AB76}"/>
    <cellStyle name="Normal 5 2 6 6 3" xfId="50592" xr:uid="{42D37762-D74A-43F3-934D-F0569DF495A4}"/>
    <cellStyle name="Normal 5 2 6 7" xfId="50593" xr:uid="{3107D666-B0D3-46D6-A6B4-E971BEC7596F}"/>
    <cellStyle name="Normal 5 2 6 7 2" xfId="50594" xr:uid="{0DB110F7-56C6-455A-93DB-DF50C1CA09FE}"/>
    <cellStyle name="Normal 5 2 6 8" xfId="50595" xr:uid="{A3F986CA-154C-4052-95CE-E51707EECEAE}"/>
    <cellStyle name="Normal 5 2 7" xfId="50596" xr:uid="{DEDAEEEE-F41D-43C0-935B-45236B207BF6}"/>
    <cellStyle name="Normal 5 2 7 2" xfId="50597" xr:uid="{080F37F1-BDB3-4182-AF1A-FF477617BCEC}"/>
    <cellStyle name="Normal 5 2 7 2 2" xfId="50598" xr:uid="{3A812944-DF99-47C5-84A0-25AA88A40756}"/>
    <cellStyle name="Normal 5 2 7 2 2 2" xfId="50599" xr:uid="{30DEB0AC-6D79-48E1-9298-623124997273}"/>
    <cellStyle name="Normal 5 2 7 2 2 2 2" xfId="50600" xr:uid="{E3EDB8BB-3019-4B5E-9A5F-648DF2444EBE}"/>
    <cellStyle name="Normal 5 2 7 2 2 2 2 2" xfId="50601" xr:uid="{07C13FEB-F285-4BB9-81DC-13E7AB892A80}"/>
    <cellStyle name="Normal 5 2 7 2 2 2 2 2 2" xfId="50602" xr:uid="{6E3A77C8-A643-4402-AF82-834F1C0D4EE5}"/>
    <cellStyle name="Normal 5 2 7 2 2 2 2 3" xfId="50603" xr:uid="{F6E4A015-CB57-4209-A18E-15E883CAE879}"/>
    <cellStyle name="Normal 5 2 7 2 2 2 3" xfId="50604" xr:uid="{5C187E04-E184-400D-8E0C-2BC4CBF50E92}"/>
    <cellStyle name="Normal 5 2 7 2 2 2 3 2" xfId="50605" xr:uid="{FB931006-67E9-49C6-955F-C400C34F2D07}"/>
    <cellStyle name="Normal 5 2 7 2 2 2 4" xfId="50606" xr:uid="{76FBE7A6-01D1-4E63-A0B1-701D8D0DDC54}"/>
    <cellStyle name="Normal 5 2 7 2 2 3" xfId="50607" xr:uid="{15A08115-9C54-4ACA-98B2-75A31C7C00C3}"/>
    <cellStyle name="Normal 5 2 7 2 2 3 2" xfId="50608" xr:uid="{9727B0AC-6A98-4B54-8E35-D7E36F9503C6}"/>
    <cellStyle name="Normal 5 2 7 2 2 3 2 2" xfId="50609" xr:uid="{9F90BC30-54C8-4BD1-8183-0CB437A9D45B}"/>
    <cellStyle name="Normal 5 2 7 2 2 3 3" xfId="50610" xr:uid="{642BB99A-7EFA-4518-A16B-020BAD77C365}"/>
    <cellStyle name="Normal 5 2 7 2 2 4" xfId="50611" xr:uid="{F08B5C03-244E-4801-B984-FDB2E0CFCA70}"/>
    <cellStyle name="Normal 5 2 7 2 2 4 2" xfId="50612" xr:uid="{EEE1D854-1FF9-471E-A696-DC4475451B7F}"/>
    <cellStyle name="Normal 5 2 7 2 2 5" xfId="50613" xr:uid="{6BD86475-68AB-4AA3-89E1-4BDD29B55FB4}"/>
    <cellStyle name="Normal 5 2 7 2 3" xfId="50614" xr:uid="{A7AE5EAE-0D85-4F0B-9397-76857ABE3863}"/>
    <cellStyle name="Normal 5 2 7 2 3 2" xfId="50615" xr:uid="{187B4EB7-9DC6-4001-94F9-AC2C6FE01706}"/>
    <cellStyle name="Normal 5 2 7 2 3 2 2" xfId="50616" xr:uid="{BFF0D7EA-A063-4256-A65D-C5193C04CEB5}"/>
    <cellStyle name="Normal 5 2 7 2 3 2 2 2" xfId="50617" xr:uid="{7A669738-D762-4924-BB69-4FB553470F46}"/>
    <cellStyle name="Normal 5 2 7 2 3 2 3" xfId="50618" xr:uid="{4BBE75E6-A64A-4A4A-8915-02BD4CE9CD47}"/>
    <cellStyle name="Normal 5 2 7 2 3 3" xfId="50619" xr:uid="{B8BA1286-9DB5-4A35-A910-455DE8E9BD1A}"/>
    <cellStyle name="Normal 5 2 7 2 3 3 2" xfId="50620" xr:uid="{29A7358F-8102-4BB7-9E27-57EC38F0C98C}"/>
    <cellStyle name="Normal 5 2 7 2 3 4" xfId="50621" xr:uid="{DAE16D7F-2086-4E97-9404-DE705467F6D6}"/>
    <cellStyle name="Normal 5 2 7 2 4" xfId="50622" xr:uid="{0D4F1082-DD17-4ABD-A996-8974F57E2669}"/>
    <cellStyle name="Normal 5 2 7 2 4 2" xfId="50623" xr:uid="{2BFA2046-E2F7-4696-A48F-F10D9C627A24}"/>
    <cellStyle name="Normal 5 2 7 2 4 2 2" xfId="50624" xr:uid="{DA540A75-C302-43B3-9254-7503FB24FDA6}"/>
    <cellStyle name="Normal 5 2 7 2 4 3" xfId="50625" xr:uid="{DDD8D093-6180-4406-B225-7AE915D55F7C}"/>
    <cellStyle name="Normal 5 2 7 2 5" xfId="50626" xr:uid="{9F44F078-2730-4C7E-9C87-004327FC4647}"/>
    <cellStyle name="Normal 5 2 7 2 5 2" xfId="50627" xr:uid="{4C2B01AF-A1F1-45F6-BBE8-57C3101910D3}"/>
    <cellStyle name="Normal 5 2 7 2 6" xfId="50628" xr:uid="{4A446150-773A-490E-B0A4-5F609F735426}"/>
    <cellStyle name="Normal 5 2 7 3" xfId="50629" xr:uid="{7918BB30-FD1B-4353-9B19-0FEC32BF29AD}"/>
    <cellStyle name="Normal 5 2 7 3 2" xfId="50630" xr:uid="{C3A02D2D-B06F-46C5-9DC1-46B500129246}"/>
    <cellStyle name="Normal 5 2 7 3 2 2" xfId="50631" xr:uid="{3958A2CC-4CC0-4C70-BEB3-92510A08984B}"/>
    <cellStyle name="Normal 5 2 7 3 2 2 2" xfId="50632" xr:uid="{9A6DF5B1-DAAD-428E-B884-A4316B2CBB74}"/>
    <cellStyle name="Normal 5 2 7 3 2 2 2 2" xfId="50633" xr:uid="{FCB8EC7A-9431-4473-85FE-A5C44008C18A}"/>
    <cellStyle name="Normal 5 2 7 3 2 2 3" xfId="50634" xr:uid="{87CF2B2F-CE50-4539-9026-50F5BF201D66}"/>
    <cellStyle name="Normal 5 2 7 3 2 3" xfId="50635" xr:uid="{056A81B3-6071-464E-8E0D-FD1917DF9990}"/>
    <cellStyle name="Normal 5 2 7 3 2 3 2" xfId="50636" xr:uid="{6C7A9311-6E75-4D88-B2C9-0F3658CEFDB7}"/>
    <cellStyle name="Normal 5 2 7 3 2 4" xfId="50637" xr:uid="{B1AD5204-B605-4AF8-9E2A-66FAB61B3D47}"/>
    <cellStyle name="Normal 5 2 7 3 3" xfId="50638" xr:uid="{3D784717-CA24-4CCE-A927-C2A35CB4EAD7}"/>
    <cellStyle name="Normal 5 2 7 3 3 2" xfId="50639" xr:uid="{F0A2BA77-944B-4409-AB47-D0F0FF4F52B2}"/>
    <cellStyle name="Normal 5 2 7 3 3 2 2" xfId="50640" xr:uid="{36E19FD1-2E62-492D-BCBE-38516FFB869F}"/>
    <cellStyle name="Normal 5 2 7 3 3 3" xfId="50641" xr:uid="{9B33187C-E665-47E7-8EBD-6759E86A8F9D}"/>
    <cellStyle name="Normal 5 2 7 3 4" xfId="50642" xr:uid="{65A0B6BB-73B3-4356-B8AB-99AF9561653C}"/>
    <cellStyle name="Normal 5 2 7 3 4 2" xfId="50643" xr:uid="{92A18C72-8C98-4F29-8E08-0DB25270F43B}"/>
    <cellStyle name="Normal 5 2 7 3 5" xfId="50644" xr:uid="{2FDB037E-465B-4D21-BBB9-0D61F0435B43}"/>
    <cellStyle name="Normal 5 2 7 4" xfId="50645" xr:uid="{82E66369-C72D-439E-BD8C-26D4732EE319}"/>
    <cellStyle name="Normal 5 2 7 4 2" xfId="50646" xr:uid="{2E6316F9-8BEC-452C-8FBC-AC332157AB1E}"/>
    <cellStyle name="Normal 5 2 7 4 2 2" xfId="50647" xr:uid="{4A25B440-EDF9-4B34-8D5C-3F2DD23DC1A0}"/>
    <cellStyle name="Normal 5 2 7 4 2 2 2" xfId="50648" xr:uid="{4612D363-77DA-4D54-A720-2C2868C1C4C0}"/>
    <cellStyle name="Normal 5 2 7 4 2 3" xfId="50649" xr:uid="{573909DA-BA35-423F-BBD9-2EFD38040061}"/>
    <cellStyle name="Normal 5 2 7 4 3" xfId="50650" xr:uid="{569C5503-08F0-4516-91FB-E75C66C5BAF3}"/>
    <cellStyle name="Normal 5 2 7 4 3 2" xfId="50651" xr:uid="{781FB36E-9A90-470F-A0BC-CBDC4FFD2E7B}"/>
    <cellStyle name="Normal 5 2 7 4 4" xfId="50652" xr:uid="{E6245C7D-7249-4339-8F29-07550BADFA93}"/>
    <cellStyle name="Normal 5 2 7 5" xfId="50653" xr:uid="{4516CADF-9864-4625-9D09-7A3D5D92F8BF}"/>
    <cellStyle name="Normal 5 2 7 5 2" xfId="50654" xr:uid="{ABDF1489-92C1-420B-8351-D3CA04F928FD}"/>
    <cellStyle name="Normal 5 2 7 5 2 2" xfId="50655" xr:uid="{51C64A2C-4161-4648-A6BD-16A27B48F613}"/>
    <cellStyle name="Normal 5 2 7 5 3" xfId="50656" xr:uid="{22AF584E-F245-4391-8860-294E1A6542CD}"/>
    <cellStyle name="Normal 5 2 7 6" xfId="50657" xr:uid="{5B00DE37-0272-4C9A-A034-C86F9FECA757}"/>
    <cellStyle name="Normal 5 2 7 6 2" xfId="50658" xr:uid="{06AB45ED-7A28-4169-841D-5555790B2DBA}"/>
    <cellStyle name="Normal 5 2 7 7" xfId="50659" xr:uid="{C3641F5F-36F1-42FA-A063-21B520848CAA}"/>
    <cellStyle name="Normal 5 2 8" xfId="50660" xr:uid="{B3AA0972-5307-4F36-99D1-A99A2CB2237C}"/>
    <cellStyle name="Normal 5 2 8 2" xfId="50661" xr:uid="{54447B68-B7E9-4A5E-BDFD-B03FCBC0B2B1}"/>
    <cellStyle name="Normal 5 2 8 2 2" xfId="50662" xr:uid="{B85F870C-D932-4174-937B-C069FA1741A2}"/>
    <cellStyle name="Normal 5 2 8 2 2 2" xfId="50663" xr:uid="{EF6241BA-BC90-49DA-9A9D-742F09A9C221}"/>
    <cellStyle name="Normal 5 2 8 2 2 2 2" xfId="50664" xr:uid="{67121742-D884-4D94-ABC4-8AB80FD8B4E8}"/>
    <cellStyle name="Normal 5 2 8 2 2 2 2 2" xfId="50665" xr:uid="{86B1C11E-DE0D-4442-BE7C-F787A1DF209D}"/>
    <cellStyle name="Normal 5 2 8 2 2 2 3" xfId="50666" xr:uid="{B3254448-3476-4ABA-BD99-BD687B84B39C}"/>
    <cellStyle name="Normal 5 2 8 2 2 3" xfId="50667" xr:uid="{C574DA98-E1BE-4282-AB2C-E00B4CF01EFD}"/>
    <cellStyle name="Normal 5 2 8 2 2 3 2" xfId="50668" xr:uid="{C40F6303-9B36-413B-AA9B-C63135B1BEEE}"/>
    <cellStyle name="Normal 5 2 8 2 2 4" xfId="50669" xr:uid="{C520B723-5F0D-447E-A00C-308C539D25E8}"/>
    <cellStyle name="Normal 5 2 8 2 3" xfId="50670" xr:uid="{067226CB-D591-4211-9505-002F78B20346}"/>
    <cellStyle name="Normal 5 2 8 2 3 2" xfId="50671" xr:uid="{3768CED0-70F3-4B53-9997-548693D4E802}"/>
    <cellStyle name="Normal 5 2 8 2 3 2 2" xfId="50672" xr:uid="{88351665-6BCF-4FED-9897-199E46717307}"/>
    <cellStyle name="Normal 5 2 8 2 3 3" xfId="50673" xr:uid="{EAEFA4A6-4662-4624-B062-5F99F1702221}"/>
    <cellStyle name="Normal 5 2 8 2 4" xfId="50674" xr:uid="{C761186E-3B82-49B9-8F9F-F99A2DBE482F}"/>
    <cellStyle name="Normal 5 2 8 2 4 2" xfId="50675" xr:uid="{234C7A29-6501-4F36-B176-9837247EF42F}"/>
    <cellStyle name="Normal 5 2 8 2 5" xfId="50676" xr:uid="{DD8ACAD6-00FA-468A-80E9-347D4768BF56}"/>
    <cellStyle name="Normal 5 2 8 3" xfId="50677" xr:uid="{C4A0E031-7D87-4F54-A002-E0DC6DD175A7}"/>
    <cellStyle name="Normal 5 2 8 3 2" xfId="50678" xr:uid="{33E717AD-75BD-47A1-9AD4-E6E52D812C04}"/>
    <cellStyle name="Normal 5 2 8 3 2 2" xfId="50679" xr:uid="{D3B2876A-4642-4D5B-B743-A70C7DEF1002}"/>
    <cellStyle name="Normal 5 2 8 3 2 2 2" xfId="50680" xr:uid="{29AD0FAC-04A8-4709-9309-249EA77CA29B}"/>
    <cellStyle name="Normal 5 2 8 3 2 3" xfId="50681" xr:uid="{243FD3C5-693E-40DC-9078-0BBC9D811AE2}"/>
    <cellStyle name="Normal 5 2 8 3 3" xfId="50682" xr:uid="{EE89CFCB-7503-44DC-ACAC-9B92DBC0CA45}"/>
    <cellStyle name="Normal 5 2 8 3 3 2" xfId="50683" xr:uid="{AB6A7F4D-0014-49F9-9222-0A9246A5302A}"/>
    <cellStyle name="Normal 5 2 8 3 4" xfId="50684" xr:uid="{4DD184DB-2B3B-4B2D-AFF6-0A96DEF9EA7C}"/>
    <cellStyle name="Normal 5 2 8 4" xfId="50685" xr:uid="{325EEA27-78A3-4D4A-A725-CDBD1D4E7B01}"/>
    <cellStyle name="Normal 5 2 8 4 2" xfId="50686" xr:uid="{C7FDCD58-088A-4431-A866-728153646CA0}"/>
    <cellStyle name="Normal 5 2 8 4 2 2" xfId="50687" xr:uid="{D0368EC3-E440-46D2-98BE-ED8CBB268339}"/>
    <cellStyle name="Normal 5 2 8 4 3" xfId="50688" xr:uid="{BD60B774-FB5F-404F-B00F-8B15E1FD205A}"/>
    <cellStyle name="Normal 5 2 8 5" xfId="50689" xr:uid="{4447D014-2357-471B-B33B-DF7D64B3DEF9}"/>
    <cellStyle name="Normal 5 2 8 5 2" xfId="50690" xr:uid="{453BFE4D-64C8-4CF2-966E-2238A56E1614}"/>
    <cellStyle name="Normal 5 2 8 6" xfId="50691" xr:uid="{87799B7A-C039-4C58-BEE8-26C1B6D3A23D}"/>
    <cellStyle name="Normal 5 2 9" xfId="50692" xr:uid="{B36F8D98-E971-4455-8217-E5B9902EC251}"/>
    <cellStyle name="Normal 5 2 9 2" xfId="50693" xr:uid="{CAA1B4B3-88D7-4305-AB25-F738A694890F}"/>
    <cellStyle name="Normal 5 2 9 2 2" xfId="50694" xr:uid="{09A3C03A-44E3-481E-90E3-59389BFC1125}"/>
    <cellStyle name="Normal 5 2 9 2 2 2" xfId="50695" xr:uid="{465474E3-6A38-4D4C-896C-A75F4B063A33}"/>
    <cellStyle name="Normal 5 2 9 2 2 2 2" xfId="50696" xr:uid="{403DAD8B-0C56-4B58-B068-9B6D305D7AA3}"/>
    <cellStyle name="Normal 5 2 9 2 2 3" xfId="50697" xr:uid="{3F5DC006-6BF6-4817-901E-C3CD7653BE59}"/>
    <cellStyle name="Normal 5 2 9 2 3" xfId="50698" xr:uid="{160105FF-4E23-4FCF-B450-E52B614BE186}"/>
    <cellStyle name="Normal 5 2 9 2 3 2" xfId="50699" xr:uid="{ABA7A8E5-04C0-4C16-852B-87DDA4DD00CC}"/>
    <cellStyle name="Normal 5 2 9 2 4" xfId="50700" xr:uid="{9041F2F5-6419-4B99-94E0-99C72C59F222}"/>
    <cellStyle name="Normal 5 2 9 3" xfId="50701" xr:uid="{EE682EF4-767D-4FCF-A81A-8D6417634A6A}"/>
    <cellStyle name="Normal 5 2 9 3 2" xfId="50702" xr:uid="{D8D0B8B6-D82E-4073-A4BD-1D82A365D318}"/>
    <cellStyle name="Normal 5 2 9 3 2 2" xfId="50703" xr:uid="{51139DE1-3B78-406B-9ED2-9AE1913DADC4}"/>
    <cellStyle name="Normal 5 2 9 3 3" xfId="50704" xr:uid="{2FCE75A4-F270-4E15-B20E-59B0A35F8C86}"/>
    <cellStyle name="Normal 5 2 9 4" xfId="50705" xr:uid="{BF55A53A-B852-4016-8F09-56D957E71FE9}"/>
    <cellStyle name="Normal 5 2 9 4 2" xfId="50706" xr:uid="{5E2B6BD2-E486-4CEF-82B9-AB716EFE8962}"/>
    <cellStyle name="Normal 5 2 9 5" xfId="50707" xr:uid="{22B63C8A-C275-4676-9431-0E669701D438}"/>
    <cellStyle name="Normal 5 3" xfId="21" xr:uid="{00000000-0005-0000-0000-000013000000}"/>
    <cellStyle name="Normal 5 3 2" xfId="201" xr:uid="{26ED5629-93BC-4964-A246-6745D51E3824}"/>
    <cellStyle name="Normal 5 3 3" xfId="165" xr:uid="{DE8E8E50-09DC-40CE-8585-BAF643627071}"/>
    <cellStyle name="Normal 5 4" xfId="50708" xr:uid="{F5C54FB4-193F-4FB3-A0E9-827A00AA0B5F}"/>
    <cellStyle name="Normal 5 4 2" xfId="54818" xr:uid="{23B19A26-C78C-4CDF-9E1C-2E19ABD8900F}"/>
    <cellStyle name="Normal 5 5" xfId="54779" xr:uid="{8367996B-46EE-4C87-A1B6-362C5C1CB2F5}"/>
    <cellStyle name="Normal 5 6" xfId="33" xr:uid="{552ADBF7-6479-4A8D-835C-D5FF7E3382FE}"/>
    <cellStyle name="Normal 5 7" xfId="54798" xr:uid="{55244913-35E9-4C83-9EBF-5AB80B958C4F}"/>
    <cellStyle name="Normal 6" xfId="14" xr:uid="{00000000-0005-0000-0000-000014000000}"/>
    <cellStyle name="Normal 6 10" xfId="282" xr:uid="{D3AB4A29-CA23-4063-ACD5-26F2744FA064}"/>
    <cellStyle name="Normal 6 2" xfId="24" xr:uid="{00000000-0005-0000-0000-000015000000}"/>
    <cellStyle name="Normal 6 2 2" xfId="202" xr:uid="{C24AFCF5-8441-4D33-8288-CAAB93DFC0DC}"/>
    <cellStyle name="Normal 6 2 3" xfId="166" xr:uid="{84BCCC6F-55F6-43DE-9962-2499BB22AB3D}"/>
    <cellStyle name="Normal 6 2 4" xfId="50710" xr:uid="{8C6AE125-4370-43C7-8F95-A2509F49970D}"/>
    <cellStyle name="Normal 6 2 5" xfId="54769" xr:uid="{664D96B5-6933-49C4-88B0-641262BC8DBC}"/>
    <cellStyle name="Normal 6 2 6" xfId="127" xr:uid="{F1928F2D-90A3-4A4E-8E80-F6E70A4E1C7A}"/>
    <cellStyle name="Normal 6 3" xfId="128" xr:uid="{0BE1B4B1-18AB-4FC4-B715-4CBBEDEF1197}"/>
    <cellStyle name="Normal 6 3 2" xfId="203" xr:uid="{91908A47-D75E-4ADE-9E72-FAA98210C2A5}"/>
    <cellStyle name="Normal 6 3 3" xfId="167" xr:uid="{B2FDE7A1-F812-4A61-BBC8-797B0CBF0A1D}"/>
    <cellStyle name="Normal 6 4" xfId="429" xr:uid="{F1FD563C-92EA-4D0F-A98E-A4920D04032A}"/>
    <cellStyle name="Normal 6 4 10" xfId="50712" xr:uid="{8FCFF3A8-7F49-4B72-8B36-88F83DAE7F1E}"/>
    <cellStyle name="Normal 6 4 11" xfId="50711" xr:uid="{F6BD2AF2-B6DB-411B-8195-0C11ACE1CCDD}"/>
    <cellStyle name="Normal 6 4 2" xfId="50713" xr:uid="{E7B2AA9D-E903-46F1-A3F0-C286FAC29928}"/>
    <cellStyle name="Normal 6 4 2 2" xfId="50714" xr:uid="{23B23484-4C19-4583-BE22-FEBDCB941ED4}"/>
    <cellStyle name="Normal 6 4 2 2 2" xfId="50715" xr:uid="{CA18E140-3285-4E6F-9CA5-87279545DCCB}"/>
    <cellStyle name="Normal 6 4 2 2 2 2" xfId="50716" xr:uid="{DF99D263-09FF-439A-BD11-74F788D70B96}"/>
    <cellStyle name="Normal 6 4 2 2 2 2 2" xfId="50717" xr:uid="{31057911-0D85-49C5-A31B-1A9CEE8A351E}"/>
    <cellStyle name="Normal 6 4 2 2 2 2 2 2" xfId="50718" xr:uid="{27DD6F34-8F9A-47A0-A3B7-5C50B687580B}"/>
    <cellStyle name="Normal 6 4 2 2 2 2 2 2 2" xfId="50719" xr:uid="{A7922DC2-1B99-4B17-B6EB-8A3E894D8B57}"/>
    <cellStyle name="Normal 6 4 2 2 2 2 2 2 2 2" xfId="50720" xr:uid="{73F2EE75-3480-4166-AA62-D2A45AC37285}"/>
    <cellStyle name="Normal 6 4 2 2 2 2 2 2 2 2 2" xfId="50721" xr:uid="{56925801-9D13-49F5-B544-72308F1AA767}"/>
    <cellStyle name="Normal 6 4 2 2 2 2 2 2 2 3" xfId="50722" xr:uid="{75BAC1CD-910F-4638-BAAA-79454866C655}"/>
    <cellStyle name="Normal 6 4 2 2 2 2 2 2 3" xfId="50723" xr:uid="{59289D00-BD85-4198-8D48-F5CDDE182B0A}"/>
    <cellStyle name="Normal 6 4 2 2 2 2 2 2 3 2" xfId="50724" xr:uid="{03615EB7-9087-441F-8BA9-06DC56B4F29E}"/>
    <cellStyle name="Normal 6 4 2 2 2 2 2 2 4" xfId="50725" xr:uid="{A115A6B8-AF9D-48C0-AA50-F3A0E4E835AD}"/>
    <cellStyle name="Normal 6 4 2 2 2 2 2 3" xfId="50726" xr:uid="{A2D3B245-FA65-4586-AF56-1AD48D7FB7B0}"/>
    <cellStyle name="Normal 6 4 2 2 2 2 2 3 2" xfId="50727" xr:uid="{2E985185-FCF9-461C-9C7F-E075B3891D8B}"/>
    <cellStyle name="Normal 6 4 2 2 2 2 2 3 2 2" xfId="50728" xr:uid="{6C9339E9-AFC0-43D1-A8FC-37C65CEA8413}"/>
    <cellStyle name="Normal 6 4 2 2 2 2 2 3 3" xfId="50729" xr:uid="{0295F0E6-6586-43DE-BDD9-814607DF6B52}"/>
    <cellStyle name="Normal 6 4 2 2 2 2 2 4" xfId="50730" xr:uid="{C747A086-B8CB-4F68-B5B3-4354927BF362}"/>
    <cellStyle name="Normal 6 4 2 2 2 2 2 4 2" xfId="50731" xr:uid="{849578E1-FC5D-4490-900D-D222CBAFF657}"/>
    <cellStyle name="Normal 6 4 2 2 2 2 2 5" xfId="50732" xr:uid="{BFCB6A29-A3EF-4E77-9D16-B53DB1951891}"/>
    <cellStyle name="Normal 6 4 2 2 2 2 3" xfId="50733" xr:uid="{72F7CA49-FB0E-47C7-BD15-1D030AECE550}"/>
    <cellStyle name="Normal 6 4 2 2 2 2 3 2" xfId="50734" xr:uid="{FB4F37EA-3F3B-458A-81F2-DC9242000962}"/>
    <cellStyle name="Normal 6 4 2 2 2 2 3 2 2" xfId="50735" xr:uid="{2F59625A-D0F3-4269-956C-2A4A66E1A9E7}"/>
    <cellStyle name="Normal 6 4 2 2 2 2 3 2 2 2" xfId="50736" xr:uid="{C4EA00AC-341C-4176-A4BD-FA36C6A823DD}"/>
    <cellStyle name="Normal 6 4 2 2 2 2 3 2 3" xfId="50737" xr:uid="{7F2780E7-D6A8-4DCD-B314-417EEBA8CFE1}"/>
    <cellStyle name="Normal 6 4 2 2 2 2 3 3" xfId="50738" xr:uid="{E1CDC948-C0FD-4C11-97C2-C40F1D0E260D}"/>
    <cellStyle name="Normal 6 4 2 2 2 2 3 3 2" xfId="50739" xr:uid="{7AAADEE7-ABCC-4D3B-88BE-C1F16EE57BF1}"/>
    <cellStyle name="Normal 6 4 2 2 2 2 3 4" xfId="50740" xr:uid="{FC3C7E13-A194-4860-9544-CC7CF86FEA29}"/>
    <cellStyle name="Normal 6 4 2 2 2 2 4" xfId="50741" xr:uid="{5A2BC458-4DD4-4035-AEB2-D1105210E185}"/>
    <cellStyle name="Normal 6 4 2 2 2 2 4 2" xfId="50742" xr:uid="{6124949B-402C-4CCD-BE3A-5796F09E35A6}"/>
    <cellStyle name="Normal 6 4 2 2 2 2 4 2 2" xfId="50743" xr:uid="{CE404C1F-C6C7-41AF-9EE8-7F4EF123C34F}"/>
    <cellStyle name="Normal 6 4 2 2 2 2 4 3" xfId="50744" xr:uid="{C5AF5D2C-8AEE-4739-9499-8814E1FE0879}"/>
    <cellStyle name="Normal 6 4 2 2 2 2 5" xfId="50745" xr:uid="{C71BBCF3-D5F1-4CBD-9827-369FC6BDA439}"/>
    <cellStyle name="Normal 6 4 2 2 2 2 5 2" xfId="50746" xr:uid="{29389346-D0E3-41F6-A4CC-51C5B5CCB4CA}"/>
    <cellStyle name="Normal 6 4 2 2 2 2 6" xfId="50747" xr:uid="{C1A0C406-2613-4362-9EF5-91F62ABF66C8}"/>
    <cellStyle name="Normal 6 4 2 2 2 3" xfId="50748" xr:uid="{3D607E6C-B152-4CF2-83E4-7F980564C77E}"/>
    <cellStyle name="Normal 6 4 2 2 2 3 2" xfId="50749" xr:uid="{E2291DDF-22BA-40D1-9006-78C7050E9E30}"/>
    <cellStyle name="Normal 6 4 2 2 2 3 2 2" xfId="50750" xr:uid="{1A7602A7-1FFE-45B3-B846-2565AFBA74A8}"/>
    <cellStyle name="Normal 6 4 2 2 2 3 2 2 2" xfId="50751" xr:uid="{D5CA1696-7B2D-43F1-BCF9-9DD4514CA930}"/>
    <cellStyle name="Normal 6 4 2 2 2 3 2 2 2 2" xfId="50752" xr:uid="{D35A1E27-ADA1-4F3E-8EBD-8111979498A2}"/>
    <cellStyle name="Normal 6 4 2 2 2 3 2 2 3" xfId="50753" xr:uid="{14B595EA-048F-4AA7-BDBB-7C9C29AFD41E}"/>
    <cellStyle name="Normal 6 4 2 2 2 3 2 3" xfId="50754" xr:uid="{376788E3-39B4-4DB0-8B6C-4926B5FB7C20}"/>
    <cellStyle name="Normal 6 4 2 2 2 3 2 3 2" xfId="50755" xr:uid="{F3535275-98D7-4AE8-84A0-956704C7A2C7}"/>
    <cellStyle name="Normal 6 4 2 2 2 3 2 4" xfId="50756" xr:uid="{F1538E21-3648-4CBA-B0B2-CB1F36D05580}"/>
    <cellStyle name="Normal 6 4 2 2 2 3 3" xfId="50757" xr:uid="{DA86F0AB-35CA-4467-A79B-7AEEE0C4E4F4}"/>
    <cellStyle name="Normal 6 4 2 2 2 3 3 2" xfId="50758" xr:uid="{5A751B0A-5F20-40A5-893B-1F760914C606}"/>
    <cellStyle name="Normal 6 4 2 2 2 3 3 2 2" xfId="50759" xr:uid="{FBEA7596-A413-43AC-9823-B2C18616F7ED}"/>
    <cellStyle name="Normal 6 4 2 2 2 3 3 3" xfId="50760" xr:uid="{AF2C1461-643C-404C-A417-7F47CBEF8AFE}"/>
    <cellStyle name="Normal 6 4 2 2 2 3 4" xfId="50761" xr:uid="{81CD3227-53D8-42CC-A9CC-18FC9F913249}"/>
    <cellStyle name="Normal 6 4 2 2 2 3 4 2" xfId="50762" xr:uid="{3F07899C-A885-4C28-B954-63D6DC4F5719}"/>
    <cellStyle name="Normal 6 4 2 2 2 3 5" xfId="50763" xr:uid="{926758B9-5946-459D-B7D1-E2D7A2AE7AE5}"/>
    <cellStyle name="Normal 6 4 2 2 2 4" xfId="50764" xr:uid="{DC7C2C51-0DDB-4158-9602-7904D6947164}"/>
    <cellStyle name="Normal 6 4 2 2 2 4 2" xfId="50765" xr:uid="{996BA81D-77BC-4232-8709-E8665192D468}"/>
    <cellStyle name="Normal 6 4 2 2 2 4 2 2" xfId="50766" xr:uid="{534F33AB-7221-4520-84AC-8E4CCAF0EABB}"/>
    <cellStyle name="Normal 6 4 2 2 2 4 2 2 2" xfId="50767" xr:uid="{8879780E-6568-46CC-9670-2AAAEC0261D2}"/>
    <cellStyle name="Normal 6 4 2 2 2 4 2 3" xfId="50768" xr:uid="{5566EE87-CBD1-47AD-8819-9DF88E4ECDDE}"/>
    <cellStyle name="Normal 6 4 2 2 2 4 3" xfId="50769" xr:uid="{022D6B2A-DB2A-42C3-83EC-33F85F759E3C}"/>
    <cellStyle name="Normal 6 4 2 2 2 4 3 2" xfId="50770" xr:uid="{BF817F2A-E2F3-4D8D-8D81-4849179731DF}"/>
    <cellStyle name="Normal 6 4 2 2 2 4 4" xfId="50771" xr:uid="{4DCF83F5-7593-4729-AA40-144E46C480D6}"/>
    <cellStyle name="Normal 6 4 2 2 2 5" xfId="50772" xr:uid="{7AE3FE40-680A-44CD-8424-DD5E93D21651}"/>
    <cellStyle name="Normal 6 4 2 2 2 5 2" xfId="50773" xr:uid="{6383C14D-D662-45D1-AB0E-CD5D4063838C}"/>
    <cellStyle name="Normal 6 4 2 2 2 5 2 2" xfId="50774" xr:uid="{826A50D8-4AB4-4E0D-AA01-273788D2C216}"/>
    <cellStyle name="Normal 6 4 2 2 2 5 3" xfId="50775" xr:uid="{515324C2-FE90-403C-A238-97BEA4A73406}"/>
    <cellStyle name="Normal 6 4 2 2 2 6" xfId="50776" xr:uid="{F984C5FD-5B96-4684-9C5C-FABA158BE7F4}"/>
    <cellStyle name="Normal 6 4 2 2 2 6 2" xfId="50777" xr:uid="{2AC3F6E4-7CD9-42EC-80CD-65CD424CF329}"/>
    <cellStyle name="Normal 6 4 2 2 2 7" xfId="50778" xr:uid="{27D3679F-8075-49C4-A3CA-18EC3A192FDF}"/>
    <cellStyle name="Normal 6 4 2 2 3" xfId="50779" xr:uid="{453C02BF-1D2C-4799-B914-55AC8365F1CD}"/>
    <cellStyle name="Normal 6 4 2 2 3 2" xfId="50780" xr:uid="{9304EB21-10C2-420F-8D05-C1BFD8BB4F95}"/>
    <cellStyle name="Normal 6 4 2 2 3 2 2" xfId="50781" xr:uid="{ED69DEF9-D54D-4C46-92C0-91C9BFBC395A}"/>
    <cellStyle name="Normal 6 4 2 2 3 2 2 2" xfId="50782" xr:uid="{E5BD4A8A-B4CB-4DE3-B7A4-50123EF22E4F}"/>
    <cellStyle name="Normal 6 4 2 2 3 2 2 2 2" xfId="50783" xr:uid="{E2208C6D-4942-4CCD-9806-2403ED99CFC6}"/>
    <cellStyle name="Normal 6 4 2 2 3 2 2 2 2 2" xfId="50784" xr:uid="{BC98F763-F048-4963-A6BE-5F4E1DAF80D0}"/>
    <cellStyle name="Normal 6 4 2 2 3 2 2 2 3" xfId="50785" xr:uid="{E5D84F53-881D-4028-9608-F4FB6E099351}"/>
    <cellStyle name="Normal 6 4 2 2 3 2 2 3" xfId="50786" xr:uid="{6C2EF524-6C2E-49D9-AA3D-69300224EE8D}"/>
    <cellStyle name="Normal 6 4 2 2 3 2 2 3 2" xfId="50787" xr:uid="{1B3DB697-9ACF-4DDF-ABE3-F954DC00AE7B}"/>
    <cellStyle name="Normal 6 4 2 2 3 2 2 4" xfId="50788" xr:uid="{88EDC8DC-C9DF-4D82-81FE-8A92DCDA513F}"/>
    <cellStyle name="Normal 6 4 2 2 3 2 3" xfId="50789" xr:uid="{4E78E253-0216-4C18-B54C-93601054ED22}"/>
    <cellStyle name="Normal 6 4 2 2 3 2 3 2" xfId="50790" xr:uid="{CCE299CA-A014-4329-AF50-58FC2F564CE0}"/>
    <cellStyle name="Normal 6 4 2 2 3 2 3 2 2" xfId="50791" xr:uid="{5D228427-E395-46E8-8712-83F4DF53D99A}"/>
    <cellStyle name="Normal 6 4 2 2 3 2 3 3" xfId="50792" xr:uid="{247E78A8-AE4F-4E3A-994F-3A719E1450FC}"/>
    <cellStyle name="Normal 6 4 2 2 3 2 4" xfId="50793" xr:uid="{8B27C91C-B4D4-4580-A55E-B27B71F39F01}"/>
    <cellStyle name="Normal 6 4 2 2 3 2 4 2" xfId="50794" xr:uid="{E7A11EE4-E488-4AFA-8CC2-499B213D1E95}"/>
    <cellStyle name="Normal 6 4 2 2 3 2 5" xfId="50795" xr:uid="{601DD684-82C8-415B-8524-CFEB5D036906}"/>
    <cellStyle name="Normal 6 4 2 2 3 3" xfId="50796" xr:uid="{E598B77B-4972-4055-9483-C577FADD1632}"/>
    <cellStyle name="Normal 6 4 2 2 3 3 2" xfId="50797" xr:uid="{1054A753-C436-4DCF-AEC9-6B9311B0E3EF}"/>
    <cellStyle name="Normal 6 4 2 2 3 3 2 2" xfId="50798" xr:uid="{7BBCD5BF-A4A5-409F-AE1C-75F04F9F7F9A}"/>
    <cellStyle name="Normal 6 4 2 2 3 3 2 2 2" xfId="50799" xr:uid="{818E5661-A4BD-4802-BCD6-C92F0423CDFF}"/>
    <cellStyle name="Normal 6 4 2 2 3 3 2 3" xfId="50800" xr:uid="{8F96F569-8302-404D-B975-6542EB5A5E96}"/>
    <cellStyle name="Normal 6 4 2 2 3 3 3" xfId="50801" xr:uid="{1D061F36-8B35-49C9-BC26-127B5363A15A}"/>
    <cellStyle name="Normal 6 4 2 2 3 3 3 2" xfId="50802" xr:uid="{A5654174-1578-4834-848B-4E16B0C3C391}"/>
    <cellStyle name="Normal 6 4 2 2 3 3 4" xfId="50803" xr:uid="{2D34E745-B2A0-4905-BCE6-83C678856262}"/>
    <cellStyle name="Normal 6 4 2 2 3 4" xfId="50804" xr:uid="{A0BC40A4-0C01-4DD0-A444-B7300A5BC2AD}"/>
    <cellStyle name="Normal 6 4 2 2 3 4 2" xfId="50805" xr:uid="{F0B1361D-7443-4825-9413-12C6A9019D4E}"/>
    <cellStyle name="Normal 6 4 2 2 3 4 2 2" xfId="50806" xr:uid="{CEE89CF3-39C3-4221-AEAD-5AB3376333D2}"/>
    <cellStyle name="Normal 6 4 2 2 3 4 3" xfId="50807" xr:uid="{C57F8E6A-4046-48B2-82A1-EE654E0B2F0C}"/>
    <cellStyle name="Normal 6 4 2 2 3 5" xfId="50808" xr:uid="{D322743A-7BCE-49F1-87C6-5F8FDBB5C8CF}"/>
    <cellStyle name="Normal 6 4 2 2 3 5 2" xfId="50809" xr:uid="{A69F778D-9C6D-433C-89B6-0CC04FA2550B}"/>
    <cellStyle name="Normal 6 4 2 2 3 6" xfId="50810" xr:uid="{103A9198-118E-45FD-8242-D88DF534543A}"/>
    <cellStyle name="Normal 6 4 2 2 4" xfId="50811" xr:uid="{1CD81557-4469-4C59-BBE1-76D2B423AEA8}"/>
    <cellStyle name="Normal 6 4 2 2 4 2" xfId="50812" xr:uid="{14225FFC-F628-4CB7-BD0F-7A5D98D8A928}"/>
    <cellStyle name="Normal 6 4 2 2 4 2 2" xfId="50813" xr:uid="{5E3D6F6A-1054-4437-BEE4-1FDA86C6EBEA}"/>
    <cellStyle name="Normal 6 4 2 2 4 2 2 2" xfId="50814" xr:uid="{FD240083-7614-4732-A508-3FAA902FFA7E}"/>
    <cellStyle name="Normal 6 4 2 2 4 2 2 2 2" xfId="50815" xr:uid="{CE2BE181-FE6D-4A39-861A-D582E13331B6}"/>
    <cellStyle name="Normal 6 4 2 2 4 2 2 3" xfId="50816" xr:uid="{ECC8BD67-BEEA-4E2D-96E4-2B082B010B22}"/>
    <cellStyle name="Normal 6 4 2 2 4 2 3" xfId="50817" xr:uid="{A60B25D4-E684-4576-B4CA-CC3C92E8067F}"/>
    <cellStyle name="Normal 6 4 2 2 4 2 3 2" xfId="50818" xr:uid="{57C8867A-5482-4468-AF74-B1BAAA39AB36}"/>
    <cellStyle name="Normal 6 4 2 2 4 2 4" xfId="50819" xr:uid="{99301C5C-DD31-4D56-B0E0-2D871DEB31F3}"/>
    <cellStyle name="Normal 6 4 2 2 4 3" xfId="50820" xr:uid="{7426AAB0-4A5B-4459-A4C8-CB68FA529D6A}"/>
    <cellStyle name="Normal 6 4 2 2 4 3 2" xfId="50821" xr:uid="{16902AA0-7FB9-422C-B36D-1E47E9C588DB}"/>
    <cellStyle name="Normal 6 4 2 2 4 3 2 2" xfId="50822" xr:uid="{D20B3B50-A1F3-412A-A1D9-684E53274A38}"/>
    <cellStyle name="Normal 6 4 2 2 4 3 3" xfId="50823" xr:uid="{D0ADB32E-598D-4626-AECF-192F36B5C014}"/>
    <cellStyle name="Normal 6 4 2 2 4 4" xfId="50824" xr:uid="{ECBD9A43-3206-42CE-A68B-8305C94A4CF1}"/>
    <cellStyle name="Normal 6 4 2 2 4 4 2" xfId="50825" xr:uid="{C6762691-E686-4CB2-9250-7500E93D469D}"/>
    <cellStyle name="Normal 6 4 2 2 4 5" xfId="50826" xr:uid="{02FC0428-6455-43A7-B144-F9EEFFED3535}"/>
    <cellStyle name="Normal 6 4 2 2 5" xfId="50827" xr:uid="{8687FADB-529B-4427-BF24-145D9AF4194C}"/>
    <cellStyle name="Normal 6 4 2 2 5 2" xfId="50828" xr:uid="{D21C76B8-BBCB-411B-BDBA-EA3CA623F203}"/>
    <cellStyle name="Normal 6 4 2 2 5 2 2" xfId="50829" xr:uid="{3D02DA91-4464-49D7-9746-5ACE4D99E89E}"/>
    <cellStyle name="Normal 6 4 2 2 5 2 2 2" xfId="50830" xr:uid="{7AAD808F-748E-4CAA-A81B-B521EC6EF1FF}"/>
    <cellStyle name="Normal 6 4 2 2 5 2 3" xfId="50831" xr:uid="{C712F263-5FA4-4C13-AE0A-7AFAE638475B}"/>
    <cellStyle name="Normal 6 4 2 2 5 3" xfId="50832" xr:uid="{72A4C0FB-1D2C-42AB-868B-45D6D43D606A}"/>
    <cellStyle name="Normal 6 4 2 2 5 3 2" xfId="50833" xr:uid="{57E57F34-C1A4-4766-B469-CE4B158CAD97}"/>
    <cellStyle name="Normal 6 4 2 2 5 4" xfId="50834" xr:uid="{802B2BDD-FD4F-42D7-A7E4-F6E3F8E971EE}"/>
    <cellStyle name="Normal 6 4 2 2 6" xfId="50835" xr:uid="{F64A7ADB-B1D6-4F7F-974A-D69D21F900DA}"/>
    <cellStyle name="Normal 6 4 2 2 6 2" xfId="50836" xr:uid="{5E098376-6C26-4D3E-A9C9-0C50C372DA21}"/>
    <cellStyle name="Normal 6 4 2 2 6 2 2" xfId="50837" xr:uid="{AB53BF54-DBE1-4CA1-ADCC-1F0A7FBB6F38}"/>
    <cellStyle name="Normal 6 4 2 2 6 3" xfId="50838" xr:uid="{3D66B2D6-40EA-4803-8048-C394385FDF52}"/>
    <cellStyle name="Normal 6 4 2 2 7" xfId="50839" xr:uid="{1CE75A7A-4BA0-4D4F-AE97-6044E290B6DD}"/>
    <cellStyle name="Normal 6 4 2 2 7 2" xfId="50840" xr:uid="{58D960B9-DBC4-4A81-8DF6-0D56714AECC0}"/>
    <cellStyle name="Normal 6 4 2 2 8" xfId="50841" xr:uid="{42D21116-D07F-495D-9D31-86B86AEDE909}"/>
    <cellStyle name="Normal 6 4 2 3" xfId="50842" xr:uid="{8E738190-175F-4799-A11A-18030298F7A1}"/>
    <cellStyle name="Normal 6 4 2 3 2" xfId="50843" xr:uid="{3F72DB19-CE47-43D6-8500-43353DF79D32}"/>
    <cellStyle name="Normal 6 4 2 3 2 2" xfId="50844" xr:uid="{10D55031-5B12-4523-A80C-3EF15B7F50D0}"/>
    <cellStyle name="Normal 6 4 2 3 2 2 2" xfId="50845" xr:uid="{48412B8F-9AD2-49F4-A557-4888A2A89505}"/>
    <cellStyle name="Normal 6 4 2 3 2 2 2 2" xfId="50846" xr:uid="{47E57C18-3FEB-4AE9-97BA-670D1C83E66C}"/>
    <cellStyle name="Normal 6 4 2 3 2 2 2 2 2" xfId="50847" xr:uid="{062D0AB9-1E14-40A8-BE15-BBCD140F4C50}"/>
    <cellStyle name="Normal 6 4 2 3 2 2 2 2 2 2" xfId="50848" xr:uid="{DA798DBB-2A0C-440D-929B-FAC6DFDFD446}"/>
    <cellStyle name="Normal 6 4 2 3 2 2 2 2 3" xfId="50849" xr:uid="{215B737E-F2C7-4554-9ED2-C49D57A10152}"/>
    <cellStyle name="Normal 6 4 2 3 2 2 2 3" xfId="50850" xr:uid="{6FD674D7-030A-4BAB-887C-A150D64F4FB2}"/>
    <cellStyle name="Normal 6 4 2 3 2 2 2 3 2" xfId="50851" xr:uid="{EFD2E198-979A-4CE9-BCA4-E51E7D519EB0}"/>
    <cellStyle name="Normal 6 4 2 3 2 2 2 4" xfId="50852" xr:uid="{780E8650-2A28-465E-B044-DD53F2F60389}"/>
    <cellStyle name="Normal 6 4 2 3 2 2 3" xfId="50853" xr:uid="{D1FA531F-0BBC-41FB-9867-8EED23995C3C}"/>
    <cellStyle name="Normal 6 4 2 3 2 2 3 2" xfId="50854" xr:uid="{E5B5730C-AC9C-4934-A3BD-AD3A40C1FB7F}"/>
    <cellStyle name="Normal 6 4 2 3 2 2 3 2 2" xfId="50855" xr:uid="{5C41597B-7AC8-4830-B6BA-1836FF7E2940}"/>
    <cellStyle name="Normal 6 4 2 3 2 2 3 3" xfId="50856" xr:uid="{4DBD3C3F-70C6-402F-94CB-C59A15DFC388}"/>
    <cellStyle name="Normal 6 4 2 3 2 2 4" xfId="50857" xr:uid="{9A308523-9779-47E1-B903-DDBC10065FD2}"/>
    <cellStyle name="Normal 6 4 2 3 2 2 4 2" xfId="50858" xr:uid="{3EABFF3F-32BD-40EC-9B36-DE8287291566}"/>
    <cellStyle name="Normal 6 4 2 3 2 2 5" xfId="50859" xr:uid="{7DD4A0D6-6078-4D6F-ABD0-C51CFFC66136}"/>
    <cellStyle name="Normal 6 4 2 3 2 3" xfId="50860" xr:uid="{80D85DF5-1755-45C6-A0A2-42EF793C6929}"/>
    <cellStyle name="Normal 6 4 2 3 2 3 2" xfId="50861" xr:uid="{5E194DEC-6B88-4548-AD6E-4E55C48C52A0}"/>
    <cellStyle name="Normal 6 4 2 3 2 3 2 2" xfId="50862" xr:uid="{0FF0F1CE-F732-46E4-A4FA-3134988006D7}"/>
    <cellStyle name="Normal 6 4 2 3 2 3 2 2 2" xfId="50863" xr:uid="{97E443D7-169F-4B53-86CE-980BCF8D6D26}"/>
    <cellStyle name="Normal 6 4 2 3 2 3 2 3" xfId="50864" xr:uid="{6959096D-34F0-41F4-A2F0-EC2518162D48}"/>
    <cellStyle name="Normal 6 4 2 3 2 3 3" xfId="50865" xr:uid="{8C9AF376-27AD-436A-9CFE-D42EDD5E6E89}"/>
    <cellStyle name="Normal 6 4 2 3 2 3 3 2" xfId="50866" xr:uid="{9AE6B6E6-8794-4CE7-84C2-D45B17159E85}"/>
    <cellStyle name="Normal 6 4 2 3 2 3 4" xfId="50867" xr:uid="{378E54D5-7EAB-4A76-A3F2-33F2FEBF72B2}"/>
    <cellStyle name="Normal 6 4 2 3 2 4" xfId="50868" xr:uid="{E6BE8B3A-99FD-4DF7-B8BE-507C818881F0}"/>
    <cellStyle name="Normal 6 4 2 3 2 4 2" xfId="50869" xr:uid="{F59E50AC-3FB9-4E24-9192-A3D3070CEDC1}"/>
    <cellStyle name="Normal 6 4 2 3 2 4 2 2" xfId="50870" xr:uid="{544731BE-2FB4-4DF9-8E62-4E9EA204FCC4}"/>
    <cellStyle name="Normal 6 4 2 3 2 4 3" xfId="50871" xr:uid="{FB273464-C3FF-4107-9DF9-2AB33514A320}"/>
    <cellStyle name="Normal 6 4 2 3 2 5" xfId="50872" xr:uid="{CA04F6C3-D749-46B9-92D5-0C0AD00F609C}"/>
    <cellStyle name="Normal 6 4 2 3 2 5 2" xfId="50873" xr:uid="{EB29A7D8-9CF7-4062-A751-8D71538D36ED}"/>
    <cellStyle name="Normal 6 4 2 3 2 6" xfId="50874" xr:uid="{BE9FB5A2-1A7D-4F80-BBBC-64C69BEA31AC}"/>
    <cellStyle name="Normal 6 4 2 3 3" xfId="50875" xr:uid="{C2971F18-C82E-4865-8CB4-7F4A602685AA}"/>
    <cellStyle name="Normal 6 4 2 3 3 2" xfId="50876" xr:uid="{09DF66FE-37D2-4D36-A41C-D8C98F29EBE2}"/>
    <cellStyle name="Normal 6 4 2 3 3 2 2" xfId="50877" xr:uid="{A38AB816-AA0C-4142-8150-4C53048599F7}"/>
    <cellStyle name="Normal 6 4 2 3 3 2 2 2" xfId="50878" xr:uid="{0C18F5D5-06EE-4969-8079-1078952E73AB}"/>
    <cellStyle name="Normal 6 4 2 3 3 2 2 2 2" xfId="50879" xr:uid="{E6192D74-174E-4F4C-BEBA-5781EC0271B4}"/>
    <cellStyle name="Normal 6 4 2 3 3 2 2 3" xfId="50880" xr:uid="{8D90DF1C-C917-4755-9EAD-D1B233FC8BFE}"/>
    <cellStyle name="Normal 6 4 2 3 3 2 3" xfId="50881" xr:uid="{27B71347-EB35-4CFF-BED6-E64104776104}"/>
    <cellStyle name="Normal 6 4 2 3 3 2 3 2" xfId="50882" xr:uid="{8B2678B1-1221-4411-A4AE-CF8EA8386EF6}"/>
    <cellStyle name="Normal 6 4 2 3 3 2 4" xfId="50883" xr:uid="{10342690-AEF1-4747-B464-9DD75DBA0C12}"/>
    <cellStyle name="Normal 6 4 2 3 3 3" xfId="50884" xr:uid="{564FC554-467F-4931-8EE6-9BA25983192B}"/>
    <cellStyle name="Normal 6 4 2 3 3 3 2" xfId="50885" xr:uid="{68AE25C5-6A5E-4707-96BD-A25B06F56A40}"/>
    <cellStyle name="Normal 6 4 2 3 3 3 2 2" xfId="50886" xr:uid="{276FF99C-F5E2-4609-A44A-6136B38188B3}"/>
    <cellStyle name="Normal 6 4 2 3 3 3 3" xfId="50887" xr:uid="{A81F3756-22E6-4A7D-947E-2A9CAA669730}"/>
    <cellStyle name="Normal 6 4 2 3 3 4" xfId="50888" xr:uid="{DE9DCDD5-70E5-4CD9-9324-FC8E0EE3BEB8}"/>
    <cellStyle name="Normal 6 4 2 3 3 4 2" xfId="50889" xr:uid="{A5B24141-9B63-4D24-A0C3-1E5DB0161905}"/>
    <cellStyle name="Normal 6 4 2 3 3 5" xfId="50890" xr:uid="{0B8B5C30-1611-4E97-99C8-FFEADD4A50D3}"/>
    <cellStyle name="Normal 6 4 2 3 4" xfId="50891" xr:uid="{4E3EC57B-A956-4EC3-9C99-94AFA42817FF}"/>
    <cellStyle name="Normal 6 4 2 3 4 2" xfId="50892" xr:uid="{0623E339-B150-427C-9983-5DC1DBF56318}"/>
    <cellStyle name="Normal 6 4 2 3 4 2 2" xfId="50893" xr:uid="{A8137D34-BA7E-40A6-BFF4-8705B60DE1D9}"/>
    <cellStyle name="Normal 6 4 2 3 4 2 2 2" xfId="50894" xr:uid="{D99E25F5-3962-4E26-902D-60E4BF400A85}"/>
    <cellStyle name="Normal 6 4 2 3 4 2 3" xfId="50895" xr:uid="{1C049E2C-F8AC-4EBE-B292-03D1B71EA027}"/>
    <cellStyle name="Normal 6 4 2 3 4 3" xfId="50896" xr:uid="{21EFE0A7-D9A6-419D-A915-61AD7B6E5FD9}"/>
    <cellStyle name="Normal 6 4 2 3 4 3 2" xfId="50897" xr:uid="{32CC21CE-DA0B-4CF9-A00B-093274FB70A1}"/>
    <cellStyle name="Normal 6 4 2 3 4 4" xfId="50898" xr:uid="{D3A69CC8-261A-4FD5-9818-A55865686F21}"/>
    <cellStyle name="Normal 6 4 2 3 5" xfId="50899" xr:uid="{1AE233AA-79D6-4359-B23E-9130088EA639}"/>
    <cellStyle name="Normal 6 4 2 3 5 2" xfId="50900" xr:uid="{958EEE79-1DF0-47C8-A950-777E48ECF8B7}"/>
    <cellStyle name="Normal 6 4 2 3 5 2 2" xfId="50901" xr:uid="{5B949A5E-FCBB-4A52-A522-F30913334BDC}"/>
    <cellStyle name="Normal 6 4 2 3 5 3" xfId="50902" xr:uid="{23303BBD-9562-4FEB-A144-3B70B70FEC3B}"/>
    <cellStyle name="Normal 6 4 2 3 6" xfId="50903" xr:uid="{9326353A-FE15-4AB5-85EE-62C2C0A573BB}"/>
    <cellStyle name="Normal 6 4 2 3 6 2" xfId="50904" xr:uid="{DE171181-6F0E-484D-BB91-287BB749E690}"/>
    <cellStyle name="Normal 6 4 2 3 7" xfId="50905" xr:uid="{E14568A4-40F9-46B7-965A-B3922D7F5962}"/>
    <cellStyle name="Normal 6 4 2 4" xfId="50906" xr:uid="{ADEFB77C-3215-4BA6-B62F-3146C427EF6F}"/>
    <cellStyle name="Normal 6 4 2 4 2" xfId="50907" xr:uid="{FAC3AF54-FB30-475E-8602-D7957D0D8D7A}"/>
    <cellStyle name="Normal 6 4 2 4 2 2" xfId="50908" xr:uid="{EC008E13-AC07-4458-9DB2-D86E7A1AEAC3}"/>
    <cellStyle name="Normal 6 4 2 4 2 2 2" xfId="50909" xr:uid="{2DC044CD-F400-43B3-967F-EDD2B98C222B}"/>
    <cellStyle name="Normal 6 4 2 4 2 2 2 2" xfId="50910" xr:uid="{2B726FE1-5788-4A9B-89C2-8FAB3C4B9C1D}"/>
    <cellStyle name="Normal 6 4 2 4 2 2 2 2 2" xfId="50911" xr:uid="{CED08FD4-EF6E-47A7-85B9-C5DAC3FCDC20}"/>
    <cellStyle name="Normal 6 4 2 4 2 2 2 3" xfId="50912" xr:uid="{E009FCB7-8211-4405-9673-F48A17819BF8}"/>
    <cellStyle name="Normal 6 4 2 4 2 2 3" xfId="50913" xr:uid="{3334232E-48BA-4CA3-AEDD-F9E1A0707476}"/>
    <cellStyle name="Normal 6 4 2 4 2 2 3 2" xfId="50914" xr:uid="{5145331C-65B9-43BA-84EF-CA0C30B78849}"/>
    <cellStyle name="Normal 6 4 2 4 2 2 4" xfId="50915" xr:uid="{2472539B-B237-4FEA-AA33-5D1240647C0A}"/>
    <cellStyle name="Normal 6 4 2 4 2 3" xfId="50916" xr:uid="{72D63E11-753E-4FE4-9E64-8D6ADE4FBA74}"/>
    <cellStyle name="Normal 6 4 2 4 2 3 2" xfId="50917" xr:uid="{D4C683FE-0E0F-4314-AF39-9DDAE7C13B94}"/>
    <cellStyle name="Normal 6 4 2 4 2 3 2 2" xfId="50918" xr:uid="{05D972CD-7ECF-48C0-BBAD-A0BA00FD763B}"/>
    <cellStyle name="Normal 6 4 2 4 2 3 3" xfId="50919" xr:uid="{6755F91F-22D8-406B-A8B1-1F223B4F29E2}"/>
    <cellStyle name="Normal 6 4 2 4 2 4" xfId="50920" xr:uid="{177CF0F5-3ACC-4989-8B20-F8BED7F97DF6}"/>
    <cellStyle name="Normal 6 4 2 4 2 4 2" xfId="50921" xr:uid="{0469AE40-B856-4846-A338-16DDB8EE2EF0}"/>
    <cellStyle name="Normal 6 4 2 4 2 5" xfId="50922" xr:uid="{A266A47A-BD29-49BC-A332-B59FB61FE6D6}"/>
    <cellStyle name="Normal 6 4 2 4 3" xfId="50923" xr:uid="{1978BBBB-86DB-48FA-A3F3-0143F2E306F3}"/>
    <cellStyle name="Normal 6 4 2 4 3 2" xfId="50924" xr:uid="{E8DC9DDA-5E9D-4A23-B54D-707B8BF48FD4}"/>
    <cellStyle name="Normal 6 4 2 4 3 2 2" xfId="50925" xr:uid="{0FF6676C-F6EA-4FAC-838B-70B2F5A17CB5}"/>
    <cellStyle name="Normal 6 4 2 4 3 2 2 2" xfId="50926" xr:uid="{6481A46C-7BC2-4A14-A365-82DDB516FDFD}"/>
    <cellStyle name="Normal 6 4 2 4 3 2 3" xfId="50927" xr:uid="{D034040E-EDBD-43BE-9832-E81DEFAE7F81}"/>
    <cellStyle name="Normal 6 4 2 4 3 3" xfId="50928" xr:uid="{31523F5C-646F-487A-9A98-52AFA1577F32}"/>
    <cellStyle name="Normal 6 4 2 4 3 3 2" xfId="50929" xr:uid="{130B7581-ED26-4389-87F9-BF8809EADA37}"/>
    <cellStyle name="Normal 6 4 2 4 3 4" xfId="50930" xr:uid="{1A27CEF5-994C-406B-8B46-317AB04F987D}"/>
    <cellStyle name="Normal 6 4 2 4 4" xfId="50931" xr:uid="{DC00D689-F659-4662-8EA0-78CE0537CDF7}"/>
    <cellStyle name="Normal 6 4 2 4 4 2" xfId="50932" xr:uid="{8622BFBC-CEAE-4B2A-9C32-0EDF9E6C30FE}"/>
    <cellStyle name="Normal 6 4 2 4 4 2 2" xfId="50933" xr:uid="{B9C54B00-7693-47DA-8FEE-C965E604EB2D}"/>
    <cellStyle name="Normal 6 4 2 4 4 3" xfId="50934" xr:uid="{68B3A98B-A6D1-469C-9D5B-8A2352BC86E4}"/>
    <cellStyle name="Normal 6 4 2 4 5" xfId="50935" xr:uid="{BAD4F8F9-097F-44FF-812C-2B8D3EE852AD}"/>
    <cellStyle name="Normal 6 4 2 4 5 2" xfId="50936" xr:uid="{54E0FD94-2912-4B22-8393-08E5F041890C}"/>
    <cellStyle name="Normal 6 4 2 4 6" xfId="50937" xr:uid="{44C5B717-DCD0-45F4-A229-8FE8A3C0D57F}"/>
    <cellStyle name="Normal 6 4 2 5" xfId="50938" xr:uid="{1D72451E-1236-4D70-8EE9-74E45DB28564}"/>
    <cellStyle name="Normal 6 4 2 5 2" xfId="50939" xr:uid="{8019FEE8-BDC9-4F16-B8F0-09364AE8EB40}"/>
    <cellStyle name="Normal 6 4 2 5 2 2" xfId="50940" xr:uid="{C8AA19DA-848E-44CD-A3BC-66BE0E7AAAFA}"/>
    <cellStyle name="Normal 6 4 2 5 2 2 2" xfId="50941" xr:uid="{6A82CAD4-BFB9-401D-BB93-468344C1DB9C}"/>
    <cellStyle name="Normal 6 4 2 5 2 2 2 2" xfId="50942" xr:uid="{A403D18A-C71E-434D-960B-80BF725C9CC6}"/>
    <cellStyle name="Normal 6 4 2 5 2 2 3" xfId="50943" xr:uid="{1B12D050-5697-4330-AA5E-93EDF5F3B5AC}"/>
    <cellStyle name="Normal 6 4 2 5 2 3" xfId="50944" xr:uid="{2B7C9588-35F2-4AA6-9C91-0516DE376013}"/>
    <cellStyle name="Normal 6 4 2 5 2 3 2" xfId="50945" xr:uid="{FA9D17EA-F938-4B2D-87E0-B4D6BDD01021}"/>
    <cellStyle name="Normal 6 4 2 5 2 4" xfId="50946" xr:uid="{DE87C4A8-8DD7-44A1-ACAC-EC74A13F0E52}"/>
    <cellStyle name="Normal 6 4 2 5 3" xfId="50947" xr:uid="{C8540700-676D-476A-8091-0649636FDF6C}"/>
    <cellStyle name="Normal 6 4 2 5 3 2" xfId="50948" xr:uid="{FC715E17-3B7A-403D-A1A3-AE5E39CDCD5F}"/>
    <cellStyle name="Normal 6 4 2 5 3 2 2" xfId="50949" xr:uid="{34264DF7-8810-460E-832C-54F89B76A032}"/>
    <cellStyle name="Normal 6 4 2 5 3 3" xfId="50950" xr:uid="{402230E3-1680-40B0-AB32-77BE7D5A9DC7}"/>
    <cellStyle name="Normal 6 4 2 5 4" xfId="50951" xr:uid="{B616D0AD-B26F-4DEA-844A-5776BB540A5C}"/>
    <cellStyle name="Normal 6 4 2 5 4 2" xfId="50952" xr:uid="{66D83EC7-556A-4274-B1F5-63D5D78F26FA}"/>
    <cellStyle name="Normal 6 4 2 5 5" xfId="50953" xr:uid="{703417FA-3C91-4475-88CC-E3A30353A220}"/>
    <cellStyle name="Normal 6 4 2 6" xfId="50954" xr:uid="{9ECA4B1D-FC31-4E87-B12D-B3BAB653058E}"/>
    <cellStyle name="Normal 6 4 2 6 2" xfId="50955" xr:uid="{1F76E472-3D57-4610-9AC0-B151281CFAE3}"/>
    <cellStyle name="Normal 6 4 2 6 2 2" xfId="50956" xr:uid="{5AB0C22B-1F50-4B38-BC14-C886AAF30AE3}"/>
    <cellStyle name="Normal 6 4 2 6 2 2 2" xfId="50957" xr:uid="{8BC7099B-3977-42EE-A359-048B12F177E3}"/>
    <cellStyle name="Normal 6 4 2 6 2 3" xfId="50958" xr:uid="{3AC34166-6E67-4F16-BB03-194931071BFB}"/>
    <cellStyle name="Normal 6 4 2 6 3" xfId="50959" xr:uid="{11BAB686-1B4E-4ADC-8A17-BFE24B1ADDF1}"/>
    <cellStyle name="Normal 6 4 2 6 3 2" xfId="50960" xr:uid="{5F7B2A55-48B5-4B03-8DDC-BD3A655010BA}"/>
    <cellStyle name="Normal 6 4 2 6 4" xfId="50961" xr:uid="{B7E6956A-E7F6-4542-A652-A328B4EEDB09}"/>
    <cellStyle name="Normal 6 4 2 7" xfId="50962" xr:uid="{358B055E-3C69-406B-AE87-223C82B3628C}"/>
    <cellStyle name="Normal 6 4 2 7 2" xfId="50963" xr:uid="{8BC04064-837E-4095-9096-B16F1262FBBE}"/>
    <cellStyle name="Normal 6 4 2 7 2 2" xfId="50964" xr:uid="{99C927F3-6F69-4CAC-99F2-BD9F4B39AD81}"/>
    <cellStyle name="Normal 6 4 2 7 3" xfId="50965" xr:uid="{EBC52DF9-0028-423A-962D-79922BAEF833}"/>
    <cellStyle name="Normal 6 4 2 8" xfId="50966" xr:uid="{CF600514-5DA5-4AFE-AAC1-2984EABB3EE8}"/>
    <cellStyle name="Normal 6 4 2 8 2" xfId="50967" xr:uid="{B12FA9EE-DDA7-43A8-9CB3-EFD43FF6CF1D}"/>
    <cellStyle name="Normal 6 4 2 9" xfId="50968" xr:uid="{530F1038-A62E-4FC9-9018-DBE0A89491E6}"/>
    <cellStyle name="Normal 6 4 3" xfId="50969" xr:uid="{0A56DFB9-12E1-41DD-84E7-82DBFEFD5678}"/>
    <cellStyle name="Normal 6 4 3 2" xfId="50970" xr:uid="{4B624EC9-6407-4C47-A41A-A04E653C1A41}"/>
    <cellStyle name="Normal 6 4 3 2 2" xfId="50971" xr:uid="{D56D09AC-DF95-46E6-9841-FF5F17A37340}"/>
    <cellStyle name="Normal 6 4 3 2 2 2" xfId="50972" xr:uid="{5A3D1E72-62A5-445F-84CE-9129C40EB724}"/>
    <cellStyle name="Normal 6 4 3 2 2 2 2" xfId="50973" xr:uid="{59ED8735-5CE3-41EA-B1C2-751C61DAE9E9}"/>
    <cellStyle name="Normal 6 4 3 2 2 2 2 2" xfId="50974" xr:uid="{3105A7AD-3243-420F-8F41-845BBA74F6EE}"/>
    <cellStyle name="Normal 6 4 3 2 2 2 2 2 2" xfId="50975" xr:uid="{D1F6C226-06FD-475E-A7EF-E163F9D96DC1}"/>
    <cellStyle name="Normal 6 4 3 2 2 2 2 2 2 2" xfId="50976" xr:uid="{0C5B9315-A926-4ECA-ABEE-997F2040B7B4}"/>
    <cellStyle name="Normal 6 4 3 2 2 2 2 2 3" xfId="50977" xr:uid="{8945419D-96AE-483E-8E59-402599282BAF}"/>
    <cellStyle name="Normal 6 4 3 2 2 2 2 3" xfId="50978" xr:uid="{E7A6D9E9-00B1-4E52-A58D-9E85659F562C}"/>
    <cellStyle name="Normal 6 4 3 2 2 2 2 3 2" xfId="50979" xr:uid="{CECCE0A0-A63E-4532-A568-D8475D7F5BE9}"/>
    <cellStyle name="Normal 6 4 3 2 2 2 2 4" xfId="50980" xr:uid="{C4D742A9-5D81-4602-B58D-74909441B58A}"/>
    <cellStyle name="Normal 6 4 3 2 2 2 3" xfId="50981" xr:uid="{56CD464B-B11B-4BAD-8A98-D935CC84312C}"/>
    <cellStyle name="Normal 6 4 3 2 2 2 3 2" xfId="50982" xr:uid="{76B6DD83-DB7B-4A3E-8304-A1C8BF0DE8BC}"/>
    <cellStyle name="Normal 6 4 3 2 2 2 3 2 2" xfId="50983" xr:uid="{A66143B2-26B2-43F9-81DB-B3BBAE71F64E}"/>
    <cellStyle name="Normal 6 4 3 2 2 2 3 3" xfId="50984" xr:uid="{C0035415-CCF6-4AF8-8A13-A6FBE47C64C6}"/>
    <cellStyle name="Normal 6 4 3 2 2 2 4" xfId="50985" xr:uid="{2F4D7B54-9615-48EA-A37D-A99BE0997734}"/>
    <cellStyle name="Normal 6 4 3 2 2 2 4 2" xfId="50986" xr:uid="{7EC3BE12-6A44-45E4-9173-36CBEF76FB1A}"/>
    <cellStyle name="Normal 6 4 3 2 2 2 5" xfId="50987" xr:uid="{CAB425E3-80AD-409A-A3C5-DAC4B1D82DBC}"/>
    <cellStyle name="Normal 6 4 3 2 2 3" xfId="50988" xr:uid="{86EC476E-F775-4683-BE1C-0A48763D929D}"/>
    <cellStyle name="Normal 6 4 3 2 2 3 2" xfId="50989" xr:uid="{AACD8DE3-6D00-45D1-8960-447A5C29327C}"/>
    <cellStyle name="Normal 6 4 3 2 2 3 2 2" xfId="50990" xr:uid="{72BC86AA-BC26-4CA8-AEE7-45A3EFCCD7FF}"/>
    <cellStyle name="Normal 6 4 3 2 2 3 2 2 2" xfId="50991" xr:uid="{DF270921-6BC2-4C65-A94C-D3D5DBBE1743}"/>
    <cellStyle name="Normal 6 4 3 2 2 3 2 3" xfId="50992" xr:uid="{89004940-0A0C-46CF-B9E5-6C93E2255745}"/>
    <cellStyle name="Normal 6 4 3 2 2 3 3" xfId="50993" xr:uid="{F091354F-8CE0-4666-A2E2-55CE196854CB}"/>
    <cellStyle name="Normal 6 4 3 2 2 3 3 2" xfId="50994" xr:uid="{72E929E2-F2B4-43F3-BF62-B071FEC9308E}"/>
    <cellStyle name="Normal 6 4 3 2 2 3 4" xfId="50995" xr:uid="{DAEA69EA-2CE4-45AF-8352-1961FD116637}"/>
    <cellStyle name="Normal 6 4 3 2 2 4" xfId="50996" xr:uid="{05A0D4C4-4BA7-48F8-87E3-654B9CB462F3}"/>
    <cellStyle name="Normal 6 4 3 2 2 4 2" xfId="50997" xr:uid="{1EE19D80-592C-4B2D-85CB-D5864C35FED2}"/>
    <cellStyle name="Normal 6 4 3 2 2 4 2 2" xfId="50998" xr:uid="{828D5371-6568-4D7D-AA9C-579B05AF8253}"/>
    <cellStyle name="Normal 6 4 3 2 2 4 3" xfId="50999" xr:uid="{D726A0BB-A9D6-41F2-A75B-0EF636ABCA37}"/>
    <cellStyle name="Normal 6 4 3 2 2 5" xfId="51000" xr:uid="{08742E4B-4E04-4DAC-BCF1-71ADC0AC9E2E}"/>
    <cellStyle name="Normal 6 4 3 2 2 5 2" xfId="51001" xr:uid="{1DFBD59C-EF72-4332-AD1C-DF990C601D0C}"/>
    <cellStyle name="Normal 6 4 3 2 2 6" xfId="51002" xr:uid="{34BCA3D0-57F7-4EFC-A046-B53AB66E0B50}"/>
    <cellStyle name="Normal 6 4 3 2 3" xfId="51003" xr:uid="{F9B22562-85A8-4955-B89F-F513DFE6C5B3}"/>
    <cellStyle name="Normal 6 4 3 2 3 2" xfId="51004" xr:uid="{B2E887C7-7FC2-489B-A709-2ED3EB497993}"/>
    <cellStyle name="Normal 6 4 3 2 3 2 2" xfId="51005" xr:uid="{4DDA9151-3180-49F1-A7DA-74BE446243A2}"/>
    <cellStyle name="Normal 6 4 3 2 3 2 2 2" xfId="51006" xr:uid="{8CFC130D-0572-45CC-B69E-55F97F37B844}"/>
    <cellStyle name="Normal 6 4 3 2 3 2 2 2 2" xfId="51007" xr:uid="{D68B723D-42D7-4D96-9E18-EF28FFA7F70D}"/>
    <cellStyle name="Normal 6 4 3 2 3 2 2 3" xfId="51008" xr:uid="{D888077F-BBB7-4CF0-A82D-7F64450E5470}"/>
    <cellStyle name="Normal 6 4 3 2 3 2 3" xfId="51009" xr:uid="{A915CE7E-EE8B-43F2-A76E-3C135CB39475}"/>
    <cellStyle name="Normal 6 4 3 2 3 2 3 2" xfId="51010" xr:uid="{351DCB81-8C21-4D15-AA81-3D4D07727CED}"/>
    <cellStyle name="Normal 6 4 3 2 3 2 4" xfId="51011" xr:uid="{3A835C6C-81C5-46C7-8B74-7916E305094A}"/>
    <cellStyle name="Normal 6 4 3 2 3 3" xfId="51012" xr:uid="{6F58074C-1C1F-429D-96CD-D354D7F5A75F}"/>
    <cellStyle name="Normal 6 4 3 2 3 3 2" xfId="51013" xr:uid="{D42C1BF0-253F-4309-B04B-3F8C44BA9208}"/>
    <cellStyle name="Normal 6 4 3 2 3 3 2 2" xfId="51014" xr:uid="{5735FA99-5296-415D-9CE1-849FF2084970}"/>
    <cellStyle name="Normal 6 4 3 2 3 3 3" xfId="51015" xr:uid="{53D09758-5B20-4563-96D6-28537EAE0E51}"/>
    <cellStyle name="Normal 6 4 3 2 3 4" xfId="51016" xr:uid="{22F68299-20D7-4BC0-873F-DC9D9D3DBE8D}"/>
    <cellStyle name="Normal 6 4 3 2 3 4 2" xfId="51017" xr:uid="{EBBB67B4-B510-4644-BE98-F11B9C123F3F}"/>
    <cellStyle name="Normal 6 4 3 2 3 5" xfId="51018" xr:uid="{09E37866-A453-4AF2-8AE8-059F594D79CB}"/>
    <cellStyle name="Normal 6 4 3 2 4" xfId="51019" xr:uid="{495FE461-3721-4771-A679-AF92BAF6463D}"/>
    <cellStyle name="Normal 6 4 3 2 4 2" xfId="51020" xr:uid="{B4EE63AB-5EB4-450D-AFB6-857571489FD0}"/>
    <cellStyle name="Normal 6 4 3 2 4 2 2" xfId="51021" xr:uid="{2FDEE035-71E0-43CF-B809-BFF4B5FDFF83}"/>
    <cellStyle name="Normal 6 4 3 2 4 2 2 2" xfId="51022" xr:uid="{9207BC61-77AC-46D0-993D-272240D3AB1E}"/>
    <cellStyle name="Normal 6 4 3 2 4 2 3" xfId="51023" xr:uid="{2B071095-632B-4BF8-A561-CF3ABCB0B061}"/>
    <cellStyle name="Normal 6 4 3 2 4 3" xfId="51024" xr:uid="{FDADAA0A-C57F-495B-AFCF-00A56F610CF6}"/>
    <cellStyle name="Normal 6 4 3 2 4 3 2" xfId="51025" xr:uid="{78D50DC8-4FBC-4858-A15B-D47FF2359623}"/>
    <cellStyle name="Normal 6 4 3 2 4 4" xfId="51026" xr:uid="{8A254B16-76D5-4B5F-BC6B-9CFC29858E75}"/>
    <cellStyle name="Normal 6 4 3 2 5" xfId="51027" xr:uid="{0189AB0B-8030-489C-A590-A866D9E67CE4}"/>
    <cellStyle name="Normal 6 4 3 2 5 2" xfId="51028" xr:uid="{1974B754-4509-42F6-8066-B7D21DEFEAEB}"/>
    <cellStyle name="Normal 6 4 3 2 5 2 2" xfId="51029" xr:uid="{DE2C63AC-C299-42B2-BB26-C4651923F170}"/>
    <cellStyle name="Normal 6 4 3 2 5 3" xfId="51030" xr:uid="{A0E7DD52-7A86-4D6E-B61B-659EBF95E8CA}"/>
    <cellStyle name="Normal 6 4 3 2 6" xfId="51031" xr:uid="{2C8B88B7-9138-4ABC-B3BC-B998F31CC889}"/>
    <cellStyle name="Normal 6 4 3 2 6 2" xfId="51032" xr:uid="{78ECE4E7-1703-486D-B3A8-6DB25A8E8C1C}"/>
    <cellStyle name="Normal 6 4 3 2 7" xfId="51033" xr:uid="{3940B9DE-F16D-497D-B880-662AD8D3B8EF}"/>
    <cellStyle name="Normal 6 4 3 3" xfId="51034" xr:uid="{EA139AFD-E8BE-4126-9A2D-B01C5012902C}"/>
    <cellStyle name="Normal 6 4 3 3 2" xfId="51035" xr:uid="{9E500223-C4DE-4ECF-B250-BCB6FF9DC187}"/>
    <cellStyle name="Normal 6 4 3 3 2 2" xfId="51036" xr:uid="{3CC9CE30-A5E7-4907-BC86-85DC00D2CD77}"/>
    <cellStyle name="Normal 6 4 3 3 2 2 2" xfId="51037" xr:uid="{2BCA103B-D350-4D77-96A6-D9CBB2A65341}"/>
    <cellStyle name="Normal 6 4 3 3 2 2 2 2" xfId="51038" xr:uid="{FD30E051-008B-4E47-A7F3-97ADA079113B}"/>
    <cellStyle name="Normal 6 4 3 3 2 2 2 2 2" xfId="51039" xr:uid="{B90BCFF1-10E2-4F52-8F2F-D2B5397DD41B}"/>
    <cellStyle name="Normal 6 4 3 3 2 2 2 3" xfId="51040" xr:uid="{7E02E682-9FA8-49DD-A76A-4493148BC47B}"/>
    <cellStyle name="Normal 6 4 3 3 2 2 3" xfId="51041" xr:uid="{6D55FFEC-E75E-482F-A80A-3103F216E808}"/>
    <cellStyle name="Normal 6 4 3 3 2 2 3 2" xfId="51042" xr:uid="{302756F9-23AF-4D14-8B62-C49CD160EC39}"/>
    <cellStyle name="Normal 6 4 3 3 2 2 4" xfId="51043" xr:uid="{85A716C0-90B6-4151-8B33-BA255AC0C34B}"/>
    <cellStyle name="Normal 6 4 3 3 2 3" xfId="51044" xr:uid="{46772A67-970A-490C-9F7A-644B1DC45AD2}"/>
    <cellStyle name="Normal 6 4 3 3 2 3 2" xfId="51045" xr:uid="{509B63B9-99FB-4AD7-A5DA-168CB7397E54}"/>
    <cellStyle name="Normal 6 4 3 3 2 3 2 2" xfId="51046" xr:uid="{17A872BB-3482-402A-8DEE-A2FDAA3421C2}"/>
    <cellStyle name="Normal 6 4 3 3 2 3 3" xfId="51047" xr:uid="{047B1607-DF53-4C38-8694-D080BD6C0AF8}"/>
    <cellStyle name="Normal 6 4 3 3 2 4" xfId="51048" xr:uid="{0E780BA0-337E-43E6-897D-91B4208DED55}"/>
    <cellStyle name="Normal 6 4 3 3 2 4 2" xfId="51049" xr:uid="{E932B126-5997-493D-867D-975447C106C9}"/>
    <cellStyle name="Normal 6 4 3 3 2 5" xfId="51050" xr:uid="{E454D97A-CEA0-4F8B-892A-2A2D3CBA40E0}"/>
    <cellStyle name="Normal 6 4 3 3 3" xfId="51051" xr:uid="{833BE993-5543-4FC9-94BA-9CA3F3EB51FF}"/>
    <cellStyle name="Normal 6 4 3 3 3 2" xfId="51052" xr:uid="{BAEEFEA7-4340-4F3F-85E7-EF899FEAA5A5}"/>
    <cellStyle name="Normal 6 4 3 3 3 2 2" xfId="51053" xr:uid="{EC595A9A-5382-48F0-B7FB-44FCDA5FB922}"/>
    <cellStyle name="Normal 6 4 3 3 3 2 2 2" xfId="51054" xr:uid="{B5FB5079-93EC-4DA8-8767-B82AD56FAFE2}"/>
    <cellStyle name="Normal 6 4 3 3 3 2 3" xfId="51055" xr:uid="{830007A8-D91D-47BC-817A-25F1C40947FA}"/>
    <cellStyle name="Normal 6 4 3 3 3 3" xfId="51056" xr:uid="{B538345B-0765-4F37-93CF-CA478F1DD1EE}"/>
    <cellStyle name="Normal 6 4 3 3 3 3 2" xfId="51057" xr:uid="{E1ED1C36-5011-4CD4-800E-F28D6540AB06}"/>
    <cellStyle name="Normal 6 4 3 3 3 4" xfId="51058" xr:uid="{16A1E1CB-25F7-47E0-A849-6422391FAEA5}"/>
    <cellStyle name="Normal 6 4 3 3 4" xfId="51059" xr:uid="{61C18E16-3B91-428D-99BD-3967FF5BB111}"/>
    <cellStyle name="Normal 6 4 3 3 4 2" xfId="51060" xr:uid="{3F968E53-16FD-4710-A9B6-5450FA89B68A}"/>
    <cellStyle name="Normal 6 4 3 3 4 2 2" xfId="51061" xr:uid="{20C7B0EC-E03E-47D8-BC79-25B8DAF0E656}"/>
    <cellStyle name="Normal 6 4 3 3 4 3" xfId="51062" xr:uid="{8C4F1226-85C9-454B-A6FC-B6F37CA6BB61}"/>
    <cellStyle name="Normal 6 4 3 3 5" xfId="51063" xr:uid="{427CDB9D-FB4C-4A64-84E6-676065A13DFF}"/>
    <cellStyle name="Normal 6 4 3 3 5 2" xfId="51064" xr:uid="{B2D0E9C2-1F58-40E4-AF2C-ECBD8DCADAD8}"/>
    <cellStyle name="Normal 6 4 3 3 6" xfId="51065" xr:uid="{D1F8749E-0A8B-4AA1-BAD6-8DED969FCF16}"/>
    <cellStyle name="Normal 6 4 3 4" xfId="51066" xr:uid="{CDECD2EB-37CE-46F0-86C3-4FB398E586F6}"/>
    <cellStyle name="Normal 6 4 3 4 2" xfId="51067" xr:uid="{1A7088C6-2123-4668-BF9F-E2CAF553E4BD}"/>
    <cellStyle name="Normal 6 4 3 4 2 2" xfId="51068" xr:uid="{24F9D014-BB04-4790-9A8E-1A07936EFB85}"/>
    <cellStyle name="Normal 6 4 3 4 2 2 2" xfId="51069" xr:uid="{5C636D56-A321-4C53-B6C1-ED72D8A48F68}"/>
    <cellStyle name="Normal 6 4 3 4 2 2 2 2" xfId="51070" xr:uid="{23A26891-9DE3-4747-9827-9474DBD0AB95}"/>
    <cellStyle name="Normal 6 4 3 4 2 2 3" xfId="51071" xr:uid="{3AF0442C-92F1-4FBA-865D-73F0C3B56B00}"/>
    <cellStyle name="Normal 6 4 3 4 2 3" xfId="51072" xr:uid="{F6248CB4-198E-4B43-B50D-33165E401254}"/>
    <cellStyle name="Normal 6 4 3 4 2 3 2" xfId="51073" xr:uid="{C9930AD7-3777-4A84-925C-731AFF8356F4}"/>
    <cellStyle name="Normal 6 4 3 4 2 4" xfId="51074" xr:uid="{FB4DE1B9-2277-45F2-AD46-ACD98BF7EE6B}"/>
    <cellStyle name="Normal 6 4 3 4 3" xfId="51075" xr:uid="{155493DA-A38F-43D1-8FBD-4D57A28D913A}"/>
    <cellStyle name="Normal 6 4 3 4 3 2" xfId="51076" xr:uid="{BFCDEBEB-B2C4-416B-8C4E-5D8A544047DC}"/>
    <cellStyle name="Normal 6 4 3 4 3 2 2" xfId="51077" xr:uid="{81F8E306-AF85-4B4D-AFBB-C2D5001C57E0}"/>
    <cellStyle name="Normal 6 4 3 4 3 3" xfId="51078" xr:uid="{8228EF5A-A8CA-4C45-8C08-B24AEB778E8E}"/>
    <cellStyle name="Normal 6 4 3 4 4" xfId="51079" xr:uid="{AAEF13B5-3ADB-4087-814A-ECB40D445C97}"/>
    <cellStyle name="Normal 6 4 3 4 4 2" xfId="51080" xr:uid="{290F8E2F-3686-4FFC-87D8-65D03B2698F0}"/>
    <cellStyle name="Normal 6 4 3 4 5" xfId="51081" xr:uid="{80FA2BEB-3B2B-4AA9-B10A-7FE46344F171}"/>
    <cellStyle name="Normal 6 4 3 5" xfId="51082" xr:uid="{3563183B-CCC4-4FCA-AF20-2D88E8290CE8}"/>
    <cellStyle name="Normal 6 4 3 5 2" xfId="51083" xr:uid="{8262198E-A054-4B71-A07C-B6C8331DC05B}"/>
    <cellStyle name="Normal 6 4 3 5 2 2" xfId="51084" xr:uid="{742517C2-32E1-4E1E-B2DE-8A8E7E0A8A89}"/>
    <cellStyle name="Normal 6 4 3 5 2 2 2" xfId="51085" xr:uid="{DAAEECD2-AB4E-4692-8346-9B259F349FD3}"/>
    <cellStyle name="Normal 6 4 3 5 2 3" xfId="51086" xr:uid="{07A0A71A-A765-48AA-9427-51C62CCCEC83}"/>
    <cellStyle name="Normal 6 4 3 5 3" xfId="51087" xr:uid="{30331A4C-0356-427E-93A2-D720E6B8B31D}"/>
    <cellStyle name="Normal 6 4 3 5 3 2" xfId="51088" xr:uid="{A40D0C0E-38A3-46AE-9830-948656183A12}"/>
    <cellStyle name="Normal 6 4 3 5 4" xfId="51089" xr:uid="{D20CBA6A-AD41-4D60-BFE0-BBD594F22050}"/>
    <cellStyle name="Normal 6 4 3 6" xfId="51090" xr:uid="{3BCA4C97-17B6-4BBC-87E5-58B398C3D9E3}"/>
    <cellStyle name="Normal 6 4 3 6 2" xfId="51091" xr:uid="{593411EB-534F-4402-8BC5-DD96408754FD}"/>
    <cellStyle name="Normal 6 4 3 6 2 2" xfId="51092" xr:uid="{7EDE7193-3FD7-493C-99C7-8798C89EBA58}"/>
    <cellStyle name="Normal 6 4 3 6 3" xfId="51093" xr:uid="{CA35D6B2-74A2-4EAA-91F5-A63198E86DA8}"/>
    <cellStyle name="Normal 6 4 3 7" xfId="51094" xr:uid="{B9C0460B-9650-49E5-9079-4D644FA8F052}"/>
    <cellStyle name="Normal 6 4 3 7 2" xfId="51095" xr:uid="{9017F22A-47A7-41A1-B9B2-F2989BF72B59}"/>
    <cellStyle name="Normal 6 4 3 8" xfId="51096" xr:uid="{15164F15-EA23-4DFC-873B-A7C806D9FF67}"/>
    <cellStyle name="Normal 6 4 4" xfId="51097" xr:uid="{591D8307-9C97-45F0-8881-F805B781FDC8}"/>
    <cellStyle name="Normal 6 4 4 2" xfId="51098" xr:uid="{A2C93BED-DBC8-45FF-A63A-BB899CD32084}"/>
    <cellStyle name="Normal 6 4 4 2 2" xfId="51099" xr:uid="{B066222C-1A89-4D40-B330-9DC45AF26A2F}"/>
    <cellStyle name="Normal 6 4 4 2 2 2" xfId="51100" xr:uid="{1A0EA489-2EF0-4D87-A3AE-1F0447C341CC}"/>
    <cellStyle name="Normal 6 4 4 2 2 2 2" xfId="51101" xr:uid="{12385419-3A99-415C-A24C-5C5204BB2014}"/>
    <cellStyle name="Normal 6 4 4 2 2 2 2 2" xfId="51102" xr:uid="{E8C17E2C-40B5-474C-8C44-57D457ECF85F}"/>
    <cellStyle name="Normal 6 4 4 2 2 2 2 2 2" xfId="51103" xr:uid="{4CEBD788-56A6-4C94-B3FF-6E28C0B80347}"/>
    <cellStyle name="Normal 6 4 4 2 2 2 2 3" xfId="51104" xr:uid="{96DB7635-0C58-44C6-BDE0-E6AF18E66286}"/>
    <cellStyle name="Normal 6 4 4 2 2 2 3" xfId="51105" xr:uid="{0F6B5CFC-DD84-4F5F-B06D-9273ACC6CE9E}"/>
    <cellStyle name="Normal 6 4 4 2 2 2 3 2" xfId="51106" xr:uid="{0E9A2B3B-7423-42D0-AE3D-E376CF94C163}"/>
    <cellStyle name="Normal 6 4 4 2 2 2 4" xfId="51107" xr:uid="{876BB69E-D4BD-4FF9-BDA7-69994C66A98B}"/>
    <cellStyle name="Normal 6 4 4 2 2 3" xfId="51108" xr:uid="{BF1F4E18-CCF4-40A4-B7EE-7815AD9634C7}"/>
    <cellStyle name="Normal 6 4 4 2 2 3 2" xfId="51109" xr:uid="{89A67D62-63B8-4931-916E-2FD0C0E6BF8F}"/>
    <cellStyle name="Normal 6 4 4 2 2 3 2 2" xfId="51110" xr:uid="{5274F10B-0B66-4F8E-A811-1BC7456428F1}"/>
    <cellStyle name="Normal 6 4 4 2 2 3 3" xfId="51111" xr:uid="{0A02340A-D3FE-4531-91E0-9C3BE4ECD2CC}"/>
    <cellStyle name="Normal 6 4 4 2 2 4" xfId="51112" xr:uid="{C3E769FC-5AB4-4CC1-B000-765FD2E7E722}"/>
    <cellStyle name="Normal 6 4 4 2 2 4 2" xfId="51113" xr:uid="{8689382F-728A-4AE4-ABE0-06FA94FAB0AD}"/>
    <cellStyle name="Normal 6 4 4 2 2 5" xfId="51114" xr:uid="{1F8AE12B-F60F-4097-AF33-54D0C60071CA}"/>
    <cellStyle name="Normal 6 4 4 2 3" xfId="51115" xr:uid="{33ACA5DB-D628-4CC7-92AE-299F8B3BF8BC}"/>
    <cellStyle name="Normal 6 4 4 2 3 2" xfId="51116" xr:uid="{D277B0AA-551E-4DB0-A1DE-171DD6031D2E}"/>
    <cellStyle name="Normal 6 4 4 2 3 2 2" xfId="51117" xr:uid="{151C5419-9798-468E-9B9F-99E38C9E727F}"/>
    <cellStyle name="Normal 6 4 4 2 3 2 2 2" xfId="51118" xr:uid="{121C1985-917A-48F0-A532-423AB145627A}"/>
    <cellStyle name="Normal 6 4 4 2 3 2 3" xfId="51119" xr:uid="{228E0660-8CF2-4305-8260-85C1BFB803DC}"/>
    <cellStyle name="Normal 6 4 4 2 3 3" xfId="51120" xr:uid="{AC41EF67-2C9D-4A96-9218-67697FEF3155}"/>
    <cellStyle name="Normal 6 4 4 2 3 3 2" xfId="51121" xr:uid="{E413D9DF-8C13-4C99-A879-A06D4EA681F3}"/>
    <cellStyle name="Normal 6 4 4 2 3 4" xfId="51122" xr:uid="{DD39C47A-ACFD-4D8C-9997-D109D19CDDFC}"/>
    <cellStyle name="Normal 6 4 4 2 4" xfId="51123" xr:uid="{32E21109-D283-4198-BCEF-F1C9ED7574DB}"/>
    <cellStyle name="Normal 6 4 4 2 4 2" xfId="51124" xr:uid="{6D8ECA87-7895-4E78-B495-425F4D8CD1CA}"/>
    <cellStyle name="Normal 6 4 4 2 4 2 2" xfId="51125" xr:uid="{7DD115F3-1FE1-42D5-BEA6-5E410C08E168}"/>
    <cellStyle name="Normal 6 4 4 2 4 3" xfId="51126" xr:uid="{9513FD44-0E9E-4DB6-87AD-A3F2FA324BAD}"/>
    <cellStyle name="Normal 6 4 4 2 5" xfId="51127" xr:uid="{3A477060-FE35-4657-B9B1-B7A5C25718BE}"/>
    <cellStyle name="Normal 6 4 4 2 5 2" xfId="51128" xr:uid="{F1255B67-4607-4713-AB16-C573EE19D119}"/>
    <cellStyle name="Normal 6 4 4 2 6" xfId="51129" xr:uid="{58C4CB2F-2B59-47F1-8F33-0C39AD231A83}"/>
    <cellStyle name="Normal 6 4 4 3" xfId="51130" xr:uid="{B3C5DDF5-1CCF-4C6D-AE41-CEB0CBFD50B5}"/>
    <cellStyle name="Normal 6 4 4 3 2" xfId="51131" xr:uid="{01CB707C-E23B-4239-9DC4-34BD852B31E9}"/>
    <cellStyle name="Normal 6 4 4 3 2 2" xfId="51132" xr:uid="{BFDE5849-D179-427E-A6AE-C3D8D968EC33}"/>
    <cellStyle name="Normal 6 4 4 3 2 2 2" xfId="51133" xr:uid="{E7700B14-56AB-4BA4-A2C3-D550615F2D90}"/>
    <cellStyle name="Normal 6 4 4 3 2 2 2 2" xfId="51134" xr:uid="{C2BA05F5-6D27-4011-ABE1-9C1DC526EFB5}"/>
    <cellStyle name="Normal 6 4 4 3 2 2 3" xfId="51135" xr:uid="{0B945A37-676C-4473-8DA0-2F816AA28341}"/>
    <cellStyle name="Normal 6 4 4 3 2 3" xfId="51136" xr:uid="{8718126D-FDCA-46A0-A722-9A77B744B217}"/>
    <cellStyle name="Normal 6 4 4 3 2 3 2" xfId="51137" xr:uid="{3EFA49B2-C46D-4768-818B-58C91A1A75EE}"/>
    <cellStyle name="Normal 6 4 4 3 2 4" xfId="51138" xr:uid="{B9CBC5F7-827E-45D8-AA7D-5C1EFDCC4E75}"/>
    <cellStyle name="Normal 6 4 4 3 3" xfId="51139" xr:uid="{956EABAE-022B-4EC1-835F-D9F2209B2F2A}"/>
    <cellStyle name="Normal 6 4 4 3 3 2" xfId="51140" xr:uid="{057091C4-1B39-4CAD-9F04-6E91AAD59E77}"/>
    <cellStyle name="Normal 6 4 4 3 3 2 2" xfId="51141" xr:uid="{7889551C-EA24-4F28-95F5-C1F78E01453B}"/>
    <cellStyle name="Normal 6 4 4 3 3 3" xfId="51142" xr:uid="{4E688037-3D9A-4ADA-964B-BF0BBC7952A6}"/>
    <cellStyle name="Normal 6 4 4 3 4" xfId="51143" xr:uid="{8B52CBEF-E33E-4C88-836C-93A396FA02FB}"/>
    <cellStyle name="Normal 6 4 4 3 4 2" xfId="51144" xr:uid="{E52BA4DE-84BE-46A1-B570-9697E1127980}"/>
    <cellStyle name="Normal 6 4 4 3 5" xfId="51145" xr:uid="{DD7C5A35-C17C-429E-9B8A-1CF916386C94}"/>
    <cellStyle name="Normal 6 4 4 4" xfId="51146" xr:uid="{97683BA7-6A8C-4A62-B807-05D436EE034B}"/>
    <cellStyle name="Normal 6 4 4 4 2" xfId="51147" xr:uid="{D7C02EC6-043F-43CE-8C2A-D93210B09D81}"/>
    <cellStyle name="Normal 6 4 4 4 2 2" xfId="51148" xr:uid="{3B88414E-7022-4498-B937-F106A8DCB732}"/>
    <cellStyle name="Normal 6 4 4 4 2 2 2" xfId="51149" xr:uid="{54A350ED-3202-4C31-A85D-0E279016639E}"/>
    <cellStyle name="Normal 6 4 4 4 2 3" xfId="51150" xr:uid="{46CAA1B0-74CD-4E63-9F6B-65578FDBCFA9}"/>
    <cellStyle name="Normal 6 4 4 4 3" xfId="51151" xr:uid="{4FC227A7-7E4F-413E-A8DD-7C3F5A97A3EC}"/>
    <cellStyle name="Normal 6 4 4 4 3 2" xfId="51152" xr:uid="{69F5C583-F975-42AB-8D6C-9CC3547416C5}"/>
    <cellStyle name="Normal 6 4 4 4 4" xfId="51153" xr:uid="{0CB33AD3-47A1-4553-B55E-E3EFD11E99D6}"/>
    <cellStyle name="Normal 6 4 4 5" xfId="51154" xr:uid="{9E897193-C240-46E1-B19B-18E284801AA1}"/>
    <cellStyle name="Normal 6 4 4 5 2" xfId="51155" xr:uid="{374A7A5C-1ED4-4AD6-94E1-FECB0FDF41C8}"/>
    <cellStyle name="Normal 6 4 4 5 2 2" xfId="51156" xr:uid="{97E88310-E25A-4E37-8146-D55728AE1AB8}"/>
    <cellStyle name="Normal 6 4 4 5 3" xfId="51157" xr:uid="{02EC1BD0-AA6F-4B6E-AF6A-885EC7D228AE}"/>
    <cellStyle name="Normal 6 4 4 6" xfId="51158" xr:uid="{6D54D93F-C128-4F5B-ACCF-97F6E50F6694}"/>
    <cellStyle name="Normal 6 4 4 6 2" xfId="51159" xr:uid="{D50CE652-6865-4B4D-A616-CEBFF449E946}"/>
    <cellStyle name="Normal 6 4 4 7" xfId="51160" xr:uid="{4DA5D14A-1E74-4B95-837C-A125E69D0B35}"/>
    <cellStyle name="Normal 6 4 5" xfId="51161" xr:uid="{C70ADAC1-68A9-4E35-A0A8-09B027A21690}"/>
    <cellStyle name="Normal 6 4 5 2" xfId="51162" xr:uid="{E137A719-3394-4C55-A94B-8001C863AC17}"/>
    <cellStyle name="Normal 6 4 5 2 2" xfId="51163" xr:uid="{FBE271E5-F898-4AA0-BDF2-8DD9FAF84A27}"/>
    <cellStyle name="Normal 6 4 5 2 2 2" xfId="51164" xr:uid="{D4318AEF-0871-4896-A8E8-4D6C473507BF}"/>
    <cellStyle name="Normal 6 4 5 2 2 2 2" xfId="51165" xr:uid="{FEE03000-FF4A-4579-B65F-C8E13D9F4CEA}"/>
    <cellStyle name="Normal 6 4 5 2 2 2 2 2" xfId="51166" xr:uid="{9E7A8381-88D7-433F-86A4-4C0D1319534A}"/>
    <cellStyle name="Normal 6 4 5 2 2 2 3" xfId="51167" xr:uid="{5B74DD28-C645-4B3A-A660-DB8D9EDDA10D}"/>
    <cellStyle name="Normal 6 4 5 2 2 3" xfId="51168" xr:uid="{C1D30CE6-FAE5-43C9-934D-360692D3ABA5}"/>
    <cellStyle name="Normal 6 4 5 2 2 3 2" xfId="51169" xr:uid="{F4209CA4-0666-4F75-BF4C-B5690228922F}"/>
    <cellStyle name="Normal 6 4 5 2 2 4" xfId="51170" xr:uid="{0875E30C-E5BD-4C63-AF30-5D11179EE755}"/>
    <cellStyle name="Normal 6 4 5 2 3" xfId="51171" xr:uid="{FAA5A9F5-F4C5-4FE4-B208-3FB4055E1954}"/>
    <cellStyle name="Normal 6 4 5 2 3 2" xfId="51172" xr:uid="{8D5D5079-89A6-4AAD-A54C-330DDAB35BC0}"/>
    <cellStyle name="Normal 6 4 5 2 3 2 2" xfId="51173" xr:uid="{E763B8E1-E2F0-42AA-8121-BBA662D1C280}"/>
    <cellStyle name="Normal 6 4 5 2 3 3" xfId="51174" xr:uid="{3D3029B4-A5A6-4054-8EFA-56DAFF3ACAC2}"/>
    <cellStyle name="Normal 6 4 5 2 4" xfId="51175" xr:uid="{3EC5AC14-F207-4258-BCB9-FF8CC065AFD1}"/>
    <cellStyle name="Normal 6 4 5 2 4 2" xfId="51176" xr:uid="{CC1D1AA0-1027-440B-95E0-0DC6091C3182}"/>
    <cellStyle name="Normal 6 4 5 2 5" xfId="51177" xr:uid="{F0BD2582-C904-4F6E-8A07-FD58D3FC1710}"/>
    <cellStyle name="Normal 6 4 5 3" xfId="51178" xr:uid="{D97F3824-8F8D-4CD1-BB22-472E2D01E838}"/>
    <cellStyle name="Normal 6 4 5 3 2" xfId="51179" xr:uid="{66CF5B9F-2EFE-4B1F-8D3A-459F734CDD0C}"/>
    <cellStyle name="Normal 6 4 5 3 2 2" xfId="51180" xr:uid="{F364BD1A-6660-429F-BB01-C93A77C8960C}"/>
    <cellStyle name="Normal 6 4 5 3 2 2 2" xfId="51181" xr:uid="{CC293E16-8EF4-4581-AEF0-261F3FE51D4D}"/>
    <cellStyle name="Normal 6 4 5 3 2 3" xfId="51182" xr:uid="{57F542C5-29BD-485B-A6F4-EB459335AD49}"/>
    <cellStyle name="Normal 6 4 5 3 3" xfId="51183" xr:uid="{B27F4C12-A760-4FA6-9444-EE7369C98564}"/>
    <cellStyle name="Normal 6 4 5 3 3 2" xfId="51184" xr:uid="{B1108093-E5DD-4684-B681-7C2CC0CA907B}"/>
    <cellStyle name="Normal 6 4 5 3 4" xfId="51185" xr:uid="{E536F6DE-30C4-4D9D-9ECD-F8DFF553E20C}"/>
    <cellStyle name="Normal 6 4 5 4" xfId="51186" xr:uid="{A2B827E4-7344-4A03-99CC-8B7072E38216}"/>
    <cellStyle name="Normal 6 4 5 4 2" xfId="51187" xr:uid="{E916F601-8F9F-417C-BA58-D350B25CCFBD}"/>
    <cellStyle name="Normal 6 4 5 4 2 2" xfId="51188" xr:uid="{7190FA7C-4AD1-4431-BEA0-F7D0559DD48F}"/>
    <cellStyle name="Normal 6 4 5 4 3" xfId="51189" xr:uid="{61ED7B00-708A-4925-BD29-53C12CE29A56}"/>
    <cellStyle name="Normal 6 4 5 5" xfId="51190" xr:uid="{0AF81842-9D57-4C99-8C70-69E5779576D6}"/>
    <cellStyle name="Normal 6 4 5 5 2" xfId="51191" xr:uid="{4DE04A0E-7BCE-49AE-8F8F-92B5E582C442}"/>
    <cellStyle name="Normal 6 4 5 6" xfId="51192" xr:uid="{0F77445B-2A2E-454D-B6AA-B983777CD3B6}"/>
    <cellStyle name="Normal 6 4 6" xfId="51193" xr:uid="{209346BD-B048-4513-A983-C6FB60ED4209}"/>
    <cellStyle name="Normal 6 4 6 2" xfId="51194" xr:uid="{80D83B2B-5331-43C6-9D4B-05344CD81DA6}"/>
    <cellStyle name="Normal 6 4 6 2 2" xfId="51195" xr:uid="{5918E4DE-50E0-4450-8028-668013277E54}"/>
    <cellStyle name="Normal 6 4 6 2 2 2" xfId="51196" xr:uid="{EEB519CA-5CDB-4C74-A318-2F5FD13E08D6}"/>
    <cellStyle name="Normal 6 4 6 2 2 2 2" xfId="51197" xr:uid="{5EE38756-18AB-4F86-93D0-4018E410BFA8}"/>
    <cellStyle name="Normal 6 4 6 2 2 3" xfId="51198" xr:uid="{28296FB1-9699-4E06-A7B7-0BBC5C8C6101}"/>
    <cellStyle name="Normal 6 4 6 2 3" xfId="51199" xr:uid="{BA55589A-62C6-4D14-B503-3C34F8F08FB0}"/>
    <cellStyle name="Normal 6 4 6 2 3 2" xfId="51200" xr:uid="{E8ED3043-F24D-4887-879D-073184910E60}"/>
    <cellStyle name="Normal 6 4 6 2 4" xfId="51201" xr:uid="{59CC7578-2AE8-4FDE-8F90-675E2A5C81BF}"/>
    <cellStyle name="Normal 6 4 6 3" xfId="51202" xr:uid="{76B20785-8A99-4EF8-917F-4475FA784D68}"/>
    <cellStyle name="Normal 6 4 6 3 2" xfId="51203" xr:uid="{F2C70AD8-5213-487A-BCDD-CC59B3361A98}"/>
    <cellStyle name="Normal 6 4 6 3 2 2" xfId="51204" xr:uid="{97CAE0A2-6E8B-40FD-846C-5423D52B27CD}"/>
    <cellStyle name="Normal 6 4 6 3 3" xfId="51205" xr:uid="{66AAF36B-8A41-4F56-AFAC-40C3A7C68215}"/>
    <cellStyle name="Normal 6 4 6 4" xfId="51206" xr:uid="{5A7DB4E2-4348-49EE-A5A6-C62626B4E0D6}"/>
    <cellStyle name="Normal 6 4 6 4 2" xfId="51207" xr:uid="{4C762A41-7BF2-430D-B251-61558F58EA46}"/>
    <cellStyle name="Normal 6 4 6 5" xfId="51208" xr:uid="{9CACE727-D3BD-4EFD-BAC7-325636554FC5}"/>
    <cellStyle name="Normal 6 4 7" xfId="51209" xr:uid="{9624E0B7-ECE4-41CC-8AD3-A647ECEC9CE4}"/>
    <cellStyle name="Normal 6 4 7 2" xfId="51210" xr:uid="{0EDCBFB4-1367-42D2-A767-32F2E4C5D57C}"/>
    <cellStyle name="Normal 6 4 7 2 2" xfId="51211" xr:uid="{0BB9415C-4CFF-4ADB-AE9A-F63C946D34DB}"/>
    <cellStyle name="Normal 6 4 7 2 2 2" xfId="51212" xr:uid="{CD694172-9C20-41D3-AA3F-29DA52396C0C}"/>
    <cellStyle name="Normal 6 4 7 2 3" xfId="51213" xr:uid="{8F7481AC-5B0A-4429-B755-199480B9BA84}"/>
    <cellStyle name="Normal 6 4 7 3" xfId="51214" xr:uid="{3FBE17AB-71A1-4007-A302-F0AC15F9EEC1}"/>
    <cellStyle name="Normal 6 4 7 3 2" xfId="51215" xr:uid="{4D90481D-1742-412C-BE91-D14B112B6A40}"/>
    <cellStyle name="Normal 6 4 7 4" xfId="51216" xr:uid="{29C2285F-1074-48E6-B140-25F177CF508A}"/>
    <cellStyle name="Normal 6 4 8" xfId="51217" xr:uid="{BBA4E521-F140-43C5-8F19-119BEAFE3E16}"/>
    <cellStyle name="Normal 6 4 8 2" xfId="51218" xr:uid="{BB07E822-8630-4AA5-97D1-7575404903E3}"/>
    <cellStyle name="Normal 6 4 8 2 2" xfId="51219" xr:uid="{9FA36AC7-0EBC-4D5C-A0D6-254272846AE4}"/>
    <cellStyle name="Normal 6 4 8 3" xfId="51220" xr:uid="{9C7F4C72-E063-4E06-ABBA-FC39311B6B6F}"/>
    <cellStyle name="Normal 6 4 9" xfId="51221" xr:uid="{32FAEB6E-4F30-47AD-BD05-1690C892F78A}"/>
    <cellStyle name="Normal 6 4 9 2" xfId="51222" xr:uid="{3FF11F4B-6A95-48A4-A96A-8B117227CE24}"/>
    <cellStyle name="Normal 6 5" xfId="517" xr:uid="{D8FCBA22-F437-4DF6-A71D-B22A48DD0F69}"/>
    <cellStyle name="Normal 6 6" xfId="50709" xr:uid="{0397E773-2B0A-4325-B126-AE9A71EBC4B0}"/>
    <cellStyle name="Normal 6 7" xfId="54785" xr:uid="{FF5625AE-5DB1-46CF-AF8E-5D6DBCED64AB}"/>
    <cellStyle name="Normal 6 8" xfId="54788" xr:uid="{A6414630-4AFF-4F73-8767-5B6389C0788A}"/>
    <cellStyle name="Normal 6 9" xfId="54790" xr:uid="{525E4EF9-1979-4457-82B9-0B2E6E94D98C}"/>
    <cellStyle name="Normal 7" xfId="23" xr:uid="{00000000-0005-0000-0000-000016000000}"/>
    <cellStyle name="Normal 7 10" xfId="51224" xr:uid="{2313D173-CAE2-4751-8362-0381CF3936C7}"/>
    <cellStyle name="Normal 7 10 2" xfId="51225" xr:uid="{EDDEF02C-C4BA-4448-9E75-7B59B195BD0B}"/>
    <cellStyle name="Normal 7 10 2 2" xfId="51226" xr:uid="{B59457B3-924C-4DDE-A650-A9156848A5CE}"/>
    <cellStyle name="Normal 7 10 2 2 2" xfId="51227" xr:uid="{61C74C5A-C7FF-4D0E-8667-798EA4CC2B74}"/>
    <cellStyle name="Normal 7 10 2 3" xfId="51228" xr:uid="{3962A8D2-D90D-4C63-B65D-C28B7604DAAD}"/>
    <cellStyle name="Normal 7 10 3" xfId="51229" xr:uid="{7B7A06BD-BE3C-46CA-8665-40D2D238D918}"/>
    <cellStyle name="Normal 7 10 3 2" xfId="51230" xr:uid="{3197BBB5-AAF9-44BF-8189-70945E2BEDA4}"/>
    <cellStyle name="Normal 7 10 4" xfId="51231" xr:uid="{DD664171-BC7C-48A4-9BE4-26AB4A0549CE}"/>
    <cellStyle name="Normal 7 11" xfId="51232" xr:uid="{9A41CDAA-A58C-40BE-9730-D9E98D00D400}"/>
    <cellStyle name="Normal 7 11 2" xfId="51233" xr:uid="{B22198D2-3C8D-46AB-8782-0E0E96EE314B}"/>
    <cellStyle name="Normal 7 11 2 2" xfId="51234" xr:uid="{96668B6B-C73E-48B3-99EA-553C6728B3D6}"/>
    <cellStyle name="Normal 7 11 3" xfId="51235" xr:uid="{83E8035A-FA93-4B68-B9C2-E38A7F51F80A}"/>
    <cellStyle name="Normal 7 12" xfId="51236" xr:uid="{6694A7DF-3890-4CED-9C46-3435A7BA15D2}"/>
    <cellStyle name="Normal 7 12 2" xfId="51237" xr:uid="{EA57D5D5-1F80-4C21-BF29-CEDB4C600CE8}"/>
    <cellStyle name="Normal 7 13" xfId="51238" xr:uid="{22F72878-63E7-4244-868B-1CEBB6637396}"/>
    <cellStyle name="Normal 7 14" xfId="51223" xr:uid="{865D0839-E444-4CE9-BAD6-D939DD88B013}"/>
    <cellStyle name="Normal 7 15" xfId="54766" xr:uid="{87370ABD-A4C4-4733-83DD-C46C647B03D4}"/>
    <cellStyle name="Normal 7 16" xfId="54786" xr:uid="{E3CEDE16-1609-4716-95FB-37377487AE69}"/>
    <cellStyle name="Normal 7 17" xfId="54789" xr:uid="{027846DB-C43B-45D4-9B09-A3754585E54F}"/>
    <cellStyle name="Normal 7 18" xfId="54791" xr:uid="{224DDC27-DA0B-4986-A56A-A934ACC8AE3B}"/>
    <cellStyle name="Normal 7 19" xfId="430" xr:uid="{2F274217-A276-4594-AC8E-8FAC985A87A9}"/>
    <cellStyle name="Normal 7 2" xfId="25" xr:uid="{00000000-0005-0000-0000-000017000000}"/>
    <cellStyle name="Normal 7 2 10" xfId="51239" xr:uid="{5BA5E097-D289-44EA-AB99-943D0CB03912}"/>
    <cellStyle name="Normal 7 2 10 2" xfId="51240" xr:uid="{7F84D640-EEED-4F66-8682-F8F8CDC56A9D}"/>
    <cellStyle name="Normal 7 2 10 2 2" xfId="51241" xr:uid="{C55BE832-5FAF-44B5-A4B7-EDE2DB8752F7}"/>
    <cellStyle name="Normal 7 2 10 2 2 2" xfId="51242" xr:uid="{36651F5C-FC1F-4D36-996C-B40E188B95F1}"/>
    <cellStyle name="Normal 7 2 10 2 3" xfId="51243" xr:uid="{7D98E8B7-FCCB-4ECD-A5A9-30622428EAF4}"/>
    <cellStyle name="Normal 7 2 10 3" xfId="51244" xr:uid="{3ADC47C5-28BA-4BDC-9BB6-3960C4672A20}"/>
    <cellStyle name="Normal 7 2 10 3 2" xfId="51245" xr:uid="{7551B50A-F49C-45E8-ABE0-1CDBE9465765}"/>
    <cellStyle name="Normal 7 2 10 4" xfId="51246" xr:uid="{58BB7A17-5D02-41EA-8D2B-6D41852FC109}"/>
    <cellStyle name="Normal 7 2 11" xfId="51247" xr:uid="{56916416-1175-4C74-A76F-F73BE2020D66}"/>
    <cellStyle name="Normal 7 2 11 2" xfId="51248" xr:uid="{29014513-5122-4E68-8B17-164B73ADD4E3}"/>
    <cellStyle name="Normal 7 2 11 2 2" xfId="51249" xr:uid="{0DFD9CAD-9C60-4757-859B-DAA844DB1448}"/>
    <cellStyle name="Normal 7 2 11 3" xfId="51250" xr:uid="{2DECFC7F-8C45-43B2-8884-83E9302E5A5D}"/>
    <cellStyle name="Normal 7 2 12" xfId="51251" xr:uid="{570996C5-7F06-4BFC-B614-B5A98559DABC}"/>
    <cellStyle name="Normal 7 2 12 2" xfId="51252" xr:uid="{7911C30D-9A1D-454A-99BA-2C4581BDE616}"/>
    <cellStyle name="Normal 7 2 13" xfId="51253" xr:uid="{B3E8ADB6-F06B-49EE-BADB-636774E18A60}"/>
    <cellStyle name="Normal 7 2 14" xfId="129" xr:uid="{4D21DFA0-1AEF-48BA-BFA3-4AAA99B2927A}"/>
    <cellStyle name="Normal 7 2 2" xfId="204" xr:uid="{7AC9D66D-488F-439E-B156-A2B87EB6CBF0}"/>
    <cellStyle name="Normal 7 2 3" xfId="168" xr:uid="{0FBF1108-3B02-42C3-B0AA-E4CA892329AF}"/>
    <cellStyle name="Normal 7 2 4" xfId="51254" xr:uid="{5DA91196-046E-4B9A-B75E-79DD046FED2D}"/>
    <cellStyle name="Normal 7 2 5" xfId="51255" xr:uid="{5EC3FCCF-8A04-4DA5-AC9E-3F99753DFB55}"/>
    <cellStyle name="Normal 7 2 5 2" xfId="51256" xr:uid="{8398EC2B-724E-4E8C-832F-48F65D1E8688}"/>
    <cellStyle name="Normal 7 2 5 2 2" xfId="51257" xr:uid="{084A6D0A-FEFB-49DF-9498-5EF7EE2629BD}"/>
    <cellStyle name="Normal 7 2 5 2 2 2" xfId="51258" xr:uid="{0532E9F7-AA08-43E2-865F-E0AC1F200171}"/>
    <cellStyle name="Normal 7 2 5 2 2 2 2" xfId="51259" xr:uid="{2A0E86C7-F753-4668-8FB5-DFBC9D8639CD}"/>
    <cellStyle name="Normal 7 2 5 2 2 2 2 2" xfId="51260" xr:uid="{AB3F9EA8-B2A2-4364-BEDF-CC51BB190AD8}"/>
    <cellStyle name="Normal 7 2 5 2 2 2 2 2 2" xfId="51261" xr:uid="{4DB7D7A8-AA10-4C1B-981C-D8040E226289}"/>
    <cellStyle name="Normal 7 2 5 2 2 2 2 2 2 2" xfId="51262" xr:uid="{DC6019D6-4A79-4678-B858-35824120385F}"/>
    <cellStyle name="Normal 7 2 5 2 2 2 2 2 2 2 2" xfId="51263" xr:uid="{B13EA997-8113-4778-8F1A-64DBB44E441F}"/>
    <cellStyle name="Normal 7 2 5 2 2 2 2 2 2 3" xfId="51264" xr:uid="{6420166A-DF38-4F0F-A0D0-52DE1BA1A85F}"/>
    <cellStyle name="Normal 7 2 5 2 2 2 2 2 3" xfId="51265" xr:uid="{C614DA12-3791-41CD-97E9-4F349F1353C7}"/>
    <cellStyle name="Normal 7 2 5 2 2 2 2 2 3 2" xfId="51266" xr:uid="{4F385488-5BF0-489C-A4EB-97E932CEC4AF}"/>
    <cellStyle name="Normal 7 2 5 2 2 2 2 2 4" xfId="51267" xr:uid="{279AA1FB-7549-4C5A-9630-6A1A9CD18EAE}"/>
    <cellStyle name="Normal 7 2 5 2 2 2 2 3" xfId="51268" xr:uid="{1D84540B-942E-4C25-A06F-38513CBA910F}"/>
    <cellStyle name="Normal 7 2 5 2 2 2 2 3 2" xfId="51269" xr:uid="{DB144A10-1D62-4497-9701-507B6E441EF4}"/>
    <cellStyle name="Normal 7 2 5 2 2 2 2 3 2 2" xfId="51270" xr:uid="{F7533880-DC4D-4289-9AD9-FC6B21F97AA8}"/>
    <cellStyle name="Normal 7 2 5 2 2 2 2 3 3" xfId="51271" xr:uid="{9DF5FA03-0D1F-4D2D-9176-E0FB3BA2389B}"/>
    <cellStyle name="Normal 7 2 5 2 2 2 2 4" xfId="51272" xr:uid="{AB99A8F3-5B67-4136-AB3D-F6AE0F72E1D5}"/>
    <cellStyle name="Normal 7 2 5 2 2 2 2 4 2" xfId="51273" xr:uid="{F8A4277B-120E-4E6D-A4F8-4BE769A429B4}"/>
    <cellStyle name="Normal 7 2 5 2 2 2 2 5" xfId="51274" xr:uid="{A21D0018-2BAE-4AEE-AE89-A9D89896240F}"/>
    <cellStyle name="Normal 7 2 5 2 2 2 3" xfId="51275" xr:uid="{52862045-AE1E-4B63-AB5C-F7E4953ED22F}"/>
    <cellStyle name="Normal 7 2 5 2 2 2 3 2" xfId="51276" xr:uid="{A037FAA2-AF4B-473D-8001-F2E49C4146CF}"/>
    <cellStyle name="Normal 7 2 5 2 2 2 3 2 2" xfId="51277" xr:uid="{9EC1DA42-0430-48D1-B192-5FF2809F5631}"/>
    <cellStyle name="Normal 7 2 5 2 2 2 3 2 2 2" xfId="51278" xr:uid="{E2C5B283-BCA4-4004-8E15-9C558FCB9C12}"/>
    <cellStyle name="Normal 7 2 5 2 2 2 3 2 3" xfId="51279" xr:uid="{0B9A2514-E743-43DE-A185-C0083DE4C727}"/>
    <cellStyle name="Normal 7 2 5 2 2 2 3 3" xfId="51280" xr:uid="{FD622C66-A5FF-4F18-81CC-095CF4CA3898}"/>
    <cellStyle name="Normal 7 2 5 2 2 2 3 3 2" xfId="51281" xr:uid="{B335C466-AB9F-45D6-A489-FC640DF59AF2}"/>
    <cellStyle name="Normal 7 2 5 2 2 2 3 4" xfId="51282" xr:uid="{2982C2BF-A027-4664-96A7-DB9AEA230DA8}"/>
    <cellStyle name="Normal 7 2 5 2 2 2 4" xfId="51283" xr:uid="{8BC8985A-A603-487D-918E-3670E61FF71F}"/>
    <cellStyle name="Normal 7 2 5 2 2 2 4 2" xfId="51284" xr:uid="{E25BF4E0-7F2A-40D3-90B1-D87666868D7A}"/>
    <cellStyle name="Normal 7 2 5 2 2 2 4 2 2" xfId="51285" xr:uid="{0A99F653-01CE-4B05-8F54-C1B972255FE1}"/>
    <cellStyle name="Normal 7 2 5 2 2 2 4 3" xfId="51286" xr:uid="{1EE04EE8-AC3C-402B-BBA3-B67273AE547E}"/>
    <cellStyle name="Normal 7 2 5 2 2 2 5" xfId="51287" xr:uid="{39151E5A-357D-4217-9770-9AD2F5635E64}"/>
    <cellStyle name="Normal 7 2 5 2 2 2 5 2" xfId="51288" xr:uid="{A26A9261-1A56-4CE6-8F14-0EED6E705402}"/>
    <cellStyle name="Normal 7 2 5 2 2 2 6" xfId="51289" xr:uid="{B408CE3B-5825-4B84-8EA6-7F8655BD5EE5}"/>
    <cellStyle name="Normal 7 2 5 2 2 3" xfId="51290" xr:uid="{23291DAF-F5AA-4A05-B9A5-144B22C2C93D}"/>
    <cellStyle name="Normal 7 2 5 2 2 3 2" xfId="51291" xr:uid="{031C8E06-1259-48DB-869F-612D43C4B75E}"/>
    <cellStyle name="Normal 7 2 5 2 2 3 2 2" xfId="51292" xr:uid="{FF3A6D95-30DC-45FA-A4CC-869D460FB5C5}"/>
    <cellStyle name="Normal 7 2 5 2 2 3 2 2 2" xfId="51293" xr:uid="{C125F78E-34C8-473C-A296-4D52ECBF95AE}"/>
    <cellStyle name="Normal 7 2 5 2 2 3 2 2 2 2" xfId="51294" xr:uid="{BBB3319D-7C77-405E-A071-6B1BBE54985E}"/>
    <cellStyle name="Normal 7 2 5 2 2 3 2 2 3" xfId="51295" xr:uid="{DA2DC50E-FAFD-4E28-96F3-2AB6EC096787}"/>
    <cellStyle name="Normal 7 2 5 2 2 3 2 3" xfId="51296" xr:uid="{B2BB2CA6-3284-485F-BDBD-AA9E841E9835}"/>
    <cellStyle name="Normal 7 2 5 2 2 3 2 3 2" xfId="51297" xr:uid="{A7C74469-F673-4F3C-9FF5-B23C3656607A}"/>
    <cellStyle name="Normal 7 2 5 2 2 3 2 4" xfId="51298" xr:uid="{475AE557-0292-443B-83CA-F84F120DF891}"/>
    <cellStyle name="Normal 7 2 5 2 2 3 3" xfId="51299" xr:uid="{D770ED61-2A20-4EDC-9823-78446CA82E4E}"/>
    <cellStyle name="Normal 7 2 5 2 2 3 3 2" xfId="51300" xr:uid="{AAB1CAF0-CEFC-4A6A-9F65-6702CFA6E0A8}"/>
    <cellStyle name="Normal 7 2 5 2 2 3 3 2 2" xfId="51301" xr:uid="{F2C614F1-161D-40B4-A205-FA2BA94763B4}"/>
    <cellStyle name="Normal 7 2 5 2 2 3 3 3" xfId="51302" xr:uid="{16518381-E456-4110-9691-DA658D2C2D36}"/>
    <cellStyle name="Normal 7 2 5 2 2 3 4" xfId="51303" xr:uid="{9A863D59-E012-4D37-BFC4-04CE7F9631C6}"/>
    <cellStyle name="Normal 7 2 5 2 2 3 4 2" xfId="51304" xr:uid="{1E0FCDFF-E84F-466A-9657-85EEDEA69165}"/>
    <cellStyle name="Normal 7 2 5 2 2 3 5" xfId="51305" xr:uid="{D5F73A95-7F40-4022-8FD1-E6BF20042565}"/>
    <cellStyle name="Normal 7 2 5 2 2 4" xfId="51306" xr:uid="{A7D88417-90D6-4D8D-A14A-C2C7BFCBBBF3}"/>
    <cellStyle name="Normal 7 2 5 2 2 4 2" xfId="51307" xr:uid="{6F40D453-B073-45CD-89D9-CB472A048843}"/>
    <cellStyle name="Normal 7 2 5 2 2 4 2 2" xfId="51308" xr:uid="{9E132B47-04F3-4E5B-B5FF-DF94C51E960D}"/>
    <cellStyle name="Normal 7 2 5 2 2 4 2 2 2" xfId="51309" xr:uid="{4826752A-9391-4993-B269-99366721A482}"/>
    <cellStyle name="Normal 7 2 5 2 2 4 2 3" xfId="51310" xr:uid="{1AD50E47-95F6-4E96-A976-9D6F85285023}"/>
    <cellStyle name="Normal 7 2 5 2 2 4 3" xfId="51311" xr:uid="{0D1DB06F-A7C3-4750-8B85-536976D73F4F}"/>
    <cellStyle name="Normal 7 2 5 2 2 4 3 2" xfId="51312" xr:uid="{7CDABC94-DCDB-4A5D-9450-99ED20518812}"/>
    <cellStyle name="Normal 7 2 5 2 2 4 4" xfId="51313" xr:uid="{03C2FAA5-0147-4ABD-930A-95C2B6AA2ED2}"/>
    <cellStyle name="Normal 7 2 5 2 2 5" xfId="51314" xr:uid="{5D2AF42C-0C1D-47FE-A04A-700687AF2319}"/>
    <cellStyle name="Normal 7 2 5 2 2 5 2" xfId="51315" xr:uid="{E2A171E8-97F7-4EED-A071-34099F5EC705}"/>
    <cellStyle name="Normal 7 2 5 2 2 5 2 2" xfId="51316" xr:uid="{ABA85909-BE7D-4C14-9B62-7BDCC6CEC73F}"/>
    <cellStyle name="Normal 7 2 5 2 2 5 3" xfId="51317" xr:uid="{FFAB69A0-478D-4446-986E-95608CF512EE}"/>
    <cellStyle name="Normal 7 2 5 2 2 6" xfId="51318" xr:uid="{A1BF926B-BB14-4AC8-B6C6-C1DB8B83E443}"/>
    <cellStyle name="Normal 7 2 5 2 2 6 2" xfId="51319" xr:uid="{8836E4B4-3F6E-4B88-A97C-FE59DFBD398A}"/>
    <cellStyle name="Normal 7 2 5 2 2 7" xfId="51320" xr:uid="{EE35E132-A994-4D30-AD96-66313065023E}"/>
    <cellStyle name="Normal 7 2 5 2 3" xfId="51321" xr:uid="{66F490D0-828E-4019-A63A-BC80EE27B8E0}"/>
    <cellStyle name="Normal 7 2 5 2 3 2" xfId="51322" xr:uid="{37AD1313-717E-4E2D-8120-609A081D70D9}"/>
    <cellStyle name="Normal 7 2 5 2 3 2 2" xfId="51323" xr:uid="{1480000A-68BC-4148-865A-59194EADFAF9}"/>
    <cellStyle name="Normal 7 2 5 2 3 2 2 2" xfId="51324" xr:uid="{36F6C4DE-AF23-428B-82C2-DD7973FAE887}"/>
    <cellStyle name="Normal 7 2 5 2 3 2 2 2 2" xfId="51325" xr:uid="{418BF10A-A73A-4F59-85B1-62283983D659}"/>
    <cellStyle name="Normal 7 2 5 2 3 2 2 2 2 2" xfId="51326" xr:uid="{1B884F21-D81D-47E8-B55D-068741D11228}"/>
    <cellStyle name="Normal 7 2 5 2 3 2 2 2 3" xfId="51327" xr:uid="{54E1AB9E-4B9C-4630-B37C-09C230F5B176}"/>
    <cellStyle name="Normal 7 2 5 2 3 2 2 3" xfId="51328" xr:uid="{DC86EB6F-73A0-40FB-B7C6-60C94C09C529}"/>
    <cellStyle name="Normal 7 2 5 2 3 2 2 3 2" xfId="51329" xr:uid="{A2265D7F-B022-4EF8-959F-4B4A9F188C3C}"/>
    <cellStyle name="Normal 7 2 5 2 3 2 2 4" xfId="51330" xr:uid="{8E859E25-0207-454E-9665-AE93291C8E91}"/>
    <cellStyle name="Normal 7 2 5 2 3 2 3" xfId="51331" xr:uid="{8E5AE089-79CD-4FB0-AE20-964226477F69}"/>
    <cellStyle name="Normal 7 2 5 2 3 2 3 2" xfId="51332" xr:uid="{9D6BF6A9-D74E-4357-A577-CAF3D7882ACC}"/>
    <cellStyle name="Normal 7 2 5 2 3 2 3 2 2" xfId="51333" xr:uid="{A914E45B-9374-418F-99A2-D11F402C79CD}"/>
    <cellStyle name="Normal 7 2 5 2 3 2 3 3" xfId="51334" xr:uid="{0255F478-1D11-4642-ABA7-1161B1C9E6BF}"/>
    <cellStyle name="Normal 7 2 5 2 3 2 4" xfId="51335" xr:uid="{3E46E868-677C-4A28-94FF-B78716C5A908}"/>
    <cellStyle name="Normal 7 2 5 2 3 2 4 2" xfId="51336" xr:uid="{10AD9719-7E01-46CE-B942-8AB0B4D981BC}"/>
    <cellStyle name="Normal 7 2 5 2 3 2 5" xfId="51337" xr:uid="{92E70553-6882-42CE-B3ED-1858A54B9754}"/>
    <cellStyle name="Normal 7 2 5 2 3 3" xfId="51338" xr:uid="{61FEF372-A829-4AD6-B1C8-7FEA9675DF7A}"/>
    <cellStyle name="Normal 7 2 5 2 3 3 2" xfId="51339" xr:uid="{23B4DBE6-36A7-427D-8D3D-B85EF5BC331E}"/>
    <cellStyle name="Normal 7 2 5 2 3 3 2 2" xfId="51340" xr:uid="{59401353-4CC6-47F2-B105-EB144B83549C}"/>
    <cellStyle name="Normal 7 2 5 2 3 3 2 2 2" xfId="51341" xr:uid="{719CA4FC-A427-4716-AA49-06DB22C5AF65}"/>
    <cellStyle name="Normal 7 2 5 2 3 3 2 3" xfId="51342" xr:uid="{C2C6301F-A8CA-49F7-9CC1-03B85FCAF949}"/>
    <cellStyle name="Normal 7 2 5 2 3 3 3" xfId="51343" xr:uid="{B724A04F-AE4B-40E7-8C18-79F7880495D3}"/>
    <cellStyle name="Normal 7 2 5 2 3 3 3 2" xfId="51344" xr:uid="{B7E31DE5-8A7A-4A3C-A79F-77A6E0BF8FB5}"/>
    <cellStyle name="Normal 7 2 5 2 3 3 4" xfId="51345" xr:uid="{C612B314-4D12-41CA-B933-0366CE6E07C3}"/>
    <cellStyle name="Normal 7 2 5 2 3 4" xfId="51346" xr:uid="{DD7C70A1-D7B2-45AD-BCA9-84963555F41D}"/>
    <cellStyle name="Normal 7 2 5 2 3 4 2" xfId="51347" xr:uid="{51138B47-0091-488C-A395-6B19918939E5}"/>
    <cellStyle name="Normal 7 2 5 2 3 4 2 2" xfId="51348" xr:uid="{FBF3DFE8-8C04-4870-B2F4-9E28541740DF}"/>
    <cellStyle name="Normal 7 2 5 2 3 4 3" xfId="51349" xr:uid="{539741AE-F0DC-45F8-BAD8-0DB8196A2DC1}"/>
    <cellStyle name="Normal 7 2 5 2 3 5" xfId="51350" xr:uid="{37DF3BE0-CD81-4D02-AD24-60E29FA8971D}"/>
    <cellStyle name="Normal 7 2 5 2 3 5 2" xfId="51351" xr:uid="{5513E4C0-10BB-429D-AC35-0CF4CB325879}"/>
    <cellStyle name="Normal 7 2 5 2 3 6" xfId="51352" xr:uid="{092DEDAF-E0D4-465F-BCEB-128B187CB87B}"/>
    <cellStyle name="Normal 7 2 5 2 4" xfId="51353" xr:uid="{BA4FD01B-7F42-4670-91B3-28AED24E0421}"/>
    <cellStyle name="Normal 7 2 5 2 4 2" xfId="51354" xr:uid="{FCA2C6AA-16AE-4C21-AECE-9BEC7A324224}"/>
    <cellStyle name="Normal 7 2 5 2 4 2 2" xfId="51355" xr:uid="{872E1AAC-0041-467A-8B06-5FDD13A74C47}"/>
    <cellStyle name="Normal 7 2 5 2 4 2 2 2" xfId="51356" xr:uid="{75892B44-F52B-4763-9D89-EE336B49C3EB}"/>
    <cellStyle name="Normal 7 2 5 2 4 2 2 2 2" xfId="51357" xr:uid="{9301A468-77F3-4AB4-A72C-98CFD219973F}"/>
    <cellStyle name="Normal 7 2 5 2 4 2 2 3" xfId="51358" xr:uid="{287CEFBB-8E31-4410-8489-C1D27BD5A185}"/>
    <cellStyle name="Normal 7 2 5 2 4 2 3" xfId="51359" xr:uid="{689466DE-BDED-4A49-A28D-467980E6A2AD}"/>
    <cellStyle name="Normal 7 2 5 2 4 2 3 2" xfId="51360" xr:uid="{26A2490A-102C-413C-8EE5-A7AA5E3CEEDD}"/>
    <cellStyle name="Normal 7 2 5 2 4 2 4" xfId="51361" xr:uid="{895B9A52-3821-48BA-AA9F-6B29415D6F6B}"/>
    <cellStyle name="Normal 7 2 5 2 4 3" xfId="51362" xr:uid="{287BDB98-DABA-4FC4-BE56-781E522F986D}"/>
    <cellStyle name="Normal 7 2 5 2 4 3 2" xfId="51363" xr:uid="{ADC1D18D-E1F2-4B7C-82BD-942EC41B787B}"/>
    <cellStyle name="Normal 7 2 5 2 4 3 2 2" xfId="51364" xr:uid="{F716E3C0-3BF8-4744-A9A5-D40F85C25777}"/>
    <cellStyle name="Normal 7 2 5 2 4 3 3" xfId="51365" xr:uid="{DFC0FAF0-F113-4FF7-9C39-7B53AFC95D05}"/>
    <cellStyle name="Normal 7 2 5 2 4 4" xfId="51366" xr:uid="{2EA6649D-82BC-4A26-A6F2-ED9739F6E931}"/>
    <cellStyle name="Normal 7 2 5 2 4 4 2" xfId="51367" xr:uid="{B4E1F84A-4635-4D52-96E0-E93AFC2EAF09}"/>
    <cellStyle name="Normal 7 2 5 2 4 5" xfId="51368" xr:uid="{AD88CE91-C734-4C02-B1B8-40701CB82EFC}"/>
    <cellStyle name="Normal 7 2 5 2 5" xfId="51369" xr:uid="{A186746E-DC08-4181-89EA-616CECE09364}"/>
    <cellStyle name="Normal 7 2 5 2 5 2" xfId="51370" xr:uid="{496BB40E-70C4-44D0-8EA2-DD047AC472FF}"/>
    <cellStyle name="Normal 7 2 5 2 5 2 2" xfId="51371" xr:uid="{F5F3322C-F5CF-4138-8C05-B2B353BD5986}"/>
    <cellStyle name="Normal 7 2 5 2 5 2 2 2" xfId="51372" xr:uid="{A9C9AF2B-B110-4474-96E5-587DC8BB0620}"/>
    <cellStyle name="Normal 7 2 5 2 5 2 3" xfId="51373" xr:uid="{FF2772F3-B612-4E61-B575-A0E5E1309FB9}"/>
    <cellStyle name="Normal 7 2 5 2 5 3" xfId="51374" xr:uid="{49B360AE-80EA-44D1-9342-DE74BFDA5624}"/>
    <cellStyle name="Normal 7 2 5 2 5 3 2" xfId="51375" xr:uid="{19992722-34DA-4B30-9E4D-91679EA1602F}"/>
    <cellStyle name="Normal 7 2 5 2 5 4" xfId="51376" xr:uid="{F88FEE97-DDA0-4C78-B9E7-8B2106B30FDB}"/>
    <cellStyle name="Normal 7 2 5 2 6" xfId="51377" xr:uid="{9049421F-D5AA-4D4D-AC02-E930CAB1DB07}"/>
    <cellStyle name="Normal 7 2 5 2 6 2" xfId="51378" xr:uid="{961B337A-0A4B-4266-B0F0-F0AEF39F6623}"/>
    <cellStyle name="Normal 7 2 5 2 6 2 2" xfId="51379" xr:uid="{82E41DF7-074D-4056-AD19-159D2B1B1998}"/>
    <cellStyle name="Normal 7 2 5 2 6 3" xfId="51380" xr:uid="{4DFEE834-90F5-469D-A1CD-51135967AAE5}"/>
    <cellStyle name="Normal 7 2 5 2 7" xfId="51381" xr:uid="{F37E91BA-089E-4D5E-9C9E-AD18179ED979}"/>
    <cellStyle name="Normal 7 2 5 2 7 2" xfId="51382" xr:uid="{AB5B5BC4-0965-46F2-BAEE-DBCB062C4E33}"/>
    <cellStyle name="Normal 7 2 5 2 8" xfId="51383" xr:uid="{1E32DC82-04B2-431A-95B7-03270FD15FE7}"/>
    <cellStyle name="Normal 7 2 5 3" xfId="51384" xr:uid="{35522FD5-03D6-4AAC-89FB-BFC9CAC8DE87}"/>
    <cellStyle name="Normal 7 2 5 3 2" xfId="51385" xr:uid="{C19B8B1B-1786-4B7B-B107-F308D778AADA}"/>
    <cellStyle name="Normal 7 2 5 3 2 2" xfId="51386" xr:uid="{DA3F942B-0B8A-496B-8411-1148A2CB03D5}"/>
    <cellStyle name="Normal 7 2 5 3 2 2 2" xfId="51387" xr:uid="{6C847035-5184-4B88-8452-75253204D75C}"/>
    <cellStyle name="Normal 7 2 5 3 2 2 2 2" xfId="51388" xr:uid="{C3752503-4C22-42A4-9069-9D3047615728}"/>
    <cellStyle name="Normal 7 2 5 3 2 2 2 2 2" xfId="51389" xr:uid="{BE8B1B22-0699-45B0-BF06-9B26A62B1AF9}"/>
    <cellStyle name="Normal 7 2 5 3 2 2 2 2 2 2" xfId="51390" xr:uid="{2ACB1952-FCA3-4FC8-BE70-62E8E07D8B7F}"/>
    <cellStyle name="Normal 7 2 5 3 2 2 2 2 3" xfId="51391" xr:uid="{72F29B8E-1270-4A4C-98D3-A6B34705CD7E}"/>
    <cellStyle name="Normal 7 2 5 3 2 2 2 3" xfId="51392" xr:uid="{69141AF0-4747-4801-86F5-F8BFCFA01962}"/>
    <cellStyle name="Normal 7 2 5 3 2 2 2 3 2" xfId="51393" xr:uid="{26F80EFE-BF4E-4199-8042-B81AFD124C6E}"/>
    <cellStyle name="Normal 7 2 5 3 2 2 2 4" xfId="51394" xr:uid="{D50E3801-B178-40A6-8F58-305883385158}"/>
    <cellStyle name="Normal 7 2 5 3 2 2 3" xfId="51395" xr:uid="{A8E6FB78-9EDD-472C-B359-95E4134008B5}"/>
    <cellStyle name="Normal 7 2 5 3 2 2 3 2" xfId="51396" xr:uid="{6E2FABFA-C155-4CB2-BAD2-492BB417708A}"/>
    <cellStyle name="Normal 7 2 5 3 2 2 3 2 2" xfId="51397" xr:uid="{65350698-160E-4F14-B887-F20A68BF4561}"/>
    <cellStyle name="Normal 7 2 5 3 2 2 3 3" xfId="51398" xr:uid="{836CEAA9-FF0A-4222-A636-B47086477F2D}"/>
    <cellStyle name="Normal 7 2 5 3 2 2 4" xfId="51399" xr:uid="{1A244E44-FC02-4F47-9E67-96FA9CB535AB}"/>
    <cellStyle name="Normal 7 2 5 3 2 2 4 2" xfId="51400" xr:uid="{E2ADAB74-0C81-4682-AB66-DE667F5A5C8D}"/>
    <cellStyle name="Normal 7 2 5 3 2 2 5" xfId="51401" xr:uid="{157FC546-2445-4E90-BFE3-F835CAA10AC1}"/>
    <cellStyle name="Normal 7 2 5 3 2 3" xfId="51402" xr:uid="{5B7EE8C8-BBC9-4979-90B5-D9C5487060E6}"/>
    <cellStyle name="Normal 7 2 5 3 2 3 2" xfId="51403" xr:uid="{27CA4BB9-D271-4685-8617-CA2A3E69461E}"/>
    <cellStyle name="Normal 7 2 5 3 2 3 2 2" xfId="51404" xr:uid="{A71477F3-0DB1-4289-9FA6-50D6D17CB36F}"/>
    <cellStyle name="Normal 7 2 5 3 2 3 2 2 2" xfId="51405" xr:uid="{C7E86292-B130-425C-A441-CB88A09F851A}"/>
    <cellStyle name="Normal 7 2 5 3 2 3 2 3" xfId="51406" xr:uid="{6281B9DB-FC25-40FC-90D3-D115E1989C7F}"/>
    <cellStyle name="Normal 7 2 5 3 2 3 3" xfId="51407" xr:uid="{A55276DE-E66A-4661-9A80-935750024016}"/>
    <cellStyle name="Normal 7 2 5 3 2 3 3 2" xfId="51408" xr:uid="{1C9E32CD-9649-4D1C-A16D-A66641417B41}"/>
    <cellStyle name="Normal 7 2 5 3 2 3 4" xfId="51409" xr:uid="{FDF08651-EB64-4195-BE66-40AFB2597886}"/>
    <cellStyle name="Normal 7 2 5 3 2 4" xfId="51410" xr:uid="{29293318-045C-4441-A152-1238FA71FC4D}"/>
    <cellStyle name="Normal 7 2 5 3 2 4 2" xfId="51411" xr:uid="{55CFA65B-C490-484E-A7E2-D4AA15D17438}"/>
    <cellStyle name="Normal 7 2 5 3 2 4 2 2" xfId="51412" xr:uid="{38068A3B-FCA9-41C2-8630-AFA464F2A84E}"/>
    <cellStyle name="Normal 7 2 5 3 2 4 3" xfId="51413" xr:uid="{27918E4F-9747-44A2-A77F-8255EBF97D73}"/>
    <cellStyle name="Normal 7 2 5 3 2 5" xfId="51414" xr:uid="{7B05DF41-59CE-42AC-B531-63AAA644912C}"/>
    <cellStyle name="Normal 7 2 5 3 2 5 2" xfId="51415" xr:uid="{959BDB78-2AE2-4516-B03D-2A1CD55EC56D}"/>
    <cellStyle name="Normal 7 2 5 3 2 6" xfId="51416" xr:uid="{5E3E99BC-F195-4C34-962D-FB0345E8E5E7}"/>
    <cellStyle name="Normal 7 2 5 3 3" xfId="51417" xr:uid="{2CD992DD-55B8-4517-B450-1D24DA9D0CB8}"/>
    <cellStyle name="Normal 7 2 5 3 3 2" xfId="51418" xr:uid="{0FA3FC88-1556-4E30-98DC-AEF4951EC07B}"/>
    <cellStyle name="Normal 7 2 5 3 3 2 2" xfId="51419" xr:uid="{952D19BE-4C0C-4212-91A8-505106FFE0BC}"/>
    <cellStyle name="Normal 7 2 5 3 3 2 2 2" xfId="51420" xr:uid="{6320C2A4-8E3D-4A53-8B8A-6F6EE07111C4}"/>
    <cellStyle name="Normal 7 2 5 3 3 2 2 2 2" xfId="51421" xr:uid="{A57538B8-7B66-4F60-97AA-B4E68F438C8E}"/>
    <cellStyle name="Normal 7 2 5 3 3 2 2 3" xfId="51422" xr:uid="{DF88645C-E736-4191-9A6D-4F8FBF0138FE}"/>
    <cellStyle name="Normal 7 2 5 3 3 2 3" xfId="51423" xr:uid="{48A95AA2-95E2-498A-921A-E3700AE64432}"/>
    <cellStyle name="Normal 7 2 5 3 3 2 3 2" xfId="51424" xr:uid="{02A09B80-759B-47E9-BF24-BE4C2C9455C4}"/>
    <cellStyle name="Normal 7 2 5 3 3 2 4" xfId="51425" xr:uid="{1DF9E65E-3723-49AD-8694-02FFDA8E1EF2}"/>
    <cellStyle name="Normal 7 2 5 3 3 3" xfId="51426" xr:uid="{83581059-467B-4E86-9051-C820D351AFFC}"/>
    <cellStyle name="Normal 7 2 5 3 3 3 2" xfId="51427" xr:uid="{37A69363-A1C5-4BB6-A343-EB2C1FB1B8C0}"/>
    <cellStyle name="Normal 7 2 5 3 3 3 2 2" xfId="51428" xr:uid="{82749D11-7117-4E63-B68E-C4A3F6D23C67}"/>
    <cellStyle name="Normal 7 2 5 3 3 3 3" xfId="51429" xr:uid="{93721B4E-E8A3-499F-8F1D-DF7FEBBCA8C1}"/>
    <cellStyle name="Normal 7 2 5 3 3 4" xfId="51430" xr:uid="{87C2A48A-16BF-4F45-951C-F612E0491D1B}"/>
    <cellStyle name="Normal 7 2 5 3 3 4 2" xfId="51431" xr:uid="{C1EEC742-B76E-40A7-92CE-FEE2548F365B}"/>
    <cellStyle name="Normal 7 2 5 3 3 5" xfId="51432" xr:uid="{1AD428E5-0BE7-4493-9206-8E5BBE303171}"/>
    <cellStyle name="Normal 7 2 5 3 4" xfId="51433" xr:uid="{D1D25AFC-4321-416E-96E0-859175DD4449}"/>
    <cellStyle name="Normal 7 2 5 3 4 2" xfId="51434" xr:uid="{3751F97D-E517-4FE3-B34B-8DD94664D4E4}"/>
    <cellStyle name="Normal 7 2 5 3 4 2 2" xfId="51435" xr:uid="{8128DF96-ADF9-4F0A-9B6F-E10E68E92C83}"/>
    <cellStyle name="Normal 7 2 5 3 4 2 2 2" xfId="51436" xr:uid="{F41D9817-1587-4B8B-AAB8-C3CCE739A27F}"/>
    <cellStyle name="Normal 7 2 5 3 4 2 3" xfId="51437" xr:uid="{E82E4CAB-2919-4F4A-A911-4F20FC3F6C1D}"/>
    <cellStyle name="Normal 7 2 5 3 4 3" xfId="51438" xr:uid="{833987BA-85C3-412E-90BF-8EAE82421C69}"/>
    <cellStyle name="Normal 7 2 5 3 4 3 2" xfId="51439" xr:uid="{D79E7F1B-6ECC-427B-8D44-E0CBDEEF9345}"/>
    <cellStyle name="Normal 7 2 5 3 4 4" xfId="51440" xr:uid="{4C725FBB-E720-4403-AA3C-21C0FDAFAFAB}"/>
    <cellStyle name="Normal 7 2 5 3 5" xfId="51441" xr:uid="{F0677244-A305-4D74-A3CA-BE3986AD79DF}"/>
    <cellStyle name="Normal 7 2 5 3 5 2" xfId="51442" xr:uid="{57493173-D5B3-4EA5-B5A1-FEACC8137707}"/>
    <cellStyle name="Normal 7 2 5 3 5 2 2" xfId="51443" xr:uid="{505598B0-02D3-4050-B2E1-241540D19612}"/>
    <cellStyle name="Normal 7 2 5 3 5 3" xfId="51444" xr:uid="{2BB02FEC-AB41-4BFB-8523-6343CF16F5F5}"/>
    <cellStyle name="Normal 7 2 5 3 6" xfId="51445" xr:uid="{36737704-710F-44C4-92E9-B24DFFB934CD}"/>
    <cellStyle name="Normal 7 2 5 3 6 2" xfId="51446" xr:uid="{AF493C14-D4A4-4848-809A-4771163C6C18}"/>
    <cellStyle name="Normal 7 2 5 3 7" xfId="51447" xr:uid="{309701E7-9A7B-4878-A1EF-9A7042B3E8D3}"/>
    <cellStyle name="Normal 7 2 5 4" xfId="51448" xr:uid="{B000312D-FE12-482C-9334-6E9DEAD41BF3}"/>
    <cellStyle name="Normal 7 2 5 4 2" xfId="51449" xr:uid="{9485BEB0-E33C-4169-813A-8DF9D6CBD7D0}"/>
    <cellStyle name="Normal 7 2 5 4 2 2" xfId="51450" xr:uid="{5A94E671-8442-46F0-BA5F-A8C765E61256}"/>
    <cellStyle name="Normal 7 2 5 4 2 2 2" xfId="51451" xr:uid="{E11FDB5A-B24C-465B-9ED6-A80C0D775658}"/>
    <cellStyle name="Normal 7 2 5 4 2 2 2 2" xfId="51452" xr:uid="{2F696A15-00C0-406C-B5E0-98702EA5077C}"/>
    <cellStyle name="Normal 7 2 5 4 2 2 2 2 2" xfId="51453" xr:uid="{6C2B2B15-3649-468F-9C8D-7296076D5B31}"/>
    <cellStyle name="Normal 7 2 5 4 2 2 2 3" xfId="51454" xr:uid="{54EE9BFA-7E51-4CE1-9B58-67A30C859FED}"/>
    <cellStyle name="Normal 7 2 5 4 2 2 3" xfId="51455" xr:uid="{2BEF3E5B-8928-4032-AA1A-DB5A44733E58}"/>
    <cellStyle name="Normal 7 2 5 4 2 2 3 2" xfId="51456" xr:uid="{B5A9A744-2AB0-41CC-8200-D96DB919B7A3}"/>
    <cellStyle name="Normal 7 2 5 4 2 2 4" xfId="51457" xr:uid="{A63D9C39-8CE2-40EE-841A-C7AFB2FB27B6}"/>
    <cellStyle name="Normal 7 2 5 4 2 3" xfId="51458" xr:uid="{7D764BBA-5859-41B7-AD71-130BE70155DA}"/>
    <cellStyle name="Normal 7 2 5 4 2 3 2" xfId="51459" xr:uid="{D172B7E1-6E60-480D-85D9-6EED33088B62}"/>
    <cellStyle name="Normal 7 2 5 4 2 3 2 2" xfId="51460" xr:uid="{609E3933-4647-47DB-A8F3-65EAA00FC6AB}"/>
    <cellStyle name="Normal 7 2 5 4 2 3 3" xfId="51461" xr:uid="{0CF0B09A-08AA-40FD-8B62-377432888A5F}"/>
    <cellStyle name="Normal 7 2 5 4 2 4" xfId="51462" xr:uid="{EB491041-D615-425B-9851-2826C9E30534}"/>
    <cellStyle name="Normal 7 2 5 4 2 4 2" xfId="51463" xr:uid="{F38C001B-FE19-45B0-ADD1-B0E129243C0E}"/>
    <cellStyle name="Normal 7 2 5 4 2 5" xfId="51464" xr:uid="{D29CD594-8628-4FB6-9880-A8828FF72BB8}"/>
    <cellStyle name="Normal 7 2 5 4 3" xfId="51465" xr:uid="{432A480C-0A93-4812-96D0-0E6CAD7418AB}"/>
    <cellStyle name="Normal 7 2 5 4 3 2" xfId="51466" xr:uid="{EB17EBD8-FC05-411F-BE08-09109D017F34}"/>
    <cellStyle name="Normal 7 2 5 4 3 2 2" xfId="51467" xr:uid="{EA3C8727-9666-43F2-BBB9-AE051CB57622}"/>
    <cellStyle name="Normal 7 2 5 4 3 2 2 2" xfId="51468" xr:uid="{D9FBDF0E-AE6D-4F3D-BE71-EE3C56E3B1C4}"/>
    <cellStyle name="Normal 7 2 5 4 3 2 3" xfId="51469" xr:uid="{C14EB0B6-727B-40F7-BC6C-B1CE7F2E0908}"/>
    <cellStyle name="Normal 7 2 5 4 3 3" xfId="51470" xr:uid="{BBB2B585-987D-4C94-AB0C-E8716BB73598}"/>
    <cellStyle name="Normal 7 2 5 4 3 3 2" xfId="51471" xr:uid="{114123C4-94FC-4121-ADF5-A8A4C76FB33F}"/>
    <cellStyle name="Normal 7 2 5 4 3 4" xfId="51472" xr:uid="{4253650C-9F89-427C-9755-335F676C0CDA}"/>
    <cellStyle name="Normal 7 2 5 4 4" xfId="51473" xr:uid="{A93CD470-9656-408A-A5A5-7C638A68E424}"/>
    <cellStyle name="Normal 7 2 5 4 4 2" xfId="51474" xr:uid="{4FDD68D7-E0D6-4BBA-A32E-2EB649DC722E}"/>
    <cellStyle name="Normal 7 2 5 4 4 2 2" xfId="51475" xr:uid="{3D44E44E-D163-4815-ADD7-09E46B12FE52}"/>
    <cellStyle name="Normal 7 2 5 4 4 3" xfId="51476" xr:uid="{F6FF83F4-FC65-4D6B-932D-67822CDC745C}"/>
    <cellStyle name="Normal 7 2 5 4 5" xfId="51477" xr:uid="{AF2068E4-3A1C-4360-8216-6B868BC39C94}"/>
    <cellStyle name="Normal 7 2 5 4 5 2" xfId="51478" xr:uid="{4BDE29DF-2C7B-4BBE-9BD8-DB95192F9D67}"/>
    <cellStyle name="Normal 7 2 5 4 6" xfId="51479" xr:uid="{1BA27D72-2C95-4134-8A56-18083E4F046E}"/>
    <cellStyle name="Normal 7 2 5 5" xfId="51480" xr:uid="{4550E838-E693-4F8D-9341-FFF78C6CBA34}"/>
    <cellStyle name="Normal 7 2 5 5 2" xfId="51481" xr:uid="{B39D9DFA-BFCF-47F3-90FE-ECD541E06B82}"/>
    <cellStyle name="Normal 7 2 5 5 2 2" xfId="51482" xr:uid="{7845A6FA-343E-4278-B22A-3A32B316DE7B}"/>
    <cellStyle name="Normal 7 2 5 5 2 2 2" xfId="51483" xr:uid="{BA08BCB9-08EC-42C9-BB75-77CE916E204F}"/>
    <cellStyle name="Normal 7 2 5 5 2 2 2 2" xfId="51484" xr:uid="{7EFDF828-6FCD-44E6-BAA0-4654D8445C4E}"/>
    <cellStyle name="Normal 7 2 5 5 2 2 3" xfId="51485" xr:uid="{735D900C-1CD1-4F44-90B6-6548AA7CFDCF}"/>
    <cellStyle name="Normal 7 2 5 5 2 3" xfId="51486" xr:uid="{0FFB4F9C-D223-4B94-93FA-CF3FF491B94C}"/>
    <cellStyle name="Normal 7 2 5 5 2 3 2" xfId="51487" xr:uid="{E8B83ABD-2E35-4927-8575-B8940364F2F1}"/>
    <cellStyle name="Normal 7 2 5 5 2 4" xfId="51488" xr:uid="{F20A0973-9A51-48DD-A799-A3169F2BE11E}"/>
    <cellStyle name="Normal 7 2 5 5 3" xfId="51489" xr:uid="{C0A2AA8F-4D81-4DA7-844B-851C255E3C4D}"/>
    <cellStyle name="Normal 7 2 5 5 3 2" xfId="51490" xr:uid="{AF7A9914-0E6C-4CD7-8DBD-81091119B314}"/>
    <cellStyle name="Normal 7 2 5 5 3 2 2" xfId="51491" xr:uid="{F28BA374-E586-44B9-B9AA-4B3A95E945FD}"/>
    <cellStyle name="Normal 7 2 5 5 3 3" xfId="51492" xr:uid="{4DE049C5-5F49-4599-BC46-1A35CB3766B4}"/>
    <cellStyle name="Normal 7 2 5 5 4" xfId="51493" xr:uid="{472D6AAF-CBC9-4330-88CA-ACB46A3CF40A}"/>
    <cellStyle name="Normal 7 2 5 5 4 2" xfId="51494" xr:uid="{2AFD4F74-3FED-41B1-9A2A-BA8155BDEC46}"/>
    <cellStyle name="Normal 7 2 5 5 5" xfId="51495" xr:uid="{8879C1E4-5322-405B-8BAF-191533A98FED}"/>
    <cellStyle name="Normal 7 2 5 6" xfId="51496" xr:uid="{3356F203-F223-402B-A5FF-9A23D0BC4C4C}"/>
    <cellStyle name="Normal 7 2 5 6 2" xfId="51497" xr:uid="{BCF46AC9-4378-4B25-9360-59C2BEDFF0E8}"/>
    <cellStyle name="Normal 7 2 5 6 2 2" xfId="51498" xr:uid="{D740BE03-90B6-487B-A3AB-F1608023590A}"/>
    <cellStyle name="Normal 7 2 5 6 2 2 2" xfId="51499" xr:uid="{F83359C4-2277-4AC8-9BBA-CB8053DB78A5}"/>
    <cellStyle name="Normal 7 2 5 6 2 3" xfId="51500" xr:uid="{D9ED1730-F0D4-4368-BBD6-401C1254288D}"/>
    <cellStyle name="Normal 7 2 5 6 3" xfId="51501" xr:uid="{FF76E695-31BA-4C44-AF4D-CD6D51AF2BF6}"/>
    <cellStyle name="Normal 7 2 5 6 3 2" xfId="51502" xr:uid="{32F69E0A-6F9B-4CAB-BD5D-094AEB594B03}"/>
    <cellStyle name="Normal 7 2 5 6 4" xfId="51503" xr:uid="{5C7B727B-6DF1-437A-A8CF-7218E06F75C8}"/>
    <cellStyle name="Normal 7 2 5 7" xfId="51504" xr:uid="{FA191695-0916-4EAC-9D88-7B7E85549392}"/>
    <cellStyle name="Normal 7 2 5 7 2" xfId="51505" xr:uid="{B65C33C1-5F36-4A7C-82B0-B065B1159727}"/>
    <cellStyle name="Normal 7 2 5 7 2 2" xfId="51506" xr:uid="{D3FD02C6-6FD2-4A82-8FE5-38C4345745DD}"/>
    <cellStyle name="Normal 7 2 5 7 3" xfId="51507" xr:uid="{B69492F2-1D04-447F-9B7D-E4B24317ABF6}"/>
    <cellStyle name="Normal 7 2 5 8" xfId="51508" xr:uid="{C1E58AD1-47E5-4F7D-97EE-C402710728B9}"/>
    <cellStyle name="Normal 7 2 5 8 2" xfId="51509" xr:uid="{FD36827B-3A8F-4173-A7DB-6BE56F4CFD8A}"/>
    <cellStyle name="Normal 7 2 5 9" xfId="51510" xr:uid="{C463DCED-99DB-4ACC-8D7A-C88F0E08D14B}"/>
    <cellStyle name="Normal 7 2 6" xfId="51511" xr:uid="{2B1D5A90-7BAA-4D6C-BEFA-8763CACADC33}"/>
    <cellStyle name="Normal 7 2 6 2" xfId="51512" xr:uid="{636FC210-52F0-4879-95D5-22463B46221B}"/>
    <cellStyle name="Normal 7 2 6 2 2" xfId="51513" xr:uid="{226004C3-94B4-4836-BAC8-FA32C4B58358}"/>
    <cellStyle name="Normal 7 2 6 2 2 2" xfId="51514" xr:uid="{031A77DA-58EF-42E8-A773-3D94D3E427C8}"/>
    <cellStyle name="Normal 7 2 6 2 2 2 2" xfId="51515" xr:uid="{24D01995-6C08-4EDD-BC46-DF4D9D1C8EEF}"/>
    <cellStyle name="Normal 7 2 6 2 2 2 2 2" xfId="51516" xr:uid="{28D7AF8C-E977-4DAE-8BFD-4126BB8ECA71}"/>
    <cellStyle name="Normal 7 2 6 2 2 2 2 2 2" xfId="51517" xr:uid="{71D931D3-72D1-4185-B91B-4545AF791F74}"/>
    <cellStyle name="Normal 7 2 6 2 2 2 2 2 2 2" xfId="51518" xr:uid="{8CF55A92-91AE-46F1-9888-50B59691D52F}"/>
    <cellStyle name="Normal 7 2 6 2 2 2 2 2 3" xfId="51519" xr:uid="{21B72E61-1934-45EF-97BB-7AC92FC009A8}"/>
    <cellStyle name="Normal 7 2 6 2 2 2 2 3" xfId="51520" xr:uid="{09C4394F-C85A-4CC5-9933-97FC5448E5DA}"/>
    <cellStyle name="Normal 7 2 6 2 2 2 2 3 2" xfId="51521" xr:uid="{C8F54052-ED67-4AB4-940E-EEE57A9D518C}"/>
    <cellStyle name="Normal 7 2 6 2 2 2 2 4" xfId="51522" xr:uid="{A66AE9F8-F36F-4361-A210-CBB5A4EAD1D2}"/>
    <cellStyle name="Normal 7 2 6 2 2 2 3" xfId="51523" xr:uid="{51BC4FA7-C056-4B8C-A900-249EB2B1DD64}"/>
    <cellStyle name="Normal 7 2 6 2 2 2 3 2" xfId="51524" xr:uid="{8E32DB73-6D4F-4D34-8061-CCA0ECD3A794}"/>
    <cellStyle name="Normal 7 2 6 2 2 2 3 2 2" xfId="51525" xr:uid="{BC9C6C50-F202-42D6-BD9A-AE6849D45A93}"/>
    <cellStyle name="Normal 7 2 6 2 2 2 3 3" xfId="51526" xr:uid="{24B49FEE-3996-4E61-B0FF-6411DFA47EA0}"/>
    <cellStyle name="Normal 7 2 6 2 2 2 4" xfId="51527" xr:uid="{BF246896-A361-470F-AF14-167E128FD567}"/>
    <cellStyle name="Normal 7 2 6 2 2 2 4 2" xfId="51528" xr:uid="{656B0945-4A56-4759-86C5-BE6E0DD2A255}"/>
    <cellStyle name="Normal 7 2 6 2 2 2 5" xfId="51529" xr:uid="{2E008665-50E2-490B-9D98-68912B0A75BA}"/>
    <cellStyle name="Normal 7 2 6 2 2 3" xfId="51530" xr:uid="{863571B3-1118-414F-BFF5-0EAEF878A7DE}"/>
    <cellStyle name="Normal 7 2 6 2 2 3 2" xfId="51531" xr:uid="{422754D5-037E-4C47-86FC-91017848C40F}"/>
    <cellStyle name="Normal 7 2 6 2 2 3 2 2" xfId="51532" xr:uid="{3C6ADC81-18BD-4339-A649-C37C919C0AC6}"/>
    <cellStyle name="Normal 7 2 6 2 2 3 2 2 2" xfId="51533" xr:uid="{5677E522-9754-4A1D-990E-90551DC42359}"/>
    <cellStyle name="Normal 7 2 6 2 2 3 2 3" xfId="51534" xr:uid="{C555CECB-9976-4EA5-B7F4-E65F16EE9311}"/>
    <cellStyle name="Normal 7 2 6 2 2 3 3" xfId="51535" xr:uid="{424B469F-81BC-457E-87F6-E73F92C6FBEC}"/>
    <cellStyle name="Normal 7 2 6 2 2 3 3 2" xfId="51536" xr:uid="{83B66A56-5B63-4F24-807B-A027E081EC26}"/>
    <cellStyle name="Normal 7 2 6 2 2 3 4" xfId="51537" xr:uid="{3DECEC61-ECA7-40E6-95B3-BCA6DF60DF29}"/>
    <cellStyle name="Normal 7 2 6 2 2 4" xfId="51538" xr:uid="{DAE6430E-A99F-4873-A244-AA5DA1578E1C}"/>
    <cellStyle name="Normal 7 2 6 2 2 4 2" xfId="51539" xr:uid="{50705DBD-D481-4013-8B3D-83D54DC47883}"/>
    <cellStyle name="Normal 7 2 6 2 2 4 2 2" xfId="51540" xr:uid="{086A96B0-27AB-465A-8220-A1865047765C}"/>
    <cellStyle name="Normal 7 2 6 2 2 4 3" xfId="51541" xr:uid="{F6D0494A-85DF-4120-880F-AE0438363D4D}"/>
    <cellStyle name="Normal 7 2 6 2 2 5" xfId="51542" xr:uid="{23BE578E-63D1-4812-B9FB-C0B1138B5607}"/>
    <cellStyle name="Normal 7 2 6 2 2 5 2" xfId="51543" xr:uid="{ED309B58-F286-4130-8A25-6171E123F542}"/>
    <cellStyle name="Normal 7 2 6 2 2 6" xfId="51544" xr:uid="{168EC30B-C6A6-47B7-A8E8-D6BC31DD8EC6}"/>
    <cellStyle name="Normal 7 2 6 2 3" xfId="51545" xr:uid="{4BE27837-64D2-42B8-A583-62D8096D369A}"/>
    <cellStyle name="Normal 7 2 6 2 3 2" xfId="51546" xr:uid="{A1EC98B5-D68C-4413-ACB4-01EF50ED8E3A}"/>
    <cellStyle name="Normal 7 2 6 2 3 2 2" xfId="51547" xr:uid="{9FEEFFBE-78D6-4EE9-8CDC-668E8AEB7168}"/>
    <cellStyle name="Normal 7 2 6 2 3 2 2 2" xfId="51548" xr:uid="{65B9D33B-AAEB-4C55-93A3-70FB882DD302}"/>
    <cellStyle name="Normal 7 2 6 2 3 2 2 2 2" xfId="51549" xr:uid="{CA5C6B54-027A-44B5-8787-4096F87B1B39}"/>
    <cellStyle name="Normal 7 2 6 2 3 2 2 3" xfId="51550" xr:uid="{1756B1D0-1D1A-448A-AC63-A43CB1B4F5B3}"/>
    <cellStyle name="Normal 7 2 6 2 3 2 3" xfId="51551" xr:uid="{32D7A68D-5E94-43F1-B2A8-3E05C6F6396B}"/>
    <cellStyle name="Normal 7 2 6 2 3 2 3 2" xfId="51552" xr:uid="{AFDA9677-1617-4726-9991-64FAAEC2C3B2}"/>
    <cellStyle name="Normal 7 2 6 2 3 2 4" xfId="51553" xr:uid="{47AD038E-EF51-441E-9084-8FF377D87289}"/>
    <cellStyle name="Normal 7 2 6 2 3 3" xfId="51554" xr:uid="{C9EE304D-62BF-4AF6-8EBF-337545F57B96}"/>
    <cellStyle name="Normal 7 2 6 2 3 3 2" xfId="51555" xr:uid="{637D1058-FD1A-4D4F-80BD-67934B3F4D85}"/>
    <cellStyle name="Normal 7 2 6 2 3 3 2 2" xfId="51556" xr:uid="{E437CA50-8E2C-4E3B-A6A3-663AC801EBB1}"/>
    <cellStyle name="Normal 7 2 6 2 3 3 3" xfId="51557" xr:uid="{D989365A-8958-4D87-8181-A1E6145D6F03}"/>
    <cellStyle name="Normal 7 2 6 2 3 4" xfId="51558" xr:uid="{8F33D947-F9B1-44CE-82C0-9DD32C632240}"/>
    <cellStyle name="Normal 7 2 6 2 3 4 2" xfId="51559" xr:uid="{321928E5-793B-4939-B31E-8A29F6A26DA0}"/>
    <cellStyle name="Normal 7 2 6 2 3 5" xfId="51560" xr:uid="{FF69DB7B-951F-44F1-A11A-07CA5580E533}"/>
    <cellStyle name="Normal 7 2 6 2 4" xfId="51561" xr:uid="{A5E5921D-7A67-4311-AB57-F3A19574A1E3}"/>
    <cellStyle name="Normal 7 2 6 2 4 2" xfId="51562" xr:uid="{99E65488-E418-482D-B81E-05BEE5D5C1FE}"/>
    <cellStyle name="Normal 7 2 6 2 4 2 2" xfId="51563" xr:uid="{E0882C8B-2A21-45D1-92D7-267C7D23CD2A}"/>
    <cellStyle name="Normal 7 2 6 2 4 2 2 2" xfId="51564" xr:uid="{1BAAE2F5-E97E-4892-85BA-06474F48C7DF}"/>
    <cellStyle name="Normal 7 2 6 2 4 2 3" xfId="51565" xr:uid="{4C5B845E-023F-4ABA-A5EC-1CD9B889BD6B}"/>
    <cellStyle name="Normal 7 2 6 2 4 3" xfId="51566" xr:uid="{E2D5CED1-438B-4E7C-AA8A-D78A1AA7D08E}"/>
    <cellStyle name="Normal 7 2 6 2 4 3 2" xfId="51567" xr:uid="{521221C5-6FA8-47B7-94A2-3F89E4476BEA}"/>
    <cellStyle name="Normal 7 2 6 2 4 4" xfId="51568" xr:uid="{F26B7CE0-3221-4441-B4BD-270635BEC52B}"/>
    <cellStyle name="Normal 7 2 6 2 5" xfId="51569" xr:uid="{ABB1D30F-5752-4F05-A4FC-D800329786C5}"/>
    <cellStyle name="Normal 7 2 6 2 5 2" xfId="51570" xr:uid="{D034C35E-26FB-4BA0-B969-02D59F1720CC}"/>
    <cellStyle name="Normal 7 2 6 2 5 2 2" xfId="51571" xr:uid="{36F2F652-23EC-47EA-9501-937B933B476C}"/>
    <cellStyle name="Normal 7 2 6 2 5 3" xfId="51572" xr:uid="{457D3B14-FB19-49FB-95A5-CB5CC82B4342}"/>
    <cellStyle name="Normal 7 2 6 2 6" xfId="51573" xr:uid="{4104497D-91DA-4B6E-820D-7E81FFFABD0F}"/>
    <cellStyle name="Normal 7 2 6 2 6 2" xfId="51574" xr:uid="{301A2C25-0987-4560-AD45-2CD5C05C0E1E}"/>
    <cellStyle name="Normal 7 2 6 2 7" xfId="51575" xr:uid="{2A82BAA1-F88D-4956-80B8-37AB6892C5D5}"/>
    <cellStyle name="Normal 7 2 6 3" xfId="51576" xr:uid="{B4C00A43-53CB-4708-8957-01C1178E4E0A}"/>
    <cellStyle name="Normal 7 2 6 3 2" xfId="51577" xr:uid="{7D580DCB-F36A-4DE3-B2DA-A1572BB4A6BE}"/>
    <cellStyle name="Normal 7 2 6 3 2 2" xfId="51578" xr:uid="{1FBEE989-B1B5-4244-B01B-92A3DC7B7CF9}"/>
    <cellStyle name="Normal 7 2 6 3 2 2 2" xfId="51579" xr:uid="{4CB6BD85-369C-4449-ADCA-2FFC03112FE3}"/>
    <cellStyle name="Normal 7 2 6 3 2 2 2 2" xfId="51580" xr:uid="{30A79DE4-C9B6-4326-9E86-EF7C8F84B294}"/>
    <cellStyle name="Normal 7 2 6 3 2 2 2 2 2" xfId="51581" xr:uid="{DD75E137-161F-4A35-8563-909FE7D0CF72}"/>
    <cellStyle name="Normal 7 2 6 3 2 2 2 3" xfId="51582" xr:uid="{C152DE83-0508-4836-86B3-B61E6EF4FAC5}"/>
    <cellStyle name="Normal 7 2 6 3 2 2 3" xfId="51583" xr:uid="{626B3A68-2B5A-41EB-A8AD-E263319D8A5C}"/>
    <cellStyle name="Normal 7 2 6 3 2 2 3 2" xfId="51584" xr:uid="{B91F23CC-CAED-42E7-AECC-067E94730D35}"/>
    <cellStyle name="Normal 7 2 6 3 2 2 4" xfId="51585" xr:uid="{D412E8C5-A465-4DA3-9BE0-FC39A9101CA6}"/>
    <cellStyle name="Normal 7 2 6 3 2 3" xfId="51586" xr:uid="{2DEA6F12-28C7-4801-B78A-026B112B95C7}"/>
    <cellStyle name="Normal 7 2 6 3 2 3 2" xfId="51587" xr:uid="{FA9B04BD-140B-46FF-9876-E7C0845CAC45}"/>
    <cellStyle name="Normal 7 2 6 3 2 3 2 2" xfId="51588" xr:uid="{2DFFFE7C-14BC-4CC5-8C44-CF2166F6BC38}"/>
    <cellStyle name="Normal 7 2 6 3 2 3 3" xfId="51589" xr:uid="{66B2D55B-7F12-4A55-A339-92464C950FE9}"/>
    <cellStyle name="Normal 7 2 6 3 2 4" xfId="51590" xr:uid="{04D63B56-0D22-45E3-9F7C-D837EF383A3C}"/>
    <cellStyle name="Normal 7 2 6 3 2 4 2" xfId="51591" xr:uid="{05023790-9E61-4EA5-9167-76650EA859EF}"/>
    <cellStyle name="Normal 7 2 6 3 2 5" xfId="51592" xr:uid="{5060B027-F99B-463C-B0EC-1C63198CAEB0}"/>
    <cellStyle name="Normal 7 2 6 3 3" xfId="51593" xr:uid="{03F093BE-0207-4D62-A64C-2FAC8E4EA76A}"/>
    <cellStyle name="Normal 7 2 6 3 3 2" xfId="51594" xr:uid="{4A7C6417-E933-4600-BCF0-60AAC2697285}"/>
    <cellStyle name="Normal 7 2 6 3 3 2 2" xfId="51595" xr:uid="{27647146-7F78-4986-9827-4B487C86BA1E}"/>
    <cellStyle name="Normal 7 2 6 3 3 2 2 2" xfId="51596" xr:uid="{EE57A72F-B62C-440D-B64C-05847C88D6DC}"/>
    <cellStyle name="Normal 7 2 6 3 3 2 3" xfId="51597" xr:uid="{DFEAC263-DEBF-4D6F-8FC7-B8070131D6D3}"/>
    <cellStyle name="Normal 7 2 6 3 3 3" xfId="51598" xr:uid="{39E470BE-E160-4A9D-9351-568C25D7498B}"/>
    <cellStyle name="Normal 7 2 6 3 3 3 2" xfId="51599" xr:uid="{BDE8F985-45AA-4D34-9C12-8E600CBA8653}"/>
    <cellStyle name="Normal 7 2 6 3 3 4" xfId="51600" xr:uid="{B59905BA-3EFF-40C3-90B6-1E2A9696EA99}"/>
    <cellStyle name="Normal 7 2 6 3 4" xfId="51601" xr:uid="{3D3DE20C-8160-43F9-8A6E-30177C7F3344}"/>
    <cellStyle name="Normal 7 2 6 3 4 2" xfId="51602" xr:uid="{42F72DA0-4D46-440D-8AF3-8C7AC277E1AF}"/>
    <cellStyle name="Normal 7 2 6 3 4 2 2" xfId="51603" xr:uid="{BD9C8B0F-1E1D-4BC0-BF59-5E3AB4A49F43}"/>
    <cellStyle name="Normal 7 2 6 3 4 3" xfId="51604" xr:uid="{1EA68EBF-215A-40CA-B89E-0BAE805071F4}"/>
    <cellStyle name="Normal 7 2 6 3 5" xfId="51605" xr:uid="{6DA2F936-D05F-4AE2-9910-E69C3DEE46CE}"/>
    <cellStyle name="Normal 7 2 6 3 5 2" xfId="51606" xr:uid="{6751AE08-44FF-4A33-8D4F-C18663A3E7B0}"/>
    <cellStyle name="Normal 7 2 6 3 6" xfId="51607" xr:uid="{E9E6E270-46C1-410B-BB1D-D028246CFDAD}"/>
    <cellStyle name="Normal 7 2 6 4" xfId="51608" xr:uid="{7F0CCA47-702B-4C24-A603-8C61C51861AE}"/>
    <cellStyle name="Normal 7 2 6 4 2" xfId="51609" xr:uid="{704A4360-6426-43BA-94B3-CBADB661F91D}"/>
    <cellStyle name="Normal 7 2 6 4 2 2" xfId="51610" xr:uid="{5C7B2B32-5614-421E-A6E8-720B5DABEF43}"/>
    <cellStyle name="Normal 7 2 6 4 2 2 2" xfId="51611" xr:uid="{6D803F57-02B7-4B59-8944-DD7488A9123C}"/>
    <cellStyle name="Normal 7 2 6 4 2 2 2 2" xfId="51612" xr:uid="{051AB835-9312-44F9-84DD-A519557E4A36}"/>
    <cellStyle name="Normal 7 2 6 4 2 2 3" xfId="51613" xr:uid="{0069E039-86DA-44CF-B918-A58F9CF8190F}"/>
    <cellStyle name="Normal 7 2 6 4 2 3" xfId="51614" xr:uid="{6782BE90-5700-4655-A0A1-9D8ED43B3BE3}"/>
    <cellStyle name="Normal 7 2 6 4 2 3 2" xfId="51615" xr:uid="{001B1467-BB5C-48DB-A77A-2DD36F1FB60C}"/>
    <cellStyle name="Normal 7 2 6 4 2 4" xfId="51616" xr:uid="{22E6D8A3-05B6-4FC8-BBCD-8224AB5339B6}"/>
    <cellStyle name="Normal 7 2 6 4 3" xfId="51617" xr:uid="{852CC99F-1C59-4954-9DB9-8F0FDAD3BCE0}"/>
    <cellStyle name="Normal 7 2 6 4 3 2" xfId="51618" xr:uid="{09F0BE73-5B74-4B53-B733-1AAC3E9E870F}"/>
    <cellStyle name="Normal 7 2 6 4 3 2 2" xfId="51619" xr:uid="{A04EC9D3-7F12-4132-BA67-E4F087F8DB79}"/>
    <cellStyle name="Normal 7 2 6 4 3 3" xfId="51620" xr:uid="{0EE00FF3-BFD2-470B-AD59-3448122299EE}"/>
    <cellStyle name="Normal 7 2 6 4 4" xfId="51621" xr:uid="{FAD76FC1-FF23-453C-BFB9-D6C50C8B400C}"/>
    <cellStyle name="Normal 7 2 6 4 4 2" xfId="51622" xr:uid="{7DC99B23-3066-43E0-9221-16215C02C225}"/>
    <cellStyle name="Normal 7 2 6 4 5" xfId="51623" xr:uid="{62E740DB-F7CA-4925-A39F-1C381591CC66}"/>
    <cellStyle name="Normal 7 2 6 5" xfId="51624" xr:uid="{CE0149FF-18A7-4985-A7EF-0C0BC8E03757}"/>
    <cellStyle name="Normal 7 2 6 5 2" xfId="51625" xr:uid="{42342D72-0A78-470E-816D-5D3C02116DAD}"/>
    <cellStyle name="Normal 7 2 6 5 2 2" xfId="51626" xr:uid="{4D18A472-65F3-4AAA-9ED8-0B4558D274F3}"/>
    <cellStyle name="Normal 7 2 6 5 2 2 2" xfId="51627" xr:uid="{481256E3-B3A0-4536-8F99-DB7B7484372D}"/>
    <cellStyle name="Normal 7 2 6 5 2 3" xfId="51628" xr:uid="{24C8E3F6-BC78-4BFD-8595-6888DBF2217A}"/>
    <cellStyle name="Normal 7 2 6 5 3" xfId="51629" xr:uid="{5495BB65-39BB-4338-80C6-73AC4B5365E0}"/>
    <cellStyle name="Normal 7 2 6 5 3 2" xfId="51630" xr:uid="{010B2F3E-88C7-4117-9856-0B7B2E6A067B}"/>
    <cellStyle name="Normal 7 2 6 5 4" xfId="51631" xr:uid="{7441BD81-CDBD-45B7-BB96-DE1B8CE00B7E}"/>
    <cellStyle name="Normal 7 2 6 6" xfId="51632" xr:uid="{F823648B-B68B-4F94-BDDE-1231B3260AE3}"/>
    <cellStyle name="Normal 7 2 6 6 2" xfId="51633" xr:uid="{130D6382-E80C-4144-91B4-7ADFBE5564CF}"/>
    <cellStyle name="Normal 7 2 6 6 2 2" xfId="51634" xr:uid="{37F47087-7313-4B30-8604-D6FA51AE6E1A}"/>
    <cellStyle name="Normal 7 2 6 6 3" xfId="51635" xr:uid="{4C37E898-E22D-4A30-B5B4-B57B4BA72720}"/>
    <cellStyle name="Normal 7 2 6 7" xfId="51636" xr:uid="{74899BE4-DA2B-40DC-9F02-B1A95B7FC46A}"/>
    <cellStyle name="Normal 7 2 6 7 2" xfId="51637" xr:uid="{6097997F-6CFA-4A37-B180-20F89F4F1BA8}"/>
    <cellStyle name="Normal 7 2 6 8" xfId="51638" xr:uid="{3555FDF2-9161-4F4A-AC4F-E503826507F7}"/>
    <cellStyle name="Normal 7 2 7" xfId="51639" xr:uid="{F0FFE73E-E5DC-4604-A52B-9DB78EF9F252}"/>
    <cellStyle name="Normal 7 2 7 2" xfId="51640" xr:uid="{2DCD6DFA-DF77-4A2D-B01A-5AFB5815FF66}"/>
    <cellStyle name="Normal 7 2 7 2 2" xfId="51641" xr:uid="{65FE5D80-06E0-434C-9205-1EB4BCFC9CB3}"/>
    <cellStyle name="Normal 7 2 7 2 2 2" xfId="51642" xr:uid="{51424585-929A-45B6-8B84-FFA6B6BE2CC5}"/>
    <cellStyle name="Normal 7 2 7 2 2 2 2" xfId="51643" xr:uid="{3A7C3808-037A-40B7-B780-81CD47FA55DF}"/>
    <cellStyle name="Normal 7 2 7 2 2 2 2 2" xfId="51644" xr:uid="{5F46C92C-CDB5-431C-863F-69392A5DB10E}"/>
    <cellStyle name="Normal 7 2 7 2 2 2 2 2 2" xfId="51645" xr:uid="{A6514C47-3EAE-482E-8707-C4177113F9E1}"/>
    <cellStyle name="Normal 7 2 7 2 2 2 2 3" xfId="51646" xr:uid="{86D94E35-C1B5-4428-9197-B353A8109375}"/>
    <cellStyle name="Normal 7 2 7 2 2 2 3" xfId="51647" xr:uid="{4E6421C3-A53C-4466-ADD6-E3095E6AA4FA}"/>
    <cellStyle name="Normal 7 2 7 2 2 2 3 2" xfId="51648" xr:uid="{D09346D3-C4B7-4433-9791-5B368ED3C60B}"/>
    <cellStyle name="Normal 7 2 7 2 2 2 4" xfId="51649" xr:uid="{414FE3AA-635C-40FB-AC27-E7BF2A47B09D}"/>
    <cellStyle name="Normal 7 2 7 2 2 3" xfId="51650" xr:uid="{EDD38EC6-A2B7-4180-BBD5-CB3AB7604A65}"/>
    <cellStyle name="Normal 7 2 7 2 2 3 2" xfId="51651" xr:uid="{E1733EEA-AC87-42E9-91B0-BF0F93953413}"/>
    <cellStyle name="Normal 7 2 7 2 2 3 2 2" xfId="51652" xr:uid="{AF162E32-00D8-4C8C-B565-B6E4600D75D5}"/>
    <cellStyle name="Normal 7 2 7 2 2 3 3" xfId="51653" xr:uid="{C4C4EFF9-D5F6-4924-8103-AC9413FFE091}"/>
    <cellStyle name="Normal 7 2 7 2 2 4" xfId="51654" xr:uid="{5797D577-DEEF-45C7-875C-A5A3A707AE56}"/>
    <cellStyle name="Normal 7 2 7 2 2 4 2" xfId="51655" xr:uid="{A98F1FFD-D4DF-4FDE-BCA8-3AB042C064F3}"/>
    <cellStyle name="Normal 7 2 7 2 2 5" xfId="51656" xr:uid="{5269FFFA-79CD-43D2-9A04-3960D299DD33}"/>
    <cellStyle name="Normal 7 2 7 2 3" xfId="51657" xr:uid="{57D26347-0EE6-4889-AEB6-BD122CA0A964}"/>
    <cellStyle name="Normal 7 2 7 2 3 2" xfId="51658" xr:uid="{1759F20F-DA3F-4DCC-B461-E542A18BA15B}"/>
    <cellStyle name="Normal 7 2 7 2 3 2 2" xfId="51659" xr:uid="{5B78E9B1-1C13-4486-BACE-EFF512FE7072}"/>
    <cellStyle name="Normal 7 2 7 2 3 2 2 2" xfId="51660" xr:uid="{4B1B3362-FDC9-4DAE-B6FC-5684BD32A4FE}"/>
    <cellStyle name="Normal 7 2 7 2 3 2 3" xfId="51661" xr:uid="{CCC940FD-4D1D-4366-A41B-96073A53F970}"/>
    <cellStyle name="Normal 7 2 7 2 3 3" xfId="51662" xr:uid="{7E28A7BA-9EA2-4C9F-889F-12EF8AFE28AC}"/>
    <cellStyle name="Normal 7 2 7 2 3 3 2" xfId="51663" xr:uid="{DB227001-319B-485F-82DC-A98FE84D6935}"/>
    <cellStyle name="Normal 7 2 7 2 3 4" xfId="51664" xr:uid="{515B730A-53C5-419A-9207-2482CC9BB4C5}"/>
    <cellStyle name="Normal 7 2 7 2 4" xfId="51665" xr:uid="{4CD4CB27-86CE-412D-9677-D912208D396E}"/>
    <cellStyle name="Normal 7 2 7 2 4 2" xfId="51666" xr:uid="{66B74950-E315-449D-976C-5AEDFA6D0589}"/>
    <cellStyle name="Normal 7 2 7 2 4 2 2" xfId="51667" xr:uid="{F1108EEA-A3E3-4C88-8175-9826777AE740}"/>
    <cellStyle name="Normal 7 2 7 2 4 3" xfId="51668" xr:uid="{5A14C0CD-AF1B-4C28-ABF9-7502A840B109}"/>
    <cellStyle name="Normal 7 2 7 2 5" xfId="51669" xr:uid="{ED5BD486-06C6-46CA-B301-0684FCAD39C9}"/>
    <cellStyle name="Normal 7 2 7 2 5 2" xfId="51670" xr:uid="{8B9C16FF-DF49-4E07-BA33-3D8AC2844F75}"/>
    <cellStyle name="Normal 7 2 7 2 6" xfId="51671" xr:uid="{14F84408-AA07-4DBA-9394-BFD5348D47DC}"/>
    <cellStyle name="Normal 7 2 7 3" xfId="51672" xr:uid="{ABD8E4B6-65D1-44EF-8908-2A01C8BACE41}"/>
    <cellStyle name="Normal 7 2 7 3 2" xfId="51673" xr:uid="{6B07AA01-5C01-48DD-8CD4-912AC04EA14D}"/>
    <cellStyle name="Normal 7 2 7 3 2 2" xfId="51674" xr:uid="{18B36C9F-712D-4CC6-9F00-DA3B064BD7D4}"/>
    <cellStyle name="Normal 7 2 7 3 2 2 2" xfId="51675" xr:uid="{30BDA7DE-FEFD-433E-8705-060D9F78075C}"/>
    <cellStyle name="Normal 7 2 7 3 2 2 2 2" xfId="51676" xr:uid="{5252FB2B-5BEC-42CF-86DD-D97D577F2F2B}"/>
    <cellStyle name="Normal 7 2 7 3 2 2 3" xfId="51677" xr:uid="{C76AFEB5-369F-4E47-9C1A-DBB3C525B123}"/>
    <cellStyle name="Normal 7 2 7 3 2 3" xfId="51678" xr:uid="{7CF7E353-F326-488C-8139-68DF93B6E623}"/>
    <cellStyle name="Normal 7 2 7 3 2 3 2" xfId="51679" xr:uid="{E8274D4A-813A-45EB-91F5-C674118AB851}"/>
    <cellStyle name="Normal 7 2 7 3 2 4" xfId="51680" xr:uid="{55687111-6EC6-4D6C-B324-8E660F8736CA}"/>
    <cellStyle name="Normal 7 2 7 3 3" xfId="51681" xr:uid="{CEE2976D-2119-455E-A185-B54FEBFE7962}"/>
    <cellStyle name="Normal 7 2 7 3 3 2" xfId="51682" xr:uid="{8A36EB24-81C0-4089-901E-67421B2B6FC5}"/>
    <cellStyle name="Normal 7 2 7 3 3 2 2" xfId="51683" xr:uid="{304F375D-B209-4C74-AAE3-B96777B1BBE7}"/>
    <cellStyle name="Normal 7 2 7 3 3 3" xfId="51684" xr:uid="{6B0A2A87-F3FC-4A21-9DB7-1C06B2AC32EC}"/>
    <cellStyle name="Normal 7 2 7 3 4" xfId="51685" xr:uid="{37C8C43B-AB7E-45B2-BDDD-9F58FD0D4969}"/>
    <cellStyle name="Normal 7 2 7 3 4 2" xfId="51686" xr:uid="{DE74D955-4A79-4488-A66A-57FF762CF881}"/>
    <cellStyle name="Normal 7 2 7 3 5" xfId="51687" xr:uid="{9763843D-6044-4162-A4D8-10B475CFF503}"/>
    <cellStyle name="Normal 7 2 7 4" xfId="51688" xr:uid="{8B436017-36A9-43A8-BB1F-5A7BA2DF1005}"/>
    <cellStyle name="Normal 7 2 7 4 2" xfId="51689" xr:uid="{F4D1C2A8-9BDF-4F75-8259-DD1F2E1AB4A1}"/>
    <cellStyle name="Normal 7 2 7 4 2 2" xfId="51690" xr:uid="{F339AF0A-53A4-4B7C-8E3E-8BBF317AB2BC}"/>
    <cellStyle name="Normal 7 2 7 4 2 2 2" xfId="51691" xr:uid="{390F9F50-1AE7-4D4B-9F02-FDF6CF2EE1F2}"/>
    <cellStyle name="Normal 7 2 7 4 2 3" xfId="51692" xr:uid="{ECAD0630-9E98-4CD8-A7F4-74F66EACE12E}"/>
    <cellStyle name="Normal 7 2 7 4 3" xfId="51693" xr:uid="{34883E73-3279-432D-9A90-747D0756ECC0}"/>
    <cellStyle name="Normal 7 2 7 4 3 2" xfId="51694" xr:uid="{706FAA81-D85E-4667-969F-06423C3933A3}"/>
    <cellStyle name="Normal 7 2 7 4 4" xfId="51695" xr:uid="{69CB44B5-A662-42B8-AEE6-BD783D943FB4}"/>
    <cellStyle name="Normal 7 2 7 5" xfId="51696" xr:uid="{F32070A3-4D19-4E47-A0FA-3E558867D849}"/>
    <cellStyle name="Normal 7 2 7 5 2" xfId="51697" xr:uid="{766FB7E6-B6AF-4F43-92F7-98D18CB04033}"/>
    <cellStyle name="Normal 7 2 7 5 2 2" xfId="51698" xr:uid="{D4E71270-F502-456B-A4FD-3AEC8196435B}"/>
    <cellStyle name="Normal 7 2 7 5 3" xfId="51699" xr:uid="{D25627C7-EF3F-461F-A69B-7B959584ED7E}"/>
    <cellStyle name="Normal 7 2 7 6" xfId="51700" xr:uid="{9AC2B6CA-1F61-4CD4-8A1D-FC3B0F07840A}"/>
    <cellStyle name="Normal 7 2 7 6 2" xfId="51701" xr:uid="{B02A431F-4B2A-433B-B890-5C494BFE55CF}"/>
    <cellStyle name="Normal 7 2 7 7" xfId="51702" xr:uid="{C6259487-6545-4E47-97D4-C45DCC141D9E}"/>
    <cellStyle name="Normal 7 2 8" xfId="51703" xr:uid="{E0AC4FAE-55C3-4918-A206-F36EB30791D9}"/>
    <cellStyle name="Normal 7 2 8 2" xfId="51704" xr:uid="{BBDBA7AE-C80D-4E5C-8D06-6F6215EF5A0C}"/>
    <cellStyle name="Normal 7 2 8 2 2" xfId="51705" xr:uid="{A1FA544A-3692-4070-9F97-8D45E6A75726}"/>
    <cellStyle name="Normal 7 2 8 2 2 2" xfId="51706" xr:uid="{92F54004-3937-4A47-98A7-A15D54B4780A}"/>
    <cellStyle name="Normal 7 2 8 2 2 2 2" xfId="51707" xr:uid="{B6A6D439-08B0-4F0B-80D9-6BA8E25FB62D}"/>
    <cellStyle name="Normal 7 2 8 2 2 2 2 2" xfId="51708" xr:uid="{52FA6090-BE20-428B-B7B8-82462C6B4639}"/>
    <cellStyle name="Normal 7 2 8 2 2 2 3" xfId="51709" xr:uid="{60A88637-3684-412A-A8A4-10105B3E9553}"/>
    <cellStyle name="Normal 7 2 8 2 2 3" xfId="51710" xr:uid="{270C5C6B-6BA7-4F5A-8151-FC0AF594C6A2}"/>
    <cellStyle name="Normal 7 2 8 2 2 3 2" xfId="51711" xr:uid="{3046205E-BA85-4223-B92F-D15BCA537803}"/>
    <cellStyle name="Normal 7 2 8 2 2 4" xfId="51712" xr:uid="{BEA48862-9768-406C-9699-BC9889A8CA60}"/>
    <cellStyle name="Normal 7 2 8 2 3" xfId="51713" xr:uid="{A7AB2732-6EE9-4487-BC7A-92F103C60094}"/>
    <cellStyle name="Normal 7 2 8 2 3 2" xfId="51714" xr:uid="{D0EF8B9D-4658-4D10-AB5B-820F1982E21C}"/>
    <cellStyle name="Normal 7 2 8 2 3 2 2" xfId="51715" xr:uid="{253DBBE6-383B-4A96-99AD-1BF173BBEE8F}"/>
    <cellStyle name="Normal 7 2 8 2 3 3" xfId="51716" xr:uid="{04248848-AF6C-4B9C-8B7C-0BBD0169066C}"/>
    <cellStyle name="Normal 7 2 8 2 4" xfId="51717" xr:uid="{900C3345-9AA0-4EE1-AA5F-23BA16D9904D}"/>
    <cellStyle name="Normal 7 2 8 2 4 2" xfId="51718" xr:uid="{8B52F0BA-C355-4FF0-B40D-D6F69C3E0C67}"/>
    <cellStyle name="Normal 7 2 8 2 5" xfId="51719" xr:uid="{BF8809B1-5698-4F1F-9446-856A4F7175B1}"/>
    <cellStyle name="Normal 7 2 8 3" xfId="51720" xr:uid="{C3427584-9593-4F1C-A22D-A3AC5A1599AB}"/>
    <cellStyle name="Normal 7 2 8 3 2" xfId="51721" xr:uid="{D06707CA-0645-447D-9279-B9F77C083661}"/>
    <cellStyle name="Normal 7 2 8 3 2 2" xfId="51722" xr:uid="{4BDFC9A1-1B31-4538-A292-9F3EA9FCE2E6}"/>
    <cellStyle name="Normal 7 2 8 3 2 2 2" xfId="51723" xr:uid="{ACB6C1EA-3FBE-4822-B67E-1FE25515636C}"/>
    <cellStyle name="Normal 7 2 8 3 2 3" xfId="51724" xr:uid="{7C395D70-DB24-4874-B9C9-AB9626A1A872}"/>
    <cellStyle name="Normal 7 2 8 3 3" xfId="51725" xr:uid="{0293D987-276C-4543-8260-5E9F911740E8}"/>
    <cellStyle name="Normal 7 2 8 3 3 2" xfId="51726" xr:uid="{51E23AA0-0B3A-46A3-AA0A-06CF64EBB5CA}"/>
    <cellStyle name="Normal 7 2 8 3 4" xfId="51727" xr:uid="{2D393CB7-CCC0-4FAF-A0C0-119AA7591065}"/>
    <cellStyle name="Normal 7 2 8 4" xfId="51728" xr:uid="{B1D64ABD-96EA-422B-A579-C22CB3D1FCFB}"/>
    <cellStyle name="Normal 7 2 8 4 2" xfId="51729" xr:uid="{FF6A63FF-59F7-4EC5-AE48-8D95F90E30E2}"/>
    <cellStyle name="Normal 7 2 8 4 2 2" xfId="51730" xr:uid="{4DEF2841-C3B2-4F58-94BD-5A0281251FA7}"/>
    <cellStyle name="Normal 7 2 8 4 3" xfId="51731" xr:uid="{253007D0-3FD0-418D-BF51-816EA16C6FE8}"/>
    <cellStyle name="Normal 7 2 8 5" xfId="51732" xr:uid="{3703AC05-4A1A-4646-9D18-5B67E8828247}"/>
    <cellStyle name="Normal 7 2 8 5 2" xfId="51733" xr:uid="{34905840-A63F-4A04-BF9F-D68BDD6D9907}"/>
    <cellStyle name="Normal 7 2 8 6" xfId="51734" xr:uid="{E3B655F8-D68D-4FB1-A4AA-3ACFE5072958}"/>
    <cellStyle name="Normal 7 2 9" xfId="51735" xr:uid="{7DCC87C0-6850-4CC8-A191-0C01C707BE8B}"/>
    <cellStyle name="Normal 7 2 9 2" xfId="51736" xr:uid="{1B8D2965-5245-4D83-9619-C1A2DABF6EE8}"/>
    <cellStyle name="Normal 7 2 9 2 2" xfId="51737" xr:uid="{221E7A69-3ADA-466F-8DC9-90B015591AF9}"/>
    <cellStyle name="Normal 7 2 9 2 2 2" xfId="51738" xr:uid="{2068A444-4267-491C-A288-C8682A4C19F3}"/>
    <cellStyle name="Normal 7 2 9 2 2 2 2" xfId="51739" xr:uid="{77438931-7945-4D47-931E-C8E4F00C75CB}"/>
    <cellStyle name="Normal 7 2 9 2 2 3" xfId="51740" xr:uid="{30C14E5E-6720-499D-9921-8A7C6094D3AE}"/>
    <cellStyle name="Normal 7 2 9 2 3" xfId="51741" xr:uid="{D0ACB510-0AF0-4040-BE46-1A26581C0823}"/>
    <cellStyle name="Normal 7 2 9 2 3 2" xfId="51742" xr:uid="{83645C68-12C9-42B3-B066-80FD0AB4F1CD}"/>
    <cellStyle name="Normal 7 2 9 2 4" xfId="51743" xr:uid="{7FC56EF1-E845-4AB2-ACA6-0B9F095945D9}"/>
    <cellStyle name="Normal 7 2 9 3" xfId="51744" xr:uid="{81716C23-E8DF-4538-B84F-27F073E62BDD}"/>
    <cellStyle name="Normal 7 2 9 3 2" xfId="51745" xr:uid="{F331EB8E-B532-4FBD-9C41-8B5C05A4CDE6}"/>
    <cellStyle name="Normal 7 2 9 3 2 2" xfId="51746" xr:uid="{899D7C44-76BF-46DE-8C3D-BF9063570A30}"/>
    <cellStyle name="Normal 7 2 9 3 3" xfId="51747" xr:uid="{86999F6A-FE7A-4C52-9847-7C9C3A09EC16}"/>
    <cellStyle name="Normal 7 2 9 4" xfId="51748" xr:uid="{635C070D-157E-4A32-B2C5-8703E2F4B91C}"/>
    <cellStyle name="Normal 7 2 9 4 2" xfId="51749" xr:uid="{FE720ED4-92D5-45A4-A6B7-97FC6F2042C3}"/>
    <cellStyle name="Normal 7 2 9 5" xfId="51750" xr:uid="{93AE500B-31FB-45FF-BC23-70A702748410}"/>
    <cellStyle name="Normal 7 20" xfId="54819" xr:uid="{54E30293-4766-4E4D-898A-941DDE5A3C92}"/>
    <cellStyle name="Normal 7 3" xfId="130" xr:uid="{8117F2C4-7B98-46AB-A45C-7965E9A78E6E}"/>
    <cellStyle name="Normal 7 3 2" xfId="205" xr:uid="{B075C752-910D-4548-9F7D-1E1F196C5BA4}"/>
    <cellStyle name="Normal 7 3 3" xfId="169" xr:uid="{E80AA61F-FC5C-4418-BED4-DA251169A0C5}"/>
    <cellStyle name="Normal 7 4" xfId="518" xr:uid="{B64678EA-62DF-4584-85C1-1289DF4F43DE}"/>
    <cellStyle name="Normal 7 5" xfId="51751" xr:uid="{D80E5497-F075-4C85-AF6B-AF6F245BB3FB}"/>
    <cellStyle name="Normal 7 5 2" xfId="51752" xr:uid="{9FE1A5EE-8627-486F-A0C3-C35D1EC8FA56}"/>
    <cellStyle name="Normal 7 5 2 2" xfId="51753" xr:uid="{4414667C-62D1-4B08-8B19-4F4360A3F225}"/>
    <cellStyle name="Normal 7 5 2 2 2" xfId="51754" xr:uid="{0E37FD65-6AEE-4F01-81FA-DAF75A095C5D}"/>
    <cellStyle name="Normal 7 5 2 2 2 2" xfId="51755" xr:uid="{AE3E2E1C-7DD7-4DC6-8F6D-B0EF1D971D3A}"/>
    <cellStyle name="Normal 7 5 2 2 2 2 2" xfId="51756" xr:uid="{C5387967-C7A5-49C9-9D07-A6A0F7F6D303}"/>
    <cellStyle name="Normal 7 5 2 2 2 2 2 2" xfId="51757" xr:uid="{1CC0C3FD-43A1-466A-9BE9-6C095D47D1DA}"/>
    <cellStyle name="Normal 7 5 2 2 2 2 2 2 2" xfId="51758" xr:uid="{3673D451-A310-4C9D-AA19-4D10C67EED67}"/>
    <cellStyle name="Normal 7 5 2 2 2 2 2 2 2 2" xfId="51759" xr:uid="{879CB51E-F172-4E12-BAAD-1AA48DDCAD42}"/>
    <cellStyle name="Normal 7 5 2 2 2 2 2 2 3" xfId="51760" xr:uid="{9189546D-8C4C-422D-8216-52A871D1999C}"/>
    <cellStyle name="Normal 7 5 2 2 2 2 2 3" xfId="51761" xr:uid="{763A9A62-A1E7-412E-9417-E99D090AA938}"/>
    <cellStyle name="Normal 7 5 2 2 2 2 2 3 2" xfId="51762" xr:uid="{BA913238-20E3-49C7-9202-40A1278A7338}"/>
    <cellStyle name="Normal 7 5 2 2 2 2 2 4" xfId="51763" xr:uid="{1FC70388-301B-4D5E-A215-970E9118852B}"/>
    <cellStyle name="Normal 7 5 2 2 2 2 3" xfId="51764" xr:uid="{E8992146-E83C-44D3-A9A9-54D13E371743}"/>
    <cellStyle name="Normal 7 5 2 2 2 2 3 2" xfId="51765" xr:uid="{4526AAA9-0DD1-4623-BA0D-5FE9DADE875E}"/>
    <cellStyle name="Normal 7 5 2 2 2 2 3 2 2" xfId="51766" xr:uid="{E3B74AC2-B01C-40E8-854D-BBDFD452C515}"/>
    <cellStyle name="Normal 7 5 2 2 2 2 3 3" xfId="51767" xr:uid="{C0B36899-BA19-4165-A28E-FDD6060B01F8}"/>
    <cellStyle name="Normal 7 5 2 2 2 2 4" xfId="51768" xr:uid="{588C5D88-34BC-4E2E-AA3D-7CE34C9CD6CF}"/>
    <cellStyle name="Normal 7 5 2 2 2 2 4 2" xfId="51769" xr:uid="{39F561CB-2AB0-4373-B49C-B0BDB742DA70}"/>
    <cellStyle name="Normal 7 5 2 2 2 2 5" xfId="51770" xr:uid="{1955808C-0DF3-4C20-8F55-80FE964B4FBA}"/>
    <cellStyle name="Normal 7 5 2 2 2 3" xfId="51771" xr:uid="{CEDAC756-CF1B-4D02-8BAC-E3727B3536C4}"/>
    <cellStyle name="Normal 7 5 2 2 2 3 2" xfId="51772" xr:uid="{5BB92843-72FA-4A3F-BCE0-374B4E3679FD}"/>
    <cellStyle name="Normal 7 5 2 2 2 3 2 2" xfId="51773" xr:uid="{D20B490C-C335-47AE-AEA8-6253B42A8686}"/>
    <cellStyle name="Normal 7 5 2 2 2 3 2 2 2" xfId="51774" xr:uid="{830A71BF-87EB-4A11-991A-BFF79F0BD0D8}"/>
    <cellStyle name="Normal 7 5 2 2 2 3 2 3" xfId="51775" xr:uid="{F94300AA-4923-4EAE-B718-B6B80313CA7C}"/>
    <cellStyle name="Normal 7 5 2 2 2 3 3" xfId="51776" xr:uid="{7CE9F644-119D-4BD6-919B-1656328AF530}"/>
    <cellStyle name="Normal 7 5 2 2 2 3 3 2" xfId="51777" xr:uid="{EDD43520-C51D-4252-9F24-28AFB3760B9A}"/>
    <cellStyle name="Normal 7 5 2 2 2 3 4" xfId="51778" xr:uid="{F604AAF9-E672-4B50-B605-4CF587010A20}"/>
    <cellStyle name="Normal 7 5 2 2 2 4" xfId="51779" xr:uid="{C4DEC1E5-C62D-4F83-8D9E-7EE1510105F5}"/>
    <cellStyle name="Normal 7 5 2 2 2 4 2" xfId="51780" xr:uid="{BAB1A550-1C54-4905-AC91-C1A18B6C5537}"/>
    <cellStyle name="Normal 7 5 2 2 2 4 2 2" xfId="51781" xr:uid="{3B25BE3E-C17A-4A8D-83D7-445794D2E5CA}"/>
    <cellStyle name="Normal 7 5 2 2 2 4 3" xfId="51782" xr:uid="{AA695E95-E741-45DA-97BC-41BC09D3F02C}"/>
    <cellStyle name="Normal 7 5 2 2 2 5" xfId="51783" xr:uid="{33D91323-8DBA-487F-824B-62CC069EF4BF}"/>
    <cellStyle name="Normal 7 5 2 2 2 5 2" xfId="51784" xr:uid="{9CBCEC66-6FCE-433C-9618-37017A7940A4}"/>
    <cellStyle name="Normal 7 5 2 2 2 6" xfId="51785" xr:uid="{D7E7806C-926F-4779-9619-BEEB34575764}"/>
    <cellStyle name="Normal 7 5 2 2 3" xfId="51786" xr:uid="{537A62BD-BA71-49B1-B62E-0642619183D4}"/>
    <cellStyle name="Normal 7 5 2 2 3 2" xfId="51787" xr:uid="{11573C12-4D1E-49EE-ADCF-ECFB5C193123}"/>
    <cellStyle name="Normal 7 5 2 2 3 2 2" xfId="51788" xr:uid="{E4341F4B-CB99-4056-830E-3772C932A45D}"/>
    <cellStyle name="Normal 7 5 2 2 3 2 2 2" xfId="51789" xr:uid="{0277DEF7-29DD-473E-9DDE-9EC8FB439B3D}"/>
    <cellStyle name="Normal 7 5 2 2 3 2 2 2 2" xfId="51790" xr:uid="{9DD28B87-2E70-45F2-97B7-14196C7AF78C}"/>
    <cellStyle name="Normal 7 5 2 2 3 2 2 3" xfId="51791" xr:uid="{FCA20280-5934-49F2-ADA4-2EEE8723A074}"/>
    <cellStyle name="Normal 7 5 2 2 3 2 3" xfId="51792" xr:uid="{98A88BF8-A031-4A3D-98FA-249960334F4A}"/>
    <cellStyle name="Normal 7 5 2 2 3 2 3 2" xfId="51793" xr:uid="{A91E2822-844C-4AEB-9033-DC48F3693A1D}"/>
    <cellStyle name="Normal 7 5 2 2 3 2 4" xfId="51794" xr:uid="{FC488C52-5BE6-40AB-9BC9-7FCC21A8F0B4}"/>
    <cellStyle name="Normal 7 5 2 2 3 3" xfId="51795" xr:uid="{DA86925B-CDD2-4E44-AA1D-3CC1A8E4E79C}"/>
    <cellStyle name="Normal 7 5 2 2 3 3 2" xfId="51796" xr:uid="{935068E7-0C6D-4AC1-984B-20ABD2418F6E}"/>
    <cellStyle name="Normal 7 5 2 2 3 3 2 2" xfId="51797" xr:uid="{D48C5269-B3F2-460A-B692-9C3EA3CB5BB3}"/>
    <cellStyle name="Normal 7 5 2 2 3 3 3" xfId="51798" xr:uid="{7338B8AE-C16D-4197-8845-3A027D61A8CD}"/>
    <cellStyle name="Normal 7 5 2 2 3 4" xfId="51799" xr:uid="{A8D29580-A950-4670-892B-E156B2C17E0B}"/>
    <cellStyle name="Normal 7 5 2 2 3 4 2" xfId="51800" xr:uid="{FC570E8D-45D2-46FE-B9D4-56AAA07CE765}"/>
    <cellStyle name="Normal 7 5 2 2 3 5" xfId="51801" xr:uid="{6E8E8A22-5466-457C-A268-5E3F40E47B5D}"/>
    <cellStyle name="Normal 7 5 2 2 4" xfId="51802" xr:uid="{15057E4B-8B2D-4B4D-87DC-57DF484E6651}"/>
    <cellStyle name="Normal 7 5 2 2 4 2" xfId="51803" xr:uid="{5B084872-0814-44AA-9704-EA08E20F7540}"/>
    <cellStyle name="Normal 7 5 2 2 4 2 2" xfId="51804" xr:uid="{47AC4718-69DA-452A-8940-981650B46B59}"/>
    <cellStyle name="Normal 7 5 2 2 4 2 2 2" xfId="51805" xr:uid="{4143D822-F81D-4056-99A0-3856C5BBCA45}"/>
    <cellStyle name="Normal 7 5 2 2 4 2 3" xfId="51806" xr:uid="{37638048-E002-40C0-A768-599117F16E5F}"/>
    <cellStyle name="Normal 7 5 2 2 4 3" xfId="51807" xr:uid="{EBB8739F-7B06-45BE-82F9-191B16D62435}"/>
    <cellStyle name="Normal 7 5 2 2 4 3 2" xfId="51808" xr:uid="{94E0EADE-75E9-4DF4-B6A3-EDCD27DF8ACD}"/>
    <cellStyle name="Normal 7 5 2 2 4 4" xfId="51809" xr:uid="{302DFED9-DA90-41B3-93BE-3C9975FD171B}"/>
    <cellStyle name="Normal 7 5 2 2 5" xfId="51810" xr:uid="{D9CA5D12-1822-4EFC-AC7A-E648EA40A487}"/>
    <cellStyle name="Normal 7 5 2 2 5 2" xfId="51811" xr:uid="{0678F765-2DCD-43D0-A6E8-3E69D8DCCDA2}"/>
    <cellStyle name="Normal 7 5 2 2 5 2 2" xfId="51812" xr:uid="{D8AD4A16-02FB-487E-88F4-BED40433F8B1}"/>
    <cellStyle name="Normal 7 5 2 2 5 3" xfId="51813" xr:uid="{6FC02060-FD23-4D84-9915-1040A7836137}"/>
    <cellStyle name="Normal 7 5 2 2 6" xfId="51814" xr:uid="{ADF3E8BB-8AE3-4313-8469-67ADE5D95776}"/>
    <cellStyle name="Normal 7 5 2 2 6 2" xfId="51815" xr:uid="{5A0A65CA-C591-47B9-84F3-89E675B7C90C}"/>
    <cellStyle name="Normal 7 5 2 2 7" xfId="51816" xr:uid="{85A790C9-0BF7-42D3-96A9-AB764E9FC63D}"/>
    <cellStyle name="Normal 7 5 2 3" xfId="51817" xr:uid="{D717A7D1-66BC-4B0A-A00F-A690F00CF9CA}"/>
    <cellStyle name="Normal 7 5 2 3 2" xfId="51818" xr:uid="{93AA701C-C1D4-40BD-AAE9-4DE1AD353F5A}"/>
    <cellStyle name="Normal 7 5 2 3 2 2" xfId="51819" xr:uid="{32D1D321-7B38-4DCE-BE13-C1C7BAE4F0C7}"/>
    <cellStyle name="Normal 7 5 2 3 2 2 2" xfId="51820" xr:uid="{09DBB774-A2C8-47BB-A757-BFA06C217E2A}"/>
    <cellStyle name="Normal 7 5 2 3 2 2 2 2" xfId="51821" xr:uid="{FA0D1083-7C40-4260-85B0-A0C85E1856F3}"/>
    <cellStyle name="Normal 7 5 2 3 2 2 2 2 2" xfId="51822" xr:uid="{23629432-8AB2-49BA-8402-B6D403EDD155}"/>
    <cellStyle name="Normal 7 5 2 3 2 2 2 3" xfId="51823" xr:uid="{A729DA30-E67E-4E75-BA8D-8C280907B7A0}"/>
    <cellStyle name="Normal 7 5 2 3 2 2 3" xfId="51824" xr:uid="{EAF84564-62BF-4A27-949A-CCCF76591CC9}"/>
    <cellStyle name="Normal 7 5 2 3 2 2 3 2" xfId="51825" xr:uid="{73B2D847-4326-46F6-A609-80B6CFBA4786}"/>
    <cellStyle name="Normal 7 5 2 3 2 2 4" xfId="51826" xr:uid="{635F3956-79D2-4BB2-8F51-F0CF49FFF9A6}"/>
    <cellStyle name="Normal 7 5 2 3 2 3" xfId="51827" xr:uid="{E98974DC-870B-4BD7-AD67-7A5BBF27A4D1}"/>
    <cellStyle name="Normal 7 5 2 3 2 3 2" xfId="51828" xr:uid="{C9A11BE5-137D-497E-B401-65BDFBE9E330}"/>
    <cellStyle name="Normal 7 5 2 3 2 3 2 2" xfId="51829" xr:uid="{868B9A11-5F17-46AE-9744-747103800DC5}"/>
    <cellStyle name="Normal 7 5 2 3 2 3 3" xfId="51830" xr:uid="{31905B44-CBCD-4BB8-B885-5DEC03BECBF7}"/>
    <cellStyle name="Normal 7 5 2 3 2 4" xfId="51831" xr:uid="{9E5513AA-3BF9-4902-B279-5A328A42E3A0}"/>
    <cellStyle name="Normal 7 5 2 3 2 4 2" xfId="51832" xr:uid="{283742DD-2B3A-4FD0-89D4-11F6F9B7AF69}"/>
    <cellStyle name="Normal 7 5 2 3 2 5" xfId="51833" xr:uid="{D4F3A966-E4E4-435C-8CF7-E131FB405D1F}"/>
    <cellStyle name="Normal 7 5 2 3 3" xfId="51834" xr:uid="{51B99138-702D-4B6C-B4EC-4792BD0BD0F5}"/>
    <cellStyle name="Normal 7 5 2 3 3 2" xfId="51835" xr:uid="{C5F047B9-3B76-4107-8E1A-6F780D3B0443}"/>
    <cellStyle name="Normal 7 5 2 3 3 2 2" xfId="51836" xr:uid="{CE737AB2-BC29-48DB-AF67-A521E9AE99BB}"/>
    <cellStyle name="Normal 7 5 2 3 3 2 2 2" xfId="51837" xr:uid="{FA80AF11-F3EC-4E50-BF3B-E792DA014F81}"/>
    <cellStyle name="Normal 7 5 2 3 3 2 3" xfId="51838" xr:uid="{9863AC0B-19A5-4A97-BDB6-C7CF4E877376}"/>
    <cellStyle name="Normal 7 5 2 3 3 3" xfId="51839" xr:uid="{8AC869E0-1FE4-4E0F-B454-6709B247A580}"/>
    <cellStyle name="Normal 7 5 2 3 3 3 2" xfId="51840" xr:uid="{73187AB7-22E9-47DB-8F34-0E871A35D571}"/>
    <cellStyle name="Normal 7 5 2 3 3 4" xfId="51841" xr:uid="{94732E81-244D-4ACB-8247-6CD45B75C1B2}"/>
    <cellStyle name="Normal 7 5 2 3 4" xfId="51842" xr:uid="{789C3E33-400D-4E23-A999-189B99D6BA5B}"/>
    <cellStyle name="Normal 7 5 2 3 4 2" xfId="51843" xr:uid="{E7D891F1-E817-4C93-ADB7-2DE177C63882}"/>
    <cellStyle name="Normal 7 5 2 3 4 2 2" xfId="51844" xr:uid="{C9C6418C-047E-4B6F-9F7A-41FE28DADF8D}"/>
    <cellStyle name="Normal 7 5 2 3 4 3" xfId="51845" xr:uid="{6B134A52-BFC0-40E4-94AF-793AFAC99424}"/>
    <cellStyle name="Normal 7 5 2 3 5" xfId="51846" xr:uid="{F01D0A5C-2367-4652-BE12-19D909EDA1C2}"/>
    <cellStyle name="Normal 7 5 2 3 5 2" xfId="51847" xr:uid="{977A6863-F7E2-40C7-817F-376DC24F0593}"/>
    <cellStyle name="Normal 7 5 2 3 6" xfId="51848" xr:uid="{4486B83F-A651-4228-A3A8-D15B50F6C0C5}"/>
    <cellStyle name="Normal 7 5 2 4" xfId="51849" xr:uid="{35BA8265-510A-4FC4-85C0-C9951E8E763F}"/>
    <cellStyle name="Normal 7 5 2 4 2" xfId="51850" xr:uid="{14239658-7103-4E65-9FC2-9CE574C39FC4}"/>
    <cellStyle name="Normal 7 5 2 4 2 2" xfId="51851" xr:uid="{328E77B7-4F53-4EE7-A65B-6777D8FED2DA}"/>
    <cellStyle name="Normal 7 5 2 4 2 2 2" xfId="51852" xr:uid="{5DE08D5C-3550-4D6A-BBC9-AE221FBFC442}"/>
    <cellStyle name="Normal 7 5 2 4 2 2 2 2" xfId="51853" xr:uid="{AB30F710-58DF-42B4-844B-F4CCB1B13F91}"/>
    <cellStyle name="Normal 7 5 2 4 2 2 3" xfId="51854" xr:uid="{7E1BA458-4879-49A5-8337-359FBD1E4871}"/>
    <cellStyle name="Normal 7 5 2 4 2 3" xfId="51855" xr:uid="{AF40D548-9A2E-4843-BE73-58D9E05B2320}"/>
    <cellStyle name="Normal 7 5 2 4 2 3 2" xfId="51856" xr:uid="{A8FF8DD5-C9AD-4602-BD00-1F335E9290B4}"/>
    <cellStyle name="Normal 7 5 2 4 2 4" xfId="51857" xr:uid="{8608705E-B14C-4092-B130-930EB5F2F95A}"/>
    <cellStyle name="Normal 7 5 2 4 3" xfId="51858" xr:uid="{E2AEA461-1737-4257-8155-70F2B5939E8B}"/>
    <cellStyle name="Normal 7 5 2 4 3 2" xfId="51859" xr:uid="{EC4E5F52-DD14-45C3-8903-86C7C93300F2}"/>
    <cellStyle name="Normal 7 5 2 4 3 2 2" xfId="51860" xr:uid="{08B38A80-1171-48D3-B64E-E799CCF517A9}"/>
    <cellStyle name="Normal 7 5 2 4 3 3" xfId="51861" xr:uid="{9A7A7C05-56D7-4A99-A810-26F1C1C2A84E}"/>
    <cellStyle name="Normal 7 5 2 4 4" xfId="51862" xr:uid="{F8D2794B-E16A-4811-9D40-EF0EC35F99D2}"/>
    <cellStyle name="Normal 7 5 2 4 4 2" xfId="51863" xr:uid="{D611A456-5571-4B79-B51F-AF4D1641DCAB}"/>
    <cellStyle name="Normal 7 5 2 4 5" xfId="51864" xr:uid="{229A0786-8BC8-4B04-B3B6-33663CBAB2F0}"/>
    <cellStyle name="Normal 7 5 2 5" xfId="51865" xr:uid="{7FE5171D-2BB9-4EE7-84F0-45D4569A5BB1}"/>
    <cellStyle name="Normal 7 5 2 5 2" xfId="51866" xr:uid="{17D6B7AE-AB6E-4EE4-B940-68F557B724CB}"/>
    <cellStyle name="Normal 7 5 2 5 2 2" xfId="51867" xr:uid="{40BF2ADC-3137-498C-BFF3-4CBCDBE06F2D}"/>
    <cellStyle name="Normal 7 5 2 5 2 2 2" xfId="51868" xr:uid="{2C232685-A5B6-4FBE-81FF-7DA4C054F97F}"/>
    <cellStyle name="Normal 7 5 2 5 2 3" xfId="51869" xr:uid="{2642384D-6161-4426-84F1-6756DC443568}"/>
    <cellStyle name="Normal 7 5 2 5 3" xfId="51870" xr:uid="{3DB0B657-1609-46C8-98CC-4399E4A5C39A}"/>
    <cellStyle name="Normal 7 5 2 5 3 2" xfId="51871" xr:uid="{4AA21583-E26D-448D-86F6-57F695685A21}"/>
    <cellStyle name="Normal 7 5 2 5 4" xfId="51872" xr:uid="{66DB33C1-6D1E-4817-B255-F94A0C069E8E}"/>
    <cellStyle name="Normal 7 5 2 6" xfId="51873" xr:uid="{018A7469-2AEF-447B-8AE4-204148CEC077}"/>
    <cellStyle name="Normal 7 5 2 6 2" xfId="51874" xr:uid="{694E9FB0-53CC-4922-A197-DCD428598376}"/>
    <cellStyle name="Normal 7 5 2 6 2 2" xfId="51875" xr:uid="{5A4F39AE-36C4-4588-8A98-0B6DD80EDDDE}"/>
    <cellStyle name="Normal 7 5 2 6 3" xfId="51876" xr:uid="{19EDDC0B-39F8-4625-BDE2-81AA46C6B7CF}"/>
    <cellStyle name="Normal 7 5 2 7" xfId="51877" xr:uid="{89F5DE82-8258-43A7-AC63-760EEFAF8F0C}"/>
    <cellStyle name="Normal 7 5 2 7 2" xfId="51878" xr:uid="{5A560C3F-2144-4C4B-AFB0-439AFD65F24C}"/>
    <cellStyle name="Normal 7 5 2 8" xfId="51879" xr:uid="{446D3FE4-DCBB-46E5-BB7A-2395D40F93FD}"/>
    <cellStyle name="Normal 7 5 3" xfId="51880" xr:uid="{0E277CBC-5086-4BCA-88FA-1C4BAA86C8F6}"/>
    <cellStyle name="Normal 7 5 3 2" xfId="51881" xr:uid="{9FBC263D-DB30-4460-AB7E-E716E639229B}"/>
    <cellStyle name="Normal 7 5 3 2 2" xfId="51882" xr:uid="{C6508A73-28DC-437F-BC90-F723E290E65A}"/>
    <cellStyle name="Normal 7 5 3 2 2 2" xfId="51883" xr:uid="{4C25017B-57BF-4F04-8EBF-8C5BD438E9A5}"/>
    <cellStyle name="Normal 7 5 3 2 2 2 2" xfId="51884" xr:uid="{B4969DEB-A1C4-40DF-A77E-BACDC6C49849}"/>
    <cellStyle name="Normal 7 5 3 2 2 2 2 2" xfId="51885" xr:uid="{53419EFE-E8D1-4998-B008-2F22E7FA4122}"/>
    <cellStyle name="Normal 7 5 3 2 2 2 2 2 2" xfId="51886" xr:uid="{53F8CDCF-C4EC-464C-ACB5-A1E472EA6F6B}"/>
    <cellStyle name="Normal 7 5 3 2 2 2 2 3" xfId="51887" xr:uid="{EEDFF5AE-55A1-4B09-A9C2-0583153B7C06}"/>
    <cellStyle name="Normal 7 5 3 2 2 2 3" xfId="51888" xr:uid="{629965B6-602B-4831-87FE-19B6652BBCF7}"/>
    <cellStyle name="Normal 7 5 3 2 2 2 3 2" xfId="51889" xr:uid="{87F73BA8-636B-4096-A68B-056808A5347E}"/>
    <cellStyle name="Normal 7 5 3 2 2 2 4" xfId="51890" xr:uid="{8F1D4EE3-B7E6-436F-BFF1-6149BF619058}"/>
    <cellStyle name="Normal 7 5 3 2 2 3" xfId="51891" xr:uid="{38AE3AE9-6543-42A8-AF80-01B871CC6AA4}"/>
    <cellStyle name="Normal 7 5 3 2 2 3 2" xfId="51892" xr:uid="{9F2A4C88-5AB4-49F2-B684-04C6F8B8D196}"/>
    <cellStyle name="Normal 7 5 3 2 2 3 2 2" xfId="51893" xr:uid="{575292FC-4A8B-4BF9-939D-4EBE72146C9F}"/>
    <cellStyle name="Normal 7 5 3 2 2 3 3" xfId="51894" xr:uid="{63F6EBF3-A48F-4987-8BA8-85B89F44D668}"/>
    <cellStyle name="Normal 7 5 3 2 2 4" xfId="51895" xr:uid="{D14ADC2A-2CAC-4E63-90F3-CCF2F52F0F3E}"/>
    <cellStyle name="Normal 7 5 3 2 2 4 2" xfId="51896" xr:uid="{74BC2498-51DD-4ACD-9B6F-E97FBAE43E9C}"/>
    <cellStyle name="Normal 7 5 3 2 2 5" xfId="51897" xr:uid="{1EA34BE0-E7C6-4FA0-A77B-728BFAB85C1B}"/>
    <cellStyle name="Normal 7 5 3 2 3" xfId="51898" xr:uid="{DFB57589-A635-4E05-93AD-76E8B8F8D278}"/>
    <cellStyle name="Normal 7 5 3 2 3 2" xfId="51899" xr:uid="{FED181EE-3F99-42B3-8593-6CC519A2BD79}"/>
    <cellStyle name="Normal 7 5 3 2 3 2 2" xfId="51900" xr:uid="{7B74B8D3-204E-45B8-8AEB-9D9A7F29C9ED}"/>
    <cellStyle name="Normal 7 5 3 2 3 2 2 2" xfId="51901" xr:uid="{11898DD7-1E87-4E6E-B691-2BFE81535813}"/>
    <cellStyle name="Normal 7 5 3 2 3 2 3" xfId="51902" xr:uid="{58459E71-C223-4094-9061-42239F9F26CC}"/>
    <cellStyle name="Normal 7 5 3 2 3 3" xfId="51903" xr:uid="{CF5E1A1B-4FDE-424B-A275-5AB3AE932013}"/>
    <cellStyle name="Normal 7 5 3 2 3 3 2" xfId="51904" xr:uid="{0DC9C7DD-4D9E-4619-B96D-753547551FFF}"/>
    <cellStyle name="Normal 7 5 3 2 3 4" xfId="51905" xr:uid="{0101B5B3-78D8-43EE-812F-67907E9F4BC4}"/>
    <cellStyle name="Normal 7 5 3 2 4" xfId="51906" xr:uid="{256931A0-BFBE-449A-A6C1-B7306C7F465A}"/>
    <cellStyle name="Normal 7 5 3 2 4 2" xfId="51907" xr:uid="{93DF8350-CD29-479F-9B5D-47280FA60362}"/>
    <cellStyle name="Normal 7 5 3 2 4 2 2" xfId="51908" xr:uid="{CB9FBAB1-B7E5-460C-AA1E-39C2D3C951D6}"/>
    <cellStyle name="Normal 7 5 3 2 4 3" xfId="51909" xr:uid="{FA61222B-EE7E-45E7-A213-93BF98112FF2}"/>
    <cellStyle name="Normal 7 5 3 2 5" xfId="51910" xr:uid="{B7DFFDEB-4F14-448E-AF4B-4950E0ADFC77}"/>
    <cellStyle name="Normal 7 5 3 2 5 2" xfId="51911" xr:uid="{D74FB099-AC61-4695-8FF6-81B2997FB565}"/>
    <cellStyle name="Normal 7 5 3 2 6" xfId="51912" xr:uid="{3F3A64CB-F9A2-415D-AFA8-5F89AC0E0BD8}"/>
    <cellStyle name="Normal 7 5 3 3" xfId="51913" xr:uid="{707C9B1E-B634-411B-949D-402C67CDB7A3}"/>
    <cellStyle name="Normal 7 5 3 3 2" xfId="51914" xr:uid="{DB4D9198-B396-4D4B-9B0B-A50DB29995B2}"/>
    <cellStyle name="Normal 7 5 3 3 2 2" xfId="51915" xr:uid="{06019C07-99FD-4CD0-8A63-6B54E29C2490}"/>
    <cellStyle name="Normal 7 5 3 3 2 2 2" xfId="51916" xr:uid="{93CB10A5-0647-4FF9-935B-53FAEC531024}"/>
    <cellStyle name="Normal 7 5 3 3 2 2 2 2" xfId="51917" xr:uid="{DE336047-40C5-4734-BCC0-6113850AB848}"/>
    <cellStyle name="Normal 7 5 3 3 2 2 3" xfId="51918" xr:uid="{4624C76F-17D4-47A5-AB01-F7735C9CF414}"/>
    <cellStyle name="Normal 7 5 3 3 2 3" xfId="51919" xr:uid="{FDC39FBE-F816-425B-8436-142A1736B400}"/>
    <cellStyle name="Normal 7 5 3 3 2 3 2" xfId="51920" xr:uid="{5F0977C1-31B7-44D6-9F45-472AA1AB778B}"/>
    <cellStyle name="Normal 7 5 3 3 2 4" xfId="51921" xr:uid="{3E1164E7-5224-4E37-A261-DC99F6B11A9C}"/>
    <cellStyle name="Normal 7 5 3 3 3" xfId="51922" xr:uid="{2A904F9E-2DBB-4ED0-A52F-9DC42B134EF9}"/>
    <cellStyle name="Normal 7 5 3 3 3 2" xfId="51923" xr:uid="{DFE79649-104E-4DF3-BEDE-0D58A32B35F0}"/>
    <cellStyle name="Normal 7 5 3 3 3 2 2" xfId="51924" xr:uid="{5A1A265E-5545-43D5-9A25-1D55998ADF45}"/>
    <cellStyle name="Normal 7 5 3 3 3 3" xfId="51925" xr:uid="{417C4345-2BCE-4646-9E1A-2CCBF47628F7}"/>
    <cellStyle name="Normal 7 5 3 3 4" xfId="51926" xr:uid="{0C22CCE4-A182-4D5E-8A30-138F9C25574A}"/>
    <cellStyle name="Normal 7 5 3 3 4 2" xfId="51927" xr:uid="{E56CC804-9FAE-45DD-8B24-6672725DC635}"/>
    <cellStyle name="Normal 7 5 3 3 5" xfId="51928" xr:uid="{2F367671-874D-47AF-ADF4-33254A662EE7}"/>
    <cellStyle name="Normal 7 5 3 4" xfId="51929" xr:uid="{D3F61278-9628-43CE-AF9A-2DDC5AF43587}"/>
    <cellStyle name="Normal 7 5 3 4 2" xfId="51930" xr:uid="{523AB1EF-DC25-4438-8C80-3540F990AF99}"/>
    <cellStyle name="Normal 7 5 3 4 2 2" xfId="51931" xr:uid="{A688EB4A-2738-4491-862F-720705B4BFB7}"/>
    <cellStyle name="Normal 7 5 3 4 2 2 2" xfId="51932" xr:uid="{BF24788A-5BDA-4DCC-A94E-D958DFC02F22}"/>
    <cellStyle name="Normal 7 5 3 4 2 3" xfId="51933" xr:uid="{5D0F5D7D-7DCF-44AB-AA73-7DCC4E1F917E}"/>
    <cellStyle name="Normal 7 5 3 4 3" xfId="51934" xr:uid="{750C7F59-DABE-46BC-898B-4A188A4CE3CB}"/>
    <cellStyle name="Normal 7 5 3 4 3 2" xfId="51935" xr:uid="{187BFF2B-ADF9-47A8-B39D-BE68DDA11B07}"/>
    <cellStyle name="Normal 7 5 3 4 4" xfId="51936" xr:uid="{CDFA3BE3-C62B-4166-9D89-212DB190695D}"/>
    <cellStyle name="Normal 7 5 3 5" xfId="51937" xr:uid="{63710792-E1F1-4B02-88FC-B6046071C1C8}"/>
    <cellStyle name="Normal 7 5 3 5 2" xfId="51938" xr:uid="{BFDF107D-AA9C-451C-8919-6AA451641425}"/>
    <cellStyle name="Normal 7 5 3 5 2 2" xfId="51939" xr:uid="{FE553F10-F2A1-40AE-9730-496F96E6B244}"/>
    <cellStyle name="Normal 7 5 3 5 3" xfId="51940" xr:uid="{922D4978-3E59-4AF7-AA3F-B5CDF70330F0}"/>
    <cellStyle name="Normal 7 5 3 6" xfId="51941" xr:uid="{565FFC7A-E0C9-42DF-A07D-68436CCC6D7C}"/>
    <cellStyle name="Normal 7 5 3 6 2" xfId="51942" xr:uid="{306EE284-1166-4947-810D-5F767764587D}"/>
    <cellStyle name="Normal 7 5 3 7" xfId="51943" xr:uid="{21B763F9-543B-4894-8AC0-855EC4DEA61D}"/>
    <cellStyle name="Normal 7 5 4" xfId="51944" xr:uid="{FBD94AC6-DAEA-48B6-9641-E6D636F361C3}"/>
    <cellStyle name="Normal 7 5 4 2" xfId="51945" xr:uid="{FF03CA5F-4DC8-4F99-BC43-1DB708BB7973}"/>
    <cellStyle name="Normal 7 5 4 2 2" xfId="51946" xr:uid="{4A8BB858-9356-4A70-A10F-0C417833794B}"/>
    <cellStyle name="Normal 7 5 4 2 2 2" xfId="51947" xr:uid="{F17022B8-B4A8-4307-BBDB-48342CE12DC6}"/>
    <cellStyle name="Normal 7 5 4 2 2 2 2" xfId="51948" xr:uid="{22CE105C-438E-4FAB-AE65-29B390022586}"/>
    <cellStyle name="Normal 7 5 4 2 2 2 2 2" xfId="51949" xr:uid="{EB37B672-4B28-4B61-A716-9CC9DA839965}"/>
    <cellStyle name="Normal 7 5 4 2 2 2 3" xfId="51950" xr:uid="{CAEF1315-BBD4-4EF8-8D34-F0EEEB19E5C0}"/>
    <cellStyle name="Normal 7 5 4 2 2 3" xfId="51951" xr:uid="{AD17DDB0-55C1-4B41-8D8C-E5280E67C475}"/>
    <cellStyle name="Normal 7 5 4 2 2 3 2" xfId="51952" xr:uid="{264158C3-7174-41B6-A693-88EEF3890146}"/>
    <cellStyle name="Normal 7 5 4 2 2 4" xfId="51953" xr:uid="{073BE7E1-987B-4119-9556-F935C7DCFBC1}"/>
    <cellStyle name="Normal 7 5 4 2 3" xfId="51954" xr:uid="{A21AFBA2-11C4-4D1F-85DB-B3A72F0AFFCD}"/>
    <cellStyle name="Normal 7 5 4 2 3 2" xfId="51955" xr:uid="{333BA6EB-D780-4694-867C-908A1B5091EB}"/>
    <cellStyle name="Normal 7 5 4 2 3 2 2" xfId="51956" xr:uid="{6D32C82A-995A-4A5B-A1A9-CFB3759AF306}"/>
    <cellStyle name="Normal 7 5 4 2 3 3" xfId="51957" xr:uid="{FFE4404C-C816-470B-85C6-E7A99F24EF23}"/>
    <cellStyle name="Normal 7 5 4 2 4" xfId="51958" xr:uid="{29705AA0-D689-44A7-B8AC-397B22710854}"/>
    <cellStyle name="Normal 7 5 4 2 4 2" xfId="51959" xr:uid="{942B18CE-C709-46D5-A8C9-F8BA702BDD15}"/>
    <cellStyle name="Normal 7 5 4 2 5" xfId="51960" xr:uid="{FC3EABF5-111C-4CED-AD53-42D795628374}"/>
    <cellStyle name="Normal 7 5 4 3" xfId="51961" xr:uid="{94B96A13-990E-40BE-B30F-11DB6C0393CE}"/>
    <cellStyle name="Normal 7 5 4 3 2" xfId="51962" xr:uid="{B7A1BA5D-11C3-4759-933F-106D795487C2}"/>
    <cellStyle name="Normal 7 5 4 3 2 2" xfId="51963" xr:uid="{CC120163-3F68-4A3C-AD14-606DEE3CB7A6}"/>
    <cellStyle name="Normal 7 5 4 3 2 2 2" xfId="51964" xr:uid="{695C1447-4467-4973-9F31-8C3D6962CF5E}"/>
    <cellStyle name="Normal 7 5 4 3 2 3" xfId="51965" xr:uid="{8130B1C1-72A7-48E1-A52F-E771613E9A89}"/>
    <cellStyle name="Normal 7 5 4 3 3" xfId="51966" xr:uid="{F092F687-0CFE-40F0-8054-5D1B02C41A15}"/>
    <cellStyle name="Normal 7 5 4 3 3 2" xfId="51967" xr:uid="{16530900-C059-4A26-A770-7F210DF4A142}"/>
    <cellStyle name="Normal 7 5 4 3 4" xfId="51968" xr:uid="{9D5C0319-B48D-4896-ADE9-ADD2DDB5AF76}"/>
    <cellStyle name="Normal 7 5 4 4" xfId="51969" xr:uid="{B4ADD4C2-27CB-4EEB-B38A-294671304925}"/>
    <cellStyle name="Normal 7 5 4 4 2" xfId="51970" xr:uid="{E1B0F4A2-0088-4364-920E-19DC5114948B}"/>
    <cellStyle name="Normal 7 5 4 4 2 2" xfId="51971" xr:uid="{1AA8D588-FC7D-460E-B43F-232AC716108C}"/>
    <cellStyle name="Normal 7 5 4 4 3" xfId="51972" xr:uid="{6892E3B4-DFBD-4A23-BF70-4E292E0E9C80}"/>
    <cellStyle name="Normal 7 5 4 5" xfId="51973" xr:uid="{B874933D-BD46-4E71-AFF1-4312A57A3EED}"/>
    <cellStyle name="Normal 7 5 4 5 2" xfId="51974" xr:uid="{4CA3DCF6-2D39-4082-B491-BD10C0B9DEEC}"/>
    <cellStyle name="Normal 7 5 4 6" xfId="51975" xr:uid="{A8043DBE-4E0E-4EB7-AAE6-218E0DE983D0}"/>
    <cellStyle name="Normal 7 5 5" xfId="51976" xr:uid="{9BF4A0BF-87B5-4B09-B8B9-31B365118A51}"/>
    <cellStyle name="Normal 7 5 5 2" xfId="51977" xr:uid="{AE782FB3-658F-4E51-85B6-2908EE533A3C}"/>
    <cellStyle name="Normal 7 5 5 2 2" xfId="51978" xr:uid="{1880C169-4DC6-4A5A-8F57-07DE261F7DC2}"/>
    <cellStyle name="Normal 7 5 5 2 2 2" xfId="51979" xr:uid="{562B69F1-8E66-4902-BBBD-6C64B7770B2F}"/>
    <cellStyle name="Normal 7 5 5 2 2 2 2" xfId="51980" xr:uid="{E371DA69-B457-417F-9864-E3CE6BA54027}"/>
    <cellStyle name="Normal 7 5 5 2 2 3" xfId="51981" xr:uid="{4F6C03B1-290E-4920-81B8-9DEB9157B9FD}"/>
    <cellStyle name="Normal 7 5 5 2 3" xfId="51982" xr:uid="{6D16E08C-9A80-4C30-9908-DE25FE90BCBD}"/>
    <cellStyle name="Normal 7 5 5 2 3 2" xfId="51983" xr:uid="{5342FA25-0D53-441B-B037-CE18A4C17411}"/>
    <cellStyle name="Normal 7 5 5 2 4" xfId="51984" xr:uid="{D62DE555-7234-46EC-8EAD-1A78227F852A}"/>
    <cellStyle name="Normal 7 5 5 3" xfId="51985" xr:uid="{B7F56F64-F844-4F24-9F8C-FDA8C8C4CFEE}"/>
    <cellStyle name="Normal 7 5 5 3 2" xfId="51986" xr:uid="{7F9DC2DB-54B4-4E63-B85A-FBC2443F3952}"/>
    <cellStyle name="Normal 7 5 5 3 2 2" xfId="51987" xr:uid="{E5897039-0F0E-4BE5-AF19-3F66A96FB162}"/>
    <cellStyle name="Normal 7 5 5 3 3" xfId="51988" xr:uid="{3B043E06-A7BA-4D6A-B58C-38BB2975C847}"/>
    <cellStyle name="Normal 7 5 5 4" xfId="51989" xr:uid="{EB331AF7-CC84-4B2A-9E1F-C03C5B444CBE}"/>
    <cellStyle name="Normal 7 5 5 4 2" xfId="51990" xr:uid="{A08C5A12-3E9C-4C35-BBC8-ED7EEF8CDAA8}"/>
    <cellStyle name="Normal 7 5 5 5" xfId="51991" xr:uid="{BA750A26-EAA1-4F34-9108-C5ED2BA203A9}"/>
    <cellStyle name="Normal 7 5 6" xfId="51992" xr:uid="{357BF024-71BD-4522-BCF2-893A8FBB2095}"/>
    <cellStyle name="Normal 7 5 6 2" xfId="51993" xr:uid="{57988858-56ED-4C89-A8BC-711ED575C33E}"/>
    <cellStyle name="Normal 7 5 6 2 2" xfId="51994" xr:uid="{37A7C99B-B3CF-489B-9958-E4B9D69CB4E6}"/>
    <cellStyle name="Normal 7 5 6 2 2 2" xfId="51995" xr:uid="{CE6AD9EE-858F-43FF-B0A4-0719B0A51491}"/>
    <cellStyle name="Normal 7 5 6 2 3" xfId="51996" xr:uid="{7BC71051-38C0-4270-A674-EDC59D653D12}"/>
    <cellStyle name="Normal 7 5 6 3" xfId="51997" xr:uid="{4AA3BC29-62AA-4688-987A-D4B19C7BA21E}"/>
    <cellStyle name="Normal 7 5 6 3 2" xfId="51998" xr:uid="{6FEC9B8E-CA5A-4DDD-8AAA-3F67A9B4F7A4}"/>
    <cellStyle name="Normal 7 5 6 4" xfId="51999" xr:uid="{44E1F312-3308-4F48-8215-934900E3D5BD}"/>
    <cellStyle name="Normal 7 5 7" xfId="52000" xr:uid="{72159D2E-64C8-406E-8402-095170CF2C0F}"/>
    <cellStyle name="Normal 7 5 7 2" xfId="52001" xr:uid="{144E98A6-440C-48FD-B965-70680D5F8645}"/>
    <cellStyle name="Normal 7 5 7 2 2" xfId="52002" xr:uid="{5B4E31D8-BDA3-4578-A66C-FD32DB1D498D}"/>
    <cellStyle name="Normal 7 5 7 3" xfId="52003" xr:uid="{9C083A00-D423-4BFF-BD76-87648F810922}"/>
    <cellStyle name="Normal 7 5 8" xfId="52004" xr:uid="{98765818-52FE-4956-8551-60F2BF14AA0B}"/>
    <cellStyle name="Normal 7 5 8 2" xfId="52005" xr:uid="{D0BB5ED4-30A4-4853-8361-72622E78F477}"/>
    <cellStyle name="Normal 7 5 9" xfId="52006" xr:uid="{6F6597F5-488B-4834-9007-B345D674F7C5}"/>
    <cellStyle name="Normal 7 6" xfId="52007" xr:uid="{0C65315D-205C-4E4C-978F-F791A891DF2D}"/>
    <cellStyle name="Normal 7 6 2" xfId="52008" xr:uid="{83FB5559-AF5E-402F-9A54-BB9CF251FCC1}"/>
    <cellStyle name="Normal 7 6 2 2" xfId="52009" xr:uid="{F1757076-0029-426E-B530-61D2AE269E80}"/>
    <cellStyle name="Normal 7 6 2 2 2" xfId="52010" xr:uid="{E0499844-BAC7-432F-9B41-0F1BAEADC630}"/>
    <cellStyle name="Normal 7 6 2 2 2 2" xfId="52011" xr:uid="{71D2C151-0810-4998-9891-5F73D7218547}"/>
    <cellStyle name="Normal 7 6 2 2 2 2 2" xfId="52012" xr:uid="{6653113B-552C-40A4-8DF1-AC12857C5D20}"/>
    <cellStyle name="Normal 7 6 2 2 2 2 2 2" xfId="52013" xr:uid="{164DD880-A7B7-46B4-897C-132CA2139884}"/>
    <cellStyle name="Normal 7 6 2 2 2 2 2 2 2" xfId="52014" xr:uid="{35E41E13-3006-46D6-891B-CF8F4B49550E}"/>
    <cellStyle name="Normal 7 6 2 2 2 2 2 3" xfId="52015" xr:uid="{C9F95CC4-88B1-41B7-A434-5FBF1890F41B}"/>
    <cellStyle name="Normal 7 6 2 2 2 2 3" xfId="52016" xr:uid="{A059B5D2-E9CE-4F4B-86B2-AFA5E608CF70}"/>
    <cellStyle name="Normal 7 6 2 2 2 2 3 2" xfId="52017" xr:uid="{5E3B0D30-30AD-47CE-8395-E74A69977990}"/>
    <cellStyle name="Normal 7 6 2 2 2 2 4" xfId="52018" xr:uid="{10DAA26D-CC5C-4401-9A5B-9D23E84F4722}"/>
    <cellStyle name="Normal 7 6 2 2 2 3" xfId="52019" xr:uid="{E6F46F1D-D38A-4DA1-A294-CCAF9312A564}"/>
    <cellStyle name="Normal 7 6 2 2 2 3 2" xfId="52020" xr:uid="{81C95234-D3D2-4B31-84A8-927B65476033}"/>
    <cellStyle name="Normal 7 6 2 2 2 3 2 2" xfId="52021" xr:uid="{655B2578-F7A2-45DD-A5E7-FCCE64B9839B}"/>
    <cellStyle name="Normal 7 6 2 2 2 3 3" xfId="52022" xr:uid="{79294185-6308-4C75-B364-4A8C3B466E7C}"/>
    <cellStyle name="Normal 7 6 2 2 2 4" xfId="52023" xr:uid="{288FB61E-4526-4CBB-9F18-A498B68646F2}"/>
    <cellStyle name="Normal 7 6 2 2 2 4 2" xfId="52024" xr:uid="{B225B506-9291-4E59-92A3-C97AD4104930}"/>
    <cellStyle name="Normal 7 6 2 2 2 5" xfId="52025" xr:uid="{36F9D4F4-541E-4C15-B945-804C2D8A0F33}"/>
    <cellStyle name="Normal 7 6 2 2 3" xfId="52026" xr:uid="{C1824E7C-AFB9-4F69-93F6-FE5528D88D44}"/>
    <cellStyle name="Normal 7 6 2 2 3 2" xfId="52027" xr:uid="{2F06B291-4A4D-4E6D-9615-10EDAD231539}"/>
    <cellStyle name="Normal 7 6 2 2 3 2 2" xfId="52028" xr:uid="{1DF0478C-A911-4C7D-8E02-60C9C942A2C5}"/>
    <cellStyle name="Normal 7 6 2 2 3 2 2 2" xfId="52029" xr:uid="{2316AC81-6CF4-4D1B-B449-95F4EA05E94D}"/>
    <cellStyle name="Normal 7 6 2 2 3 2 3" xfId="52030" xr:uid="{01E9876F-CB2A-4664-AA09-D0B768B11E65}"/>
    <cellStyle name="Normal 7 6 2 2 3 3" xfId="52031" xr:uid="{F2D7D93C-465C-4ABC-A430-FF2DC1969C8E}"/>
    <cellStyle name="Normal 7 6 2 2 3 3 2" xfId="52032" xr:uid="{C1334A06-5857-4EB6-91A2-41441A134447}"/>
    <cellStyle name="Normal 7 6 2 2 3 4" xfId="52033" xr:uid="{90B47EFD-322A-447C-AB4B-9F76FFA78CE8}"/>
    <cellStyle name="Normal 7 6 2 2 4" xfId="52034" xr:uid="{B66752AE-58A6-49EF-B357-8C395F431F51}"/>
    <cellStyle name="Normal 7 6 2 2 4 2" xfId="52035" xr:uid="{B8816594-F260-4E20-BDF7-A576015161A0}"/>
    <cellStyle name="Normal 7 6 2 2 4 2 2" xfId="52036" xr:uid="{BC6B4F0C-6B7C-47EF-ABD2-30A1ABE5BB17}"/>
    <cellStyle name="Normal 7 6 2 2 4 3" xfId="52037" xr:uid="{D35C9383-C0E9-441F-AC63-4AF88DDAC42C}"/>
    <cellStyle name="Normal 7 6 2 2 5" xfId="52038" xr:uid="{5441518E-71A8-4099-A876-8FD6B2F85033}"/>
    <cellStyle name="Normal 7 6 2 2 5 2" xfId="52039" xr:uid="{2D784769-9898-4695-B198-1DE18F5C89BC}"/>
    <cellStyle name="Normal 7 6 2 2 6" xfId="52040" xr:uid="{DB9A3031-15BB-445A-B6B1-5A215CCED4A8}"/>
    <cellStyle name="Normal 7 6 2 3" xfId="52041" xr:uid="{ABFF58A6-644E-4614-B610-A1EAD9334571}"/>
    <cellStyle name="Normal 7 6 2 3 2" xfId="52042" xr:uid="{6A3AF5A1-8FF5-4506-A522-165D3971A1DF}"/>
    <cellStyle name="Normal 7 6 2 3 2 2" xfId="52043" xr:uid="{5B501E3D-86B4-4D6B-BEE6-5B825ED885FD}"/>
    <cellStyle name="Normal 7 6 2 3 2 2 2" xfId="52044" xr:uid="{5C9264DB-B0CB-46A0-80B1-D44D6834A1F3}"/>
    <cellStyle name="Normal 7 6 2 3 2 2 2 2" xfId="52045" xr:uid="{6AD403A2-777E-4D7C-AE74-26D0227BE556}"/>
    <cellStyle name="Normal 7 6 2 3 2 2 3" xfId="52046" xr:uid="{11FF0F0A-7058-4640-AE9A-B1ADD57D77A5}"/>
    <cellStyle name="Normal 7 6 2 3 2 3" xfId="52047" xr:uid="{79C47F7E-595B-4BD3-90B1-3C2DBF93D441}"/>
    <cellStyle name="Normal 7 6 2 3 2 3 2" xfId="52048" xr:uid="{5D29FAA2-CF5A-4F6B-BF63-4763CBAEE570}"/>
    <cellStyle name="Normal 7 6 2 3 2 4" xfId="52049" xr:uid="{275A1589-4EFF-4597-8877-53D4789F0F09}"/>
    <cellStyle name="Normal 7 6 2 3 3" xfId="52050" xr:uid="{49DABDCC-8637-43FE-8BFE-F15B6647E689}"/>
    <cellStyle name="Normal 7 6 2 3 3 2" xfId="52051" xr:uid="{69FC3160-9D4F-4AA9-8F9C-A948A2592171}"/>
    <cellStyle name="Normal 7 6 2 3 3 2 2" xfId="52052" xr:uid="{8D22B167-8011-47E5-B4CA-CBECA572C735}"/>
    <cellStyle name="Normal 7 6 2 3 3 3" xfId="52053" xr:uid="{62C71188-E044-48D3-A0F3-83F03B517273}"/>
    <cellStyle name="Normal 7 6 2 3 4" xfId="52054" xr:uid="{F360C0D4-453F-4F05-8A73-D0451F1821AE}"/>
    <cellStyle name="Normal 7 6 2 3 4 2" xfId="52055" xr:uid="{C6E4987F-45AC-4D0F-B895-1FAF966DAF33}"/>
    <cellStyle name="Normal 7 6 2 3 5" xfId="52056" xr:uid="{53D385BF-CAC0-4DE6-A966-87AAA1ADD0E7}"/>
    <cellStyle name="Normal 7 6 2 4" xfId="52057" xr:uid="{3472E2CE-A02B-4C30-95F0-181CB07C6C0A}"/>
    <cellStyle name="Normal 7 6 2 4 2" xfId="52058" xr:uid="{75812C09-3060-4A88-BD2C-122F16D8DB62}"/>
    <cellStyle name="Normal 7 6 2 4 2 2" xfId="52059" xr:uid="{81788AFB-6D97-4F85-ABD5-5E094FE64533}"/>
    <cellStyle name="Normal 7 6 2 4 2 2 2" xfId="52060" xr:uid="{E4FDA590-5C4B-4AF2-B69F-27376D3B118E}"/>
    <cellStyle name="Normal 7 6 2 4 2 3" xfId="52061" xr:uid="{405547F1-3C18-484B-B3EC-DF27342F4C3F}"/>
    <cellStyle name="Normal 7 6 2 4 3" xfId="52062" xr:uid="{D40E2412-C53B-42CA-AE8D-E241DD414B1E}"/>
    <cellStyle name="Normal 7 6 2 4 3 2" xfId="52063" xr:uid="{5914306C-0F75-416A-807C-500569CCBB39}"/>
    <cellStyle name="Normal 7 6 2 4 4" xfId="52064" xr:uid="{E8921C6B-1B9D-44C6-B034-DE7CA88B4E73}"/>
    <cellStyle name="Normal 7 6 2 5" xfId="52065" xr:uid="{4B7EBFE3-6D98-4A14-BE95-A316AE7C0C47}"/>
    <cellStyle name="Normal 7 6 2 5 2" xfId="52066" xr:uid="{007E0F34-9553-41CC-83AC-3E8D384635E5}"/>
    <cellStyle name="Normal 7 6 2 5 2 2" xfId="52067" xr:uid="{00409955-8711-4E81-916C-6135997AB5B3}"/>
    <cellStyle name="Normal 7 6 2 5 3" xfId="52068" xr:uid="{FBD3CA7B-80C1-4A7F-BDE3-E4697CB921F4}"/>
    <cellStyle name="Normal 7 6 2 6" xfId="52069" xr:uid="{7A45C4FA-62BD-4695-A5A8-30D05C615882}"/>
    <cellStyle name="Normal 7 6 2 6 2" xfId="52070" xr:uid="{28AC93AD-C19B-4055-99AA-C17D46A3BA78}"/>
    <cellStyle name="Normal 7 6 2 7" xfId="52071" xr:uid="{9E5B2ACA-FAB8-45D7-AEE7-2993C2ECC977}"/>
    <cellStyle name="Normal 7 6 3" xfId="52072" xr:uid="{6ED829D6-C8E0-42FE-9284-4CE764DBEA90}"/>
    <cellStyle name="Normal 7 6 3 2" xfId="52073" xr:uid="{9D5D564D-533E-4988-9780-04C23D65C33E}"/>
    <cellStyle name="Normal 7 6 3 2 2" xfId="52074" xr:uid="{A4871144-FCBA-40B6-9765-69F507EA698D}"/>
    <cellStyle name="Normal 7 6 3 2 2 2" xfId="52075" xr:uid="{F78F7146-08F3-4476-BE8B-625B64014729}"/>
    <cellStyle name="Normal 7 6 3 2 2 2 2" xfId="52076" xr:uid="{E80CCA5A-4472-4CB1-9C92-D00212EE871A}"/>
    <cellStyle name="Normal 7 6 3 2 2 2 2 2" xfId="52077" xr:uid="{536EB932-2693-400E-8E37-516E7DF819BD}"/>
    <cellStyle name="Normal 7 6 3 2 2 2 3" xfId="52078" xr:uid="{8CC47010-A67A-4C64-ADE7-7733DAA91EB2}"/>
    <cellStyle name="Normal 7 6 3 2 2 3" xfId="52079" xr:uid="{B015342C-AC84-4C64-A52C-714BB1B70009}"/>
    <cellStyle name="Normal 7 6 3 2 2 3 2" xfId="52080" xr:uid="{FF82DF7A-596B-4E31-AB02-2D02F073F564}"/>
    <cellStyle name="Normal 7 6 3 2 2 4" xfId="52081" xr:uid="{0D047339-9A3A-404F-A2E8-E6D64DF2BEFC}"/>
    <cellStyle name="Normal 7 6 3 2 3" xfId="52082" xr:uid="{BDF119F4-D66F-46DD-9220-696E1DBDBE3D}"/>
    <cellStyle name="Normal 7 6 3 2 3 2" xfId="52083" xr:uid="{15CD3E97-25B4-498D-AFD9-A6312F6D1881}"/>
    <cellStyle name="Normal 7 6 3 2 3 2 2" xfId="52084" xr:uid="{0FBC741C-A2BB-4461-BD9F-3716116B4094}"/>
    <cellStyle name="Normal 7 6 3 2 3 3" xfId="52085" xr:uid="{17D677D2-F984-4202-BD63-D8E677273D90}"/>
    <cellStyle name="Normal 7 6 3 2 4" xfId="52086" xr:uid="{19D5509A-467B-4E6F-9E76-5EDAE6127CE2}"/>
    <cellStyle name="Normal 7 6 3 2 4 2" xfId="52087" xr:uid="{4BCCB68E-4652-4F5C-8106-8FABD59DAB01}"/>
    <cellStyle name="Normal 7 6 3 2 5" xfId="52088" xr:uid="{58199E13-30B8-4BCB-9D18-5DE16287BAA0}"/>
    <cellStyle name="Normal 7 6 3 3" xfId="52089" xr:uid="{EE3E9114-B074-44AB-BE42-A9E6DBCC8933}"/>
    <cellStyle name="Normal 7 6 3 3 2" xfId="52090" xr:uid="{9173AAB1-03BD-4E84-8E52-B3AD6125EEE2}"/>
    <cellStyle name="Normal 7 6 3 3 2 2" xfId="52091" xr:uid="{0E7CC59D-7CE3-40A8-98DB-739719FB4DFF}"/>
    <cellStyle name="Normal 7 6 3 3 2 2 2" xfId="52092" xr:uid="{6AF4FCE6-D3F9-4DF0-9207-473551E4F569}"/>
    <cellStyle name="Normal 7 6 3 3 2 3" xfId="52093" xr:uid="{1BC9B3E3-6923-4F48-9FC2-9351B0318E2F}"/>
    <cellStyle name="Normal 7 6 3 3 3" xfId="52094" xr:uid="{DB50B362-8446-4DBC-9622-2B926E625E0B}"/>
    <cellStyle name="Normal 7 6 3 3 3 2" xfId="52095" xr:uid="{F2BEC053-EDCA-464A-BED0-8F9F16BF1612}"/>
    <cellStyle name="Normal 7 6 3 3 4" xfId="52096" xr:uid="{23A8080A-C45A-4CE3-967B-48CB0F1B4D66}"/>
    <cellStyle name="Normal 7 6 3 4" xfId="52097" xr:uid="{50A32EA1-6C62-4DA1-B574-2DE2E5998558}"/>
    <cellStyle name="Normal 7 6 3 4 2" xfId="52098" xr:uid="{90EFEEB8-98CD-4061-B0DB-C3FDA8493FBC}"/>
    <cellStyle name="Normal 7 6 3 4 2 2" xfId="52099" xr:uid="{45DFCB7D-03FC-416E-9B78-A1E7BBAF8B0D}"/>
    <cellStyle name="Normal 7 6 3 4 3" xfId="52100" xr:uid="{2C9D4C38-C955-4A18-8E56-A46F7DC1F06A}"/>
    <cellStyle name="Normal 7 6 3 5" xfId="52101" xr:uid="{92211AE2-73E1-4BE9-8F37-4127AC4F0088}"/>
    <cellStyle name="Normal 7 6 3 5 2" xfId="52102" xr:uid="{D4C721ED-4E08-42C8-BC24-2DE07C75E3F8}"/>
    <cellStyle name="Normal 7 6 3 6" xfId="52103" xr:uid="{42F43DF2-E946-44D8-8BEF-D9FBBA85FE42}"/>
    <cellStyle name="Normal 7 6 4" xfId="52104" xr:uid="{A27E114C-C072-4276-8247-AF0897E5C70E}"/>
    <cellStyle name="Normal 7 6 4 2" xfId="52105" xr:uid="{1A91E4C4-58FB-4935-824F-CDD16A220D37}"/>
    <cellStyle name="Normal 7 6 4 2 2" xfId="52106" xr:uid="{F2728F4C-3B29-4B45-8DA0-93A4E78A70E7}"/>
    <cellStyle name="Normal 7 6 4 2 2 2" xfId="52107" xr:uid="{ADFF48CF-1F1A-4AAD-B0DC-CAFADEFB66EA}"/>
    <cellStyle name="Normal 7 6 4 2 2 2 2" xfId="52108" xr:uid="{B6897442-4EE4-41A9-9BC4-97E927D07FF4}"/>
    <cellStyle name="Normal 7 6 4 2 2 3" xfId="52109" xr:uid="{97DE9E16-F873-4D27-BB19-C2E05B33E2CC}"/>
    <cellStyle name="Normal 7 6 4 2 3" xfId="52110" xr:uid="{9543E904-21E9-410A-92B9-611943B41AEE}"/>
    <cellStyle name="Normal 7 6 4 2 3 2" xfId="52111" xr:uid="{56BE820D-08D9-491E-A310-9B07EE02ADBE}"/>
    <cellStyle name="Normal 7 6 4 2 4" xfId="52112" xr:uid="{70E60AEA-D7CA-464C-8CDB-5442CBBB0092}"/>
    <cellStyle name="Normal 7 6 4 3" xfId="52113" xr:uid="{8716F64E-962C-4FD0-8637-05307B3EE67C}"/>
    <cellStyle name="Normal 7 6 4 3 2" xfId="52114" xr:uid="{B3084447-F5B8-4F88-AAF0-DAD838418CC5}"/>
    <cellStyle name="Normal 7 6 4 3 2 2" xfId="52115" xr:uid="{AD0FD535-633E-481D-919E-C82FF413D1EC}"/>
    <cellStyle name="Normal 7 6 4 3 3" xfId="52116" xr:uid="{767E5186-D860-4F2D-BBEA-305910D3EC46}"/>
    <cellStyle name="Normal 7 6 4 4" xfId="52117" xr:uid="{06156CE1-46B5-41FD-93E8-9A5C7569921A}"/>
    <cellStyle name="Normal 7 6 4 4 2" xfId="52118" xr:uid="{263FD9D5-8A99-41E9-86D7-BC0DF1B83DC4}"/>
    <cellStyle name="Normal 7 6 4 5" xfId="52119" xr:uid="{4D48E051-5243-44F0-8270-6A43F6681979}"/>
    <cellStyle name="Normal 7 6 5" xfId="52120" xr:uid="{43777089-0C68-41EC-988E-9A0BB26F7F22}"/>
    <cellStyle name="Normal 7 6 5 2" xfId="52121" xr:uid="{2FD857C7-4A8F-4668-BFE1-37E0A060C9ED}"/>
    <cellStyle name="Normal 7 6 5 2 2" xfId="52122" xr:uid="{352E3DA5-C7C7-421D-8E75-F6BE9E59246D}"/>
    <cellStyle name="Normal 7 6 5 2 2 2" xfId="52123" xr:uid="{2980F7B0-E934-42C0-BEB7-66603CAD41D8}"/>
    <cellStyle name="Normal 7 6 5 2 3" xfId="52124" xr:uid="{FDF36FA7-BFED-4BB1-B25D-38E1CAA79403}"/>
    <cellStyle name="Normal 7 6 5 3" xfId="52125" xr:uid="{07739B65-A750-4C2C-87DD-F6289FBDC139}"/>
    <cellStyle name="Normal 7 6 5 3 2" xfId="52126" xr:uid="{C72A7ED8-6C79-4159-A030-A423B5354094}"/>
    <cellStyle name="Normal 7 6 5 4" xfId="52127" xr:uid="{705826E5-43A6-4CAA-89F2-E850BA2EFCBA}"/>
    <cellStyle name="Normal 7 6 6" xfId="52128" xr:uid="{F6796CBD-7CB2-46F3-A6E1-463E6BF22AC6}"/>
    <cellStyle name="Normal 7 6 6 2" xfId="52129" xr:uid="{0803AF9F-A345-4121-BD6F-E1BF5A91FC41}"/>
    <cellStyle name="Normal 7 6 6 2 2" xfId="52130" xr:uid="{195A7D8E-3FC0-4D32-BD3B-C0BF65B99A1F}"/>
    <cellStyle name="Normal 7 6 6 3" xfId="52131" xr:uid="{38176552-ACE9-4EB4-B27E-1F8CC7995044}"/>
    <cellStyle name="Normal 7 6 7" xfId="52132" xr:uid="{DE680F02-6F4C-4FEA-AB10-680B98FAE712}"/>
    <cellStyle name="Normal 7 6 7 2" xfId="52133" xr:uid="{23BAC38A-670C-4C90-9DAC-408A6933082A}"/>
    <cellStyle name="Normal 7 6 8" xfId="52134" xr:uid="{2325F18F-EC3A-45C7-AD7B-2E1406FCE525}"/>
    <cellStyle name="Normal 7 7" xfId="52135" xr:uid="{2E70C993-9A7C-47F2-8380-D884A3E507E4}"/>
    <cellStyle name="Normal 7 7 2" xfId="52136" xr:uid="{B8112BD5-9513-4A39-915F-712E55BF8F44}"/>
    <cellStyle name="Normal 7 7 2 2" xfId="52137" xr:uid="{9F2C7A51-39A4-409B-B03A-1D077A7910EE}"/>
    <cellStyle name="Normal 7 7 2 2 2" xfId="52138" xr:uid="{4A70A61F-CE76-4CBC-AE54-4F1716E903F1}"/>
    <cellStyle name="Normal 7 7 2 2 2 2" xfId="52139" xr:uid="{EB3148FC-3228-44AF-948E-FCE2E8156603}"/>
    <cellStyle name="Normal 7 7 2 2 2 2 2" xfId="52140" xr:uid="{1A64D38F-31D4-4916-9CB6-D4A6A708D7F5}"/>
    <cellStyle name="Normal 7 7 2 2 2 2 2 2" xfId="52141" xr:uid="{40498738-992A-4616-AA2B-003B0816BD8F}"/>
    <cellStyle name="Normal 7 7 2 2 2 2 3" xfId="52142" xr:uid="{00980375-75D8-4106-8BE6-952143DAC9C6}"/>
    <cellStyle name="Normal 7 7 2 2 2 3" xfId="52143" xr:uid="{0941EA4A-563A-494D-B95D-05115FFC925A}"/>
    <cellStyle name="Normal 7 7 2 2 2 3 2" xfId="52144" xr:uid="{B4495A4A-538E-4382-83EF-6FA1EAD4264B}"/>
    <cellStyle name="Normal 7 7 2 2 2 4" xfId="52145" xr:uid="{F70832DA-AF42-468D-BA8C-71C9E32BE6AA}"/>
    <cellStyle name="Normal 7 7 2 2 3" xfId="52146" xr:uid="{1E07D808-F44C-46B0-BBFB-C0D7D16ABDD0}"/>
    <cellStyle name="Normal 7 7 2 2 3 2" xfId="52147" xr:uid="{EE627E2E-4E61-415A-8DAD-D3F56B418664}"/>
    <cellStyle name="Normal 7 7 2 2 3 2 2" xfId="52148" xr:uid="{C290DAE4-601E-4497-83BE-330ACBDF18F9}"/>
    <cellStyle name="Normal 7 7 2 2 3 3" xfId="52149" xr:uid="{949F7E77-86A1-4832-8CEB-D0AAF5A4A358}"/>
    <cellStyle name="Normal 7 7 2 2 4" xfId="52150" xr:uid="{F93C46CD-719B-4A51-95F6-6CBE9CCC22A4}"/>
    <cellStyle name="Normal 7 7 2 2 4 2" xfId="52151" xr:uid="{A321E0CF-BC1B-4F80-AFBD-6A6511C0530A}"/>
    <cellStyle name="Normal 7 7 2 2 5" xfId="52152" xr:uid="{E4F83F5E-7AFB-4876-963E-9ED34A2DB57E}"/>
    <cellStyle name="Normal 7 7 2 3" xfId="52153" xr:uid="{79658330-82B8-42F9-A014-E9C3D533EE1B}"/>
    <cellStyle name="Normal 7 7 2 3 2" xfId="52154" xr:uid="{5B2E9566-C847-4B9D-B498-53D1B0A771F0}"/>
    <cellStyle name="Normal 7 7 2 3 2 2" xfId="52155" xr:uid="{01131E0E-E107-44EE-8F3D-23AF89358659}"/>
    <cellStyle name="Normal 7 7 2 3 2 2 2" xfId="52156" xr:uid="{100E1B59-D68E-486F-9F6A-2A3486F6695A}"/>
    <cellStyle name="Normal 7 7 2 3 2 3" xfId="52157" xr:uid="{43B9572E-FA3C-4046-B7D2-3185FBF21C99}"/>
    <cellStyle name="Normal 7 7 2 3 3" xfId="52158" xr:uid="{AD3F1727-6E26-4329-B824-8D55BCD713EF}"/>
    <cellStyle name="Normal 7 7 2 3 3 2" xfId="52159" xr:uid="{8C8D24EF-CC34-4963-85CE-32198BEFF522}"/>
    <cellStyle name="Normal 7 7 2 3 4" xfId="52160" xr:uid="{84AD30AD-5F55-42CC-AD6A-705A76CE88F4}"/>
    <cellStyle name="Normal 7 7 2 4" xfId="52161" xr:uid="{05D09509-62F5-4684-A37A-2DF788C24185}"/>
    <cellStyle name="Normal 7 7 2 4 2" xfId="52162" xr:uid="{7F1BB0C1-CE03-4643-9DD8-5633F7485BC1}"/>
    <cellStyle name="Normal 7 7 2 4 2 2" xfId="52163" xr:uid="{B8BE97A9-CAE8-48CE-B304-8B905B8A9398}"/>
    <cellStyle name="Normal 7 7 2 4 3" xfId="52164" xr:uid="{996C1D20-8F91-4FE6-A63A-A2125EF8C63D}"/>
    <cellStyle name="Normal 7 7 2 5" xfId="52165" xr:uid="{116BC8DF-F4D1-41FF-B45B-34F23E220DB9}"/>
    <cellStyle name="Normal 7 7 2 5 2" xfId="52166" xr:uid="{9BB86E0D-B2C9-4ABC-A609-C267555D2986}"/>
    <cellStyle name="Normal 7 7 2 6" xfId="52167" xr:uid="{65F02370-1BE6-49C8-A805-72F96794F2BE}"/>
    <cellStyle name="Normal 7 7 3" xfId="52168" xr:uid="{9FE82F61-13BC-4711-8966-D060E5403B1C}"/>
    <cellStyle name="Normal 7 7 3 2" xfId="52169" xr:uid="{47DB135F-7B94-42F0-9FEA-E327A4D5E4E3}"/>
    <cellStyle name="Normal 7 7 3 2 2" xfId="52170" xr:uid="{BF3BBFF6-A716-47E1-8316-91E17CFEF63F}"/>
    <cellStyle name="Normal 7 7 3 2 2 2" xfId="52171" xr:uid="{3CBB9900-A51A-4623-96CD-E454757E8CE2}"/>
    <cellStyle name="Normal 7 7 3 2 2 2 2" xfId="52172" xr:uid="{0156EE1B-2FBD-4511-B3B8-1EED7B52D5E8}"/>
    <cellStyle name="Normal 7 7 3 2 2 3" xfId="52173" xr:uid="{9704ABD3-5153-47B9-BADB-087579DEFA7C}"/>
    <cellStyle name="Normal 7 7 3 2 3" xfId="52174" xr:uid="{D3782DA8-6A72-4630-B2E2-992BFEA9AFF4}"/>
    <cellStyle name="Normal 7 7 3 2 3 2" xfId="52175" xr:uid="{73513376-11FA-401B-9822-B4D5BA81CACE}"/>
    <cellStyle name="Normal 7 7 3 2 4" xfId="52176" xr:uid="{43D144EE-B9E8-4E57-9E54-D94200F5DA64}"/>
    <cellStyle name="Normal 7 7 3 3" xfId="52177" xr:uid="{74AA9104-62A0-4109-860E-20A8797463C6}"/>
    <cellStyle name="Normal 7 7 3 3 2" xfId="52178" xr:uid="{F828D949-F527-4475-A46E-7D5812CC89CC}"/>
    <cellStyle name="Normal 7 7 3 3 2 2" xfId="52179" xr:uid="{7E6CDDCE-C5DC-4F0E-8698-7A87164F856C}"/>
    <cellStyle name="Normal 7 7 3 3 3" xfId="52180" xr:uid="{244B7A86-30CE-45DF-BFB2-DC17D68A60CA}"/>
    <cellStyle name="Normal 7 7 3 4" xfId="52181" xr:uid="{421405E4-AE51-435D-A417-4A5712798934}"/>
    <cellStyle name="Normal 7 7 3 4 2" xfId="52182" xr:uid="{8109094F-C7AB-4ABD-87EA-56C14C68D913}"/>
    <cellStyle name="Normal 7 7 3 5" xfId="52183" xr:uid="{EA88E354-2DD8-4259-85E3-BA8A36D6187B}"/>
    <cellStyle name="Normal 7 7 4" xfId="52184" xr:uid="{AA91E0EB-B295-4E7E-B25B-CEB182BDE322}"/>
    <cellStyle name="Normal 7 7 4 2" xfId="52185" xr:uid="{8114E31E-DDD8-426D-931E-99675EFDB836}"/>
    <cellStyle name="Normal 7 7 4 2 2" xfId="52186" xr:uid="{2D8BB6DD-DD2B-4EE5-AFE4-FDC296A6BF2A}"/>
    <cellStyle name="Normal 7 7 4 2 2 2" xfId="52187" xr:uid="{06D19E9E-5D15-4AC7-91D7-781E4EEE5987}"/>
    <cellStyle name="Normal 7 7 4 2 3" xfId="52188" xr:uid="{E3D5ED3B-F6F3-440F-B896-5C63627D76C2}"/>
    <cellStyle name="Normal 7 7 4 3" xfId="52189" xr:uid="{7807463A-9F0A-40A3-9BDA-5CB5F2E851BD}"/>
    <cellStyle name="Normal 7 7 4 3 2" xfId="52190" xr:uid="{0914F0F7-E0D4-45E5-891F-2DF300B09D6E}"/>
    <cellStyle name="Normal 7 7 4 4" xfId="52191" xr:uid="{DF3F1D9C-5383-420D-BF2F-B79F900147BC}"/>
    <cellStyle name="Normal 7 7 5" xfId="52192" xr:uid="{9F9958C7-E15E-417E-BD58-926D26173773}"/>
    <cellStyle name="Normal 7 7 5 2" xfId="52193" xr:uid="{96B88DF3-4985-4217-98C8-43CBD6F73AA6}"/>
    <cellStyle name="Normal 7 7 5 2 2" xfId="52194" xr:uid="{34E69840-5DE6-4E49-9179-6530DF8A4000}"/>
    <cellStyle name="Normal 7 7 5 3" xfId="52195" xr:uid="{91BD2FD9-254E-4AE9-9F36-7D1FD83B81EE}"/>
    <cellStyle name="Normal 7 7 6" xfId="52196" xr:uid="{5097D7B5-6059-468C-9BFC-2993595DD3B7}"/>
    <cellStyle name="Normal 7 7 6 2" xfId="52197" xr:uid="{8E12D354-8C91-4868-9968-0A2051781394}"/>
    <cellStyle name="Normal 7 7 7" xfId="52198" xr:uid="{A08406B2-BBEA-45C0-9CE3-C2CA7C95C342}"/>
    <cellStyle name="Normal 7 8" xfId="52199" xr:uid="{86C9CF73-6863-42AD-87B7-0829592AD062}"/>
    <cellStyle name="Normal 7 8 2" xfId="52200" xr:uid="{385A9601-8368-4D1B-864E-F639C16AB00E}"/>
    <cellStyle name="Normal 7 8 2 2" xfId="52201" xr:uid="{B574F165-E6EB-4F94-81B4-BF9F3F4E07F7}"/>
    <cellStyle name="Normal 7 8 2 2 2" xfId="52202" xr:uid="{D5CD63AD-24E9-4A87-BF82-256A5A81F7E9}"/>
    <cellStyle name="Normal 7 8 2 2 2 2" xfId="52203" xr:uid="{68608358-BAD5-4EEA-8024-154275555716}"/>
    <cellStyle name="Normal 7 8 2 2 2 2 2" xfId="52204" xr:uid="{A4CD88FC-0A03-4E9E-8BC4-FACA3CEFAA8C}"/>
    <cellStyle name="Normal 7 8 2 2 2 3" xfId="52205" xr:uid="{9E088B1E-00B9-4B3A-B555-43861F596A26}"/>
    <cellStyle name="Normal 7 8 2 2 3" xfId="52206" xr:uid="{7AD82BD2-A3D6-41C6-B172-186D58613686}"/>
    <cellStyle name="Normal 7 8 2 2 3 2" xfId="52207" xr:uid="{3DDE416B-C05B-48C1-9004-2A36C55F50F9}"/>
    <cellStyle name="Normal 7 8 2 2 4" xfId="52208" xr:uid="{08CFFBFF-7082-426D-8076-7234A19CC067}"/>
    <cellStyle name="Normal 7 8 2 3" xfId="52209" xr:uid="{9B042D69-57E6-4617-8FAB-89B587C2BE0C}"/>
    <cellStyle name="Normal 7 8 2 3 2" xfId="52210" xr:uid="{328D265D-5285-4737-B6D3-48813F199718}"/>
    <cellStyle name="Normal 7 8 2 3 2 2" xfId="52211" xr:uid="{9B936A7B-FAB1-44F4-A263-F54F1992B587}"/>
    <cellStyle name="Normal 7 8 2 3 3" xfId="52212" xr:uid="{7405E138-84CC-4526-A404-97219BD98A13}"/>
    <cellStyle name="Normal 7 8 2 4" xfId="52213" xr:uid="{525FD759-C811-4AF7-B779-67DB5699BBC6}"/>
    <cellStyle name="Normal 7 8 2 4 2" xfId="52214" xr:uid="{FA186A93-3FFF-4ABC-85D9-DB3420CCDCEA}"/>
    <cellStyle name="Normal 7 8 2 5" xfId="52215" xr:uid="{4273304F-556F-45E1-B08C-B0DB8E0C7CE7}"/>
    <cellStyle name="Normal 7 8 3" xfId="52216" xr:uid="{B0F4FD5B-B709-46BD-AEDF-1EB220EA8FE2}"/>
    <cellStyle name="Normal 7 8 3 2" xfId="52217" xr:uid="{03F6919F-08A3-41E0-84F2-DA310A114168}"/>
    <cellStyle name="Normal 7 8 3 2 2" xfId="52218" xr:uid="{92EEC40E-8ACB-4167-AD56-AAD01DDE7C7D}"/>
    <cellStyle name="Normal 7 8 3 2 2 2" xfId="52219" xr:uid="{05D99542-FC07-4015-9A02-81E553D98CAF}"/>
    <cellStyle name="Normal 7 8 3 2 3" xfId="52220" xr:uid="{0B3C862C-CAB9-45A2-ABC9-42F22F08D72D}"/>
    <cellStyle name="Normal 7 8 3 3" xfId="52221" xr:uid="{05F2D273-E249-4515-A875-5D1C6B6CB57C}"/>
    <cellStyle name="Normal 7 8 3 3 2" xfId="52222" xr:uid="{47F9F6F2-79A8-4FA2-B62D-3F9D4CB2EBE7}"/>
    <cellStyle name="Normal 7 8 3 4" xfId="52223" xr:uid="{C16C1F70-80C0-4D65-99EB-B2DC881B3CF7}"/>
    <cellStyle name="Normal 7 8 4" xfId="52224" xr:uid="{E3DDC2A2-60E3-4AD6-8545-AE5B7582625A}"/>
    <cellStyle name="Normal 7 8 4 2" xfId="52225" xr:uid="{EB78ABF1-F28E-47AB-8A3D-AAFD50D88A5A}"/>
    <cellStyle name="Normal 7 8 4 2 2" xfId="52226" xr:uid="{853D1587-7C73-4061-B41B-E41CA4987523}"/>
    <cellStyle name="Normal 7 8 4 3" xfId="52227" xr:uid="{D09FB2C4-0C63-4882-A0CA-D0DC82F77767}"/>
    <cellStyle name="Normal 7 8 5" xfId="52228" xr:uid="{8F5F1D80-1C6C-4129-A4DB-6A587BF3FAFC}"/>
    <cellStyle name="Normal 7 8 5 2" xfId="52229" xr:uid="{9EB19D56-689A-47AF-B03C-AD8D021CC04C}"/>
    <cellStyle name="Normal 7 8 6" xfId="52230" xr:uid="{7DB4322C-E12C-42AA-AD03-E6C6AAA821F2}"/>
    <cellStyle name="Normal 7 9" xfId="52231" xr:uid="{2989B90C-0499-49DA-898D-BCBF63BECEB9}"/>
    <cellStyle name="Normal 7 9 2" xfId="52232" xr:uid="{D97C72DD-F393-4ED8-A252-B729A7E86080}"/>
    <cellStyle name="Normal 7 9 2 2" xfId="52233" xr:uid="{EB653F9E-BA5A-49CB-A9E7-BB77B47B7AF7}"/>
    <cellStyle name="Normal 7 9 2 2 2" xfId="52234" xr:uid="{A4F5103D-2218-43C8-BA7B-EF164F2634C2}"/>
    <cellStyle name="Normal 7 9 2 2 2 2" xfId="52235" xr:uid="{E35B69C4-E6F3-4BD1-BDF8-A754F2A19B4E}"/>
    <cellStyle name="Normal 7 9 2 2 3" xfId="52236" xr:uid="{7E681910-D7DC-4B5C-AD16-10E13A6AE2EC}"/>
    <cellStyle name="Normal 7 9 2 3" xfId="52237" xr:uid="{CFF3D873-9FD4-4742-B78F-D4DCD688B78B}"/>
    <cellStyle name="Normal 7 9 2 3 2" xfId="52238" xr:uid="{B88DFCEE-1A25-4BAB-B1B1-43A2A88164DB}"/>
    <cellStyle name="Normal 7 9 2 4" xfId="52239" xr:uid="{DC9C063D-23A3-406A-8FD8-19EA820B13D3}"/>
    <cellStyle name="Normal 7 9 3" xfId="52240" xr:uid="{EF8BC389-1F99-422E-97D5-313CE9CD6C71}"/>
    <cellStyle name="Normal 7 9 3 2" xfId="52241" xr:uid="{BB4BDD97-9372-4803-BD93-612BDE07D179}"/>
    <cellStyle name="Normal 7 9 3 2 2" xfId="52242" xr:uid="{E2C61931-59A4-4783-8387-E37682EC2779}"/>
    <cellStyle name="Normal 7 9 3 3" xfId="52243" xr:uid="{5D37F037-A488-43B6-882A-567B41DA8D35}"/>
    <cellStyle name="Normal 7 9 4" xfId="52244" xr:uid="{B0AC2E8E-8399-4306-8D77-A5DD0FDD5AD9}"/>
    <cellStyle name="Normal 7 9 4 2" xfId="52245" xr:uid="{E2263699-9F93-4B05-B0C3-8D729338F7B2}"/>
    <cellStyle name="Normal 7 9 5" xfId="52246" xr:uid="{9DBFFE7D-CDF4-41FD-BA59-CE796F331D1D}"/>
    <cellStyle name="Normal 8" xfId="26" xr:uid="{00000000-0005-0000-0000-000018000000}"/>
    <cellStyle name="Normal 8 10" xfId="52247" xr:uid="{C2E37C7A-7966-469A-ABD5-A48DE91B0371}"/>
    <cellStyle name="Normal 8 10 2" xfId="52248" xr:uid="{59F557A3-FFD9-4593-801A-5742ED2EABC8}"/>
    <cellStyle name="Normal 8 10 2 2" xfId="52249" xr:uid="{D908106C-6444-4C79-A050-81EC6055C4DA}"/>
    <cellStyle name="Normal 8 10 3" xfId="52250" xr:uid="{B7D9903C-F6F4-4DA1-9E5B-BB170322A6CA}"/>
    <cellStyle name="Normal 8 11" xfId="52251" xr:uid="{169057D6-8A99-43F9-8D65-D66A98FADB91}"/>
    <cellStyle name="Normal 8 11 2" xfId="52252" xr:uid="{589B524D-651A-4A7F-ABF7-E1473325E329}"/>
    <cellStyle name="Normal 8 12" xfId="52253" xr:uid="{0D3CCDA6-1B4C-4F90-9818-902E0B183EA9}"/>
    <cellStyle name="Normal 8 13" xfId="54768" xr:uid="{E7FA79E2-7EDC-4A04-BA31-DA8124BAE3F9}"/>
    <cellStyle name="Normal 8 14" xfId="131" xr:uid="{0C5DD1F3-C581-41D1-B286-97126B22B546}"/>
    <cellStyle name="Normal 8 15" xfId="35" xr:uid="{E5332809-5181-4F8D-84F8-954EFB1580A1}"/>
    <cellStyle name="Normal 8 2" xfId="206" xr:uid="{0FEA5CA4-AE4F-4BDB-A9FE-4728B4E63687}"/>
    <cellStyle name="Normal 8 3" xfId="170" xr:uid="{FB7C921D-E0BC-45C7-88DE-D32D551EAB05}"/>
    <cellStyle name="Normal 8 4" xfId="52254" xr:uid="{ABD0E665-4047-4213-83EF-F27DF7BD80F1}"/>
    <cellStyle name="Normal 8 4 2" xfId="52255" xr:uid="{E27BD3A3-7236-442E-8CEE-3CCF2B11C80C}"/>
    <cellStyle name="Normal 8 4 2 2" xfId="52256" xr:uid="{F6808DB1-3593-43A9-8710-03C2BCB399AB}"/>
    <cellStyle name="Normal 8 4 2 2 2" xfId="52257" xr:uid="{5C87B143-2818-4E33-8590-B3745F701CF2}"/>
    <cellStyle name="Normal 8 4 2 2 2 2" xfId="52258" xr:uid="{8A33C2BD-4E9B-42E4-9F05-4EDC4338B3E4}"/>
    <cellStyle name="Normal 8 4 2 2 2 2 2" xfId="52259" xr:uid="{924CE759-D639-44D3-B761-7ED182C34AAA}"/>
    <cellStyle name="Normal 8 4 2 2 2 2 2 2" xfId="52260" xr:uid="{A875EBE9-AB36-4684-9D50-45DA95636C04}"/>
    <cellStyle name="Normal 8 4 2 2 2 2 2 2 2" xfId="52261" xr:uid="{154F0C12-87A9-4004-BF2E-0ED3C436B228}"/>
    <cellStyle name="Normal 8 4 2 2 2 2 2 2 2 2" xfId="52262" xr:uid="{826BA14C-7027-4A32-BD05-85691D3E85B1}"/>
    <cellStyle name="Normal 8 4 2 2 2 2 2 2 3" xfId="52263" xr:uid="{29340A44-571E-4B9E-B69B-4C9A5731B183}"/>
    <cellStyle name="Normal 8 4 2 2 2 2 2 3" xfId="52264" xr:uid="{C6A9E5AB-DB9C-4C86-85B6-C16D5D763750}"/>
    <cellStyle name="Normal 8 4 2 2 2 2 2 3 2" xfId="52265" xr:uid="{D17F0A36-1C8D-4D68-8C10-DA388FB843E0}"/>
    <cellStyle name="Normal 8 4 2 2 2 2 2 4" xfId="52266" xr:uid="{6DDE4D96-D1F9-483D-AA63-FD9CC09CBDEF}"/>
    <cellStyle name="Normal 8 4 2 2 2 2 3" xfId="52267" xr:uid="{988F0364-F8F3-4D8C-98FB-E7AD9E8B5314}"/>
    <cellStyle name="Normal 8 4 2 2 2 2 3 2" xfId="52268" xr:uid="{346D43BB-3709-4B48-92C8-DD6091AA159D}"/>
    <cellStyle name="Normal 8 4 2 2 2 2 3 2 2" xfId="52269" xr:uid="{2F5A651F-96E6-4C8B-99A6-CC6897FA516D}"/>
    <cellStyle name="Normal 8 4 2 2 2 2 3 3" xfId="52270" xr:uid="{2EE4CD2A-1278-487A-9EE0-89565BF48321}"/>
    <cellStyle name="Normal 8 4 2 2 2 2 4" xfId="52271" xr:uid="{50E99088-4B7B-4AC6-A493-7749D1128EA6}"/>
    <cellStyle name="Normal 8 4 2 2 2 2 4 2" xfId="52272" xr:uid="{4EC03C2C-AA4E-42DC-8AED-BC0307BFCC98}"/>
    <cellStyle name="Normal 8 4 2 2 2 2 5" xfId="52273" xr:uid="{6F4A2652-74D2-4E20-A273-B4EC02AB5ECD}"/>
    <cellStyle name="Normal 8 4 2 2 2 3" xfId="52274" xr:uid="{C70AC265-544F-459B-BA41-77277B5E6ACF}"/>
    <cellStyle name="Normal 8 4 2 2 2 3 2" xfId="52275" xr:uid="{0F7ADC85-518B-4D15-90C3-325FD01FEBC2}"/>
    <cellStyle name="Normal 8 4 2 2 2 3 2 2" xfId="52276" xr:uid="{6FC9A57A-8669-4436-ADFE-55CDD94B3547}"/>
    <cellStyle name="Normal 8 4 2 2 2 3 2 2 2" xfId="52277" xr:uid="{23A18933-60AD-419F-8B77-FC67887FF55A}"/>
    <cellStyle name="Normal 8 4 2 2 2 3 2 3" xfId="52278" xr:uid="{EEE6CC51-EA08-41FD-98FB-ED58BA732F3F}"/>
    <cellStyle name="Normal 8 4 2 2 2 3 3" xfId="52279" xr:uid="{F82D21E2-FF96-42A0-99FC-B0F66CB25F05}"/>
    <cellStyle name="Normal 8 4 2 2 2 3 3 2" xfId="52280" xr:uid="{CA4DE7D9-4C46-46DB-89C4-96FABBC9EEEB}"/>
    <cellStyle name="Normal 8 4 2 2 2 3 4" xfId="52281" xr:uid="{AE6B6576-A39C-45AC-8E81-EE82C8CCFE43}"/>
    <cellStyle name="Normal 8 4 2 2 2 4" xfId="52282" xr:uid="{EEDF0BA9-11DB-428D-9BE2-69A921001756}"/>
    <cellStyle name="Normal 8 4 2 2 2 4 2" xfId="52283" xr:uid="{74BCDA5E-4B65-4B26-8CE9-FC19725689AA}"/>
    <cellStyle name="Normal 8 4 2 2 2 4 2 2" xfId="52284" xr:uid="{8C163329-D3B1-4E7F-817D-70DDD9953707}"/>
    <cellStyle name="Normal 8 4 2 2 2 4 3" xfId="52285" xr:uid="{AA088315-DBEF-443B-8C94-64C5B6212AE3}"/>
    <cellStyle name="Normal 8 4 2 2 2 5" xfId="52286" xr:uid="{C7149217-E01D-44FF-9CFA-13E87A8CCA83}"/>
    <cellStyle name="Normal 8 4 2 2 2 5 2" xfId="52287" xr:uid="{35C05D57-8479-4F3E-8358-E5A0B233E0B8}"/>
    <cellStyle name="Normal 8 4 2 2 2 6" xfId="52288" xr:uid="{0327F4C8-51E6-4CAC-9A18-5AA1F05ADAE3}"/>
    <cellStyle name="Normal 8 4 2 2 3" xfId="52289" xr:uid="{3D92C4CD-BA56-4B86-95B4-A84B6C1ADCC6}"/>
    <cellStyle name="Normal 8 4 2 2 3 2" xfId="52290" xr:uid="{87B63C41-13DF-4B91-99D0-BC451916A173}"/>
    <cellStyle name="Normal 8 4 2 2 3 2 2" xfId="52291" xr:uid="{50605C7E-3E0D-4CFF-9DE5-0926E96FCD11}"/>
    <cellStyle name="Normal 8 4 2 2 3 2 2 2" xfId="52292" xr:uid="{434D240C-200C-4175-A48D-966447302FED}"/>
    <cellStyle name="Normal 8 4 2 2 3 2 2 2 2" xfId="52293" xr:uid="{B9AB24A7-8460-4C9C-A393-D07091778BF3}"/>
    <cellStyle name="Normal 8 4 2 2 3 2 2 3" xfId="52294" xr:uid="{0BCF4452-17D0-4D66-9498-D30863788AD9}"/>
    <cellStyle name="Normal 8 4 2 2 3 2 3" xfId="52295" xr:uid="{9A36FBEF-638F-4DE5-B5A1-49D9CA3A8195}"/>
    <cellStyle name="Normal 8 4 2 2 3 2 3 2" xfId="52296" xr:uid="{B40ABBFE-1031-4DFC-8279-1D9DF7B2B3B6}"/>
    <cellStyle name="Normal 8 4 2 2 3 2 4" xfId="52297" xr:uid="{C85233C0-1EC8-4404-8293-0728203605D3}"/>
    <cellStyle name="Normal 8 4 2 2 3 3" xfId="52298" xr:uid="{240299C4-E33E-4BAF-8800-73181969E68F}"/>
    <cellStyle name="Normal 8 4 2 2 3 3 2" xfId="52299" xr:uid="{BE8F5909-CC65-4656-A395-C8455F5BC4C8}"/>
    <cellStyle name="Normal 8 4 2 2 3 3 2 2" xfId="52300" xr:uid="{8F87B6D1-59EB-4950-92B5-5A71FDBCDEAD}"/>
    <cellStyle name="Normal 8 4 2 2 3 3 3" xfId="52301" xr:uid="{C8AD7423-E39B-437F-8B0C-8AC681F98054}"/>
    <cellStyle name="Normal 8 4 2 2 3 4" xfId="52302" xr:uid="{D71CFCA0-7761-49E6-8B58-4933EE7DF00F}"/>
    <cellStyle name="Normal 8 4 2 2 3 4 2" xfId="52303" xr:uid="{5CC56599-B180-4B5F-8B01-F764C23A6132}"/>
    <cellStyle name="Normal 8 4 2 2 3 5" xfId="52304" xr:uid="{0D63112F-E995-423F-98A2-81662010C6A7}"/>
    <cellStyle name="Normal 8 4 2 2 4" xfId="52305" xr:uid="{4B0971A2-05AE-442B-BBB3-1A249F1614F7}"/>
    <cellStyle name="Normal 8 4 2 2 4 2" xfId="52306" xr:uid="{884762B7-EA1F-4DD9-8D2A-0E5B0F5706A5}"/>
    <cellStyle name="Normal 8 4 2 2 4 2 2" xfId="52307" xr:uid="{68A36842-EE4A-48F6-AE99-20FE3634A412}"/>
    <cellStyle name="Normal 8 4 2 2 4 2 2 2" xfId="52308" xr:uid="{A7275275-CC37-47BC-9079-8BF7327F89AA}"/>
    <cellStyle name="Normal 8 4 2 2 4 2 3" xfId="52309" xr:uid="{E32C04A4-5AA2-49FB-B460-70E328D73DE5}"/>
    <cellStyle name="Normal 8 4 2 2 4 3" xfId="52310" xr:uid="{79AEA4F7-0B5D-4931-803A-15315CE66D58}"/>
    <cellStyle name="Normal 8 4 2 2 4 3 2" xfId="52311" xr:uid="{9259A11E-AC06-445A-9D33-D1424D8776AD}"/>
    <cellStyle name="Normal 8 4 2 2 4 4" xfId="52312" xr:uid="{0B62DAB3-EF88-478C-9488-F5B805ED364F}"/>
    <cellStyle name="Normal 8 4 2 2 5" xfId="52313" xr:uid="{B419B105-C499-45A7-B7CC-B9E7CE92EA83}"/>
    <cellStyle name="Normal 8 4 2 2 5 2" xfId="52314" xr:uid="{A3E2390B-C500-4D18-9DAB-94A9A60C0064}"/>
    <cellStyle name="Normal 8 4 2 2 5 2 2" xfId="52315" xr:uid="{65625C48-6650-46A6-BB9F-D7876FFDE2EF}"/>
    <cellStyle name="Normal 8 4 2 2 5 3" xfId="52316" xr:uid="{05D77331-805B-4237-B827-1ADAD60D3546}"/>
    <cellStyle name="Normal 8 4 2 2 6" xfId="52317" xr:uid="{EFBAA885-B4BA-4383-A1F4-B30CFF5D5EB0}"/>
    <cellStyle name="Normal 8 4 2 2 6 2" xfId="52318" xr:uid="{9E00588A-387D-425C-9B2F-FC60314355B6}"/>
    <cellStyle name="Normal 8 4 2 2 7" xfId="52319" xr:uid="{E6DB362F-FF0A-4323-A20E-7FD52EF03063}"/>
    <cellStyle name="Normal 8 4 2 3" xfId="52320" xr:uid="{FC59B1BA-BE16-44F1-ADE3-505AFD8DBB39}"/>
    <cellStyle name="Normal 8 4 2 3 2" xfId="52321" xr:uid="{B39E21D4-761A-4852-A41C-662FB118786F}"/>
    <cellStyle name="Normal 8 4 2 3 2 2" xfId="52322" xr:uid="{E14E481A-2033-478D-9C90-1090DD30773F}"/>
    <cellStyle name="Normal 8 4 2 3 2 2 2" xfId="52323" xr:uid="{50BE206F-2C83-410E-A7D0-5F5D66BF3E3D}"/>
    <cellStyle name="Normal 8 4 2 3 2 2 2 2" xfId="52324" xr:uid="{5493F40B-B258-4427-B96F-6AE24A4101BA}"/>
    <cellStyle name="Normal 8 4 2 3 2 2 2 2 2" xfId="52325" xr:uid="{6D53CCC7-052B-4829-B433-694A1DA9A115}"/>
    <cellStyle name="Normal 8 4 2 3 2 2 2 3" xfId="52326" xr:uid="{23009878-C443-44AD-BEEC-BA1C81A4468B}"/>
    <cellStyle name="Normal 8 4 2 3 2 2 3" xfId="52327" xr:uid="{07C1B725-76F8-4B2A-B7C8-3517775A1F4C}"/>
    <cellStyle name="Normal 8 4 2 3 2 2 3 2" xfId="52328" xr:uid="{B7E93884-2724-44A0-9D1A-ADE574B4C497}"/>
    <cellStyle name="Normal 8 4 2 3 2 2 4" xfId="52329" xr:uid="{7291326A-F3AF-4279-A233-E8E4D3DE4062}"/>
    <cellStyle name="Normal 8 4 2 3 2 3" xfId="52330" xr:uid="{52739C16-6C7C-4926-BB89-7C9A266339AD}"/>
    <cellStyle name="Normal 8 4 2 3 2 3 2" xfId="52331" xr:uid="{8F8C1FE5-3630-43F7-9821-7161F97B233A}"/>
    <cellStyle name="Normal 8 4 2 3 2 3 2 2" xfId="52332" xr:uid="{87D9D45E-B7EE-44DF-90B4-2BAEE39EA091}"/>
    <cellStyle name="Normal 8 4 2 3 2 3 3" xfId="52333" xr:uid="{D9C9541E-F56D-4123-879F-6A77AC4DEDBB}"/>
    <cellStyle name="Normal 8 4 2 3 2 4" xfId="52334" xr:uid="{9D0CAFCA-7931-4D24-A7B5-05DCDB876DB2}"/>
    <cellStyle name="Normal 8 4 2 3 2 4 2" xfId="52335" xr:uid="{E1EA7BB3-BC7E-49BE-9803-C8929C03CBD1}"/>
    <cellStyle name="Normal 8 4 2 3 2 5" xfId="52336" xr:uid="{FFE508EE-D4C3-4A05-B45A-3462E652C935}"/>
    <cellStyle name="Normal 8 4 2 3 3" xfId="52337" xr:uid="{B4977B0D-6A3E-4DF3-A9FE-A232473A6F81}"/>
    <cellStyle name="Normal 8 4 2 3 3 2" xfId="52338" xr:uid="{7D9CC67B-4264-4E09-92C9-4712BA74AF35}"/>
    <cellStyle name="Normal 8 4 2 3 3 2 2" xfId="52339" xr:uid="{1529F509-EB88-4321-A054-2D2EEEB9DAD5}"/>
    <cellStyle name="Normal 8 4 2 3 3 2 2 2" xfId="52340" xr:uid="{B543934D-4280-45A0-9E7C-9B56B2207813}"/>
    <cellStyle name="Normal 8 4 2 3 3 2 3" xfId="52341" xr:uid="{8A5747FC-8DD2-4CDC-B362-020C932916F5}"/>
    <cellStyle name="Normal 8 4 2 3 3 3" xfId="52342" xr:uid="{4FA61A14-2E5D-4F03-B60A-45EFC32B4426}"/>
    <cellStyle name="Normal 8 4 2 3 3 3 2" xfId="52343" xr:uid="{E26D3B4C-C18E-4F0F-9613-E58BC53D6EA9}"/>
    <cellStyle name="Normal 8 4 2 3 3 4" xfId="52344" xr:uid="{475C34B3-EC5A-4EE4-AD22-1410643A80EC}"/>
    <cellStyle name="Normal 8 4 2 3 4" xfId="52345" xr:uid="{4379B9B8-1154-4FA2-8EDB-143DE582070C}"/>
    <cellStyle name="Normal 8 4 2 3 4 2" xfId="52346" xr:uid="{EC8DA5CB-FCEC-4AD5-9A8F-D18057761244}"/>
    <cellStyle name="Normal 8 4 2 3 4 2 2" xfId="52347" xr:uid="{CEA80EC6-CC39-4686-98DE-3C922E859927}"/>
    <cellStyle name="Normal 8 4 2 3 4 3" xfId="52348" xr:uid="{D074E6EA-87C6-47E6-A6A5-7586EF0BED3A}"/>
    <cellStyle name="Normal 8 4 2 3 5" xfId="52349" xr:uid="{499409D0-7DC1-481D-8ED0-59427DA1E0E3}"/>
    <cellStyle name="Normal 8 4 2 3 5 2" xfId="52350" xr:uid="{A4554C38-EDD9-4DC6-A64B-295666058DC6}"/>
    <cellStyle name="Normal 8 4 2 3 6" xfId="52351" xr:uid="{16D85839-AC9C-4C7F-8FFB-D4DF7148B857}"/>
    <cellStyle name="Normal 8 4 2 4" xfId="52352" xr:uid="{1237B5F1-612F-4488-A34F-7211E26B3827}"/>
    <cellStyle name="Normal 8 4 2 4 2" xfId="52353" xr:uid="{AE6983BB-296B-4674-B427-5C86C9190A71}"/>
    <cellStyle name="Normal 8 4 2 4 2 2" xfId="52354" xr:uid="{4279F053-2847-4F0D-97E3-9BB1FAB6CAB2}"/>
    <cellStyle name="Normal 8 4 2 4 2 2 2" xfId="52355" xr:uid="{DD01E7CD-40AB-4D2D-AFBC-CF44BE0E5947}"/>
    <cellStyle name="Normal 8 4 2 4 2 2 2 2" xfId="52356" xr:uid="{A96F5C67-C118-46E5-B735-0B963A9F6649}"/>
    <cellStyle name="Normal 8 4 2 4 2 2 3" xfId="52357" xr:uid="{248D6C3E-C853-4ED6-BFA5-55EAF5A87A5B}"/>
    <cellStyle name="Normal 8 4 2 4 2 3" xfId="52358" xr:uid="{41079276-D81E-4A3D-861A-36DF4853AD1E}"/>
    <cellStyle name="Normal 8 4 2 4 2 3 2" xfId="52359" xr:uid="{F6F77035-07B3-44B4-8443-43D48ECAB25C}"/>
    <cellStyle name="Normal 8 4 2 4 2 4" xfId="52360" xr:uid="{2A42B63F-395F-434E-8698-3AC3D28C5ACA}"/>
    <cellStyle name="Normal 8 4 2 4 3" xfId="52361" xr:uid="{02697402-8CA1-4260-BA28-DCC01F26BE40}"/>
    <cellStyle name="Normal 8 4 2 4 3 2" xfId="52362" xr:uid="{FCFF2DD3-E511-4836-980B-4DAC02FA058A}"/>
    <cellStyle name="Normal 8 4 2 4 3 2 2" xfId="52363" xr:uid="{DD7E3A98-FB8B-4383-9757-9B28E7BBFED4}"/>
    <cellStyle name="Normal 8 4 2 4 3 3" xfId="52364" xr:uid="{8F78C250-48FF-4BB6-809E-43D226A4A86C}"/>
    <cellStyle name="Normal 8 4 2 4 4" xfId="52365" xr:uid="{22E98142-777B-4E56-8AF8-742E46B8EE22}"/>
    <cellStyle name="Normal 8 4 2 4 4 2" xfId="52366" xr:uid="{8B2573E6-141D-4913-B0C9-1A161434C29D}"/>
    <cellStyle name="Normal 8 4 2 4 5" xfId="52367" xr:uid="{68F9383D-24F8-4B57-A6B8-4BF591C5B45F}"/>
    <cellStyle name="Normal 8 4 2 5" xfId="52368" xr:uid="{7F2FF920-7174-43AE-9AED-ADA9407BCD4F}"/>
    <cellStyle name="Normal 8 4 2 5 2" xfId="52369" xr:uid="{A8F1F6B1-1B50-42D9-A111-2410791383CC}"/>
    <cellStyle name="Normal 8 4 2 5 2 2" xfId="52370" xr:uid="{FBC7EA08-63F4-4D91-A188-266FCF807A7C}"/>
    <cellStyle name="Normal 8 4 2 5 2 2 2" xfId="52371" xr:uid="{5AFE0006-858D-4B18-8A89-A5F2D4103945}"/>
    <cellStyle name="Normal 8 4 2 5 2 3" xfId="52372" xr:uid="{3AFDCBB4-CC53-4AFA-832A-287E90CE8F57}"/>
    <cellStyle name="Normal 8 4 2 5 3" xfId="52373" xr:uid="{08ADED4F-B4A6-480B-8154-F7F59D4D387D}"/>
    <cellStyle name="Normal 8 4 2 5 3 2" xfId="52374" xr:uid="{82E44E2D-B7FC-42A7-B291-7FA966E24405}"/>
    <cellStyle name="Normal 8 4 2 5 4" xfId="52375" xr:uid="{AA2BA8DB-322B-49C5-9433-074C50AF9DF0}"/>
    <cellStyle name="Normal 8 4 2 6" xfId="52376" xr:uid="{DF19FB03-A568-45A0-BCFF-66021532FFEA}"/>
    <cellStyle name="Normal 8 4 2 6 2" xfId="52377" xr:uid="{CCF04D34-973F-4FEB-ABF6-0B8D2BCF96B0}"/>
    <cellStyle name="Normal 8 4 2 6 2 2" xfId="52378" xr:uid="{6CCE96EA-BC6D-48C5-B7DC-D183B02B37CB}"/>
    <cellStyle name="Normal 8 4 2 6 3" xfId="52379" xr:uid="{DB4D0376-A486-4600-B387-34EF6B49A0C8}"/>
    <cellStyle name="Normal 8 4 2 7" xfId="52380" xr:uid="{BC4025D8-87AC-490E-8BA5-36FF113E3FB9}"/>
    <cellStyle name="Normal 8 4 2 7 2" xfId="52381" xr:uid="{1044917E-952D-45B7-87E7-8CE65FED730A}"/>
    <cellStyle name="Normal 8 4 2 8" xfId="52382" xr:uid="{E657B5B6-1C36-4205-85E9-E3269D5BCC36}"/>
    <cellStyle name="Normal 8 4 3" xfId="52383" xr:uid="{7AC74919-F9A2-48B1-BE6F-F77E5AFFA28C}"/>
    <cellStyle name="Normal 8 4 3 2" xfId="52384" xr:uid="{782B6B3E-CDE6-45D8-B1EB-3D3D149A090F}"/>
    <cellStyle name="Normal 8 4 3 2 2" xfId="52385" xr:uid="{0C870C62-AD07-480E-B2CB-EA90FADD4463}"/>
    <cellStyle name="Normal 8 4 3 2 2 2" xfId="52386" xr:uid="{47F9A0D9-4470-4D49-8612-37E40181147F}"/>
    <cellStyle name="Normal 8 4 3 2 2 2 2" xfId="52387" xr:uid="{80E184C4-F213-467B-AEA4-9FC26FAE15F9}"/>
    <cellStyle name="Normal 8 4 3 2 2 2 2 2" xfId="52388" xr:uid="{B7A34A5E-31D4-4BE0-9CF7-149C9F803A10}"/>
    <cellStyle name="Normal 8 4 3 2 2 2 2 2 2" xfId="52389" xr:uid="{3C6352A1-B78C-4531-8E6B-2357F824B0F5}"/>
    <cellStyle name="Normal 8 4 3 2 2 2 2 3" xfId="52390" xr:uid="{C0201C77-C812-4027-A8F1-025CDE1912C9}"/>
    <cellStyle name="Normal 8 4 3 2 2 2 3" xfId="52391" xr:uid="{C04D0410-424A-4939-B9B1-EB5054EB899E}"/>
    <cellStyle name="Normal 8 4 3 2 2 2 3 2" xfId="52392" xr:uid="{A0238952-A282-40B3-B1C6-3C4A4B192C33}"/>
    <cellStyle name="Normal 8 4 3 2 2 2 4" xfId="52393" xr:uid="{87F2C0E0-92E2-4E02-A3F9-BFD5BD253B2C}"/>
    <cellStyle name="Normal 8 4 3 2 2 3" xfId="52394" xr:uid="{D943589C-E747-4CEC-9CD9-64B5767F1FFD}"/>
    <cellStyle name="Normal 8 4 3 2 2 3 2" xfId="52395" xr:uid="{25030B42-0F3B-4308-89AF-36F3682669D6}"/>
    <cellStyle name="Normal 8 4 3 2 2 3 2 2" xfId="52396" xr:uid="{DBB2A7F4-5355-4DCC-89FD-F0C3DC52BB37}"/>
    <cellStyle name="Normal 8 4 3 2 2 3 3" xfId="52397" xr:uid="{4FDBBD7D-2885-4BDD-929A-2CF48287B328}"/>
    <cellStyle name="Normal 8 4 3 2 2 4" xfId="52398" xr:uid="{517E26E9-52FF-4622-817A-FADE36EFDC31}"/>
    <cellStyle name="Normal 8 4 3 2 2 4 2" xfId="52399" xr:uid="{E84274A1-DF15-48B1-B954-AFE37B58248B}"/>
    <cellStyle name="Normal 8 4 3 2 2 5" xfId="52400" xr:uid="{A17A242B-5C4A-4AF5-81F2-84F99B754305}"/>
    <cellStyle name="Normal 8 4 3 2 3" xfId="52401" xr:uid="{6853EC57-161A-427B-8D5B-324A677988AD}"/>
    <cellStyle name="Normal 8 4 3 2 3 2" xfId="52402" xr:uid="{B3CBAC6F-CB17-4C54-9BD5-01BE50EF0A37}"/>
    <cellStyle name="Normal 8 4 3 2 3 2 2" xfId="52403" xr:uid="{859949CD-CB53-401A-899B-82A6B4523F9F}"/>
    <cellStyle name="Normal 8 4 3 2 3 2 2 2" xfId="52404" xr:uid="{3B556701-A7F5-4B8A-8DB8-AA1AA9E6F574}"/>
    <cellStyle name="Normal 8 4 3 2 3 2 3" xfId="52405" xr:uid="{D6EB35AB-89D0-49FF-BD4B-F4D3F7372368}"/>
    <cellStyle name="Normal 8 4 3 2 3 3" xfId="52406" xr:uid="{339D0E4B-36C6-46C0-8AEA-5CDFE2364A98}"/>
    <cellStyle name="Normal 8 4 3 2 3 3 2" xfId="52407" xr:uid="{4407FD6D-96AD-4E6D-8F94-8EC1298C836C}"/>
    <cellStyle name="Normal 8 4 3 2 3 4" xfId="52408" xr:uid="{89B086EC-B218-4370-A507-4A9676502E72}"/>
    <cellStyle name="Normal 8 4 3 2 4" xfId="52409" xr:uid="{0C83DBFB-F498-4553-9F80-F3D05327C8D6}"/>
    <cellStyle name="Normal 8 4 3 2 4 2" xfId="52410" xr:uid="{E6ACFD5B-A24A-4E81-BE68-083AC0ABCF68}"/>
    <cellStyle name="Normal 8 4 3 2 4 2 2" xfId="52411" xr:uid="{1FFE5155-BBED-43E9-9892-3C3A75FCF2C1}"/>
    <cellStyle name="Normal 8 4 3 2 4 3" xfId="52412" xr:uid="{BFF58FCC-6408-4CBC-9B74-75FC13B39568}"/>
    <cellStyle name="Normal 8 4 3 2 5" xfId="52413" xr:uid="{C7A73579-A878-4C21-BCF7-7E548DF58423}"/>
    <cellStyle name="Normal 8 4 3 2 5 2" xfId="52414" xr:uid="{50A8E0AB-B61A-458C-A958-73AF3FCA1DD6}"/>
    <cellStyle name="Normal 8 4 3 2 6" xfId="52415" xr:uid="{F843D1A6-BD09-4364-8884-68C57F2F673F}"/>
    <cellStyle name="Normal 8 4 3 3" xfId="52416" xr:uid="{6FB4BBB2-27C8-4867-9429-992995D93551}"/>
    <cellStyle name="Normal 8 4 3 3 2" xfId="52417" xr:uid="{4C1EC1BF-CC94-4C04-B992-CF749B7DACF1}"/>
    <cellStyle name="Normal 8 4 3 3 2 2" xfId="52418" xr:uid="{7DB22B0D-15A7-45E6-AF46-9FF0A875A268}"/>
    <cellStyle name="Normal 8 4 3 3 2 2 2" xfId="52419" xr:uid="{F1AEBBCB-4F62-4311-90CF-B390CDEF425B}"/>
    <cellStyle name="Normal 8 4 3 3 2 2 2 2" xfId="52420" xr:uid="{E1D672DF-207D-487C-BC42-070D22E9C06F}"/>
    <cellStyle name="Normal 8 4 3 3 2 2 3" xfId="52421" xr:uid="{1FA50581-4ACC-4ACB-9392-E7F6771BDA9A}"/>
    <cellStyle name="Normal 8 4 3 3 2 3" xfId="52422" xr:uid="{42496EC3-82FB-4AC7-BA5F-0B55366B8C4B}"/>
    <cellStyle name="Normal 8 4 3 3 2 3 2" xfId="52423" xr:uid="{BEFF0EE6-B057-4C13-840A-1D07223CB51D}"/>
    <cellStyle name="Normal 8 4 3 3 2 4" xfId="52424" xr:uid="{1E3325A6-6435-411A-8148-E4B2594677C5}"/>
    <cellStyle name="Normal 8 4 3 3 3" xfId="52425" xr:uid="{638C6783-95F1-4213-A2AD-86D607B73002}"/>
    <cellStyle name="Normal 8 4 3 3 3 2" xfId="52426" xr:uid="{C5D8EF16-A080-4419-A56F-93C9FBA64B16}"/>
    <cellStyle name="Normal 8 4 3 3 3 2 2" xfId="52427" xr:uid="{6E234E87-98EC-4A08-9FBB-95FCA06596B9}"/>
    <cellStyle name="Normal 8 4 3 3 3 3" xfId="52428" xr:uid="{1647FA56-06D0-4524-8C0B-66AD31D32A15}"/>
    <cellStyle name="Normal 8 4 3 3 4" xfId="52429" xr:uid="{4494220D-0A3D-4570-B34C-355B23F7E180}"/>
    <cellStyle name="Normal 8 4 3 3 4 2" xfId="52430" xr:uid="{12FC2C56-7EF7-4690-9FC6-E0385684D268}"/>
    <cellStyle name="Normal 8 4 3 3 5" xfId="52431" xr:uid="{604ED343-8258-4F66-AE19-DC0D67AC2CBA}"/>
    <cellStyle name="Normal 8 4 3 4" xfId="52432" xr:uid="{A6BB38AC-A896-4C6A-9C0C-10BB1A2F6E9D}"/>
    <cellStyle name="Normal 8 4 3 4 2" xfId="52433" xr:uid="{CAABAEA2-631D-42CE-8183-CE86B7FA67A1}"/>
    <cellStyle name="Normal 8 4 3 4 2 2" xfId="52434" xr:uid="{3BB03619-B710-4292-950D-AD35D53364E3}"/>
    <cellStyle name="Normal 8 4 3 4 2 2 2" xfId="52435" xr:uid="{0CCC3C2C-AF1B-49DB-9074-F921AAF3B82E}"/>
    <cellStyle name="Normal 8 4 3 4 2 3" xfId="52436" xr:uid="{5FCCD002-71E7-431B-9C02-2D68575E9B38}"/>
    <cellStyle name="Normal 8 4 3 4 3" xfId="52437" xr:uid="{13A9F1A7-FF5C-48C9-A6BE-E7AA3AA0C94B}"/>
    <cellStyle name="Normal 8 4 3 4 3 2" xfId="52438" xr:uid="{DE3AA16E-5E30-472E-ACBB-6AD04674E1E3}"/>
    <cellStyle name="Normal 8 4 3 4 4" xfId="52439" xr:uid="{C17E4B60-EC76-40A7-91EC-10EDD2F3DAE7}"/>
    <cellStyle name="Normal 8 4 3 5" xfId="52440" xr:uid="{CA47348B-BB4F-4D23-9D9F-3FC6178FB18A}"/>
    <cellStyle name="Normal 8 4 3 5 2" xfId="52441" xr:uid="{02F56444-B5AF-4B5F-B929-D30BA0D3C6BD}"/>
    <cellStyle name="Normal 8 4 3 5 2 2" xfId="52442" xr:uid="{F265F030-8442-4000-8FF3-D6793A8140FC}"/>
    <cellStyle name="Normal 8 4 3 5 3" xfId="52443" xr:uid="{0F256CC3-528F-4985-92C3-3AAAC07C8941}"/>
    <cellStyle name="Normal 8 4 3 6" xfId="52444" xr:uid="{B71A4162-4BD9-4472-8871-786FEC2438B5}"/>
    <cellStyle name="Normal 8 4 3 6 2" xfId="52445" xr:uid="{5B036000-E078-437C-A247-D89CAA8C76B8}"/>
    <cellStyle name="Normal 8 4 3 7" xfId="52446" xr:uid="{B3BE9066-9C3C-4707-81D4-A73336EE63CF}"/>
    <cellStyle name="Normal 8 4 4" xfId="52447" xr:uid="{CA957B01-8809-43DC-B1FC-2419E45529E2}"/>
    <cellStyle name="Normal 8 4 4 2" xfId="52448" xr:uid="{A31FEFE1-4074-4C52-87F1-2C7D18175117}"/>
    <cellStyle name="Normal 8 4 4 2 2" xfId="52449" xr:uid="{C13385FC-42B3-4C0A-9260-FCCF169561EA}"/>
    <cellStyle name="Normal 8 4 4 2 2 2" xfId="52450" xr:uid="{88CC9993-F974-454E-8ACC-EC379330234A}"/>
    <cellStyle name="Normal 8 4 4 2 2 2 2" xfId="52451" xr:uid="{9A12A1E7-7860-405D-8AEC-F6A017398D82}"/>
    <cellStyle name="Normal 8 4 4 2 2 2 2 2" xfId="52452" xr:uid="{ED0B31A6-3BF0-4318-A199-A62DCEFDEC95}"/>
    <cellStyle name="Normal 8 4 4 2 2 2 3" xfId="52453" xr:uid="{029D4A57-ACD6-4F9B-B511-B7474FBBC2FC}"/>
    <cellStyle name="Normal 8 4 4 2 2 3" xfId="52454" xr:uid="{B2E2F382-3C0B-4314-9430-AE89756AB862}"/>
    <cellStyle name="Normal 8 4 4 2 2 3 2" xfId="52455" xr:uid="{166CAB92-0600-4D31-BB56-F6BBD4D63BB1}"/>
    <cellStyle name="Normal 8 4 4 2 2 4" xfId="52456" xr:uid="{369D4C42-53B5-4799-96FA-21D952BF3A0F}"/>
    <cellStyle name="Normal 8 4 4 2 3" xfId="52457" xr:uid="{96435A3E-B8D6-45F7-ABF7-B65EA7412915}"/>
    <cellStyle name="Normal 8 4 4 2 3 2" xfId="52458" xr:uid="{8BB8E291-75FF-45CE-9949-4FAAD852E547}"/>
    <cellStyle name="Normal 8 4 4 2 3 2 2" xfId="52459" xr:uid="{AE52520D-CA0C-4391-BBA4-6588B1C791FB}"/>
    <cellStyle name="Normal 8 4 4 2 3 3" xfId="52460" xr:uid="{01D2BA2B-2560-42C8-9031-DFBA219BC004}"/>
    <cellStyle name="Normal 8 4 4 2 4" xfId="52461" xr:uid="{08381876-3507-403B-A418-FEEBECDCD1BA}"/>
    <cellStyle name="Normal 8 4 4 2 4 2" xfId="52462" xr:uid="{58D83F26-8BB4-4D7B-BBCE-1858189F6134}"/>
    <cellStyle name="Normal 8 4 4 2 5" xfId="52463" xr:uid="{05A1B300-4CDA-4B41-A015-FB55D59069D8}"/>
    <cellStyle name="Normal 8 4 4 3" xfId="52464" xr:uid="{5632D019-18BE-4FED-9829-990AF53FBE61}"/>
    <cellStyle name="Normal 8 4 4 3 2" xfId="52465" xr:uid="{E06A48A2-0494-44FF-9C05-771C5120D232}"/>
    <cellStyle name="Normal 8 4 4 3 2 2" xfId="52466" xr:uid="{3235339F-0037-4C07-ACBF-4A13F1821A22}"/>
    <cellStyle name="Normal 8 4 4 3 2 2 2" xfId="52467" xr:uid="{AC8C1072-BDA7-45AF-837E-AEA0524025B1}"/>
    <cellStyle name="Normal 8 4 4 3 2 3" xfId="52468" xr:uid="{AF302F66-D30B-4CBC-8A6B-F06B274C0D89}"/>
    <cellStyle name="Normal 8 4 4 3 3" xfId="52469" xr:uid="{18755F87-C22F-461F-9C3A-20A8160C224C}"/>
    <cellStyle name="Normal 8 4 4 3 3 2" xfId="52470" xr:uid="{3A0DD66D-8F66-418D-BE63-9598772EE68B}"/>
    <cellStyle name="Normal 8 4 4 3 4" xfId="52471" xr:uid="{608FCA6E-E269-47D8-98AD-B4A75DA2627F}"/>
    <cellStyle name="Normal 8 4 4 4" xfId="52472" xr:uid="{F5611E62-F262-4826-B693-220AD3B9EC6C}"/>
    <cellStyle name="Normal 8 4 4 4 2" xfId="52473" xr:uid="{633F51B5-CFFA-4B7A-ABE4-CCFDE7AE7873}"/>
    <cellStyle name="Normal 8 4 4 4 2 2" xfId="52474" xr:uid="{EA8BE361-4133-40D8-9A31-3AE5452EE520}"/>
    <cellStyle name="Normal 8 4 4 4 3" xfId="52475" xr:uid="{2D669A3A-71F4-47D9-86B7-4347167691A4}"/>
    <cellStyle name="Normal 8 4 4 5" xfId="52476" xr:uid="{890EE550-3D04-4021-A3A9-544B84B45758}"/>
    <cellStyle name="Normal 8 4 4 5 2" xfId="52477" xr:uid="{63219756-FD29-4DA4-BFAD-AC11A6E2D02C}"/>
    <cellStyle name="Normal 8 4 4 6" xfId="52478" xr:uid="{772ABBB6-0C57-43E0-B02C-01442F01C359}"/>
    <cellStyle name="Normal 8 4 5" xfId="52479" xr:uid="{9F1C7802-BF91-420F-A048-E96EF467CFAC}"/>
    <cellStyle name="Normal 8 4 5 2" xfId="52480" xr:uid="{138D99F4-E9C4-456A-A855-1074C9E49376}"/>
    <cellStyle name="Normal 8 4 5 2 2" xfId="52481" xr:uid="{F9453C13-00B3-4245-A584-7CEC469EA8FC}"/>
    <cellStyle name="Normal 8 4 5 2 2 2" xfId="52482" xr:uid="{81B62F37-FAE4-41BE-9A95-D309D7C2C934}"/>
    <cellStyle name="Normal 8 4 5 2 2 2 2" xfId="52483" xr:uid="{A8884341-F072-4E11-B8FF-1499ABEBFA7F}"/>
    <cellStyle name="Normal 8 4 5 2 2 3" xfId="52484" xr:uid="{C1ED7291-8457-4CCC-AA7D-7BA8371B630D}"/>
    <cellStyle name="Normal 8 4 5 2 3" xfId="52485" xr:uid="{6B3B0701-270D-4863-99B2-EBD3684C0C8B}"/>
    <cellStyle name="Normal 8 4 5 2 3 2" xfId="52486" xr:uid="{F2AA81E0-C0C3-4460-A0B6-1BE5B54ACF81}"/>
    <cellStyle name="Normal 8 4 5 2 4" xfId="52487" xr:uid="{551FCEE2-E1DE-40B8-B9EC-791200C2774A}"/>
    <cellStyle name="Normal 8 4 5 3" xfId="52488" xr:uid="{9E5E6431-625E-4466-AEE1-1E40D7728748}"/>
    <cellStyle name="Normal 8 4 5 3 2" xfId="52489" xr:uid="{1E0DBE52-3EAA-4D92-87C7-E658F5F08043}"/>
    <cellStyle name="Normal 8 4 5 3 2 2" xfId="52490" xr:uid="{D0974EC3-562D-4E1D-B227-A852DAE1BFCE}"/>
    <cellStyle name="Normal 8 4 5 3 3" xfId="52491" xr:uid="{ADCCAA28-A368-4DBB-88DD-6CBEC7DA83E7}"/>
    <cellStyle name="Normal 8 4 5 4" xfId="52492" xr:uid="{CCF036D3-00EB-4E7D-855D-A60A11036E96}"/>
    <cellStyle name="Normal 8 4 5 4 2" xfId="52493" xr:uid="{EDCCB34D-B9E9-40AE-8809-9CEF23F78848}"/>
    <cellStyle name="Normal 8 4 5 5" xfId="52494" xr:uid="{D48B7397-D245-4BA2-B641-D906D0D1EF64}"/>
    <cellStyle name="Normal 8 4 6" xfId="52495" xr:uid="{E9CF7AA0-3756-4203-A642-5AB5A3E36E48}"/>
    <cellStyle name="Normal 8 4 6 2" xfId="52496" xr:uid="{DAD38CD1-84B4-4B3D-849F-6B23124B69C4}"/>
    <cellStyle name="Normal 8 4 6 2 2" xfId="52497" xr:uid="{A08704B1-00BE-4CCA-B87E-8F93A3C51808}"/>
    <cellStyle name="Normal 8 4 6 2 2 2" xfId="52498" xr:uid="{2173A8DD-C076-44D7-81B3-416A7728859C}"/>
    <cellStyle name="Normal 8 4 6 2 3" xfId="52499" xr:uid="{A56D324B-B748-4449-8EB8-DEBD83DDE46A}"/>
    <cellStyle name="Normal 8 4 6 3" xfId="52500" xr:uid="{42FFE2AD-E92D-460A-8C3B-B67EF08E4AE7}"/>
    <cellStyle name="Normal 8 4 6 3 2" xfId="52501" xr:uid="{5344C1E8-4489-43A7-BA67-6B0D8504B406}"/>
    <cellStyle name="Normal 8 4 6 4" xfId="52502" xr:uid="{74850E90-4D23-4CC7-8548-320F0EA30296}"/>
    <cellStyle name="Normal 8 4 7" xfId="52503" xr:uid="{6099ED0C-2C5A-449C-AB75-F01A1B3A4A7C}"/>
    <cellStyle name="Normal 8 4 7 2" xfId="52504" xr:uid="{1F073783-4F24-479B-B50A-BCDEC4223AA4}"/>
    <cellStyle name="Normal 8 4 7 2 2" xfId="52505" xr:uid="{A5D6CEB5-0044-4B1B-856E-8DD62061FF0C}"/>
    <cellStyle name="Normal 8 4 7 3" xfId="52506" xr:uid="{F5C7D533-992E-4374-A2D7-1925332CE438}"/>
    <cellStyle name="Normal 8 4 8" xfId="52507" xr:uid="{B9F5C195-8209-4205-9995-07804913E513}"/>
    <cellStyle name="Normal 8 4 8 2" xfId="52508" xr:uid="{677F028B-D9F0-4CBA-9C3A-ECF03D08B080}"/>
    <cellStyle name="Normal 8 4 9" xfId="52509" xr:uid="{A1264467-19F0-4759-9E57-41C1D7E53BF1}"/>
    <cellStyle name="Normal 8 5" xfId="52510" xr:uid="{C3A574D0-5B1C-4F82-9215-C0C9164F1AF5}"/>
    <cellStyle name="Normal 8 5 2" xfId="52511" xr:uid="{09A6635A-91DA-4D38-82B4-CB80B4BB4DD8}"/>
    <cellStyle name="Normal 8 5 2 2" xfId="52512" xr:uid="{E47C651D-CE2D-4734-A315-77BCCAAC390C}"/>
    <cellStyle name="Normal 8 5 2 2 2" xfId="52513" xr:uid="{8DFC2661-59D0-4970-8D09-51298D9E3BD0}"/>
    <cellStyle name="Normal 8 5 2 2 2 2" xfId="52514" xr:uid="{0CDA014C-4DF2-41E0-8AFF-8560BB2A0E0F}"/>
    <cellStyle name="Normal 8 5 2 2 2 2 2" xfId="52515" xr:uid="{B0F0127D-A5E7-4CA1-9E05-C1EA8E669761}"/>
    <cellStyle name="Normal 8 5 2 2 2 2 2 2" xfId="52516" xr:uid="{0A9A92D5-0999-4C08-B67E-50E70BDDF01A}"/>
    <cellStyle name="Normal 8 5 2 2 2 2 2 2 2" xfId="52517" xr:uid="{322AC02F-104C-4C7B-8F18-7C7D22D860FD}"/>
    <cellStyle name="Normal 8 5 2 2 2 2 2 3" xfId="52518" xr:uid="{696F7FB0-57AC-4C27-88FC-BBCA1640CB48}"/>
    <cellStyle name="Normal 8 5 2 2 2 2 3" xfId="52519" xr:uid="{11C208F6-FC47-42E5-97A7-EE5ACAF90A60}"/>
    <cellStyle name="Normal 8 5 2 2 2 2 3 2" xfId="52520" xr:uid="{1ECDA76D-33D9-4F5E-9995-AF5D1F2B01E8}"/>
    <cellStyle name="Normal 8 5 2 2 2 2 4" xfId="52521" xr:uid="{06487A3B-521C-4F4C-B4D6-7BA1339A4429}"/>
    <cellStyle name="Normal 8 5 2 2 2 3" xfId="52522" xr:uid="{34FF60D2-03CA-41F4-A1FA-7E0C08D36AA6}"/>
    <cellStyle name="Normal 8 5 2 2 2 3 2" xfId="52523" xr:uid="{E3E3B16B-2BD5-4867-89AF-D29738D9256F}"/>
    <cellStyle name="Normal 8 5 2 2 2 3 2 2" xfId="52524" xr:uid="{190637F1-E25A-4501-A825-1BFBEDA887C7}"/>
    <cellStyle name="Normal 8 5 2 2 2 3 3" xfId="52525" xr:uid="{93DC9BC4-CF6D-46D7-8F86-74792E0AE3D3}"/>
    <cellStyle name="Normal 8 5 2 2 2 4" xfId="52526" xr:uid="{3AADAD3B-0646-4425-B578-2C35361440B0}"/>
    <cellStyle name="Normal 8 5 2 2 2 4 2" xfId="52527" xr:uid="{B94F50E0-7E99-4A04-A42B-A23253FE08E8}"/>
    <cellStyle name="Normal 8 5 2 2 2 5" xfId="52528" xr:uid="{BAC7246E-D45B-48C7-9A13-6F7A5BA2F7D7}"/>
    <cellStyle name="Normal 8 5 2 2 3" xfId="52529" xr:uid="{B0D26F01-046B-4987-B796-2C7DCEDEEC50}"/>
    <cellStyle name="Normal 8 5 2 2 3 2" xfId="52530" xr:uid="{D62099BF-FA6A-4552-B55B-32A24C78871E}"/>
    <cellStyle name="Normal 8 5 2 2 3 2 2" xfId="52531" xr:uid="{66BB9668-5625-475E-AEAD-D66687D01F37}"/>
    <cellStyle name="Normal 8 5 2 2 3 2 2 2" xfId="52532" xr:uid="{A0601EFD-7C3F-4426-B183-75F679193EA8}"/>
    <cellStyle name="Normal 8 5 2 2 3 2 3" xfId="52533" xr:uid="{FB59ABDA-EB44-4EFB-9E64-2AC5196D8EA9}"/>
    <cellStyle name="Normal 8 5 2 2 3 3" xfId="52534" xr:uid="{A52EB759-3A00-41B9-AA59-7C98CF748FBF}"/>
    <cellStyle name="Normal 8 5 2 2 3 3 2" xfId="52535" xr:uid="{BC29344B-3EB7-44E6-BE7C-3FD07DFE2240}"/>
    <cellStyle name="Normal 8 5 2 2 3 4" xfId="52536" xr:uid="{C944FB46-F8E7-4EC6-9AD5-8E32363229DA}"/>
    <cellStyle name="Normal 8 5 2 2 4" xfId="52537" xr:uid="{282EFFBA-A427-4E4C-B565-1CF9269CC289}"/>
    <cellStyle name="Normal 8 5 2 2 4 2" xfId="52538" xr:uid="{0A23064D-057F-4331-A4B5-F6DBBACEDEA2}"/>
    <cellStyle name="Normal 8 5 2 2 4 2 2" xfId="52539" xr:uid="{C232911C-9759-4132-8904-1AB0F7FBA594}"/>
    <cellStyle name="Normal 8 5 2 2 4 3" xfId="52540" xr:uid="{DA492B58-3AAC-4FA8-B5E7-383106131EEA}"/>
    <cellStyle name="Normal 8 5 2 2 5" xfId="52541" xr:uid="{045BDAE1-C766-4006-847F-919F4B57987A}"/>
    <cellStyle name="Normal 8 5 2 2 5 2" xfId="52542" xr:uid="{B5B65B57-AA73-4D52-9109-9D61F916D722}"/>
    <cellStyle name="Normal 8 5 2 2 6" xfId="52543" xr:uid="{56479655-FEB7-41BF-BF6F-5D684D23BF2B}"/>
    <cellStyle name="Normal 8 5 2 3" xfId="52544" xr:uid="{35213C69-4EA2-4612-B562-1F1028022956}"/>
    <cellStyle name="Normal 8 5 2 3 2" xfId="52545" xr:uid="{05D26160-B68B-46D9-9D15-642349F6600D}"/>
    <cellStyle name="Normal 8 5 2 3 2 2" xfId="52546" xr:uid="{D19F2603-67E2-4514-9E47-BB4CAB2C8807}"/>
    <cellStyle name="Normal 8 5 2 3 2 2 2" xfId="52547" xr:uid="{3BBBCA24-FBA0-41E9-AEAF-161846452596}"/>
    <cellStyle name="Normal 8 5 2 3 2 2 2 2" xfId="52548" xr:uid="{1D58D2AA-9B39-4632-8310-097F8FBE1F97}"/>
    <cellStyle name="Normal 8 5 2 3 2 2 3" xfId="52549" xr:uid="{E4E2B275-350F-40EF-BF6C-98C7F0184B60}"/>
    <cellStyle name="Normal 8 5 2 3 2 3" xfId="52550" xr:uid="{F8D342CC-9E68-4A8A-9FF4-8017629959B0}"/>
    <cellStyle name="Normal 8 5 2 3 2 3 2" xfId="52551" xr:uid="{62720825-9522-4BC4-AC64-61E4ACBBED16}"/>
    <cellStyle name="Normal 8 5 2 3 2 4" xfId="52552" xr:uid="{53085ADD-CD11-4AF3-90D8-70539CA2C1D0}"/>
    <cellStyle name="Normal 8 5 2 3 3" xfId="52553" xr:uid="{E367D695-F52B-44C9-B49D-7C28BF49063F}"/>
    <cellStyle name="Normal 8 5 2 3 3 2" xfId="52554" xr:uid="{A2F520DB-E83B-4539-8C0C-6D6B6D5F5D1B}"/>
    <cellStyle name="Normal 8 5 2 3 3 2 2" xfId="52555" xr:uid="{FB8EA3AB-A8D8-4FA2-953F-87CC2EFEA050}"/>
    <cellStyle name="Normal 8 5 2 3 3 3" xfId="52556" xr:uid="{CD4C78AD-5B1D-4DED-9EE2-E61BB625C4AC}"/>
    <cellStyle name="Normal 8 5 2 3 4" xfId="52557" xr:uid="{39EB6EAA-B511-4A8A-A2BC-C8906001A63B}"/>
    <cellStyle name="Normal 8 5 2 3 4 2" xfId="52558" xr:uid="{629A80E4-A741-47B7-88D8-81C487ADDAF8}"/>
    <cellStyle name="Normal 8 5 2 3 5" xfId="52559" xr:uid="{CDCC137C-DB2B-4547-B22E-2D606C1B0736}"/>
    <cellStyle name="Normal 8 5 2 4" xfId="52560" xr:uid="{32B23EC2-76BB-4673-B2D3-FF04049B12BA}"/>
    <cellStyle name="Normal 8 5 2 4 2" xfId="52561" xr:uid="{102C8851-F01B-429A-9AD3-BBBC919108C0}"/>
    <cellStyle name="Normal 8 5 2 4 2 2" xfId="52562" xr:uid="{003CAFF8-648B-4337-B19F-43EA4B7DD43B}"/>
    <cellStyle name="Normal 8 5 2 4 2 2 2" xfId="52563" xr:uid="{9215A207-2A29-40CB-BFF9-C1F5DF27D1C0}"/>
    <cellStyle name="Normal 8 5 2 4 2 3" xfId="52564" xr:uid="{F516CB09-5E86-473E-8D46-A1D46DEFF6B6}"/>
    <cellStyle name="Normal 8 5 2 4 3" xfId="52565" xr:uid="{74689EF4-8054-4750-A120-75A1F6DDDA7B}"/>
    <cellStyle name="Normal 8 5 2 4 3 2" xfId="52566" xr:uid="{F9D0DCDA-03CD-437A-938E-292B862BDE45}"/>
    <cellStyle name="Normal 8 5 2 4 4" xfId="52567" xr:uid="{CE503968-C315-426C-B685-4CF472920658}"/>
    <cellStyle name="Normal 8 5 2 5" xfId="52568" xr:uid="{81A3CB1B-F3C5-4E59-A233-B7B29B7B67D4}"/>
    <cellStyle name="Normal 8 5 2 5 2" xfId="52569" xr:uid="{4C5A6127-DD9D-4DE4-A841-867DEBC3671B}"/>
    <cellStyle name="Normal 8 5 2 5 2 2" xfId="52570" xr:uid="{9EDB252A-68A7-4F1B-93C4-949F6D9A9180}"/>
    <cellStyle name="Normal 8 5 2 5 3" xfId="52571" xr:uid="{568C8F4A-BE5D-47FC-A770-662A91FD0978}"/>
    <cellStyle name="Normal 8 5 2 6" xfId="52572" xr:uid="{35D9CE53-C615-441B-9DD8-B42DFD7EBC89}"/>
    <cellStyle name="Normal 8 5 2 6 2" xfId="52573" xr:uid="{B9C903B3-C7D2-4EF1-B50A-20AFB52AD6F5}"/>
    <cellStyle name="Normal 8 5 2 7" xfId="52574" xr:uid="{57020531-ADB7-4805-9741-4C9F6312DC22}"/>
    <cellStyle name="Normal 8 5 3" xfId="52575" xr:uid="{C8A47C97-2737-49CD-98F7-FF762620F92E}"/>
    <cellStyle name="Normal 8 5 3 2" xfId="52576" xr:uid="{F5143778-FC76-40B4-9415-AC480B41CFB2}"/>
    <cellStyle name="Normal 8 5 3 2 2" xfId="52577" xr:uid="{391DE4DB-E88D-475D-9D96-2D3FF8DDF1D5}"/>
    <cellStyle name="Normal 8 5 3 2 2 2" xfId="52578" xr:uid="{A3D5A4F5-3CB9-4BF7-A421-6924A70273E7}"/>
    <cellStyle name="Normal 8 5 3 2 2 2 2" xfId="52579" xr:uid="{F38EFECC-6E16-4A19-8E23-9970BE40F363}"/>
    <cellStyle name="Normal 8 5 3 2 2 2 2 2" xfId="52580" xr:uid="{5F3E96CF-1282-4053-BDC5-E1F89982E293}"/>
    <cellStyle name="Normal 8 5 3 2 2 2 3" xfId="52581" xr:uid="{B0C2EE64-C207-4AF1-B7AF-D62F33A55EDC}"/>
    <cellStyle name="Normal 8 5 3 2 2 3" xfId="52582" xr:uid="{889712D1-900B-4EA3-B51C-8C66334CC879}"/>
    <cellStyle name="Normal 8 5 3 2 2 3 2" xfId="52583" xr:uid="{849583C3-4564-499C-8D95-4B9A60C746ED}"/>
    <cellStyle name="Normal 8 5 3 2 2 4" xfId="52584" xr:uid="{1A4269B4-7168-4FF7-91CB-FF5C4C4B90E5}"/>
    <cellStyle name="Normal 8 5 3 2 3" xfId="52585" xr:uid="{53C052F7-2C49-4BDC-AE55-46EDA2D1A215}"/>
    <cellStyle name="Normal 8 5 3 2 3 2" xfId="52586" xr:uid="{6861A66F-B33B-44F9-8E9B-ABF9AF74FE2C}"/>
    <cellStyle name="Normal 8 5 3 2 3 2 2" xfId="52587" xr:uid="{3B82D52C-BDEC-4335-B2F8-61AAA53F8794}"/>
    <cellStyle name="Normal 8 5 3 2 3 3" xfId="52588" xr:uid="{6F01F35A-22DC-4456-81F1-784C049BC848}"/>
    <cellStyle name="Normal 8 5 3 2 4" xfId="52589" xr:uid="{EDDDF0AE-4266-4A86-97D8-95319701CC83}"/>
    <cellStyle name="Normal 8 5 3 2 4 2" xfId="52590" xr:uid="{46FE2764-9BF9-42A4-85A5-4BC08BE1E151}"/>
    <cellStyle name="Normal 8 5 3 2 5" xfId="52591" xr:uid="{BA9BB6BE-C335-443C-B211-AEF001613421}"/>
    <cellStyle name="Normal 8 5 3 3" xfId="52592" xr:uid="{CA050C0A-D35E-4D60-AEF8-A0F091DE9009}"/>
    <cellStyle name="Normal 8 5 3 3 2" xfId="52593" xr:uid="{49EDAF48-7764-4377-9035-398421C6519E}"/>
    <cellStyle name="Normal 8 5 3 3 2 2" xfId="52594" xr:uid="{BF3B8FDB-EDD8-49DE-A9E7-588445EBE304}"/>
    <cellStyle name="Normal 8 5 3 3 2 2 2" xfId="52595" xr:uid="{76713025-2665-448A-8867-878DC5F187A5}"/>
    <cellStyle name="Normal 8 5 3 3 2 3" xfId="52596" xr:uid="{8CABF0F0-4FDC-4101-AFE4-62B6786A610A}"/>
    <cellStyle name="Normal 8 5 3 3 3" xfId="52597" xr:uid="{705D73FF-374A-4C37-99E3-B504FA01FDB1}"/>
    <cellStyle name="Normal 8 5 3 3 3 2" xfId="52598" xr:uid="{62A039D9-E323-43EE-8718-E43315C159AE}"/>
    <cellStyle name="Normal 8 5 3 3 4" xfId="52599" xr:uid="{5B9EC910-F1A0-417D-A7FC-84FE0B2FE133}"/>
    <cellStyle name="Normal 8 5 3 4" xfId="52600" xr:uid="{88DC15BF-9BF1-4CE4-B2CC-FEADBD2D4FDA}"/>
    <cellStyle name="Normal 8 5 3 4 2" xfId="52601" xr:uid="{2EA75300-73D3-4A32-A32C-71044A7B6E08}"/>
    <cellStyle name="Normal 8 5 3 4 2 2" xfId="52602" xr:uid="{437A731E-5BC2-4DEC-9958-B0A971AF48E6}"/>
    <cellStyle name="Normal 8 5 3 4 3" xfId="52603" xr:uid="{5BCC66DB-3A1C-451F-88F6-3CFB3DE5331D}"/>
    <cellStyle name="Normal 8 5 3 5" xfId="52604" xr:uid="{DA7A23F9-8F57-4982-A260-4889A4D84BFE}"/>
    <cellStyle name="Normal 8 5 3 5 2" xfId="52605" xr:uid="{C4608D15-3D7A-4496-8D7B-578E473CEAC4}"/>
    <cellStyle name="Normal 8 5 3 6" xfId="52606" xr:uid="{CDFF835F-AF75-46F5-AC7B-B9F5F9625A0A}"/>
    <cellStyle name="Normal 8 5 4" xfId="52607" xr:uid="{9274F456-42CA-4025-8F96-D2DA9FD6B5DA}"/>
    <cellStyle name="Normal 8 5 4 2" xfId="52608" xr:uid="{AC82F8BC-8A4A-4FCB-A8A4-BE3E2E4412AE}"/>
    <cellStyle name="Normal 8 5 4 2 2" xfId="52609" xr:uid="{B45B5506-6905-4D1A-9E3A-21E9101ACDB1}"/>
    <cellStyle name="Normal 8 5 4 2 2 2" xfId="52610" xr:uid="{D7CCB764-FB91-4C91-B46B-7F0A1AAFC91B}"/>
    <cellStyle name="Normal 8 5 4 2 2 2 2" xfId="52611" xr:uid="{1095841C-8A59-4FEF-A8D4-82A92A343772}"/>
    <cellStyle name="Normal 8 5 4 2 2 3" xfId="52612" xr:uid="{F7FB545D-CED3-451B-9BA4-3EEF59D8EB23}"/>
    <cellStyle name="Normal 8 5 4 2 3" xfId="52613" xr:uid="{8AF2B142-6041-4AAC-B4DB-8C3142C4D9F1}"/>
    <cellStyle name="Normal 8 5 4 2 3 2" xfId="52614" xr:uid="{D28A3B3D-DEF2-4E0C-87FD-D086D012F390}"/>
    <cellStyle name="Normal 8 5 4 2 4" xfId="52615" xr:uid="{A2768DCB-D525-423E-B18F-C4504E95682A}"/>
    <cellStyle name="Normal 8 5 4 3" xfId="52616" xr:uid="{92094FF4-4DF0-4327-A7D7-E6C285A1CD26}"/>
    <cellStyle name="Normal 8 5 4 3 2" xfId="52617" xr:uid="{C1819FE9-0940-4B54-8894-29BBCFFC2956}"/>
    <cellStyle name="Normal 8 5 4 3 2 2" xfId="52618" xr:uid="{6D726322-79A3-49A0-AC8E-1FF81EF8D0C0}"/>
    <cellStyle name="Normal 8 5 4 3 3" xfId="52619" xr:uid="{2FD39209-AEC9-46B1-A7F0-81525A86D037}"/>
    <cellStyle name="Normal 8 5 4 4" xfId="52620" xr:uid="{FA4C3185-5BCD-4F6D-9443-7E69E4EDD251}"/>
    <cellStyle name="Normal 8 5 4 4 2" xfId="52621" xr:uid="{23AF5358-8D60-488D-8E0D-765B65F12AB3}"/>
    <cellStyle name="Normal 8 5 4 5" xfId="52622" xr:uid="{82191667-9AA7-4B9A-9A63-17A81C22CA69}"/>
    <cellStyle name="Normal 8 5 5" xfId="52623" xr:uid="{5DD71541-7765-428F-BB5F-40820D8072D9}"/>
    <cellStyle name="Normal 8 5 5 2" xfId="52624" xr:uid="{F5C29611-8CF2-4D6E-A16A-661218CDC3E3}"/>
    <cellStyle name="Normal 8 5 5 2 2" xfId="52625" xr:uid="{D85260EA-5680-44C6-9353-90BC5CF65362}"/>
    <cellStyle name="Normal 8 5 5 2 2 2" xfId="52626" xr:uid="{FD3FD0A1-7886-4283-AA0E-CA4EFFCB06E4}"/>
    <cellStyle name="Normal 8 5 5 2 3" xfId="52627" xr:uid="{B0075277-29DD-476B-8094-3629AB946A28}"/>
    <cellStyle name="Normal 8 5 5 3" xfId="52628" xr:uid="{F2425AAE-57C1-41E5-8FD7-D7652F5FB61F}"/>
    <cellStyle name="Normal 8 5 5 3 2" xfId="52629" xr:uid="{2BC30FC4-EBEC-4FF8-8BF7-FAC4697E1D90}"/>
    <cellStyle name="Normal 8 5 5 4" xfId="52630" xr:uid="{F0E7956A-4638-4BC1-9E0B-0543BD58B8DE}"/>
    <cellStyle name="Normal 8 5 6" xfId="52631" xr:uid="{ABB9EF31-416F-4D53-B418-E9DD8253F6E5}"/>
    <cellStyle name="Normal 8 5 6 2" xfId="52632" xr:uid="{6C878BDB-54F3-4035-8845-E846F8B9E0B0}"/>
    <cellStyle name="Normal 8 5 6 2 2" xfId="52633" xr:uid="{5CD161C5-7F4C-4F8F-9123-ABB38DBFEC46}"/>
    <cellStyle name="Normal 8 5 6 3" xfId="52634" xr:uid="{BBEBECBD-BEC8-42AD-A5A9-E51C937EF36E}"/>
    <cellStyle name="Normal 8 5 7" xfId="52635" xr:uid="{DBBB4260-7D29-4AFC-A8B6-B59F2DACD2F4}"/>
    <cellStyle name="Normal 8 5 7 2" xfId="52636" xr:uid="{9D2188EC-CFF8-424D-A238-43E5956829FB}"/>
    <cellStyle name="Normal 8 5 8" xfId="52637" xr:uid="{7082CE30-363D-4736-996E-EADBD212737B}"/>
    <cellStyle name="Normal 8 6" xfId="52638" xr:uid="{ACDF802A-920F-4A46-B6AE-4FD838B2C14D}"/>
    <cellStyle name="Normal 8 6 2" xfId="52639" xr:uid="{215BC5B5-5968-4549-9D79-039B6272D08D}"/>
    <cellStyle name="Normal 8 6 2 2" xfId="52640" xr:uid="{36BDADC8-93A8-41E4-87FD-A6FACE4B0B8B}"/>
    <cellStyle name="Normal 8 6 2 2 2" xfId="52641" xr:uid="{18896A0B-D4C3-4522-AD38-14AF5E941539}"/>
    <cellStyle name="Normal 8 6 2 2 2 2" xfId="52642" xr:uid="{5E7740E8-1962-4D0B-8616-62D69C50BDE5}"/>
    <cellStyle name="Normal 8 6 2 2 2 2 2" xfId="52643" xr:uid="{7CE63FC5-AED0-423F-9BF1-CC6B3627B4FE}"/>
    <cellStyle name="Normal 8 6 2 2 2 2 2 2" xfId="52644" xr:uid="{D1577276-51DF-4DE3-BEC8-5A3615C2C3A8}"/>
    <cellStyle name="Normal 8 6 2 2 2 2 3" xfId="52645" xr:uid="{DEBA4CC1-6769-4327-B9E8-321D1B44BE12}"/>
    <cellStyle name="Normal 8 6 2 2 2 3" xfId="52646" xr:uid="{67426D1A-9ACA-4DE8-93A6-0F33453A7DED}"/>
    <cellStyle name="Normal 8 6 2 2 2 3 2" xfId="52647" xr:uid="{A84A532B-9C60-427E-A9C4-734AA39CBB4F}"/>
    <cellStyle name="Normal 8 6 2 2 2 4" xfId="52648" xr:uid="{856616DE-8234-4CBD-BBD2-21EAD2D6FEB2}"/>
    <cellStyle name="Normal 8 6 2 2 3" xfId="52649" xr:uid="{A6F9BB85-2F81-4DE5-ABED-ED136C542548}"/>
    <cellStyle name="Normal 8 6 2 2 3 2" xfId="52650" xr:uid="{1A48E059-CD8B-476E-91E2-28E19440F48E}"/>
    <cellStyle name="Normal 8 6 2 2 3 2 2" xfId="52651" xr:uid="{5D00A7CB-86D6-4039-AE89-95BFDBF74570}"/>
    <cellStyle name="Normal 8 6 2 2 3 3" xfId="52652" xr:uid="{1A9716B4-E1E0-4C9D-9B26-4EB004CA73DF}"/>
    <cellStyle name="Normal 8 6 2 2 4" xfId="52653" xr:uid="{7180B855-194F-4847-A5BC-582EBC2A598A}"/>
    <cellStyle name="Normal 8 6 2 2 4 2" xfId="52654" xr:uid="{D9B0A548-19A1-42DA-845A-73C30569D7AF}"/>
    <cellStyle name="Normal 8 6 2 2 5" xfId="52655" xr:uid="{57A6353B-2FB7-43EE-94C7-6372594BACAD}"/>
    <cellStyle name="Normal 8 6 2 3" xfId="52656" xr:uid="{136C1364-C1F4-4DF6-8844-BAC7C2C31B41}"/>
    <cellStyle name="Normal 8 6 2 3 2" xfId="52657" xr:uid="{4CC4F05C-FECC-45FA-8F89-E070BF7C16EF}"/>
    <cellStyle name="Normal 8 6 2 3 2 2" xfId="52658" xr:uid="{1E67011D-1AE1-41EF-ADFA-E5D78C087BBB}"/>
    <cellStyle name="Normal 8 6 2 3 2 2 2" xfId="52659" xr:uid="{8FDD794B-E450-4225-8674-1196B2CD581F}"/>
    <cellStyle name="Normal 8 6 2 3 2 3" xfId="52660" xr:uid="{63B7C21E-81E2-4CA6-8227-E456BACC8C0C}"/>
    <cellStyle name="Normal 8 6 2 3 3" xfId="52661" xr:uid="{D00A11B7-124B-439C-804E-4D1AC09A5331}"/>
    <cellStyle name="Normal 8 6 2 3 3 2" xfId="52662" xr:uid="{6A627150-8044-48D9-A44B-5DCB6E4B3F1B}"/>
    <cellStyle name="Normal 8 6 2 3 4" xfId="52663" xr:uid="{6FD9E85D-0B05-4598-B8BC-87BEE5F3323E}"/>
    <cellStyle name="Normal 8 6 2 4" xfId="52664" xr:uid="{5DB53B9A-A83C-4F2F-B3EB-5517BA7A74D6}"/>
    <cellStyle name="Normal 8 6 2 4 2" xfId="52665" xr:uid="{BE2FA833-E0A5-486F-871D-0715004FF711}"/>
    <cellStyle name="Normal 8 6 2 4 2 2" xfId="52666" xr:uid="{93A48BD6-21E2-4A92-A1E0-4D06B30A5A6B}"/>
    <cellStyle name="Normal 8 6 2 4 3" xfId="52667" xr:uid="{ACC00016-0CA7-4EC7-92B1-9F9B09506A88}"/>
    <cellStyle name="Normal 8 6 2 5" xfId="52668" xr:uid="{0060F9A9-EB88-405D-962C-FC80168C8C0D}"/>
    <cellStyle name="Normal 8 6 2 5 2" xfId="52669" xr:uid="{905D907E-A4A3-4D64-B1FD-DF2B21F61D9E}"/>
    <cellStyle name="Normal 8 6 2 6" xfId="52670" xr:uid="{69D311A1-6514-4413-B824-F6CB862DEBB3}"/>
    <cellStyle name="Normal 8 6 3" xfId="52671" xr:uid="{CBF9B168-AAA1-48EE-9FA0-908C91034543}"/>
    <cellStyle name="Normal 8 6 3 2" xfId="52672" xr:uid="{932AE9A1-1AF0-4FD6-B21C-A59CCF4AAC03}"/>
    <cellStyle name="Normal 8 6 3 2 2" xfId="52673" xr:uid="{33468D51-960D-4EE0-A26E-1CF67263BA19}"/>
    <cellStyle name="Normal 8 6 3 2 2 2" xfId="52674" xr:uid="{82A9EE99-475E-4F5B-AA11-45D96672A992}"/>
    <cellStyle name="Normal 8 6 3 2 2 2 2" xfId="52675" xr:uid="{133E58D7-17FA-4C4E-BDFF-A5B74FB75798}"/>
    <cellStyle name="Normal 8 6 3 2 2 3" xfId="52676" xr:uid="{0DC8BD54-3CFE-48CD-9220-A4A479653405}"/>
    <cellStyle name="Normal 8 6 3 2 3" xfId="52677" xr:uid="{3938FAA2-FFE0-407E-A5DC-890C358D8DBE}"/>
    <cellStyle name="Normal 8 6 3 2 3 2" xfId="52678" xr:uid="{2B38C0A2-3353-4A5F-A3E0-06BF47C0B72D}"/>
    <cellStyle name="Normal 8 6 3 2 4" xfId="52679" xr:uid="{8913D307-44AE-44CA-8FE1-4EBAE77CAE88}"/>
    <cellStyle name="Normal 8 6 3 3" xfId="52680" xr:uid="{24F8431E-7352-4970-8310-7BA3F911947B}"/>
    <cellStyle name="Normal 8 6 3 3 2" xfId="52681" xr:uid="{287CD42D-11EE-4FDF-928C-A8984C2318A5}"/>
    <cellStyle name="Normal 8 6 3 3 2 2" xfId="52682" xr:uid="{5F354907-5662-4132-9B46-9FE03DF1496B}"/>
    <cellStyle name="Normal 8 6 3 3 3" xfId="52683" xr:uid="{3D46B461-4EED-4A23-BD28-0DFD28504FBF}"/>
    <cellStyle name="Normal 8 6 3 4" xfId="52684" xr:uid="{6B805D9E-8FA1-4B13-8A02-7E389AC3AB2B}"/>
    <cellStyle name="Normal 8 6 3 4 2" xfId="52685" xr:uid="{84E07599-A0B6-4BEA-B912-7CE4CC88E157}"/>
    <cellStyle name="Normal 8 6 3 5" xfId="52686" xr:uid="{73AF9D77-B2FD-4764-A243-B94B7048AEBB}"/>
    <cellStyle name="Normal 8 6 4" xfId="52687" xr:uid="{973CA93F-752F-45DF-9551-285162A7DFAD}"/>
    <cellStyle name="Normal 8 6 4 2" xfId="52688" xr:uid="{83689C6B-4D92-4F0F-9E40-FE767641CF5A}"/>
    <cellStyle name="Normal 8 6 4 2 2" xfId="52689" xr:uid="{EF9531C9-F471-4C63-B54A-6DDDAAE67775}"/>
    <cellStyle name="Normal 8 6 4 2 2 2" xfId="52690" xr:uid="{CD54F2FF-AC1C-4243-9608-EFEF9223F6CD}"/>
    <cellStyle name="Normal 8 6 4 2 3" xfId="52691" xr:uid="{7817D4A3-69FF-4606-A986-D1ACDE7E22F1}"/>
    <cellStyle name="Normal 8 6 4 3" xfId="52692" xr:uid="{2B37F15C-647D-45D5-95F3-A11D7E1C08F8}"/>
    <cellStyle name="Normal 8 6 4 3 2" xfId="52693" xr:uid="{E9893B08-660A-4797-8900-F457B46AEDCE}"/>
    <cellStyle name="Normal 8 6 4 4" xfId="52694" xr:uid="{F016FF14-2E7A-4E82-AFE0-9E7284490125}"/>
    <cellStyle name="Normal 8 6 5" xfId="52695" xr:uid="{2D9A2AF6-B5F8-4FFB-B1D9-72C011ED18EC}"/>
    <cellStyle name="Normal 8 6 5 2" xfId="52696" xr:uid="{4517472A-BEAB-46CC-AD21-22099342C754}"/>
    <cellStyle name="Normal 8 6 5 2 2" xfId="52697" xr:uid="{41927196-CAB0-4B2D-8344-2D340793E4FB}"/>
    <cellStyle name="Normal 8 6 5 3" xfId="52698" xr:uid="{E7F52B30-A29A-419C-ACEE-01BCA55B6D9C}"/>
    <cellStyle name="Normal 8 6 6" xfId="52699" xr:uid="{559899C2-20A0-473C-B0A4-2495200C56B2}"/>
    <cellStyle name="Normal 8 6 6 2" xfId="52700" xr:uid="{9BEF2E94-F56C-41E4-9C4B-53A25EE86156}"/>
    <cellStyle name="Normal 8 6 7" xfId="52701" xr:uid="{16D50208-20B7-44D4-9312-53007AEE877D}"/>
    <cellStyle name="Normal 8 7" xfId="52702" xr:uid="{85487CF7-5A63-4789-9F53-D5B52446FC27}"/>
    <cellStyle name="Normal 8 7 2" xfId="52703" xr:uid="{51BDA353-A7B5-4386-8E4D-27BD59CA9EB0}"/>
    <cellStyle name="Normal 8 7 2 2" xfId="52704" xr:uid="{46820FD5-DFEE-4AEC-B550-780071085DA3}"/>
    <cellStyle name="Normal 8 7 2 2 2" xfId="52705" xr:uid="{5EF1F89A-020E-407F-B42A-B6803D243063}"/>
    <cellStyle name="Normal 8 7 2 2 2 2" xfId="52706" xr:uid="{22E8845B-483D-4D9F-AA87-BB1683CAF5D2}"/>
    <cellStyle name="Normal 8 7 2 2 2 2 2" xfId="52707" xr:uid="{556185FB-710E-4B88-8CB8-2150E2EC709F}"/>
    <cellStyle name="Normal 8 7 2 2 2 3" xfId="52708" xr:uid="{2FF64CBA-5FC4-4E80-B752-4942C8070F6A}"/>
    <cellStyle name="Normal 8 7 2 2 3" xfId="52709" xr:uid="{14473D0E-A6FF-4052-BC34-2AAAAE1D50B5}"/>
    <cellStyle name="Normal 8 7 2 2 3 2" xfId="52710" xr:uid="{B202D739-8938-419B-A47D-BDDBBCC28091}"/>
    <cellStyle name="Normal 8 7 2 2 4" xfId="52711" xr:uid="{CDB7CD01-3102-41AE-8106-E9D32B139127}"/>
    <cellStyle name="Normal 8 7 2 3" xfId="52712" xr:uid="{87FDAE9E-44FC-410D-95FF-3175FAD54120}"/>
    <cellStyle name="Normal 8 7 2 3 2" xfId="52713" xr:uid="{11775BF6-1F35-494A-8039-0515CF514AFC}"/>
    <cellStyle name="Normal 8 7 2 3 2 2" xfId="52714" xr:uid="{974C6664-D308-4860-A3C6-173B7599ECCF}"/>
    <cellStyle name="Normal 8 7 2 3 3" xfId="52715" xr:uid="{CA518A83-DA39-4E99-AF26-341D2D9E8859}"/>
    <cellStyle name="Normal 8 7 2 4" xfId="52716" xr:uid="{1FD1B3EA-296E-425E-844C-9B77324D91DA}"/>
    <cellStyle name="Normal 8 7 2 4 2" xfId="52717" xr:uid="{C721956E-D2D9-4E44-B6E6-8D5A80ED0E32}"/>
    <cellStyle name="Normal 8 7 2 5" xfId="52718" xr:uid="{8CC4F062-3D3B-44F2-8C1D-C3FB5B670151}"/>
    <cellStyle name="Normal 8 7 3" xfId="52719" xr:uid="{9A86FE9F-B834-439D-9CE4-AD39576CC522}"/>
    <cellStyle name="Normal 8 7 3 2" xfId="52720" xr:uid="{5E2376BA-5F62-4ED1-8F9A-2BD3631C4B02}"/>
    <cellStyle name="Normal 8 7 3 2 2" xfId="52721" xr:uid="{9335A754-70C6-4979-AE0B-838CC4EB7ECC}"/>
    <cellStyle name="Normal 8 7 3 2 2 2" xfId="52722" xr:uid="{FA5A0C19-9E22-4EA6-91FB-36FFFF95B301}"/>
    <cellStyle name="Normal 8 7 3 2 3" xfId="52723" xr:uid="{F36D2846-30AB-4386-B3A4-351ADF0CEBE3}"/>
    <cellStyle name="Normal 8 7 3 3" xfId="52724" xr:uid="{933614FF-408C-4731-A980-F930B38263C2}"/>
    <cellStyle name="Normal 8 7 3 3 2" xfId="52725" xr:uid="{FAC5B02C-5A9B-433E-8274-1842EA0F6865}"/>
    <cellStyle name="Normal 8 7 3 4" xfId="52726" xr:uid="{2448385C-0E98-4B0C-BCD6-600D9E509DB8}"/>
    <cellStyle name="Normal 8 7 4" xfId="52727" xr:uid="{B35B39A9-1C90-475C-8FAB-F805F67A528D}"/>
    <cellStyle name="Normal 8 7 4 2" xfId="52728" xr:uid="{2AABA6B1-F558-4979-8AF4-47DBA254A507}"/>
    <cellStyle name="Normal 8 7 4 2 2" xfId="52729" xr:uid="{C7D69DDF-AD9A-43A6-818F-877B1AD6F3E6}"/>
    <cellStyle name="Normal 8 7 4 3" xfId="52730" xr:uid="{ECCD34AD-A1FA-4769-90F8-9D7A17EA064C}"/>
    <cellStyle name="Normal 8 7 5" xfId="52731" xr:uid="{EBD49984-65B8-40DF-B38C-02826654DEE3}"/>
    <cellStyle name="Normal 8 7 5 2" xfId="52732" xr:uid="{0E7AD626-7F8A-434B-AB37-EE5CB23030B5}"/>
    <cellStyle name="Normal 8 7 6" xfId="52733" xr:uid="{8F25E3E4-1BB6-44CD-B43A-204CEF159482}"/>
    <cellStyle name="Normal 8 8" xfId="52734" xr:uid="{C58C8C7F-B139-4455-9D88-E2318B1AB296}"/>
    <cellStyle name="Normal 8 8 2" xfId="52735" xr:uid="{4C2D211C-3B4D-4692-8C7E-31DAC145A9E3}"/>
    <cellStyle name="Normal 8 8 2 2" xfId="52736" xr:uid="{9DD2FAB8-DAF1-42DD-BEF2-D92E8922417B}"/>
    <cellStyle name="Normal 8 8 2 2 2" xfId="52737" xr:uid="{B3C0E544-9130-4996-BF49-CAC0EC2E0A68}"/>
    <cellStyle name="Normal 8 8 2 2 2 2" xfId="52738" xr:uid="{A2E9BC0C-C65C-4A21-ADDF-7F96D3FE27FA}"/>
    <cellStyle name="Normal 8 8 2 2 3" xfId="52739" xr:uid="{947CDA27-A453-425A-A0B4-89F450A8738C}"/>
    <cellStyle name="Normal 8 8 2 3" xfId="52740" xr:uid="{3B5F0DBC-C8CF-4951-937E-FD5DAD89F417}"/>
    <cellStyle name="Normal 8 8 2 3 2" xfId="52741" xr:uid="{5CBC217F-A588-4A4E-B13A-97938B58B2E4}"/>
    <cellStyle name="Normal 8 8 2 4" xfId="52742" xr:uid="{EE665468-FCA1-461A-9A9E-9D2084B82A89}"/>
    <cellStyle name="Normal 8 8 3" xfId="52743" xr:uid="{75B9C921-6B22-43D7-A122-CABBCBCC4C87}"/>
    <cellStyle name="Normal 8 8 3 2" xfId="52744" xr:uid="{A00464F5-A941-45ED-A990-6B16FF656AF7}"/>
    <cellStyle name="Normal 8 8 3 2 2" xfId="52745" xr:uid="{165A33F2-87BA-40B7-BF35-2725D11F0254}"/>
    <cellStyle name="Normal 8 8 3 3" xfId="52746" xr:uid="{0B1CED3B-BA47-4A5A-8894-E86D865A027E}"/>
    <cellStyle name="Normal 8 8 4" xfId="52747" xr:uid="{4A152B3D-4BC8-4BA5-B998-6FAB1A6545AB}"/>
    <cellStyle name="Normal 8 8 4 2" xfId="52748" xr:uid="{F354F02C-061A-4719-AFC7-D89874057E89}"/>
    <cellStyle name="Normal 8 8 5" xfId="52749" xr:uid="{EBECD3B8-7373-46D5-8A35-49ED5F554E1F}"/>
    <cellStyle name="Normal 8 9" xfId="52750" xr:uid="{BBE4CCD3-2812-44B9-B0DC-3B5E8B9FF7BD}"/>
    <cellStyle name="Normal 8 9 2" xfId="52751" xr:uid="{EB5F85C5-CD9E-4C34-A536-E712D63F078F}"/>
    <cellStyle name="Normal 8 9 2 2" xfId="52752" xr:uid="{C5F1984A-1340-4767-A4E9-D6ECEC472398}"/>
    <cellStyle name="Normal 8 9 2 2 2" xfId="52753" xr:uid="{8BD336B1-C784-4D07-A974-7AA3070841E8}"/>
    <cellStyle name="Normal 8 9 2 3" xfId="52754" xr:uid="{289A656C-5341-411A-85D4-6C62D721E1C2}"/>
    <cellStyle name="Normal 8 9 3" xfId="52755" xr:uid="{1B74D8EF-B8C9-48CD-91AE-F38B47973E18}"/>
    <cellStyle name="Normal 8 9 3 2" xfId="52756" xr:uid="{B669187E-8F99-45C4-97C4-068070DF565E}"/>
    <cellStyle name="Normal 8 9 4" xfId="52757" xr:uid="{F1B457EF-AD27-469B-8405-4E3537BC880F}"/>
    <cellStyle name="Normal 9" xfId="132" xr:uid="{991A8831-2DE1-423F-9816-3FAE7577C865}"/>
    <cellStyle name="Normal 9 10" xfId="52758" xr:uid="{6FF14F86-EACB-4702-863B-1424B544E43E}"/>
    <cellStyle name="Normal 9 10 2" xfId="52759" xr:uid="{DADB4376-358B-4CF7-9582-9E296EC6CD33}"/>
    <cellStyle name="Normal 9 10 2 2" xfId="52760" xr:uid="{A0102C9B-D169-4A30-B68E-C4AD6FDBCCB6}"/>
    <cellStyle name="Normal 9 10 2 2 2" xfId="52761" xr:uid="{A6E5C153-92D4-455F-949D-E482A5AB8F92}"/>
    <cellStyle name="Normal 9 10 2 3" xfId="52762" xr:uid="{F10D1559-C060-4760-95C0-8CF16C8C7BE5}"/>
    <cellStyle name="Normal 9 10 3" xfId="52763" xr:uid="{BCC8B289-24BC-4662-8347-CD384B9383C8}"/>
    <cellStyle name="Normal 9 10 3 2" xfId="52764" xr:uid="{C7298F59-888A-45D2-88B2-0B1E2E71CD86}"/>
    <cellStyle name="Normal 9 10 4" xfId="52765" xr:uid="{7B6DF278-DE50-400A-B081-94B77FA417CC}"/>
    <cellStyle name="Normal 9 11" xfId="52766" xr:uid="{0365840B-5184-49B8-AAB3-8402E6D34C22}"/>
    <cellStyle name="Normal 9 11 2" xfId="52767" xr:uid="{12B9F3E1-A58B-4EA3-B161-72E5118FA325}"/>
    <cellStyle name="Normal 9 11 2 2" xfId="52768" xr:uid="{CB0FCB4D-7F59-4EA4-91BC-9018BE69FF3B}"/>
    <cellStyle name="Normal 9 11 3" xfId="52769" xr:uid="{DD22DF65-51E5-4AAE-964B-947894283AB8}"/>
    <cellStyle name="Normal 9 12" xfId="52770" xr:uid="{2BFAC354-E015-44AC-ADA5-F32C8AA69CD2}"/>
    <cellStyle name="Normal 9 12 2" xfId="52771" xr:uid="{6ACA73D2-CEDA-4C82-AA9C-8A44B5CD6B47}"/>
    <cellStyle name="Normal 9 13" xfId="52772" xr:uid="{93FF10A7-A133-46CD-967A-35CDA721F755}"/>
    <cellStyle name="Normal 9 14" xfId="54781" xr:uid="{4EDBEB53-2BE6-4EEB-A9C9-61E45AB64EBC}"/>
    <cellStyle name="Normal 9 2" xfId="207" xr:uid="{A7281CC6-5FE0-466E-9322-F3F4DC3CE238}"/>
    <cellStyle name="Normal 9 2 10" xfId="52773" xr:uid="{9351C085-BAA0-47C1-935A-1113C1FF51EA}"/>
    <cellStyle name="Normal 9 2 10 2" xfId="52774" xr:uid="{1A8F24E1-5689-4F37-9E10-7FE169BB187D}"/>
    <cellStyle name="Normal 9 2 11" xfId="52775" xr:uid="{72FED34B-A6C6-408E-9AA4-1030B2C28EB1}"/>
    <cellStyle name="Normal 9 2 2" xfId="52776" xr:uid="{E0C7613A-6CD8-4290-8BD2-39C9419CED4B}"/>
    <cellStyle name="Normal 9 2 3" xfId="52777" xr:uid="{5F7CFEE6-B4E3-4EC8-82C6-48633FA726F2}"/>
    <cellStyle name="Normal 9 2 3 2" xfId="52778" xr:uid="{B9CDCA87-6589-4673-8080-31FD63567ED4}"/>
    <cellStyle name="Normal 9 2 3 2 2" xfId="52779" xr:uid="{A56ED27E-075C-4BFE-85D7-34DE57E13A3C}"/>
    <cellStyle name="Normal 9 2 3 2 2 2" xfId="52780" xr:uid="{DA377C32-89AB-4CF8-B714-5FE2B4E9EB72}"/>
    <cellStyle name="Normal 9 2 3 2 2 2 2" xfId="52781" xr:uid="{D0DF888C-BB26-46D6-87DC-DE45A3AA1CDD}"/>
    <cellStyle name="Normal 9 2 3 2 2 2 2 2" xfId="52782" xr:uid="{030DB02E-99A4-492E-8A6A-953028021B60}"/>
    <cellStyle name="Normal 9 2 3 2 2 2 2 2 2" xfId="52783" xr:uid="{8F91C055-E275-4471-8CE4-718751416763}"/>
    <cellStyle name="Normal 9 2 3 2 2 2 2 2 2 2" xfId="52784" xr:uid="{179047B5-9722-4226-8E42-B33A98808562}"/>
    <cellStyle name="Normal 9 2 3 2 2 2 2 2 2 2 2" xfId="52785" xr:uid="{CA550329-ACF0-4B9B-ADFE-1F18DE86B8F2}"/>
    <cellStyle name="Normal 9 2 3 2 2 2 2 2 2 3" xfId="52786" xr:uid="{4860158C-4AE3-4207-886B-55F73BF4B665}"/>
    <cellStyle name="Normal 9 2 3 2 2 2 2 2 3" xfId="52787" xr:uid="{B86D7EC7-594D-4DB1-AF8E-26FA55B92B66}"/>
    <cellStyle name="Normal 9 2 3 2 2 2 2 2 3 2" xfId="52788" xr:uid="{636F94FF-2C2F-4718-BDA4-174B5DC38101}"/>
    <cellStyle name="Normal 9 2 3 2 2 2 2 2 4" xfId="52789" xr:uid="{5DE64BD7-7C2E-4435-A538-D1BCEF192166}"/>
    <cellStyle name="Normal 9 2 3 2 2 2 2 3" xfId="52790" xr:uid="{41842016-3FE7-411F-BFCC-F349519C421B}"/>
    <cellStyle name="Normal 9 2 3 2 2 2 2 3 2" xfId="52791" xr:uid="{3BC5CC46-A426-4959-BC59-EADF4E9489D0}"/>
    <cellStyle name="Normal 9 2 3 2 2 2 2 3 2 2" xfId="52792" xr:uid="{2AF5C153-9F8F-432F-AD82-B050AF008F14}"/>
    <cellStyle name="Normal 9 2 3 2 2 2 2 3 3" xfId="52793" xr:uid="{7EF24EEC-7ED0-4461-A6C8-03497B9AEFB7}"/>
    <cellStyle name="Normal 9 2 3 2 2 2 2 4" xfId="52794" xr:uid="{7C5800BC-EB04-400B-BA53-C25DB8784B67}"/>
    <cellStyle name="Normal 9 2 3 2 2 2 2 4 2" xfId="52795" xr:uid="{A690956A-E8DC-4EA6-B9B8-A48238A8F842}"/>
    <cellStyle name="Normal 9 2 3 2 2 2 2 5" xfId="52796" xr:uid="{79881790-B857-4444-8CFE-4D2AD30D5446}"/>
    <cellStyle name="Normal 9 2 3 2 2 2 3" xfId="52797" xr:uid="{C6B98928-0AAA-4108-A0A1-E3FE1484B30C}"/>
    <cellStyle name="Normal 9 2 3 2 2 2 3 2" xfId="52798" xr:uid="{E972AE7F-D732-4DC1-8076-637C3A88346F}"/>
    <cellStyle name="Normal 9 2 3 2 2 2 3 2 2" xfId="52799" xr:uid="{7608FF5C-1ABD-4C3A-A9CF-F6FB63FA00ED}"/>
    <cellStyle name="Normal 9 2 3 2 2 2 3 2 2 2" xfId="52800" xr:uid="{460B5920-301F-4D60-9A44-D055A189E2E7}"/>
    <cellStyle name="Normal 9 2 3 2 2 2 3 2 3" xfId="52801" xr:uid="{878CFDA9-6AD3-426C-9617-5410E979879A}"/>
    <cellStyle name="Normal 9 2 3 2 2 2 3 3" xfId="52802" xr:uid="{736AFAFF-2B9C-4477-B574-D65234940F4B}"/>
    <cellStyle name="Normal 9 2 3 2 2 2 3 3 2" xfId="52803" xr:uid="{C3DDD2DF-17F3-4BA0-A793-E9743BCD95B1}"/>
    <cellStyle name="Normal 9 2 3 2 2 2 3 4" xfId="52804" xr:uid="{D2D4C9ED-C803-43AE-946F-124B5B1BD574}"/>
    <cellStyle name="Normal 9 2 3 2 2 2 4" xfId="52805" xr:uid="{8B3AB1BF-D3AB-4F43-9175-734828CA498B}"/>
    <cellStyle name="Normal 9 2 3 2 2 2 4 2" xfId="52806" xr:uid="{79962248-04BF-4549-90AF-B600E0FB36DA}"/>
    <cellStyle name="Normal 9 2 3 2 2 2 4 2 2" xfId="52807" xr:uid="{802771F6-2A98-45D0-92FC-8308E5021F57}"/>
    <cellStyle name="Normal 9 2 3 2 2 2 4 3" xfId="52808" xr:uid="{84F20EFB-322A-4B6E-A72A-D352A4C99793}"/>
    <cellStyle name="Normal 9 2 3 2 2 2 5" xfId="52809" xr:uid="{171A4F24-BEAC-460F-A2BC-F5113E04BF2E}"/>
    <cellStyle name="Normal 9 2 3 2 2 2 5 2" xfId="52810" xr:uid="{458E80A3-BD54-4DFE-B3A5-009C09544AE7}"/>
    <cellStyle name="Normal 9 2 3 2 2 2 6" xfId="52811" xr:uid="{ECF836B7-2D84-4E2B-BF15-B8D290BDA5E2}"/>
    <cellStyle name="Normal 9 2 3 2 2 3" xfId="52812" xr:uid="{B5BC5344-F944-4810-A80F-9DE704EAD79B}"/>
    <cellStyle name="Normal 9 2 3 2 2 3 2" xfId="52813" xr:uid="{FE33FF72-08F3-419B-A90F-65418E95E9BC}"/>
    <cellStyle name="Normal 9 2 3 2 2 3 2 2" xfId="52814" xr:uid="{C7FFF61A-A69E-4EA1-A8CF-7C3BF17E0AF7}"/>
    <cellStyle name="Normal 9 2 3 2 2 3 2 2 2" xfId="52815" xr:uid="{E3C11BB2-5C7E-4D6B-A450-403172980E75}"/>
    <cellStyle name="Normal 9 2 3 2 2 3 2 2 2 2" xfId="52816" xr:uid="{32855739-194B-488A-9D8E-CD70E3717458}"/>
    <cellStyle name="Normal 9 2 3 2 2 3 2 2 3" xfId="52817" xr:uid="{4A9E91B4-8B69-4523-A4B8-F73A051C7631}"/>
    <cellStyle name="Normal 9 2 3 2 2 3 2 3" xfId="52818" xr:uid="{615650A0-0D90-4FBA-A5ED-5A0FED8DC943}"/>
    <cellStyle name="Normal 9 2 3 2 2 3 2 3 2" xfId="52819" xr:uid="{CEBEB6E5-BC36-48A7-9C8A-764DBE9559BE}"/>
    <cellStyle name="Normal 9 2 3 2 2 3 2 4" xfId="52820" xr:uid="{40B0260A-029A-4159-A8CD-89B9145BC0E0}"/>
    <cellStyle name="Normal 9 2 3 2 2 3 3" xfId="52821" xr:uid="{134EAF80-1FF2-4E55-AFEB-208CE507C85E}"/>
    <cellStyle name="Normal 9 2 3 2 2 3 3 2" xfId="52822" xr:uid="{16D30BA3-9387-4202-A056-43049EBC8704}"/>
    <cellStyle name="Normal 9 2 3 2 2 3 3 2 2" xfId="52823" xr:uid="{15AE7796-18C3-41EA-9A31-5FB0B96D3C72}"/>
    <cellStyle name="Normal 9 2 3 2 2 3 3 3" xfId="52824" xr:uid="{0D929896-F18E-4B6F-9EB4-28C8150C4997}"/>
    <cellStyle name="Normal 9 2 3 2 2 3 4" xfId="52825" xr:uid="{156FE513-5461-47DE-9F06-15F02673A8A8}"/>
    <cellStyle name="Normal 9 2 3 2 2 3 4 2" xfId="52826" xr:uid="{66AB3A39-B2B4-492D-A277-76FD2DDC537F}"/>
    <cellStyle name="Normal 9 2 3 2 2 3 5" xfId="52827" xr:uid="{E93D0217-EE32-4678-9473-53342B77C4A7}"/>
    <cellStyle name="Normal 9 2 3 2 2 4" xfId="52828" xr:uid="{FF411EF8-9FA0-45F2-B9AC-2F8F0D903F64}"/>
    <cellStyle name="Normal 9 2 3 2 2 4 2" xfId="52829" xr:uid="{C274A25E-CD79-44C7-B834-45713F8B4E7B}"/>
    <cellStyle name="Normal 9 2 3 2 2 4 2 2" xfId="52830" xr:uid="{F7A5C7D5-9349-48BF-8D2E-13FBEF54D797}"/>
    <cellStyle name="Normal 9 2 3 2 2 4 2 2 2" xfId="52831" xr:uid="{C5709DC6-6B18-49D2-8C56-8CF6D6D41254}"/>
    <cellStyle name="Normal 9 2 3 2 2 4 2 3" xfId="52832" xr:uid="{FA32A6AF-3BD4-43F2-88ED-6291B51E030C}"/>
    <cellStyle name="Normal 9 2 3 2 2 4 3" xfId="52833" xr:uid="{0E1D26D3-FF3B-4DA4-AFD2-99E98335C48E}"/>
    <cellStyle name="Normal 9 2 3 2 2 4 3 2" xfId="52834" xr:uid="{B612B25D-9D83-4340-A457-60547A90F78B}"/>
    <cellStyle name="Normal 9 2 3 2 2 4 4" xfId="52835" xr:uid="{B4360C28-B2B0-4BFD-942F-DCF140AD1A02}"/>
    <cellStyle name="Normal 9 2 3 2 2 5" xfId="52836" xr:uid="{9B7E7C1E-2139-4CDB-9E79-5EAF5A1CDB2A}"/>
    <cellStyle name="Normal 9 2 3 2 2 5 2" xfId="52837" xr:uid="{AB22EEDC-2410-42DF-AA65-85EA2D2DBB65}"/>
    <cellStyle name="Normal 9 2 3 2 2 5 2 2" xfId="52838" xr:uid="{2EFBFCFB-7442-4E30-9EE6-6A20808875E2}"/>
    <cellStyle name="Normal 9 2 3 2 2 5 3" xfId="52839" xr:uid="{705B027B-F78A-469B-AE27-6E230DD73180}"/>
    <cellStyle name="Normal 9 2 3 2 2 6" xfId="52840" xr:uid="{323E0A75-EFB2-48FC-A599-06E3122F1F4D}"/>
    <cellStyle name="Normal 9 2 3 2 2 6 2" xfId="52841" xr:uid="{00155956-CCA1-4459-9D47-2D666F7EC6F2}"/>
    <cellStyle name="Normal 9 2 3 2 2 7" xfId="52842" xr:uid="{D9FBFDD7-DC73-4E76-A0B5-0FDF4F677D90}"/>
    <cellStyle name="Normal 9 2 3 2 3" xfId="52843" xr:uid="{E61423BD-36C4-497F-A0C6-08F797048BBA}"/>
    <cellStyle name="Normal 9 2 3 2 3 2" xfId="52844" xr:uid="{2CBB7895-5210-4FFF-9CE9-60A8F13A2E1A}"/>
    <cellStyle name="Normal 9 2 3 2 3 2 2" xfId="52845" xr:uid="{AFA4F05B-CD78-4FDF-8A44-9B98976C973E}"/>
    <cellStyle name="Normal 9 2 3 2 3 2 2 2" xfId="52846" xr:uid="{2C9EE9A2-F91E-4106-B34F-51AD4503FEE2}"/>
    <cellStyle name="Normal 9 2 3 2 3 2 2 2 2" xfId="52847" xr:uid="{829816E7-3FEE-49FE-95ED-4C1A85CC6342}"/>
    <cellStyle name="Normal 9 2 3 2 3 2 2 2 2 2" xfId="52848" xr:uid="{385F8EED-D483-4E75-9550-B7441BF0CFD4}"/>
    <cellStyle name="Normal 9 2 3 2 3 2 2 2 3" xfId="52849" xr:uid="{7C11A541-3BF1-40D5-93B1-E890C9E45E15}"/>
    <cellStyle name="Normal 9 2 3 2 3 2 2 3" xfId="52850" xr:uid="{5F8C37AD-EC4E-4E2B-90BA-7215CFD72A25}"/>
    <cellStyle name="Normal 9 2 3 2 3 2 2 3 2" xfId="52851" xr:uid="{C8BE5384-4E1D-444C-8019-EBA862232B49}"/>
    <cellStyle name="Normal 9 2 3 2 3 2 2 4" xfId="52852" xr:uid="{5051A138-20F7-44CF-A56C-941A7AEB0CA3}"/>
    <cellStyle name="Normal 9 2 3 2 3 2 3" xfId="52853" xr:uid="{F26F2689-BB91-4C6B-BA5F-9B7AEF57CF96}"/>
    <cellStyle name="Normal 9 2 3 2 3 2 3 2" xfId="52854" xr:uid="{B21FFA31-72D9-41F0-9BFA-116A7816D1E3}"/>
    <cellStyle name="Normal 9 2 3 2 3 2 3 2 2" xfId="52855" xr:uid="{A20F0062-2E43-42BE-A379-BC2E67F7D76A}"/>
    <cellStyle name="Normal 9 2 3 2 3 2 3 3" xfId="52856" xr:uid="{C968B8AB-CD2B-40EB-A038-7657B5D65017}"/>
    <cellStyle name="Normal 9 2 3 2 3 2 4" xfId="52857" xr:uid="{B73914E8-4E49-404F-8C68-C60D4D005955}"/>
    <cellStyle name="Normal 9 2 3 2 3 2 4 2" xfId="52858" xr:uid="{21E39329-88B3-4311-8C06-3FD3E086527B}"/>
    <cellStyle name="Normal 9 2 3 2 3 2 5" xfId="52859" xr:uid="{279DFD63-39B7-4D66-AA15-6FAF103FF15E}"/>
    <cellStyle name="Normal 9 2 3 2 3 3" xfId="52860" xr:uid="{6B99A1EE-0B6D-4441-9FBC-278ACF30F2AD}"/>
    <cellStyle name="Normal 9 2 3 2 3 3 2" xfId="52861" xr:uid="{519E9C27-7E13-4AFF-B643-F2719BEAA557}"/>
    <cellStyle name="Normal 9 2 3 2 3 3 2 2" xfId="52862" xr:uid="{483B995E-21CC-40E9-A4A9-698331091E53}"/>
    <cellStyle name="Normal 9 2 3 2 3 3 2 2 2" xfId="52863" xr:uid="{1F0EE41D-CB15-4035-AB4E-50C7766DF2D1}"/>
    <cellStyle name="Normal 9 2 3 2 3 3 2 3" xfId="52864" xr:uid="{D594972A-EA36-40D0-B041-1182F1B04700}"/>
    <cellStyle name="Normal 9 2 3 2 3 3 3" xfId="52865" xr:uid="{3967DA77-6114-4C2C-951D-9391DB74C55D}"/>
    <cellStyle name="Normal 9 2 3 2 3 3 3 2" xfId="52866" xr:uid="{15C23BCC-F69F-448B-8F8C-FA5D59E956AC}"/>
    <cellStyle name="Normal 9 2 3 2 3 3 4" xfId="52867" xr:uid="{F68AF1BB-93ED-4CF2-8852-5DFF56863A18}"/>
    <cellStyle name="Normal 9 2 3 2 3 4" xfId="52868" xr:uid="{543E2F30-F2AB-4634-93E0-992266B24065}"/>
    <cellStyle name="Normal 9 2 3 2 3 4 2" xfId="52869" xr:uid="{D0FED830-2128-483F-847E-E9D9819D7C54}"/>
    <cellStyle name="Normal 9 2 3 2 3 4 2 2" xfId="52870" xr:uid="{7271665D-E4D4-44B6-BA80-D621FA154651}"/>
    <cellStyle name="Normal 9 2 3 2 3 4 3" xfId="52871" xr:uid="{5E238EA6-A349-4F87-B1CF-5228629A5B73}"/>
    <cellStyle name="Normal 9 2 3 2 3 5" xfId="52872" xr:uid="{3F80E4E4-3BF5-4707-8062-6AE8109F9C6A}"/>
    <cellStyle name="Normal 9 2 3 2 3 5 2" xfId="52873" xr:uid="{1B1170A7-0611-4CC2-B958-1C46B0C2A40B}"/>
    <cellStyle name="Normal 9 2 3 2 3 6" xfId="52874" xr:uid="{6C230701-7E92-4FE1-BBF4-78443DE866D3}"/>
    <cellStyle name="Normal 9 2 3 2 4" xfId="52875" xr:uid="{6BC5EDDB-13EF-45D1-8B65-505AE4EDBD66}"/>
    <cellStyle name="Normal 9 2 3 2 4 2" xfId="52876" xr:uid="{B74588FE-BDE3-4E64-A9BC-69F98EE893CE}"/>
    <cellStyle name="Normal 9 2 3 2 4 2 2" xfId="52877" xr:uid="{7ACA60A8-0D1C-4471-BFD0-627198E8BFF9}"/>
    <cellStyle name="Normal 9 2 3 2 4 2 2 2" xfId="52878" xr:uid="{B96C176F-7AE7-4AFB-BA2F-36C88FB8AA6C}"/>
    <cellStyle name="Normal 9 2 3 2 4 2 2 2 2" xfId="52879" xr:uid="{3D304B62-2C4B-4523-8D08-8DA927A96100}"/>
    <cellStyle name="Normal 9 2 3 2 4 2 2 3" xfId="52880" xr:uid="{FD592D83-B506-4F5D-ADC8-F73512A327A1}"/>
    <cellStyle name="Normal 9 2 3 2 4 2 3" xfId="52881" xr:uid="{E184951A-31D9-4F20-91B1-3C3EB42CBC3B}"/>
    <cellStyle name="Normal 9 2 3 2 4 2 3 2" xfId="52882" xr:uid="{97C170BB-DCFE-455F-A036-142A08F24CB6}"/>
    <cellStyle name="Normal 9 2 3 2 4 2 4" xfId="52883" xr:uid="{B3B91D25-D880-41FF-9876-799E3A4126FA}"/>
    <cellStyle name="Normal 9 2 3 2 4 3" xfId="52884" xr:uid="{38F4439B-8301-4DCE-9DDB-F2B015C3C818}"/>
    <cellStyle name="Normal 9 2 3 2 4 3 2" xfId="52885" xr:uid="{CE0717A8-C9C2-41F6-BE32-CD23B73E2BAC}"/>
    <cellStyle name="Normal 9 2 3 2 4 3 2 2" xfId="52886" xr:uid="{350EFEAD-85C6-4D92-B450-BB5DF81B8A21}"/>
    <cellStyle name="Normal 9 2 3 2 4 3 3" xfId="52887" xr:uid="{C54619AF-AA13-4705-A690-9162AFF97E6D}"/>
    <cellStyle name="Normal 9 2 3 2 4 4" xfId="52888" xr:uid="{B4E45776-C379-4574-95BD-F5468DF15B25}"/>
    <cellStyle name="Normal 9 2 3 2 4 4 2" xfId="52889" xr:uid="{AC1D08F8-3730-42E9-8910-87A34E973FD3}"/>
    <cellStyle name="Normal 9 2 3 2 4 5" xfId="52890" xr:uid="{9BECD218-4490-4723-ADCA-A373D7CE2D72}"/>
    <cellStyle name="Normal 9 2 3 2 5" xfId="52891" xr:uid="{53098B00-BF32-4B67-8C71-796B8FF8E654}"/>
    <cellStyle name="Normal 9 2 3 2 5 2" xfId="52892" xr:uid="{B8FFD177-5599-4901-9E62-8F4321093BD6}"/>
    <cellStyle name="Normal 9 2 3 2 5 2 2" xfId="52893" xr:uid="{BC3A55D0-7039-4CAF-B19D-9F05F29DBBAE}"/>
    <cellStyle name="Normal 9 2 3 2 5 2 2 2" xfId="52894" xr:uid="{2FA71E57-DC50-4261-BD05-2975D1EEE620}"/>
    <cellStyle name="Normal 9 2 3 2 5 2 3" xfId="52895" xr:uid="{5F64AE85-42F4-48CC-A1FD-E705C94EC456}"/>
    <cellStyle name="Normal 9 2 3 2 5 3" xfId="52896" xr:uid="{ABDABC7E-3C97-43C7-A4CF-82BFF5E4F99A}"/>
    <cellStyle name="Normal 9 2 3 2 5 3 2" xfId="52897" xr:uid="{B5446D91-E638-4B55-AB5F-F567FA821A81}"/>
    <cellStyle name="Normal 9 2 3 2 5 4" xfId="52898" xr:uid="{30CC4728-31B3-45E0-8F08-B451D30D2C16}"/>
    <cellStyle name="Normal 9 2 3 2 6" xfId="52899" xr:uid="{B6E9F288-C395-49AC-BA4D-562B9B14458B}"/>
    <cellStyle name="Normal 9 2 3 2 6 2" xfId="52900" xr:uid="{07EFDE93-9969-40D4-AF88-21D9F76754E2}"/>
    <cellStyle name="Normal 9 2 3 2 6 2 2" xfId="52901" xr:uid="{D5B2C51B-EC70-46E3-81C7-5F70B6F3730B}"/>
    <cellStyle name="Normal 9 2 3 2 6 3" xfId="52902" xr:uid="{2A69F136-5C5D-4933-B990-6CB38BC8B708}"/>
    <cellStyle name="Normal 9 2 3 2 7" xfId="52903" xr:uid="{13BCE4C8-F6C0-4A9B-816D-C57AF0BFAC8D}"/>
    <cellStyle name="Normal 9 2 3 2 7 2" xfId="52904" xr:uid="{8F73E41C-2CF4-40C3-8F58-E660E1E37EEE}"/>
    <cellStyle name="Normal 9 2 3 2 8" xfId="52905" xr:uid="{488D875D-E7EB-4746-BB28-371BC39F9242}"/>
    <cellStyle name="Normal 9 2 3 3" xfId="52906" xr:uid="{772B0576-B3DC-4A94-829F-F00A6E8E61D5}"/>
    <cellStyle name="Normal 9 2 3 3 2" xfId="52907" xr:uid="{3A56F936-2FCB-4611-B667-045696FE0B15}"/>
    <cellStyle name="Normal 9 2 3 3 2 2" xfId="52908" xr:uid="{07CFB916-E73B-4E5A-9D6D-DD82BEBF788F}"/>
    <cellStyle name="Normal 9 2 3 3 2 2 2" xfId="52909" xr:uid="{3FD0F7E4-DD6A-4D24-BE65-C51B4294EA3E}"/>
    <cellStyle name="Normal 9 2 3 3 2 2 2 2" xfId="52910" xr:uid="{CFA0C89C-2378-47A3-A732-B25AB517F740}"/>
    <cellStyle name="Normal 9 2 3 3 2 2 2 2 2" xfId="52911" xr:uid="{2632761F-2CF3-49E2-977D-4DCAFC161535}"/>
    <cellStyle name="Normal 9 2 3 3 2 2 2 2 2 2" xfId="52912" xr:uid="{3A23F47B-AB1C-4E38-827C-14F7AAF9B226}"/>
    <cellStyle name="Normal 9 2 3 3 2 2 2 2 3" xfId="52913" xr:uid="{6199A146-22D7-415B-A626-32D2AD35ACFF}"/>
    <cellStyle name="Normal 9 2 3 3 2 2 2 3" xfId="52914" xr:uid="{94890AD4-091C-46C3-92C8-7224C9FF1485}"/>
    <cellStyle name="Normal 9 2 3 3 2 2 2 3 2" xfId="52915" xr:uid="{9E8478F2-86FE-4F3F-94D0-E5079914290C}"/>
    <cellStyle name="Normal 9 2 3 3 2 2 2 4" xfId="52916" xr:uid="{13B36A5B-CB80-4AF9-A1F0-2670E8800211}"/>
    <cellStyle name="Normal 9 2 3 3 2 2 3" xfId="52917" xr:uid="{3A2A59ED-939D-4956-B5CF-5CC85D438DD2}"/>
    <cellStyle name="Normal 9 2 3 3 2 2 3 2" xfId="52918" xr:uid="{AC4FFEE9-0186-426D-86B9-E2F6884AF19A}"/>
    <cellStyle name="Normal 9 2 3 3 2 2 3 2 2" xfId="52919" xr:uid="{CB3FD178-CA01-4032-B730-1977DF9B9BBB}"/>
    <cellStyle name="Normal 9 2 3 3 2 2 3 3" xfId="52920" xr:uid="{4B9431AD-96BD-4C79-BEFC-C8AA3095198C}"/>
    <cellStyle name="Normal 9 2 3 3 2 2 4" xfId="52921" xr:uid="{9F402CB4-539D-4F8F-B374-401B86F8E59D}"/>
    <cellStyle name="Normal 9 2 3 3 2 2 4 2" xfId="52922" xr:uid="{3785C605-E99E-4196-B301-BC3273058635}"/>
    <cellStyle name="Normal 9 2 3 3 2 2 5" xfId="52923" xr:uid="{327949CB-DCFB-4A56-A490-930112C2AA0F}"/>
    <cellStyle name="Normal 9 2 3 3 2 3" xfId="52924" xr:uid="{09A13ABA-8594-4C7C-AA0F-15DD964D909B}"/>
    <cellStyle name="Normal 9 2 3 3 2 3 2" xfId="52925" xr:uid="{BB697BD4-C6E4-4D37-98BF-9FB59C5BCB08}"/>
    <cellStyle name="Normal 9 2 3 3 2 3 2 2" xfId="52926" xr:uid="{104C19A6-9EF3-4AA0-9785-5918C080F1CB}"/>
    <cellStyle name="Normal 9 2 3 3 2 3 2 2 2" xfId="52927" xr:uid="{A3040586-77B7-444F-98B1-5E8FFB46BF4E}"/>
    <cellStyle name="Normal 9 2 3 3 2 3 2 3" xfId="52928" xr:uid="{82D1679F-FD40-4BDA-AAAF-C1689E221B04}"/>
    <cellStyle name="Normal 9 2 3 3 2 3 3" xfId="52929" xr:uid="{A7ADE8A7-260F-4235-8B8D-7070AF1F85A8}"/>
    <cellStyle name="Normal 9 2 3 3 2 3 3 2" xfId="52930" xr:uid="{33606C79-9825-4C80-9376-F861344D40BE}"/>
    <cellStyle name="Normal 9 2 3 3 2 3 4" xfId="52931" xr:uid="{0FE7312C-D15E-4F2F-924C-C9307A2C193C}"/>
    <cellStyle name="Normal 9 2 3 3 2 4" xfId="52932" xr:uid="{2CCC9716-F631-49E9-8AF4-4EF2565CD719}"/>
    <cellStyle name="Normal 9 2 3 3 2 4 2" xfId="52933" xr:uid="{CE35E3EE-535F-47AE-920F-B0401EE058BB}"/>
    <cellStyle name="Normal 9 2 3 3 2 4 2 2" xfId="52934" xr:uid="{9611C0B9-0C29-4060-98BC-FB54E732CFDA}"/>
    <cellStyle name="Normal 9 2 3 3 2 4 3" xfId="52935" xr:uid="{33D8C654-9EDD-43D3-BE19-9CBD2EDBCB17}"/>
    <cellStyle name="Normal 9 2 3 3 2 5" xfId="52936" xr:uid="{65EF0D8D-B52A-48DE-B0C9-ABBB47F6312E}"/>
    <cellStyle name="Normal 9 2 3 3 2 5 2" xfId="52937" xr:uid="{B490CF23-2B64-4F7F-8C1E-8FD0386C23DF}"/>
    <cellStyle name="Normal 9 2 3 3 2 6" xfId="52938" xr:uid="{B77AC122-492E-4559-A0A9-361CCAF95B72}"/>
    <cellStyle name="Normal 9 2 3 3 3" xfId="52939" xr:uid="{99A490DD-14E4-48A0-8DC6-33DB640F6F72}"/>
    <cellStyle name="Normal 9 2 3 3 3 2" xfId="52940" xr:uid="{1C303D21-F7AC-4BC2-8EF0-12772C7B45E8}"/>
    <cellStyle name="Normal 9 2 3 3 3 2 2" xfId="52941" xr:uid="{37C05319-F6BD-4A7D-8F02-F7D9F808401C}"/>
    <cellStyle name="Normal 9 2 3 3 3 2 2 2" xfId="52942" xr:uid="{782D2982-DCB9-414E-851A-5B4B03A5ED0F}"/>
    <cellStyle name="Normal 9 2 3 3 3 2 2 2 2" xfId="52943" xr:uid="{A5D98746-AD38-4BAC-99A8-B0B6E433B98E}"/>
    <cellStyle name="Normal 9 2 3 3 3 2 2 3" xfId="52944" xr:uid="{1161B3D2-9A3D-4B84-B3D7-CD5148E2D07E}"/>
    <cellStyle name="Normal 9 2 3 3 3 2 3" xfId="52945" xr:uid="{A830C111-E855-4EF9-9843-75B7D7638B7C}"/>
    <cellStyle name="Normal 9 2 3 3 3 2 3 2" xfId="52946" xr:uid="{D4D93F3F-B869-4F6F-8943-C556858E464C}"/>
    <cellStyle name="Normal 9 2 3 3 3 2 4" xfId="52947" xr:uid="{190B9E24-5626-4D52-AD70-A534344154E2}"/>
    <cellStyle name="Normal 9 2 3 3 3 3" xfId="52948" xr:uid="{4FD1D058-0D54-442B-9128-DFDFCF64A0D6}"/>
    <cellStyle name="Normal 9 2 3 3 3 3 2" xfId="52949" xr:uid="{8F9614DF-A77A-41A6-83B5-F4E1D7DD3849}"/>
    <cellStyle name="Normal 9 2 3 3 3 3 2 2" xfId="52950" xr:uid="{E139F795-A120-44DB-AF75-6A6A2E5571EB}"/>
    <cellStyle name="Normal 9 2 3 3 3 3 3" xfId="52951" xr:uid="{1E0CCD5C-A28D-4158-AD11-ECB571643BFC}"/>
    <cellStyle name="Normal 9 2 3 3 3 4" xfId="52952" xr:uid="{AE7CD47B-96D7-4B95-B8F4-D7C6AFBC7ABC}"/>
    <cellStyle name="Normal 9 2 3 3 3 4 2" xfId="52953" xr:uid="{562877B6-660D-45F7-9D31-B6178F9E17F6}"/>
    <cellStyle name="Normal 9 2 3 3 3 5" xfId="52954" xr:uid="{041C0975-093B-4114-B6C2-DCFB8211C239}"/>
    <cellStyle name="Normal 9 2 3 3 4" xfId="52955" xr:uid="{93B25AE2-E14B-489A-A1E0-296914811EE4}"/>
    <cellStyle name="Normal 9 2 3 3 4 2" xfId="52956" xr:uid="{BB98436B-AB64-4340-8392-AC8AD0C6838E}"/>
    <cellStyle name="Normal 9 2 3 3 4 2 2" xfId="52957" xr:uid="{7EB6BD7A-F74C-4BDA-ACBF-595567830151}"/>
    <cellStyle name="Normal 9 2 3 3 4 2 2 2" xfId="52958" xr:uid="{9D6015FD-7FCE-4534-A15A-A6CC62BFEB19}"/>
    <cellStyle name="Normal 9 2 3 3 4 2 3" xfId="52959" xr:uid="{CB736306-D9A4-4523-ADCA-17684C16C1FE}"/>
    <cellStyle name="Normal 9 2 3 3 4 3" xfId="52960" xr:uid="{33959449-765B-4676-9720-A36C8B3BF7BA}"/>
    <cellStyle name="Normal 9 2 3 3 4 3 2" xfId="52961" xr:uid="{67BB3099-7888-4724-A2E4-DFF2405FB0F7}"/>
    <cellStyle name="Normal 9 2 3 3 4 4" xfId="52962" xr:uid="{4067EA0D-75BC-4FF2-8694-67F75E4746DC}"/>
    <cellStyle name="Normal 9 2 3 3 5" xfId="52963" xr:uid="{4786DE2C-B79B-413D-A45E-6B20A46BEAD9}"/>
    <cellStyle name="Normal 9 2 3 3 5 2" xfId="52964" xr:uid="{90324438-C367-41BA-A554-417F4D855992}"/>
    <cellStyle name="Normal 9 2 3 3 5 2 2" xfId="52965" xr:uid="{644A5DDF-1FAA-42D4-BB63-2D46EE10539A}"/>
    <cellStyle name="Normal 9 2 3 3 5 3" xfId="52966" xr:uid="{AF0763F0-E5FD-49E4-87FF-B23130719D5C}"/>
    <cellStyle name="Normal 9 2 3 3 6" xfId="52967" xr:uid="{5AA643A4-7A93-409D-84A2-86D8EACD5C01}"/>
    <cellStyle name="Normal 9 2 3 3 6 2" xfId="52968" xr:uid="{7F993BE2-3A54-40F0-A1C6-9C6382A6D194}"/>
    <cellStyle name="Normal 9 2 3 3 7" xfId="52969" xr:uid="{02534710-B645-4661-8E87-6CC8A26D96E2}"/>
    <cellStyle name="Normal 9 2 3 4" xfId="52970" xr:uid="{A84E375F-739A-42FB-8CAA-2CF1D57E5D57}"/>
    <cellStyle name="Normal 9 2 3 4 2" xfId="52971" xr:uid="{66C706D0-7F9C-4127-936C-9572AF102177}"/>
    <cellStyle name="Normal 9 2 3 4 2 2" xfId="52972" xr:uid="{08D24E83-B8FD-4D4A-B2EE-7BCC135E698B}"/>
    <cellStyle name="Normal 9 2 3 4 2 2 2" xfId="52973" xr:uid="{DDF296CD-6733-450B-8B7B-B93F9E16F704}"/>
    <cellStyle name="Normal 9 2 3 4 2 2 2 2" xfId="52974" xr:uid="{76573A2A-27B7-4416-BDD7-1809F8AFE1AC}"/>
    <cellStyle name="Normal 9 2 3 4 2 2 2 2 2" xfId="52975" xr:uid="{6F2E4BEF-0B59-4359-B0DA-F2944702FAA7}"/>
    <cellStyle name="Normal 9 2 3 4 2 2 2 3" xfId="52976" xr:uid="{D23C761A-56EA-4240-B9A1-F96D5C63C985}"/>
    <cellStyle name="Normal 9 2 3 4 2 2 3" xfId="52977" xr:uid="{26728A0A-5DD9-4BEE-97A1-A26BD875E44B}"/>
    <cellStyle name="Normal 9 2 3 4 2 2 3 2" xfId="52978" xr:uid="{1EFB3BD7-262E-4DC8-A140-7ADAFF0A87D3}"/>
    <cellStyle name="Normal 9 2 3 4 2 2 4" xfId="52979" xr:uid="{59F7853A-43E8-4E95-BCE2-68FF7D9C3797}"/>
    <cellStyle name="Normal 9 2 3 4 2 3" xfId="52980" xr:uid="{A8DB3844-7A8A-4DC1-93AF-4D44BD9D0588}"/>
    <cellStyle name="Normal 9 2 3 4 2 3 2" xfId="52981" xr:uid="{02653078-B48E-4A29-B645-E25ACD941B7D}"/>
    <cellStyle name="Normal 9 2 3 4 2 3 2 2" xfId="52982" xr:uid="{8A8455D8-3822-43BD-ADFB-73C5E1DF88F3}"/>
    <cellStyle name="Normal 9 2 3 4 2 3 3" xfId="52983" xr:uid="{7A9D48C7-8BC7-4888-B05F-8C4CE294E0E8}"/>
    <cellStyle name="Normal 9 2 3 4 2 4" xfId="52984" xr:uid="{8BCB157F-ACCD-42A5-A082-463E3443D068}"/>
    <cellStyle name="Normal 9 2 3 4 2 4 2" xfId="52985" xr:uid="{E6165406-E160-4595-8975-95CD590F85D3}"/>
    <cellStyle name="Normal 9 2 3 4 2 5" xfId="52986" xr:uid="{8A511DA3-1AF9-435E-9C6A-B5D0FDFC0D7C}"/>
    <cellStyle name="Normal 9 2 3 4 3" xfId="52987" xr:uid="{D0148291-6587-458C-9C77-38B23C16ECDB}"/>
    <cellStyle name="Normal 9 2 3 4 3 2" xfId="52988" xr:uid="{630A56BE-3F85-4AC9-BC05-1C1F96886E47}"/>
    <cellStyle name="Normal 9 2 3 4 3 2 2" xfId="52989" xr:uid="{3D642010-DAD9-4CD8-B6D2-80667374CE33}"/>
    <cellStyle name="Normal 9 2 3 4 3 2 2 2" xfId="52990" xr:uid="{266DA7C0-B539-47DD-A921-21C927F5F498}"/>
    <cellStyle name="Normal 9 2 3 4 3 2 3" xfId="52991" xr:uid="{2879E0E5-3F57-4017-9108-71D53E5400B4}"/>
    <cellStyle name="Normal 9 2 3 4 3 3" xfId="52992" xr:uid="{32A30414-56ED-45F4-8C9C-603557DCB0D5}"/>
    <cellStyle name="Normal 9 2 3 4 3 3 2" xfId="52993" xr:uid="{40BC0C38-5DB5-49E9-9B56-71975FD59600}"/>
    <cellStyle name="Normal 9 2 3 4 3 4" xfId="52994" xr:uid="{572F4B67-EB89-4AA4-8772-1EFDA1D5292E}"/>
    <cellStyle name="Normal 9 2 3 4 4" xfId="52995" xr:uid="{B9F3DDCC-8AF3-4528-A5DF-8842C601593A}"/>
    <cellStyle name="Normal 9 2 3 4 4 2" xfId="52996" xr:uid="{6555FC92-681E-4F7A-9A89-6275CCCB3FC1}"/>
    <cellStyle name="Normal 9 2 3 4 4 2 2" xfId="52997" xr:uid="{D19EC84E-EE6B-471B-A2AB-ED41634D0B53}"/>
    <cellStyle name="Normal 9 2 3 4 4 3" xfId="52998" xr:uid="{0984FCFA-9D7F-437D-87F7-9D5182BE7780}"/>
    <cellStyle name="Normal 9 2 3 4 5" xfId="52999" xr:uid="{006D4B7F-C527-4438-8B50-921786B2F272}"/>
    <cellStyle name="Normal 9 2 3 4 5 2" xfId="53000" xr:uid="{9A138E35-BAB5-42E6-9E25-16FD52801C4F}"/>
    <cellStyle name="Normal 9 2 3 4 6" xfId="53001" xr:uid="{FDC7B8FE-20C6-4066-939F-C5EDC7FCA45E}"/>
    <cellStyle name="Normal 9 2 3 5" xfId="53002" xr:uid="{6AD486D5-1F66-4869-893E-3A5BDE5CC4A2}"/>
    <cellStyle name="Normal 9 2 3 5 2" xfId="53003" xr:uid="{46DEC03E-E317-42F7-ABE8-5157C0B81C94}"/>
    <cellStyle name="Normal 9 2 3 5 2 2" xfId="53004" xr:uid="{220F0E09-32B3-45F2-A7BE-A7266F8F828A}"/>
    <cellStyle name="Normal 9 2 3 5 2 2 2" xfId="53005" xr:uid="{6538E1FE-5FBD-404B-B865-236C123803EB}"/>
    <cellStyle name="Normal 9 2 3 5 2 2 2 2" xfId="53006" xr:uid="{5511ACFD-D66D-4765-A96C-760E72742D11}"/>
    <cellStyle name="Normal 9 2 3 5 2 2 3" xfId="53007" xr:uid="{B08769F5-1259-47D7-ABFE-7BA79E4977EF}"/>
    <cellStyle name="Normal 9 2 3 5 2 3" xfId="53008" xr:uid="{2426BEB9-869B-42C6-886A-B13B4A624E69}"/>
    <cellStyle name="Normal 9 2 3 5 2 3 2" xfId="53009" xr:uid="{7269D37C-0682-42CA-B753-0972E0ECFA62}"/>
    <cellStyle name="Normal 9 2 3 5 2 4" xfId="53010" xr:uid="{89ED647E-942A-4A39-B3B2-BF5519DE27D9}"/>
    <cellStyle name="Normal 9 2 3 5 3" xfId="53011" xr:uid="{94B4DF34-0082-4F00-AA80-90411DC4BCD5}"/>
    <cellStyle name="Normal 9 2 3 5 3 2" xfId="53012" xr:uid="{D1FA9AD5-2152-4A9C-995D-9D75966F03E7}"/>
    <cellStyle name="Normal 9 2 3 5 3 2 2" xfId="53013" xr:uid="{343D1E90-9888-4AB1-80A1-88426CC3DDCD}"/>
    <cellStyle name="Normal 9 2 3 5 3 3" xfId="53014" xr:uid="{9738761F-68D5-4B8B-B065-3AB63C5F2BFE}"/>
    <cellStyle name="Normal 9 2 3 5 4" xfId="53015" xr:uid="{B0973DD5-CBB0-4B1E-BCB4-9D81F6B90814}"/>
    <cellStyle name="Normal 9 2 3 5 4 2" xfId="53016" xr:uid="{CA84CB13-1BD2-4005-81E3-DCF443F1B462}"/>
    <cellStyle name="Normal 9 2 3 5 5" xfId="53017" xr:uid="{6A448000-DEDD-48B9-BF4A-2C913B29B205}"/>
    <cellStyle name="Normal 9 2 3 6" xfId="53018" xr:uid="{DD42203D-6A01-4B43-86E9-0F557C57A537}"/>
    <cellStyle name="Normal 9 2 3 6 2" xfId="53019" xr:uid="{0FC6A7CB-8ECF-4E6D-BCCF-1EBA9C3C768C}"/>
    <cellStyle name="Normal 9 2 3 6 2 2" xfId="53020" xr:uid="{0B1ACE7E-DD5D-4BEF-9A35-FAD60E375C51}"/>
    <cellStyle name="Normal 9 2 3 6 2 2 2" xfId="53021" xr:uid="{F365C3EC-695F-456A-BC56-6EA110D4B4C9}"/>
    <cellStyle name="Normal 9 2 3 6 2 3" xfId="53022" xr:uid="{6F7AE93F-1DF7-4207-9461-F15E87F1676E}"/>
    <cellStyle name="Normal 9 2 3 6 3" xfId="53023" xr:uid="{D7DE60F2-87B5-45BE-8555-79CEE2D6CBC2}"/>
    <cellStyle name="Normal 9 2 3 6 3 2" xfId="53024" xr:uid="{CDD70CEC-5D34-4380-B78E-C563D4DC36EE}"/>
    <cellStyle name="Normal 9 2 3 6 4" xfId="53025" xr:uid="{2F8684A7-7D9F-4ED7-9E58-13CF19C899DC}"/>
    <cellStyle name="Normal 9 2 3 7" xfId="53026" xr:uid="{53EE8226-55B2-41BC-A554-3E76BB995556}"/>
    <cellStyle name="Normal 9 2 3 7 2" xfId="53027" xr:uid="{540CFEDD-8FCE-4604-811C-CA09185D787C}"/>
    <cellStyle name="Normal 9 2 3 7 2 2" xfId="53028" xr:uid="{1EDC1E94-6F18-4005-BDEB-2D70427357A2}"/>
    <cellStyle name="Normal 9 2 3 7 3" xfId="53029" xr:uid="{66083F9C-DFA0-48F6-A080-4238E37D7B03}"/>
    <cellStyle name="Normal 9 2 3 8" xfId="53030" xr:uid="{E74C2809-F985-44F5-AB3F-90966EC0492B}"/>
    <cellStyle name="Normal 9 2 3 8 2" xfId="53031" xr:uid="{E67648C8-CD80-41F1-9118-3144B1BF4311}"/>
    <cellStyle name="Normal 9 2 3 9" xfId="53032" xr:uid="{573F457B-8DDA-4478-BC41-AD44AF4C1B00}"/>
    <cellStyle name="Normal 9 2 4" xfId="53033" xr:uid="{FC9300D8-5895-401F-8100-DA39F80B6F34}"/>
    <cellStyle name="Normal 9 2 4 2" xfId="53034" xr:uid="{8529E4EE-69DC-4912-8BE6-5092119F23C5}"/>
    <cellStyle name="Normal 9 2 4 2 2" xfId="53035" xr:uid="{D3B8E649-CEF7-4FE8-A4F1-60BB4EC175F5}"/>
    <cellStyle name="Normal 9 2 4 2 2 2" xfId="53036" xr:uid="{4F968681-00C7-4557-A107-3EA394D7DABB}"/>
    <cellStyle name="Normal 9 2 4 2 2 2 2" xfId="53037" xr:uid="{CFCA3B7E-63CA-45A5-ACFC-1D12B91CD3A4}"/>
    <cellStyle name="Normal 9 2 4 2 2 2 2 2" xfId="53038" xr:uid="{5A75C8C6-DDC0-4BD7-BBA1-7577998629EC}"/>
    <cellStyle name="Normal 9 2 4 2 2 2 2 2 2" xfId="53039" xr:uid="{61FCA3E0-87D6-468E-8ED0-FBA1D27333C7}"/>
    <cellStyle name="Normal 9 2 4 2 2 2 2 2 2 2" xfId="53040" xr:uid="{791B7E3B-6DF2-4FEE-978A-5F71988AD538}"/>
    <cellStyle name="Normal 9 2 4 2 2 2 2 2 3" xfId="53041" xr:uid="{362B641D-A4AE-4EC3-A405-F7399500DBE8}"/>
    <cellStyle name="Normal 9 2 4 2 2 2 2 3" xfId="53042" xr:uid="{713BBCA8-929E-4162-B8E4-18F4F23ED40B}"/>
    <cellStyle name="Normal 9 2 4 2 2 2 2 3 2" xfId="53043" xr:uid="{E3757C75-46AA-4F74-90BD-5C90800D6D11}"/>
    <cellStyle name="Normal 9 2 4 2 2 2 2 4" xfId="53044" xr:uid="{00331DB1-9835-4DE0-8D68-A6CC19C4B497}"/>
    <cellStyle name="Normal 9 2 4 2 2 2 3" xfId="53045" xr:uid="{45566395-C5C7-4289-901F-B9E9AFC6EE87}"/>
    <cellStyle name="Normal 9 2 4 2 2 2 3 2" xfId="53046" xr:uid="{04E2B43D-FE25-492C-A05E-48ED84C9D713}"/>
    <cellStyle name="Normal 9 2 4 2 2 2 3 2 2" xfId="53047" xr:uid="{CCA9CFC7-FFE3-42ED-BD75-AB4DD9EFDA2B}"/>
    <cellStyle name="Normal 9 2 4 2 2 2 3 3" xfId="53048" xr:uid="{51969796-F3C8-445C-B03F-5DF4F8D4F5AE}"/>
    <cellStyle name="Normal 9 2 4 2 2 2 4" xfId="53049" xr:uid="{2B5C72AC-D3BB-4586-A65D-FCBD794F289D}"/>
    <cellStyle name="Normal 9 2 4 2 2 2 4 2" xfId="53050" xr:uid="{AE8EF442-1543-43B4-BECC-3CFA0D8FC4E5}"/>
    <cellStyle name="Normal 9 2 4 2 2 2 5" xfId="53051" xr:uid="{34B5B387-EDD3-4587-8442-4E566F386AD6}"/>
    <cellStyle name="Normal 9 2 4 2 2 3" xfId="53052" xr:uid="{F0BC2BF2-9CF7-4B52-B1A5-FB0A018D16ED}"/>
    <cellStyle name="Normal 9 2 4 2 2 3 2" xfId="53053" xr:uid="{FB6D6443-3371-4CCD-9EDA-77279BBEF50A}"/>
    <cellStyle name="Normal 9 2 4 2 2 3 2 2" xfId="53054" xr:uid="{5E729C85-9FD7-4BA5-952B-466BAA3EAFFB}"/>
    <cellStyle name="Normal 9 2 4 2 2 3 2 2 2" xfId="53055" xr:uid="{543C4430-5E1E-4262-B080-90D5AE03FAF2}"/>
    <cellStyle name="Normal 9 2 4 2 2 3 2 3" xfId="53056" xr:uid="{F5F01C57-C59A-4C95-BE8A-7A9C557F26E4}"/>
    <cellStyle name="Normal 9 2 4 2 2 3 3" xfId="53057" xr:uid="{2F7A5D82-C5EF-4212-ADB2-F4A445CBC5D5}"/>
    <cellStyle name="Normal 9 2 4 2 2 3 3 2" xfId="53058" xr:uid="{E87C6B54-24C6-441F-9006-979B0F37824F}"/>
    <cellStyle name="Normal 9 2 4 2 2 3 4" xfId="53059" xr:uid="{0110BC69-CE06-482B-B634-1D93728747A8}"/>
    <cellStyle name="Normal 9 2 4 2 2 4" xfId="53060" xr:uid="{594F65B6-FED9-48D3-81BE-61B6A41B63BD}"/>
    <cellStyle name="Normal 9 2 4 2 2 4 2" xfId="53061" xr:uid="{9E820380-C257-4544-9603-59FD079B7065}"/>
    <cellStyle name="Normal 9 2 4 2 2 4 2 2" xfId="53062" xr:uid="{E182B084-BD5E-4200-A54D-31EFA5535B12}"/>
    <cellStyle name="Normal 9 2 4 2 2 4 3" xfId="53063" xr:uid="{3ED3C67E-AA13-4B99-8FAE-461AE41606E1}"/>
    <cellStyle name="Normal 9 2 4 2 2 5" xfId="53064" xr:uid="{2A85DC56-F1EE-4CAF-9B05-B389C81F280E}"/>
    <cellStyle name="Normal 9 2 4 2 2 5 2" xfId="53065" xr:uid="{CC2C281E-BAAA-4B50-A609-19BB3A746BE6}"/>
    <cellStyle name="Normal 9 2 4 2 2 6" xfId="53066" xr:uid="{9EE5B5C4-A5A1-475E-8F03-2033402A15DB}"/>
    <cellStyle name="Normal 9 2 4 2 3" xfId="53067" xr:uid="{387F723F-0278-489C-949D-BCBF30FEA8B6}"/>
    <cellStyle name="Normal 9 2 4 2 3 2" xfId="53068" xr:uid="{685D19B8-8A6F-4D3C-A93F-4C53245FA156}"/>
    <cellStyle name="Normal 9 2 4 2 3 2 2" xfId="53069" xr:uid="{30B8044F-C58F-4D72-8DE8-F506C7011C1B}"/>
    <cellStyle name="Normal 9 2 4 2 3 2 2 2" xfId="53070" xr:uid="{0CA95D14-69F1-43FB-99B6-6CE85C30068D}"/>
    <cellStyle name="Normal 9 2 4 2 3 2 2 2 2" xfId="53071" xr:uid="{47EC5AF9-CFCB-49D8-8941-26A61541394E}"/>
    <cellStyle name="Normal 9 2 4 2 3 2 2 3" xfId="53072" xr:uid="{753D5F22-AB5E-42EC-835E-24365B4EFF2A}"/>
    <cellStyle name="Normal 9 2 4 2 3 2 3" xfId="53073" xr:uid="{CA49E7B0-4F57-43BF-973F-29FA014B7BE6}"/>
    <cellStyle name="Normal 9 2 4 2 3 2 3 2" xfId="53074" xr:uid="{1A2460E5-0555-41B1-A3A9-1740936F1C40}"/>
    <cellStyle name="Normal 9 2 4 2 3 2 4" xfId="53075" xr:uid="{E5026FAC-925C-4561-8AA9-63D27D014F57}"/>
    <cellStyle name="Normal 9 2 4 2 3 3" xfId="53076" xr:uid="{CF727D96-1354-4E87-A5CF-501B4ED1C97E}"/>
    <cellStyle name="Normal 9 2 4 2 3 3 2" xfId="53077" xr:uid="{B8F6AFF7-BE5D-490F-A393-80CA1FA0A5BF}"/>
    <cellStyle name="Normal 9 2 4 2 3 3 2 2" xfId="53078" xr:uid="{8AEFF38E-3473-4EEF-8D2D-0E618D6C2AA2}"/>
    <cellStyle name="Normal 9 2 4 2 3 3 3" xfId="53079" xr:uid="{9349A5F8-5ECB-4566-8C61-AC12E40C8E6D}"/>
    <cellStyle name="Normal 9 2 4 2 3 4" xfId="53080" xr:uid="{9D00E155-879A-44C0-B90E-F352AF1D5BDB}"/>
    <cellStyle name="Normal 9 2 4 2 3 4 2" xfId="53081" xr:uid="{FFE28A2C-4BE7-4BE1-9ACC-0411708161BC}"/>
    <cellStyle name="Normal 9 2 4 2 3 5" xfId="53082" xr:uid="{89B5420F-7BD4-47DD-99D5-D4019FEA7516}"/>
    <cellStyle name="Normal 9 2 4 2 4" xfId="53083" xr:uid="{A4859790-1519-49BE-8C26-7C86A5D6EDFB}"/>
    <cellStyle name="Normal 9 2 4 2 4 2" xfId="53084" xr:uid="{0B868B44-FEB5-45DE-865D-6FA936E8ED31}"/>
    <cellStyle name="Normal 9 2 4 2 4 2 2" xfId="53085" xr:uid="{99677210-43F4-4B64-A120-A3CB910A18D9}"/>
    <cellStyle name="Normal 9 2 4 2 4 2 2 2" xfId="53086" xr:uid="{51C2CF3C-3C01-4E46-B389-52E43F98CB97}"/>
    <cellStyle name="Normal 9 2 4 2 4 2 3" xfId="53087" xr:uid="{F00B74D4-6310-4865-94CD-5BF0C12185DD}"/>
    <cellStyle name="Normal 9 2 4 2 4 3" xfId="53088" xr:uid="{A62F5E6E-5A38-4198-BC1A-311EC7B49AA3}"/>
    <cellStyle name="Normal 9 2 4 2 4 3 2" xfId="53089" xr:uid="{489089B8-BDC6-4B4B-B45D-138482ECD563}"/>
    <cellStyle name="Normal 9 2 4 2 4 4" xfId="53090" xr:uid="{38A07353-E266-4DFB-8020-CE5F9D0E4664}"/>
    <cellStyle name="Normal 9 2 4 2 5" xfId="53091" xr:uid="{70E28B2D-69C2-4001-9D17-F2FF49B2D88C}"/>
    <cellStyle name="Normal 9 2 4 2 5 2" xfId="53092" xr:uid="{124FDAB2-6CCA-4857-AA6F-DAE408AF9BAA}"/>
    <cellStyle name="Normal 9 2 4 2 5 2 2" xfId="53093" xr:uid="{42B6C1C8-52D7-4950-827A-0726F3BF2011}"/>
    <cellStyle name="Normal 9 2 4 2 5 3" xfId="53094" xr:uid="{9A993857-53E9-40EC-AE77-112747CD1F5B}"/>
    <cellStyle name="Normal 9 2 4 2 6" xfId="53095" xr:uid="{7C544A8C-08E0-480B-86A7-B3FC7A30E3DE}"/>
    <cellStyle name="Normal 9 2 4 2 6 2" xfId="53096" xr:uid="{5A7A3256-1DE8-4C0E-9E36-11DD204B2A8C}"/>
    <cellStyle name="Normal 9 2 4 2 7" xfId="53097" xr:uid="{45AF175F-CB3E-4EBC-AF74-8F7D80AD7424}"/>
    <cellStyle name="Normal 9 2 4 3" xfId="53098" xr:uid="{D863ECA1-DB68-4315-85BD-DB971DF5AD2C}"/>
    <cellStyle name="Normal 9 2 4 3 2" xfId="53099" xr:uid="{3F910AF5-9CF4-451A-9C38-A7DE5304267E}"/>
    <cellStyle name="Normal 9 2 4 3 2 2" xfId="53100" xr:uid="{7B8C724B-95C5-4901-8532-9A58FF0BA061}"/>
    <cellStyle name="Normal 9 2 4 3 2 2 2" xfId="53101" xr:uid="{7F8854C4-A0F9-4A92-A325-6B5D26231F3C}"/>
    <cellStyle name="Normal 9 2 4 3 2 2 2 2" xfId="53102" xr:uid="{91FCE2B3-56DF-40E2-B1BB-1F1BDB0E55FD}"/>
    <cellStyle name="Normal 9 2 4 3 2 2 2 2 2" xfId="53103" xr:uid="{98443ED4-46AF-4650-863C-FB83E037A4D0}"/>
    <cellStyle name="Normal 9 2 4 3 2 2 2 3" xfId="53104" xr:uid="{288822F7-831C-4CA3-AB1B-0C1837698BFA}"/>
    <cellStyle name="Normal 9 2 4 3 2 2 3" xfId="53105" xr:uid="{01C2FEA2-3C99-44EE-8F80-94A9C296E423}"/>
    <cellStyle name="Normal 9 2 4 3 2 2 3 2" xfId="53106" xr:uid="{D5BA0951-EDAD-4AE9-9F83-E43F058EF247}"/>
    <cellStyle name="Normal 9 2 4 3 2 2 4" xfId="53107" xr:uid="{63CB915C-63AB-43F1-8559-80F73A40F7AD}"/>
    <cellStyle name="Normal 9 2 4 3 2 3" xfId="53108" xr:uid="{B9A6D10E-A0C6-4269-A2CA-5BB0426D2C02}"/>
    <cellStyle name="Normal 9 2 4 3 2 3 2" xfId="53109" xr:uid="{7E021F3D-4D90-49B7-B345-1C05DEBA8827}"/>
    <cellStyle name="Normal 9 2 4 3 2 3 2 2" xfId="53110" xr:uid="{00E10DB4-04E3-4E8F-BB79-E0BE6155A315}"/>
    <cellStyle name="Normal 9 2 4 3 2 3 3" xfId="53111" xr:uid="{9228C647-C928-44B5-83FC-0B91516DBCFE}"/>
    <cellStyle name="Normal 9 2 4 3 2 4" xfId="53112" xr:uid="{28EFDE41-496B-482F-B18E-6D4A8A622C78}"/>
    <cellStyle name="Normal 9 2 4 3 2 4 2" xfId="53113" xr:uid="{A2086B3D-00E1-4A3A-BF62-88512B605DD1}"/>
    <cellStyle name="Normal 9 2 4 3 2 5" xfId="53114" xr:uid="{96998601-963E-4375-BE22-934932F25138}"/>
    <cellStyle name="Normal 9 2 4 3 3" xfId="53115" xr:uid="{701AF695-20AD-4341-9A14-8A46AD3C2750}"/>
    <cellStyle name="Normal 9 2 4 3 3 2" xfId="53116" xr:uid="{43B016CC-AE4B-49D5-AEFD-497AC3AC48FF}"/>
    <cellStyle name="Normal 9 2 4 3 3 2 2" xfId="53117" xr:uid="{DF23F5CD-3150-4130-8ACE-B706F94D5E03}"/>
    <cellStyle name="Normal 9 2 4 3 3 2 2 2" xfId="53118" xr:uid="{6354C1EC-F605-44B9-B887-3E509DAE6AA9}"/>
    <cellStyle name="Normal 9 2 4 3 3 2 3" xfId="53119" xr:uid="{402D589F-5D68-4397-ADB1-7DB9C6DBD492}"/>
    <cellStyle name="Normal 9 2 4 3 3 3" xfId="53120" xr:uid="{A43A8BDF-78D9-4983-A9F6-01C76A03ABA1}"/>
    <cellStyle name="Normal 9 2 4 3 3 3 2" xfId="53121" xr:uid="{399D5466-5006-4087-9E7B-6E493E1D2F84}"/>
    <cellStyle name="Normal 9 2 4 3 3 4" xfId="53122" xr:uid="{66B70572-E0D3-47BC-A7B1-2DA4D79CAE98}"/>
    <cellStyle name="Normal 9 2 4 3 4" xfId="53123" xr:uid="{F72864C9-AE48-4DEC-9444-275C54A5A605}"/>
    <cellStyle name="Normal 9 2 4 3 4 2" xfId="53124" xr:uid="{0E800609-02FF-4246-8363-BD063FC5F9B8}"/>
    <cellStyle name="Normal 9 2 4 3 4 2 2" xfId="53125" xr:uid="{5247B35B-BBA8-461F-A57B-27BAC76A8C4F}"/>
    <cellStyle name="Normal 9 2 4 3 4 3" xfId="53126" xr:uid="{1FDED237-F67A-4F8E-BAAF-7D565E58056A}"/>
    <cellStyle name="Normal 9 2 4 3 5" xfId="53127" xr:uid="{1485066D-09A9-4948-9782-2C4EEDE0C6F5}"/>
    <cellStyle name="Normal 9 2 4 3 5 2" xfId="53128" xr:uid="{D2518D71-FA43-496B-B6A8-BC4E9D72EC9E}"/>
    <cellStyle name="Normal 9 2 4 3 6" xfId="53129" xr:uid="{D1A29A64-70E2-4139-8C6B-481B14097F5C}"/>
    <cellStyle name="Normal 9 2 4 4" xfId="53130" xr:uid="{1F193352-B868-4DF7-806A-C8A1210AF8CC}"/>
    <cellStyle name="Normal 9 2 4 4 2" xfId="53131" xr:uid="{ACEC8B3A-4332-4635-A1D8-0A1D212E87A8}"/>
    <cellStyle name="Normal 9 2 4 4 2 2" xfId="53132" xr:uid="{73E67493-D98A-49D5-A4D7-C8A18AE73CA1}"/>
    <cellStyle name="Normal 9 2 4 4 2 2 2" xfId="53133" xr:uid="{FA0AA7AA-AC38-4A3A-A4A4-B5DCB8FEFB04}"/>
    <cellStyle name="Normal 9 2 4 4 2 2 2 2" xfId="53134" xr:uid="{F2768079-A5B4-4AED-A29E-93EFA6983DFE}"/>
    <cellStyle name="Normal 9 2 4 4 2 2 3" xfId="53135" xr:uid="{E6A1D11E-8180-473E-BE40-3F354A35A76A}"/>
    <cellStyle name="Normal 9 2 4 4 2 3" xfId="53136" xr:uid="{C98FB8DB-209C-4F1F-B462-819C53CED99B}"/>
    <cellStyle name="Normal 9 2 4 4 2 3 2" xfId="53137" xr:uid="{442AC696-D6D4-4BCC-A4B4-30013A1FB053}"/>
    <cellStyle name="Normal 9 2 4 4 2 4" xfId="53138" xr:uid="{57A24DC6-AF2C-4FD9-90DC-0B21D6CF8C4E}"/>
    <cellStyle name="Normal 9 2 4 4 3" xfId="53139" xr:uid="{DF78CB16-21FD-4CD5-AB09-9626C5CE4230}"/>
    <cellStyle name="Normal 9 2 4 4 3 2" xfId="53140" xr:uid="{B1622DD0-37E4-43F5-9A84-03A29874285E}"/>
    <cellStyle name="Normal 9 2 4 4 3 2 2" xfId="53141" xr:uid="{32C5BA24-602A-4B44-AF0F-85C78B106B0D}"/>
    <cellStyle name="Normal 9 2 4 4 3 3" xfId="53142" xr:uid="{9E7F7AD4-42BE-4511-B5B4-26FF3417BE84}"/>
    <cellStyle name="Normal 9 2 4 4 4" xfId="53143" xr:uid="{3C483C65-D379-40EE-8D24-0FE3738E11BE}"/>
    <cellStyle name="Normal 9 2 4 4 4 2" xfId="53144" xr:uid="{2D51A1CD-2BF6-4DF9-996C-0A4B9C6AE548}"/>
    <cellStyle name="Normal 9 2 4 4 5" xfId="53145" xr:uid="{82186690-A685-440C-A87D-A028C8D41D2D}"/>
    <cellStyle name="Normal 9 2 4 5" xfId="53146" xr:uid="{1F91A8C0-BE49-42FC-AD54-3F4EFADDC840}"/>
    <cellStyle name="Normal 9 2 4 5 2" xfId="53147" xr:uid="{AAD09F2D-C3D6-4B32-8515-6676E3E153CB}"/>
    <cellStyle name="Normal 9 2 4 5 2 2" xfId="53148" xr:uid="{E718A674-B078-47D6-93E0-46D30D8BAE48}"/>
    <cellStyle name="Normal 9 2 4 5 2 2 2" xfId="53149" xr:uid="{57846EEE-53D4-4AA3-92BA-855178E2C645}"/>
    <cellStyle name="Normal 9 2 4 5 2 3" xfId="53150" xr:uid="{A780A40C-1EDE-4EA4-9348-44EB8628E4E3}"/>
    <cellStyle name="Normal 9 2 4 5 3" xfId="53151" xr:uid="{D6938487-64F0-4155-B7F8-BC9EF411991D}"/>
    <cellStyle name="Normal 9 2 4 5 3 2" xfId="53152" xr:uid="{5C63529A-2752-4307-AFCC-432E580A81B5}"/>
    <cellStyle name="Normal 9 2 4 5 4" xfId="53153" xr:uid="{D9747B08-C6AB-4CA2-A0D4-F18E07E3DB12}"/>
    <cellStyle name="Normal 9 2 4 6" xfId="53154" xr:uid="{D1882243-A7A5-44BA-8AB7-BA54C10FCC42}"/>
    <cellStyle name="Normal 9 2 4 6 2" xfId="53155" xr:uid="{71951A03-AAD1-4381-BDC3-AC8660CBEB13}"/>
    <cellStyle name="Normal 9 2 4 6 2 2" xfId="53156" xr:uid="{14728837-CF6C-4525-927A-574892CEF00D}"/>
    <cellStyle name="Normal 9 2 4 6 3" xfId="53157" xr:uid="{BF96B804-5370-4A1D-BF03-0FF37D826CCC}"/>
    <cellStyle name="Normal 9 2 4 7" xfId="53158" xr:uid="{5B441254-74BD-4121-B41E-9F6C26C489E5}"/>
    <cellStyle name="Normal 9 2 4 7 2" xfId="53159" xr:uid="{C08FE1C6-1684-4C32-A9F8-45CB5C7C7496}"/>
    <cellStyle name="Normal 9 2 4 8" xfId="53160" xr:uid="{9D3AE5A7-3313-4C97-B1BF-50AE3FCE7700}"/>
    <cellStyle name="Normal 9 2 5" xfId="53161" xr:uid="{4CD5A9CF-E198-41C1-930B-AD1691067985}"/>
    <cellStyle name="Normal 9 2 5 2" xfId="53162" xr:uid="{7F784069-D0CF-48F2-BCC4-18433DA67BAC}"/>
    <cellStyle name="Normal 9 2 5 2 2" xfId="53163" xr:uid="{49E4F5B0-9D0C-415C-9E8C-B7F11562A82F}"/>
    <cellStyle name="Normal 9 2 5 2 2 2" xfId="53164" xr:uid="{EBA5A2A6-82D2-46FA-9898-33AC91409543}"/>
    <cellStyle name="Normal 9 2 5 2 2 2 2" xfId="53165" xr:uid="{A0230B94-CBB0-461A-AFDF-0E39F6157690}"/>
    <cellStyle name="Normal 9 2 5 2 2 2 2 2" xfId="53166" xr:uid="{E83E14F2-D0AD-462D-A1CD-C54D8FEBD759}"/>
    <cellStyle name="Normal 9 2 5 2 2 2 2 2 2" xfId="53167" xr:uid="{6267F3F6-C927-4E50-A08B-95AB379E63FE}"/>
    <cellStyle name="Normal 9 2 5 2 2 2 2 3" xfId="53168" xr:uid="{D1E6D7DA-30F7-42AF-BD0B-9A58FD4352BF}"/>
    <cellStyle name="Normal 9 2 5 2 2 2 3" xfId="53169" xr:uid="{8DF82C30-4FB1-444A-84D2-B0F8EC35F4DD}"/>
    <cellStyle name="Normal 9 2 5 2 2 2 3 2" xfId="53170" xr:uid="{2D5984CA-8FC2-48FA-9F32-6605535389F8}"/>
    <cellStyle name="Normal 9 2 5 2 2 2 4" xfId="53171" xr:uid="{1CC26FFD-C604-4F1F-B518-49F573EA24C3}"/>
    <cellStyle name="Normal 9 2 5 2 2 3" xfId="53172" xr:uid="{D4BE6249-78A2-40C7-B964-1376AC4DCA30}"/>
    <cellStyle name="Normal 9 2 5 2 2 3 2" xfId="53173" xr:uid="{8F095CFC-817B-43CB-898D-879AB0501CA5}"/>
    <cellStyle name="Normal 9 2 5 2 2 3 2 2" xfId="53174" xr:uid="{7A3FA402-7212-47CB-A82D-3EEE7E3390D9}"/>
    <cellStyle name="Normal 9 2 5 2 2 3 3" xfId="53175" xr:uid="{77482781-CAC7-4D10-84DF-9FECFD47ED55}"/>
    <cellStyle name="Normal 9 2 5 2 2 4" xfId="53176" xr:uid="{E91BA06F-5761-4792-8D2C-32DE6DB60DAC}"/>
    <cellStyle name="Normal 9 2 5 2 2 4 2" xfId="53177" xr:uid="{98F5B1F2-941F-464C-BA2B-436EDA550FD0}"/>
    <cellStyle name="Normal 9 2 5 2 2 5" xfId="53178" xr:uid="{EE8F17F0-35D7-4824-AE55-8B9084AC85DE}"/>
    <cellStyle name="Normal 9 2 5 2 3" xfId="53179" xr:uid="{14E27121-F82B-4392-B8D8-148B05A4FA5C}"/>
    <cellStyle name="Normal 9 2 5 2 3 2" xfId="53180" xr:uid="{01F54D71-6157-4590-8097-DE28EE74F9C6}"/>
    <cellStyle name="Normal 9 2 5 2 3 2 2" xfId="53181" xr:uid="{9B294198-A7DC-4FFF-8538-8439B10C0088}"/>
    <cellStyle name="Normal 9 2 5 2 3 2 2 2" xfId="53182" xr:uid="{47297F18-3E29-4428-BBED-A2541DEF41AB}"/>
    <cellStyle name="Normal 9 2 5 2 3 2 3" xfId="53183" xr:uid="{9F18CF2D-AF56-4CD5-BBBA-E48F088C1E79}"/>
    <cellStyle name="Normal 9 2 5 2 3 3" xfId="53184" xr:uid="{B43DDA92-3560-4402-A2D1-02F371FD8F1A}"/>
    <cellStyle name="Normal 9 2 5 2 3 3 2" xfId="53185" xr:uid="{BB225E55-A2CF-4AFF-85AF-B97867C07920}"/>
    <cellStyle name="Normal 9 2 5 2 3 4" xfId="53186" xr:uid="{80A61E72-9ADB-40A3-B8CE-5755F5318807}"/>
    <cellStyle name="Normal 9 2 5 2 4" xfId="53187" xr:uid="{F7740B23-C031-45CB-943E-BCF6297DB523}"/>
    <cellStyle name="Normal 9 2 5 2 4 2" xfId="53188" xr:uid="{39DD8536-63AA-4ADD-8A58-1D9054B9DEED}"/>
    <cellStyle name="Normal 9 2 5 2 4 2 2" xfId="53189" xr:uid="{2A61D2ED-2CC0-40A3-BEB6-4182B6711C51}"/>
    <cellStyle name="Normal 9 2 5 2 4 3" xfId="53190" xr:uid="{9584FD10-F941-474F-99B7-EFB9A2909653}"/>
    <cellStyle name="Normal 9 2 5 2 5" xfId="53191" xr:uid="{2797A993-CE27-40C9-BF08-592F50DF076E}"/>
    <cellStyle name="Normal 9 2 5 2 5 2" xfId="53192" xr:uid="{B5A5ED69-A6BA-4724-BEB7-E2B36EC77D5F}"/>
    <cellStyle name="Normal 9 2 5 2 6" xfId="53193" xr:uid="{D2DE647F-EE2F-4AEC-A2CB-7505C5533523}"/>
    <cellStyle name="Normal 9 2 5 3" xfId="53194" xr:uid="{21A4D705-4640-4ADD-B22C-941F0C246B83}"/>
    <cellStyle name="Normal 9 2 5 3 2" xfId="53195" xr:uid="{E7AE17B7-DB3B-486A-8B7C-D122E9FE9919}"/>
    <cellStyle name="Normal 9 2 5 3 2 2" xfId="53196" xr:uid="{7F5C5D1A-45BA-4DE6-B85E-396867A8EA69}"/>
    <cellStyle name="Normal 9 2 5 3 2 2 2" xfId="53197" xr:uid="{5F858710-896E-4A6D-83C9-8239E01790B6}"/>
    <cellStyle name="Normal 9 2 5 3 2 2 2 2" xfId="53198" xr:uid="{3CD9766E-53EF-4986-9BBF-5E2470184737}"/>
    <cellStyle name="Normal 9 2 5 3 2 2 3" xfId="53199" xr:uid="{1A2B093F-5CFF-4381-9327-A34E3044B73A}"/>
    <cellStyle name="Normal 9 2 5 3 2 3" xfId="53200" xr:uid="{416027F2-2D88-4949-96A6-98F83BD1EC28}"/>
    <cellStyle name="Normal 9 2 5 3 2 3 2" xfId="53201" xr:uid="{BB195A41-B795-4E2F-8AC0-A54EDD4E31D5}"/>
    <cellStyle name="Normal 9 2 5 3 2 4" xfId="53202" xr:uid="{450003BC-9E0A-4787-A409-1C738AA013F8}"/>
    <cellStyle name="Normal 9 2 5 3 3" xfId="53203" xr:uid="{98E9D1CA-EC06-437F-9552-65AF9704587C}"/>
    <cellStyle name="Normal 9 2 5 3 3 2" xfId="53204" xr:uid="{B7186726-A20F-4ED4-8467-3A54ADA412F8}"/>
    <cellStyle name="Normal 9 2 5 3 3 2 2" xfId="53205" xr:uid="{B0B9B900-A54C-4755-9007-1137997FFAC9}"/>
    <cellStyle name="Normal 9 2 5 3 3 3" xfId="53206" xr:uid="{FC92D993-5A6C-4118-9071-5D4703F13B88}"/>
    <cellStyle name="Normal 9 2 5 3 4" xfId="53207" xr:uid="{7AD8A28C-0036-4FD5-9A99-0958BDFDCB04}"/>
    <cellStyle name="Normal 9 2 5 3 4 2" xfId="53208" xr:uid="{0343EFDF-30D5-46CD-B7F1-7B7C9EBB3474}"/>
    <cellStyle name="Normal 9 2 5 3 5" xfId="53209" xr:uid="{A7C00EB1-BACB-460F-9668-D669A6FBA801}"/>
    <cellStyle name="Normal 9 2 5 4" xfId="53210" xr:uid="{D15E6FDF-2EDD-4ADA-A85A-638040B24556}"/>
    <cellStyle name="Normal 9 2 5 4 2" xfId="53211" xr:uid="{E0BD23C9-2377-4AA7-AB8C-E39DD2FBFBC1}"/>
    <cellStyle name="Normal 9 2 5 4 2 2" xfId="53212" xr:uid="{4DC7ADA4-C4AE-42EA-8994-6B20B98157EC}"/>
    <cellStyle name="Normal 9 2 5 4 2 2 2" xfId="53213" xr:uid="{DC291F5D-044C-4EF3-B672-3DE4CC5B3263}"/>
    <cellStyle name="Normal 9 2 5 4 2 3" xfId="53214" xr:uid="{EBFDD5C4-81D3-4C63-9159-2AA97F95B93A}"/>
    <cellStyle name="Normal 9 2 5 4 3" xfId="53215" xr:uid="{39642A58-E553-4C27-AD44-F67EB8FEFBE2}"/>
    <cellStyle name="Normal 9 2 5 4 3 2" xfId="53216" xr:uid="{2D278B32-39A5-4FBC-BE2F-0D73A4EC3D48}"/>
    <cellStyle name="Normal 9 2 5 4 4" xfId="53217" xr:uid="{8792272A-F6C6-4118-B96C-5D050AC0C911}"/>
    <cellStyle name="Normal 9 2 5 5" xfId="53218" xr:uid="{38B68B69-3718-473C-95D8-F92FB2EAFBE4}"/>
    <cellStyle name="Normal 9 2 5 5 2" xfId="53219" xr:uid="{4340D9A9-EC5D-4328-98D9-211624FC0271}"/>
    <cellStyle name="Normal 9 2 5 5 2 2" xfId="53220" xr:uid="{0C68818F-0102-4693-B191-F29F48FB0582}"/>
    <cellStyle name="Normal 9 2 5 5 3" xfId="53221" xr:uid="{8850693C-B9DE-4F57-81AE-1A6DC973ECBA}"/>
    <cellStyle name="Normal 9 2 5 6" xfId="53222" xr:uid="{DFC6D3B1-DC8C-477D-8004-34078757F14E}"/>
    <cellStyle name="Normal 9 2 5 6 2" xfId="53223" xr:uid="{074E6E6A-BE33-4E43-B3C8-3B97C1FB0A9D}"/>
    <cellStyle name="Normal 9 2 5 7" xfId="53224" xr:uid="{D3127F7F-CB40-4784-969B-9627CBDA4B32}"/>
    <cellStyle name="Normal 9 2 6" xfId="53225" xr:uid="{0EC9E825-8187-4F4D-A520-253437150225}"/>
    <cellStyle name="Normal 9 2 6 2" xfId="53226" xr:uid="{182E16AA-154A-4880-AC1D-595B897585E4}"/>
    <cellStyle name="Normal 9 2 6 2 2" xfId="53227" xr:uid="{F670EE9C-D38A-41C4-ABBC-D2F5F17A5F1D}"/>
    <cellStyle name="Normal 9 2 6 2 2 2" xfId="53228" xr:uid="{CA015202-3B15-4654-9EEE-6E1FD03A3192}"/>
    <cellStyle name="Normal 9 2 6 2 2 2 2" xfId="53229" xr:uid="{6061E1E0-46EF-462F-905F-1A23D47811E0}"/>
    <cellStyle name="Normal 9 2 6 2 2 2 2 2" xfId="53230" xr:uid="{2022F49A-D7B9-419B-AD91-C2FC4991BDC7}"/>
    <cellStyle name="Normal 9 2 6 2 2 2 3" xfId="53231" xr:uid="{03E6E91C-BBAF-4CF5-88FD-82AE33602796}"/>
    <cellStyle name="Normal 9 2 6 2 2 3" xfId="53232" xr:uid="{C939EDE9-502C-475C-AC6E-AF6A51F9E036}"/>
    <cellStyle name="Normal 9 2 6 2 2 3 2" xfId="53233" xr:uid="{B86E4139-7D8B-4678-A52B-C8344AFB6A18}"/>
    <cellStyle name="Normal 9 2 6 2 2 4" xfId="53234" xr:uid="{7A73E634-2527-4AD0-8166-DF8CF31DBEF2}"/>
    <cellStyle name="Normal 9 2 6 2 3" xfId="53235" xr:uid="{C671183E-18C8-4F2E-8AF4-FED2D8B8FC6F}"/>
    <cellStyle name="Normal 9 2 6 2 3 2" xfId="53236" xr:uid="{50B675FA-72B5-4E8F-8B22-E2D0F8983E81}"/>
    <cellStyle name="Normal 9 2 6 2 3 2 2" xfId="53237" xr:uid="{CB126A8A-C605-4942-8983-865A7A8E4E78}"/>
    <cellStyle name="Normal 9 2 6 2 3 3" xfId="53238" xr:uid="{29E3F35B-B5A8-4E8D-B01F-28822AC62038}"/>
    <cellStyle name="Normal 9 2 6 2 4" xfId="53239" xr:uid="{E9E7C86B-F24C-4F4E-93C5-E9D616A25CD2}"/>
    <cellStyle name="Normal 9 2 6 2 4 2" xfId="53240" xr:uid="{C44D9F92-5F74-4DEB-B825-ACBE4889C3DC}"/>
    <cellStyle name="Normal 9 2 6 2 5" xfId="53241" xr:uid="{52BEE537-933D-4529-ADF5-58A345541E41}"/>
    <cellStyle name="Normal 9 2 6 3" xfId="53242" xr:uid="{70E7E8AF-6E86-4D5D-A4A0-1B8F82A8BF67}"/>
    <cellStyle name="Normal 9 2 6 3 2" xfId="53243" xr:uid="{C83C9D10-0B2C-4202-9589-E7C159AC69CF}"/>
    <cellStyle name="Normal 9 2 6 3 2 2" xfId="53244" xr:uid="{CD0E9CCE-D3FA-45CD-8C1A-12C0218F068E}"/>
    <cellStyle name="Normal 9 2 6 3 2 2 2" xfId="53245" xr:uid="{90640CFE-E5DD-43D3-AE58-DBC547A73C01}"/>
    <cellStyle name="Normal 9 2 6 3 2 3" xfId="53246" xr:uid="{E9D2A1C0-BEF7-4C51-B26F-3DFABBAD6010}"/>
    <cellStyle name="Normal 9 2 6 3 3" xfId="53247" xr:uid="{76F33B6F-6398-4E71-9B05-7D629FE14EE1}"/>
    <cellStyle name="Normal 9 2 6 3 3 2" xfId="53248" xr:uid="{CCD2900D-93FA-4FD6-95C7-18F7C6F7ECD7}"/>
    <cellStyle name="Normal 9 2 6 3 4" xfId="53249" xr:uid="{577E6250-0A5B-4A34-909F-9DB5C4E70FD6}"/>
    <cellStyle name="Normal 9 2 6 4" xfId="53250" xr:uid="{15994BD7-54BA-4B45-9957-727F50D45C20}"/>
    <cellStyle name="Normal 9 2 6 4 2" xfId="53251" xr:uid="{754DAC92-523F-4C3C-8EC1-43C7535E9931}"/>
    <cellStyle name="Normal 9 2 6 4 2 2" xfId="53252" xr:uid="{B5F375F0-502B-4546-9CF3-4E4A92BC88F7}"/>
    <cellStyle name="Normal 9 2 6 4 3" xfId="53253" xr:uid="{018D1323-9FD0-44F7-B235-11EA96AB4590}"/>
    <cellStyle name="Normal 9 2 6 5" xfId="53254" xr:uid="{6B418AA6-F0D7-4D0D-8537-5014954051A4}"/>
    <cellStyle name="Normal 9 2 6 5 2" xfId="53255" xr:uid="{BD568663-F836-4118-8A9E-D19398C08834}"/>
    <cellStyle name="Normal 9 2 6 6" xfId="53256" xr:uid="{430385C9-4477-440B-AC81-EC0CD791E388}"/>
    <cellStyle name="Normal 9 2 7" xfId="53257" xr:uid="{C9E452D4-0C5E-4AD2-B99D-E7898292C5A8}"/>
    <cellStyle name="Normal 9 2 7 2" xfId="53258" xr:uid="{8310D10F-105A-421B-9069-F32627D33289}"/>
    <cellStyle name="Normal 9 2 7 2 2" xfId="53259" xr:uid="{442D9FC0-1087-4E55-B592-EB4553AE61DD}"/>
    <cellStyle name="Normal 9 2 7 2 2 2" xfId="53260" xr:uid="{2377EB50-54EA-4081-A1BD-BF2566736A15}"/>
    <cellStyle name="Normal 9 2 7 2 2 2 2" xfId="53261" xr:uid="{A6A6C960-6B24-4EBB-9188-66441D080FA4}"/>
    <cellStyle name="Normal 9 2 7 2 2 3" xfId="53262" xr:uid="{4FE3EE42-E676-4B0A-8C38-634A4ABEC98A}"/>
    <cellStyle name="Normal 9 2 7 2 3" xfId="53263" xr:uid="{B7974533-4D5D-484B-B79B-2390808AF0E1}"/>
    <cellStyle name="Normal 9 2 7 2 3 2" xfId="53264" xr:uid="{1B06A02B-2FA4-4D90-936C-E6886F070DA6}"/>
    <cellStyle name="Normal 9 2 7 2 4" xfId="53265" xr:uid="{87BEA0B1-340A-4B3D-A5B3-C1D659A30B42}"/>
    <cellStyle name="Normal 9 2 7 3" xfId="53266" xr:uid="{23F1F6DB-F097-4F47-BA02-6AB7E6CFE019}"/>
    <cellStyle name="Normal 9 2 7 3 2" xfId="53267" xr:uid="{B3DF8EE4-4F58-46B0-B3E2-678BD4026052}"/>
    <cellStyle name="Normal 9 2 7 3 2 2" xfId="53268" xr:uid="{49AF2B11-03DC-4A2E-A1A4-3FCA47D167EF}"/>
    <cellStyle name="Normal 9 2 7 3 3" xfId="53269" xr:uid="{C7B44620-B078-478D-831E-5F4A17F2B8FB}"/>
    <cellStyle name="Normal 9 2 7 4" xfId="53270" xr:uid="{6A6037C6-3735-497C-8484-805024412225}"/>
    <cellStyle name="Normal 9 2 7 4 2" xfId="53271" xr:uid="{BBFECD67-7992-4B28-BDA3-BC8E6DE1E4E3}"/>
    <cellStyle name="Normal 9 2 7 5" xfId="53272" xr:uid="{2ACF9E37-0D5F-4DF2-BFCB-76E76C938BA4}"/>
    <cellStyle name="Normal 9 2 8" xfId="53273" xr:uid="{E4F0EBE8-2CD4-4160-857E-714C8D0BAE36}"/>
    <cellStyle name="Normal 9 2 8 2" xfId="53274" xr:uid="{39F5758B-E9D6-4A2E-8C41-AA9FF1D0BA68}"/>
    <cellStyle name="Normal 9 2 8 2 2" xfId="53275" xr:uid="{E6FCD814-3555-4BF0-8F9F-41F0CEF9C68A}"/>
    <cellStyle name="Normal 9 2 8 2 2 2" xfId="53276" xr:uid="{18B0CA1D-ACF9-47B3-B65D-F1930D4A27ED}"/>
    <cellStyle name="Normal 9 2 8 2 3" xfId="53277" xr:uid="{868CB6FE-186A-4DC6-A116-0057751FA740}"/>
    <cellStyle name="Normal 9 2 8 3" xfId="53278" xr:uid="{B45E2889-9880-4950-BFBF-490277B8D0C8}"/>
    <cellStyle name="Normal 9 2 8 3 2" xfId="53279" xr:uid="{03884380-958F-47B4-9BC0-F157C260362F}"/>
    <cellStyle name="Normal 9 2 8 4" xfId="53280" xr:uid="{D2BBC419-DB26-4905-B8A4-2DEB850F9EF4}"/>
    <cellStyle name="Normal 9 2 9" xfId="53281" xr:uid="{960614D2-3D59-4D6C-9595-9F8CD9DFFD5E}"/>
    <cellStyle name="Normal 9 2 9 2" xfId="53282" xr:uid="{CC7C23D2-DA0C-4C93-B21B-D7BAE2BC8D96}"/>
    <cellStyle name="Normal 9 2 9 2 2" xfId="53283" xr:uid="{59F63EAC-7562-4EC9-9587-FF44FC8FD734}"/>
    <cellStyle name="Normal 9 2 9 3" xfId="53284" xr:uid="{65FBA9DA-686D-4510-8F01-8330C851D740}"/>
    <cellStyle name="Normal 9 3" xfId="171" xr:uid="{B35EF220-D97E-4890-BE82-D3C1B2702704}"/>
    <cellStyle name="Normal 9 4" xfId="53285" xr:uid="{69E32116-6CD1-4D40-BCBD-ACAF66792371}"/>
    <cellStyle name="Normal 9 5" xfId="53286" xr:uid="{FD20AECE-7DC9-4B06-A776-528CA140E3F9}"/>
    <cellStyle name="Normal 9 5 2" xfId="53287" xr:uid="{FF621296-C02B-4AB3-BFFF-7826C219730C}"/>
    <cellStyle name="Normal 9 5 2 2" xfId="53288" xr:uid="{225A84C2-B202-4B10-8817-07A9A1E9EA1C}"/>
    <cellStyle name="Normal 9 5 2 2 2" xfId="53289" xr:uid="{32F3DBD1-8844-414C-BA1A-D3A13B996EE5}"/>
    <cellStyle name="Normal 9 5 2 2 2 2" xfId="53290" xr:uid="{9F8B540E-6F4D-4C23-BDDB-F43BB7302AF8}"/>
    <cellStyle name="Normal 9 5 2 2 2 2 2" xfId="53291" xr:uid="{560D5F95-64EC-4B8C-8195-0D067EEDEF10}"/>
    <cellStyle name="Normal 9 5 2 2 2 2 2 2" xfId="53292" xr:uid="{508DD1F5-FCDF-4C51-AC47-4F6F46828686}"/>
    <cellStyle name="Normal 9 5 2 2 2 2 2 2 2" xfId="53293" xr:uid="{4FB69C57-8DE2-4813-A64A-EE08C10BC770}"/>
    <cellStyle name="Normal 9 5 2 2 2 2 2 2 2 2" xfId="53294" xr:uid="{B09007BE-7110-4FE3-9B7F-A4DF131BD187}"/>
    <cellStyle name="Normal 9 5 2 2 2 2 2 2 3" xfId="53295" xr:uid="{5B12226D-7107-4680-9C4D-CC89E5F45FD6}"/>
    <cellStyle name="Normal 9 5 2 2 2 2 2 3" xfId="53296" xr:uid="{22ED258B-BE0C-497B-B961-74A112F57A12}"/>
    <cellStyle name="Normal 9 5 2 2 2 2 2 3 2" xfId="53297" xr:uid="{87BFC3BC-02AC-43B4-B5C8-C362BBD94247}"/>
    <cellStyle name="Normal 9 5 2 2 2 2 2 4" xfId="53298" xr:uid="{6D4DA44F-ED1B-4D79-AB9B-E1D98ADFB4FC}"/>
    <cellStyle name="Normal 9 5 2 2 2 2 3" xfId="53299" xr:uid="{6F323892-1AC8-43AC-A9CB-4D0F8B95B79F}"/>
    <cellStyle name="Normal 9 5 2 2 2 2 3 2" xfId="53300" xr:uid="{A9CAFA65-E72B-4C12-B815-8CCB8EB2691F}"/>
    <cellStyle name="Normal 9 5 2 2 2 2 3 2 2" xfId="53301" xr:uid="{F612129C-B884-405F-B24F-AD4A9C7D30D8}"/>
    <cellStyle name="Normal 9 5 2 2 2 2 3 3" xfId="53302" xr:uid="{B18F70A7-E579-412C-A34F-5D775C7CD855}"/>
    <cellStyle name="Normal 9 5 2 2 2 2 4" xfId="53303" xr:uid="{D8FEA9B6-2881-4FF1-A2B0-8882A38DA841}"/>
    <cellStyle name="Normal 9 5 2 2 2 2 4 2" xfId="53304" xr:uid="{69ADEA53-63C4-4554-BC01-932F7985F3F6}"/>
    <cellStyle name="Normal 9 5 2 2 2 2 5" xfId="53305" xr:uid="{4E480CE2-2EE9-4B74-89E8-DED829B81F88}"/>
    <cellStyle name="Normal 9 5 2 2 2 3" xfId="53306" xr:uid="{1C64439D-AC5E-4895-878F-71E707A37B1C}"/>
    <cellStyle name="Normal 9 5 2 2 2 3 2" xfId="53307" xr:uid="{88168422-99C6-42BB-9099-29DA6886B502}"/>
    <cellStyle name="Normal 9 5 2 2 2 3 2 2" xfId="53308" xr:uid="{602F5E27-9C14-4FBE-A180-B0659AAEA7FA}"/>
    <cellStyle name="Normal 9 5 2 2 2 3 2 2 2" xfId="53309" xr:uid="{D2ABD6BF-EAA5-4E11-B412-FCF684C530AF}"/>
    <cellStyle name="Normal 9 5 2 2 2 3 2 3" xfId="53310" xr:uid="{E6348DC1-1D4F-40F3-9CD5-B203CA952904}"/>
    <cellStyle name="Normal 9 5 2 2 2 3 3" xfId="53311" xr:uid="{BE8BDBB9-3F64-4959-8C89-BEA6D0C1CFC1}"/>
    <cellStyle name="Normal 9 5 2 2 2 3 3 2" xfId="53312" xr:uid="{B77F3544-0166-4DFD-8F58-12BF96DA81C8}"/>
    <cellStyle name="Normal 9 5 2 2 2 3 4" xfId="53313" xr:uid="{1CEAC3B8-6631-44D0-9957-FA909D78139F}"/>
    <cellStyle name="Normal 9 5 2 2 2 4" xfId="53314" xr:uid="{4E499E3A-5440-4504-9AF4-AA9CB2EA3120}"/>
    <cellStyle name="Normal 9 5 2 2 2 4 2" xfId="53315" xr:uid="{AE712013-6553-4CB3-9DB4-0B7253FF1A3B}"/>
    <cellStyle name="Normal 9 5 2 2 2 4 2 2" xfId="53316" xr:uid="{0D48E7DA-EDFC-48F1-9D7C-9B88F45CF829}"/>
    <cellStyle name="Normal 9 5 2 2 2 4 3" xfId="53317" xr:uid="{DFBB0E02-39C2-4DDA-AEF9-7718EC25CE08}"/>
    <cellStyle name="Normal 9 5 2 2 2 5" xfId="53318" xr:uid="{8DAECDC2-1E7E-4CC4-A557-A546CE8F6C1B}"/>
    <cellStyle name="Normal 9 5 2 2 2 5 2" xfId="53319" xr:uid="{F6CFA1C2-6CC6-4E99-8B5C-718A0EE8AE5B}"/>
    <cellStyle name="Normal 9 5 2 2 2 6" xfId="53320" xr:uid="{C5607C49-4D61-4E10-97EA-227837AE5816}"/>
    <cellStyle name="Normal 9 5 2 2 3" xfId="53321" xr:uid="{8CA45153-72BB-436B-8DA6-3F80C7F001C0}"/>
    <cellStyle name="Normal 9 5 2 2 3 2" xfId="53322" xr:uid="{09B71DC2-B501-4E2B-8C3E-F6575C9CCCBC}"/>
    <cellStyle name="Normal 9 5 2 2 3 2 2" xfId="53323" xr:uid="{90947171-C2B7-49F3-AF69-F746C25997D4}"/>
    <cellStyle name="Normal 9 5 2 2 3 2 2 2" xfId="53324" xr:uid="{2E78805E-0A2B-4D5D-967F-C5E25FE01DD9}"/>
    <cellStyle name="Normal 9 5 2 2 3 2 2 2 2" xfId="53325" xr:uid="{E538699B-992C-4FB4-8627-CCE8F21AF6E8}"/>
    <cellStyle name="Normal 9 5 2 2 3 2 2 3" xfId="53326" xr:uid="{7519D50B-E2DA-49D3-AD36-ED80859E7A0C}"/>
    <cellStyle name="Normal 9 5 2 2 3 2 3" xfId="53327" xr:uid="{0A268A1A-F377-457F-B932-000B21607594}"/>
    <cellStyle name="Normal 9 5 2 2 3 2 3 2" xfId="53328" xr:uid="{E01FDA16-538A-4152-BF8A-800431D148B5}"/>
    <cellStyle name="Normal 9 5 2 2 3 2 4" xfId="53329" xr:uid="{A6914A3A-EC90-47B2-8117-2931CBE926CE}"/>
    <cellStyle name="Normal 9 5 2 2 3 3" xfId="53330" xr:uid="{B83806F0-B697-4313-8548-F261BCE11A08}"/>
    <cellStyle name="Normal 9 5 2 2 3 3 2" xfId="53331" xr:uid="{C0C0EC0A-8445-4DC8-BF9E-543130C28112}"/>
    <cellStyle name="Normal 9 5 2 2 3 3 2 2" xfId="53332" xr:uid="{CC9C6EE7-9D64-4772-86B4-B84828EE97C6}"/>
    <cellStyle name="Normal 9 5 2 2 3 3 3" xfId="53333" xr:uid="{DDF106C3-30D8-44F3-A5D1-BC968EA20160}"/>
    <cellStyle name="Normal 9 5 2 2 3 4" xfId="53334" xr:uid="{D2CA3089-1A95-4A85-BD97-75CB80E3431C}"/>
    <cellStyle name="Normal 9 5 2 2 3 4 2" xfId="53335" xr:uid="{1A9D7660-DAF1-4F80-99E5-FDEF16AD5BA0}"/>
    <cellStyle name="Normal 9 5 2 2 3 5" xfId="53336" xr:uid="{6D30DE62-BB61-4CD2-BC83-7418A1ED6165}"/>
    <cellStyle name="Normal 9 5 2 2 4" xfId="53337" xr:uid="{32B9C681-4717-4C76-96B4-E2BD22A78FD4}"/>
    <cellStyle name="Normal 9 5 2 2 4 2" xfId="53338" xr:uid="{CAD134CD-D97F-4599-B13A-2D258F72BBE1}"/>
    <cellStyle name="Normal 9 5 2 2 4 2 2" xfId="53339" xr:uid="{B98C9B4D-084A-4A67-AA9C-04E4CF276C61}"/>
    <cellStyle name="Normal 9 5 2 2 4 2 2 2" xfId="53340" xr:uid="{21662072-53BD-4D0A-8476-362909B531AC}"/>
    <cellStyle name="Normal 9 5 2 2 4 2 3" xfId="53341" xr:uid="{6B165650-F5B4-47A1-9891-90BF68734B32}"/>
    <cellStyle name="Normal 9 5 2 2 4 3" xfId="53342" xr:uid="{D572850B-BAA6-4196-80DD-86DE467951B6}"/>
    <cellStyle name="Normal 9 5 2 2 4 3 2" xfId="53343" xr:uid="{C9451EB4-8D91-41DC-981F-4CA1147F956F}"/>
    <cellStyle name="Normal 9 5 2 2 4 4" xfId="53344" xr:uid="{7FF0D0A4-9514-45FB-9541-3B725E766191}"/>
    <cellStyle name="Normal 9 5 2 2 5" xfId="53345" xr:uid="{4B9DECF7-23D3-4D61-B543-9D34B1ED0376}"/>
    <cellStyle name="Normal 9 5 2 2 5 2" xfId="53346" xr:uid="{34FAB902-72DA-4E1D-9FA9-1BBCB36D6D80}"/>
    <cellStyle name="Normal 9 5 2 2 5 2 2" xfId="53347" xr:uid="{A7CE74DB-9225-47D3-9F63-03E9FA487CDD}"/>
    <cellStyle name="Normal 9 5 2 2 5 3" xfId="53348" xr:uid="{F08E0C4F-A707-4B52-9D1B-95D98064D706}"/>
    <cellStyle name="Normal 9 5 2 2 6" xfId="53349" xr:uid="{28B111AB-0819-4625-A181-DDA298C00026}"/>
    <cellStyle name="Normal 9 5 2 2 6 2" xfId="53350" xr:uid="{BE61E146-915F-4473-97EF-0A2E084BD339}"/>
    <cellStyle name="Normal 9 5 2 2 7" xfId="53351" xr:uid="{124BDD3A-D7D4-4150-8D29-D056101AAB44}"/>
    <cellStyle name="Normal 9 5 2 3" xfId="53352" xr:uid="{9671A541-F6BA-460A-B046-A7C4A594C2F1}"/>
    <cellStyle name="Normal 9 5 2 3 2" xfId="53353" xr:uid="{FC6A9C65-93E2-4627-BF18-86190B4CE12E}"/>
    <cellStyle name="Normal 9 5 2 3 2 2" xfId="53354" xr:uid="{1A8B07B1-5357-416A-AB9F-751435411C0E}"/>
    <cellStyle name="Normal 9 5 2 3 2 2 2" xfId="53355" xr:uid="{4D059DFF-5DB2-4144-A684-71A37C136864}"/>
    <cellStyle name="Normal 9 5 2 3 2 2 2 2" xfId="53356" xr:uid="{71E5DCA1-3D8F-4C47-BCDA-DD70A2B84BE3}"/>
    <cellStyle name="Normal 9 5 2 3 2 2 2 2 2" xfId="53357" xr:uid="{DBE58D0F-66E0-474E-8C72-CCE70AC967AF}"/>
    <cellStyle name="Normal 9 5 2 3 2 2 2 3" xfId="53358" xr:uid="{5C98A7F2-4F97-47ED-B445-4B4131A3367A}"/>
    <cellStyle name="Normal 9 5 2 3 2 2 3" xfId="53359" xr:uid="{41CC928E-6528-41BE-931F-EE7994FC7A84}"/>
    <cellStyle name="Normal 9 5 2 3 2 2 3 2" xfId="53360" xr:uid="{9B0D6FC9-FC16-4D23-9015-72542216B808}"/>
    <cellStyle name="Normal 9 5 2 3 2 2 4" xfId="53361" xr:uid="{54DD4F7C-C2EC-4165-BCEF-04E4573FD7C8}"/>
    <cellStyle name="Normal 9 5 2 3 2 3" xfId="53362" xr:uid="{5A232898-55D0-4BAF-A0C3-D442A8CD97F2}"/>
    <cellStyle name="Normal 9 5 2 3 2 3 2" xfId="53363" xr:uid="{4A1EFFA9-4ACB-4768-8190-F8B444CC2EAA}"/>
    <cellStyle name="Normal 9 5 2 3 2 3 2 2" xfId="53364" xr:uid="{4D941AB9-831F-4C61-AA41-093DE55BEEE1}"/>
    <cellStyle name="Normal 9 5 2 3 2 3 3" xfId="53365" xr:uid="{D99694B3-A564-49F7-9F43-997802E32F5A}"/>
    <cellStyle name="Normal 9 5 2 3 2 4" xfId="53366" xr:uid="{4978AD7E-B3EB-4E23-A337-5478D42312D1}"/>
    <cellStyle name="Normal 9 5 2 3 2 4 2" xfId="53367" xr:uid="{5671DD9D-D28E-4D75-9B26-04A0C4014C3A}"/>
    <cellStyle name="Normal 9 5 2 3 2 5" xfId="53368" xr:uid="{DB4C6E7E-CD8A-49CC-ADB7-65CEDD290484}"/>
    <cellStyle name="Normal 9 5 2 3 3" xfId="53369" xr:uid="{AEA099D9-F545-41FA-9019-10C7B07778BE}"/>
    <cellStyle name="Normal 9 5 2 3 3 2" xfId="53370" xr:uid="{20C7F56C-6AC9-4868-8338-3B1CD0C3EB6A}"/>
    <cellStyle name="Normal 9 5 2 3 3 2 2" xfId="53371" xr:uid="{A064204E-649E-4335-B909-CAF4434E7E8A}"/>
    <cellStyle name="Normal 9 5 2 3 3 2 2 2" xfId="53372" xr:uid="{6BCE0CE3-0C9B-4635-B7D4-68784107EB86}"/>
    <cellStyle name="Normal 9 5 2 3 3 2 3" xfId="53373" xr:uid="{F4753C37-2428-48AB-98D5-636D55666AA2}"/>
    <cellStyle name="Normal 9 5 2 3 3 3" xfId="53374" xr:uid="{F23349D2-0E4A-4D57-BE84-04E5EE18FE3B}"/>
    <cellStyle name="Normal 9 5 2 3 3 3 2" xfId="53375" xr:uid="{5AFC43CE-5CB1-4322-8C5A-DD80891AE5AB}"/>
    <cellStyle name="Normal 9 5 2 3 3 4" xfId="53376" xr:uid="{7E4CCDC1-FCB9-4B77-AA28-5CF03C2BFC53}"/>
    <cellStyle name="Normal 9 5 2 3 4" xfId="53377" xr:uid="{CFD74F4B-F541-480B-B860-518EA0961211}"/>
    <cellStyle name="Normal 9 5 2 3 4 2" xfId="53378" xr:uid="{68A44ED0-5CF8-4C31-BA14-3F10C9B2BB06}"/>
    <cellStyle name="Normal 9 5 2 3 4 2 2" xfId="53379" xr:uid="{3DA91916-11B3-4134-9FCE-6C70A2EFB5F3}"/>
    <cellStyle name="Normal 9 5 2 3 4 3" xfId="53380" xr:uid="{387B1069-B8D6-4BD7-B57F-DC01931B8098}"/>
    <cellStyle name="Normal 9 5 2 3 5" xfId="53381" xr:uid="{DED8DA4D-6B5E-4879-A403-1C067F576789}"/>
    <cellStyle name="Normal 9 5 2 3 5 2" xfId="53382" xr:uid="{AB29785F-3DEA-4659-BD1E-51F88F6A05F7}"/>
    <cellStyle name="Normal 9 5 2 3 6" xfId="53383" xr:uid="{99E59F82-269E-4AD0-97F9-FE1DB2A0A196}"/>
    <cellStyle name="Normal 9 5 2 4" xfId="53384" xr:uid="{AF40C01F-0AF1-4F7D-8415-0AF38BD03120}"/>
    <cellStyle name="Normal 9 5 2 4 2" xfId="53385" xr:uid="{22D37D07-D352-4E94-8769-5F6E2727F1CF}"/>
    <cellStyle name="Normal 9 5 2 4 2 2" xfId="53386" xr:uid="{4B077D99-1919-4B51-A456-23A47D9BAAD0}"/>
    <cellStyle name="Normal 9 5 2 4 2 2 2" xfId="53387" xr:uid="{6219C1DF-2FA5-4B8A-A5C4-B5A74B4C9F5B}"/>
    <cellStyle name="Normal 9 5 2 4 2 2 2 2" xfId="53388" xr:uid="{966B2BF2-8F0F-435B-A3F5-86CB6E685121}"/>
    <cellStyle name="Normal 9 5 2 4 2 2 3" xfId="53389" xr:uid="{4C9B79AE-C4B5-4A9C-BADA-EDE5CFE3622A}"/>
    <cellStyle name="Normal 9 5 2 4 2 3" xfId="53390" xr:uid="{924543A6-901C-411C-B975-1F8EAE219925}"/>
    <cellStyle name="Normal 9 5 2 4 2 3 2" xfId="53391" xr:uid="{40975A70-A547-4247-95BD-2D869E2B1F55}"/>
    <cellStyle name="Normal 9 5 2 4 2 4" xfId="53392" xr:uid="{C5B33674-F1A1-4601-859D-A0BE754A6143}"/>
    <cellStyle name="Normal 9 5 2 4 3" xfId="53393" xr:uid="{C3A01690-8ACB-4848-9B40-94BAEA819A53}"/>
    <cellStyle name="Normal 9 5 2 4 3 2" xfId="53394" xr:uid="{43EA3597-AE35-4F3F-818C-9934BF74334D}"/>
    <cellStyle name="Normal 9 5 2 4 3 2 2" xfId="53395" xr:uid="{CFA669C5-86EC-411F-973B-C9AC09A4C841}"/>
    <cellStyle name="Normal 9 5 2 4 3 3" xfId="53396" xr:uid="{65B2B0FA-D3DB-4951-9B66-93D4A8E37B0D}"/>
    <cellStyle name="Normal 9 5 2 4 4" xfId="53397" xr:uid="{26E326C0-6F23-465B-A384-775ED7E8A02C}"/>
    <cellStyle name="Normal 9 5 2 4 4 2" xfId="53398" xr:uid="{3D3EE0A0-77DC-4105-84F0-3EBFBEAA3D46}"/>
    <cellStyle name="Normal 9 5 2 4 5" xfId="53399" xr:uid="{B2E50B65-2619-40E7-BC64-494A1DEB6E56}"/>
    <cellStyle name="Normal 9 5 2 5" xfId="53400" xr:uid="{01AA83C6-497B-4CE4-B80A-810F285DDC72}"/>
    <cellStyle name="Normal 9 5 2 5 2" xfId="53401" xr:uid="{6E419549-DDAF-4994-B5CE-ADF290E1DC44}"/>
    <cellStyle name="Normal 9 5 2 5 2 2" xfId="53402" xr:uid="{EADF99B8-945E-472D-A0FF-61808F94A851}"/>
    <cellStyle name="Normal 9 5 2 5 2 2 2" xfId="53403" xr:uid="{9E1A1D75-ABDE-4CDB-BC27-6A75F0832EDA}"/>
    <cellStyle name="Normal 9 5 2 5 2 3" xfId="53404" xr:uid="{7C2C8909-5598-4DFB-B69A-BF2E8D495ECD}"/>
    <cellStyle name="Normal 9 5 2 5 3" xfId="53405" xr:uid="{17E21542-6735-43E4-AFC8-0CDF7E8CB074}"/>
    <cellStyle name="Normal 9 5 2 5 3 2" xfId="53406" xr:uid="{F92E7EB1-8306-435B-99AC-4C06FDFBD31F}"/>
    <cellStyle name="Normal 9 5 2 5 4" xfId="53407" xr:uid="{F63094AB-737C-45B9-8849-936481D07D24}"/>
    <cellStyle name="Normal 9 5 2 6" xfId="53408" xr:uid="{04AD4CEF-B9E6-4778-B305-A8330F87B375}"/>
    <cellStyle name="Normal 9 5 2 6 2" xfId="53409" xr:uid="{CB7F8762-4038-4EF4-8873-3CAE45C14219}"/>
    <cellStyle name="Normal 9 5 2 6 2 2" xfId="53410" xr:uid="{B6812131-5744-46FB-90ED-BE0336D8BCA0}"/>
    <cellStyle name="Normal 9 5 2 6 3" xfId="53411" xr:uid="{2CFBC36D-6A48-463A-9E78-F25E2F8E7FF5}"/>
    <cellStyle name="Normal 9 5 2 7" xfId="53412" xr:uid="{BD493B1F-E4BA-4D41-8004-CE20690E7EB5}"/>
    <cellStyle name="Normal 9 5 2 7 2" xfId="53413" xr:uid="{133A61A1-94CC-4B4A-939C-98FF3BB2A2E0}"/>
    <cellStyle name="Normal 9 5 2 8" xfId="53414" xr:uid="{FFFD6C62-86EB-4EA3-8ECF-2B57C0294EFB}"/>
    <cellStyle name="Normal 9 5 3" xfId="53415" xr:uid="{B77FF3AB-584F-4F11-BA6A-82837B04F0FC}"/>
    <cellStyle name="Normal 9 5 3 2" xfId="53416" xr:uid="{72A77360-1C1A-4166-BCCC-96AC47B6DDDC}"/>
    <cellStyle name="Normal 9 5 3 2 2" xfId="53417" xr:uid="{51B07433-733B-4556-BF43-129687810CB4}"/>
    <cellStyle name="Normal 9 5 3 2 2 2" xfId="53418" xr:uid="{6ED35092-42A2-41C5-BD45-B8EE20587EA5}"/>
    <cellStyle name="Normal 9 5 3 2 2 2 2" xfId="53419" xr:uid="{AA86F301-BCCF-42B2-8613-E7CEA6B9C931}"/>
    <cellStyle name="Normal 9 5 3 2 2 2 2 2" xfId="53420" xr:uid="{D89B29A4-002F-46C1-9923-4404D95EE4A1}"/>
    <cellStyle name="Normal 9 5 3 2 2 2 2 2 2" xfId="53421" xr:uid="{0FCD43F8-5868-4CB8-9E86-478838ABC2D0}"/>
    <cellStyle name="Normal 9 5 3 2 2 2 2 3" xfId="53422" xr:uid="{40440C62-4875-467E-AD69-5EC6C9245DA8}"/>
    <cellStyle name="Normal 9 5 3 2 2 2 3" xfId="53423" xr:uid="{47337053-D3CD-4675-ACB6-E319B5C5D76F}"/>
    <cellStyle name="Normal 9 5 3 2 2 2 3 2" xfId="53424" xr:uid="{7AA00FE7-BA47-4C8A-B378-7B9DCB4F4D7E}"/>
    <cellStyle name="Normal 9 5 3 2 2 2 4" xfId="53425" xr:uid="{0127805B-2F9F-406A-9BDE-D8F817E24E19}"/>
    <cellStyle name="Normal 9 5 3 2 2 3" xfId="53426" xr:uid="{4879A9B1-08F8-4015-8063-8F10303AFF31}"/>
    <cellStyle name="Normal 9 5 3 2 2 3 2" xfId="53427" xr:uid="{0B81213A-4536-4916-820A-CE8CB4A3CDEB}"/>
    <cellStyle name="Normal 9 5 3 2 2 3 2 2" xfId="53428" xr:uid="{1478A07B-6664-4BB3-BBED-8335A9CA188B}"/>
    <cellStyle name="Normal 9 5 3 2 2 3 3" xfId="53429" xr:uid="{EF3B5258-F810-40DB-832C-B6415D9C3A86}"/>
    <cellStyle name="Normal 9 5 3 2 2 4" xfId="53430" xr:uid="{345D006B-459A-49FA-B18F-4BAAB69F6963}"/>
    <cellStyle name="Normal 9 5 3 2 2 4 2" xfId="53431" xr:uid="{B1DBA2CA-0B18-4393-AAFF-D064DB442C3C}"/>
    <cellStyle name="Normal 9 5 3 2 2 5" xfId="53432" xr:uid="{B30F0223-92BD-464F-A310-ABDC6DD3E221}"/>
    <cellStyle name="Normal 9 5 3 2 3" xfId="53433" xr:uid="{5F26932A-B9F9-481E-A93E-D859E474B5B1}"/>
    <cellStyle name="Normal 9 5 3 2 3 2" xfId="53434" xr:uid="{2208B84F-E644-4C2B-ABB9-4B9F7CC786C4}"/>
    <cellStyle name="Normal 9 5 3 2 3 2 2" xfId="53435" xr:uid="{CE4E34FD-8916-4F1F-A253-14CDD5D08065}"/>
    <cellStyle name="Normal 9 5 3 2 3 2 2 2" xfId="53436" xr:uid="{56322EA3-2C82-445A-AB4A-FDD1DE2BCADB}"/>
    <cellStyle name="Normal 9 5 3 2 3 2 3" xfId="53437" xr:uid="{30FD0CAF-FCCC-42C7-BC0E-F68A84564BDD}"/>
    <cellStyle name="Normal 9 5 3 2 3 3" xfId="53438" xr:uid="{4D837A21-4D67-48F8-83F7-AA91D00AD21A}"/>
    <cellStyle name="Normal 9 5 3 2 3 3 2" xfId="53439" xr:uid="{7C04A17F-6195-4A0F-82B3-4911A200B1DD}"/>
    <cellStyle name="Normal 9 5 3 2 3 4" xfId="53440" xr:uid="{2D8706E3-7F19-471E-86DE-435967CD6B01}"/>
    <cellStyle name="Normal 9 5 3 2 4" xfId="53441" xr:uid="{567A1770-6771-45A3-97B1-E051635B506B}"/>
    <cellStyle name="Normal 9 5 3 2 4 2" xfId="53442" xr:uid="{410ADB0E-9E8C-4DDC-8B7C-A43325210AD5}"/>
    <cellStyle name="Normal 9 5 3 2 4 2 2" xfId="53443" xr:uid="{4A18754B-6AC8-4462-8959-B3D75E39F5DE}"/>
    <cellStyle name="Normal 9 5 3 2 4 3" xfId="53444" xr:uid="{5CB0E542-C30B-4646-9493-BBD9ED4D853B}"/>
    <cellStyle name="Normal 9 5 3 2 5" xfId="53445" xr:uid="{CD4BE7B6-9002-4EEF-8E32-962AECFA2DC1}"/>
    <cellStyle name="Normal 9 5 3 2 5 2" xfId="53446" xr:uid="{57A90005-1650-46D0-9A56-4EED85077A82}"/>
    <cellStyle name="Normal 9 5 3 2 6" xfId="53447" xr:uid="{2D13384A-68C9-4C87-8219-8BBF1879C2E1}"/>
    <cellStyle name="Normal 9 5 3 3" xfId="53448" xr:uid="{26F7811B-A36B-4944-8FDF-140EF1CEFA69}"/>
    <cellStyle name="Normal 9 5 3 3 2" xfId="53449" xr:uid="{4E84F885-ECB6-4A66-BC06-2C6585F0BAD2}"/>
    <cellStyle name="Normal 9 5 3 3 2 2" xfId="53450" xr:uid="{74426F6E-C28E-4D88-8CD7-6EFBE6C22559}"/>
    <cellStyle name="Normal 9 5 3 3 2 2 2" xfId="53451" xr:uid="{7FAE5CF8-4E90-4078-9E29-BEE37345F3B8}"/>
    <cellStyle name="Normal 9 5 3 3 2 2 2 2" xfId="53452" xr:uid="{006B4A18-A1CE-4171-B37B-A19148E37882}"/>
    <cellStyle name="Normal 9 5 3 3 2 2 3" xfId="53453" xr:uid="{6A742256-C93A-4280-991A-26C6EBA717AF}"/>
    <cellStyle name="Normal 9 5 3 3 2 3" xfId="53454" xr:uid="{E817B565-4EF0-4730-84DA-9EF770CD9804}"/>
    <cellStyle name="Normal 9 5 3 3 2 3 2" xfId="53455" xr:uid="{27EA885A-BA27-4C35-B7F5-90993E429C7E}"/>
    <cellStyle name="Normal 9 5 3 3 2 4" xfId="53456" xr:uid="{BB8E2190-3189-48D9-8C18-26E1CE8555CB}"/>
    <cellStyle name="Normal 9 5 3 3 3" xfId="53457" xr:uid="{BE698764-ED3B-414D-B2D7-5F7E3E830ACD}"/>
    <cellStyle name="Normal 9 5 3 3 3 2" xfId="53458" xr:uid="{3D79E66C-0FE7-4935-8D35-070D6C01911A}"/>
    <cellStyle name="Normal 9 5 3 3 3 2 2" xfId="53459" xr:uid="{9F70D766-B9CC-4609-B7D7-DC34141D28EE}"/>
    <cellStyle name="Normal 9 5 3 3 3 3" xfId="53460" xr:uid="{724A9644-3576-4B2D-8898-869F5BCBD5A3}"/>
    <cellStyle name="Normal 9 5 3 3 4" xfId="53461" xr:uid="{F9954D44-2E7F-4143-BA39-54202FD1A9DF}"/>
    <cellStyle name="Normal 9 5 3 3 4 2" xfId="53462" xr:uid="{C87F981A-368F-4E70-9C02-F1CA4DE630C6}"/>
    <cellStyle name="Normal 9 5 3 3 5" xfId="53463" xr:uid="{E6048357-BDC0-4A18-BED6-A54824351038}"/>
    <cellStyle name="Normal 9 5 3 4" xfId="53464" xr:uid="{6697C7F1-3A2A-4AB4-B2E3-F5DC8577A95C}"/>
    <cellStyle name="Normal 9 5 3 4 2" xfId="53465" xr:uid="{6D2B7711-8E65-4598-9E7E-2EE88A70B6F4}"/>
    <cellStyle name="Normal 9 5 3 4 2 2" xfId="53466" xr:uid="{CC521F3E-279E-42DB-B58F-77F03984649F}"/>
    <cellStyle name="Normal 9 5 3 4 2 2 2" xfId="53467" xr:uid="{A56172D5-C436-4BDB-9792-7978A5B97523}"/>
    <cellStyle name="Normal 9 5 3 4 2 3" xfId="53468" xr:uid="{C55B19D1-1763-4783-BFBE-BF82C5F764DE}"/>
    <cellStyle name="Normal 9 5 3 4 3" xfId="53469" xr:uid="{63674075-E35D-4D04-9971-BC60BF84E5FB}"/>
    <cellStyle name="Normal 9 5 3 4 3 2" xfId="53470" xr:uid="{CA3B5005-64FE-4F77-A538-9F888A7B51B5}"/>
    <cellStyle name="Normal 9 5 3 4 4" xfId="53471" xr:uid="{D6E2DC39-261F-4A1E-BBAD-0B1889FABC64}"/>
    <cellStyle name="Normal 9 5 3 5" xfId="53472" xr:uid="{5DF0161C-5B8D-41DC-8D1B-432B4A6A881D}"/>
    <cellStyle name="Normal 9 5 3 5 2" xfId="53473" xr:uid="{A2F8EC64-27E8-4F23-979E-05EC28756762}"/>
    <cellStyle name="Normal 9 5 3 5 2 2" xfId="53474" xr:uid="{D5CFF4C7-BEB2-4D63-9638-FDF06CAB6B1C}"/>
    <cellStyle name="Normal 9 5 3 5 3" xfId="53475" xr:uid="{F0665E4A-8078-4B3F-AD37-F0EA735AC528}"/>
    <cellStyle name="Normal 9 5 3 6" xfId="53476" xr:uid="{FE069C2C-D718-414B-ACF5-AD11B412F4BC}"/>
    <cellStyle name="Normal 9 5 3 6 2" xfId="53477" xr:uid="{34684CAE-9413-43D5-963F-CA0B4124C6DE}"/>
    <cellStyle name="Normal 9 5 3 7" xfId="53478" xr:uid="{FCA2844A-79C2-4809-B3E2-EE55FAF3458A}"/>
    <cellStyle name="Normal 9 5 4" xfId="53479" xr:uid="{33ED1443-B755-4490-AA72-D12E1A444F6B}"/>
    <cellStyle name="Normal 9 5 4 2" xfId="53480" xr:uid="{A7768A77-AFEA-47D0-991E-11E649F7F29B}"/>
    <cellStyle name="Normal 9 5 4 2 2" xfId="53481" xr:uid="{51CABA8F-97C5-4CCA-9003-74367E964D15}"/>
    <cellStyle name="Normal 9 5 4 2 2 2" xfId="53482" xr:uid="{6AB95EA6-D493-472D-AF23-E1320C2660A4}"/>
    <cellStyle name="Normal 9 5 4 2 2 2 2" xfId="53483" xr:uid="{FEA996EA-6008-44DA-B6F0-27D021155657}"/>
    <cellStyle name="Normal 9 5 4 2 2 2 2 2" xfId="53484" xr:uid="{D61030DB-3F63-4413-AE67-81BFBF79E4C2}"/>
    <cellStyle name="Normal 9 5 4 2 2 2 3" xfId="53485" xr:uid="{EEBC50E6-7E7B-4920-897A-8C452521F160}"/>
    <cellStyle name="Normal 9 5 4 2 2 3" xfId="53486" xr:uid="{E7C8C308-DFFD-4230-9B84-ECAB7AB7FA7B}"/>
    <cellStyle name="Normal 9 5 4 2 2 3 2" xfId="53487" xr:uid="{43CD3D8E-BD60-439D-A3EF-F5E54F32D815}"/>
    <cellStyle name="Normal 9 5 4 2 2 4" xfId="53488" xr:uid="{C328C156-7E5C-4179-A5FE-99A0F46E901E}"/>
    <cellStyle name="Normal 9 5 4 2 3" xfId="53489" xr:uid="{68DDEC58-817F-4620-8F28-8346875ACE6F}"/>
    <cellStyle name="Normal 9 5 4 2 3 2" xfId="53490" xr:uid="{5261B392-0DFC-48D0-8F5E-B68A001041BC}"/>
    <cellStyle name="Normal 9 5 4 2 3 2 2" xfId="53491" xr:uid="{5ACAA8C6-4F5D-4E91-A616-12E30F7FA56E}"/>
    <cellStyle name="Normal 9 5 4 2 3 3" xfId="53492" xr:uid="{BC6E9583-C426-42A5-BBBA-CDF5103F8681}"/>
    <cellStyle name="Normal 9 5 4 2 4" xfId="53493" xr:uid="{0CF55E88-A602-49C4-9DF3-710C216003DD}"/>
    <cellStyle name="Normal 9 5 4 2 4 2" xfId="53494" xr:uid="{52435043-F545-4F48-A6B2-8142E6E80EED}"/>
    <cellStyle name="Normal 9 5 4 2 5" xfId="53495" xr:uid="{CC2A0952-475B-4772-9B50-A3AD9D74382A}"/>
    <cellStyle name="Normal 9 5 4 3" xfId="53496" xr:uid="{C00BB142-F90D-4870-844C-4C8F7967DA94}"/>
    <cellStyle name="Normal 9 5 4 3 2" xfId="53497" xr:uid="{88989CCA-68D4-4237-8C35-52B124BB3925}"/>
    <cellStyle name="Normal 9 5 4 3 2 2" xfId="53498" xr:uid="{C999B18E-3B39-40E3-AAA4-CDD6C9DB8105}"/>
    <cellStyle name="Normal 9 5 4 3 2 2 2" xfId="53499" xr:uid="{6A13A88D-44E1-40F3-83C8-8681D2F6BC57}"/>
    <cellStyle name="Normal 9 5 4 3 2 3" xfId="53500" xr:uid="{A032F337-3B65-48D9-AC3D-4A5E06634371}"/>
    <cellStyle name="Normal 9 5 4 3 3" xfId="53501" xr:uid="{FCBD658A-5D64-4122-838F-577F6E702606}"/>
    <cellStyle name="Normal 9 5 4 3 3 2" xfId="53502" xr:uid="{FDDEAF88-D077-4BF9-9F07-4DA3269DACAB}"/>
    <cellStyle name="Normal 9 5 4 3 4" xfId="53503" xr:uid="{A91F0C8C-ACDB-45A3-9428-8F86B6AF0395}"/>
    <cellStyle name="Normal 9 5 4 4" xfId="53504" xr:uid="{622326BA-FD38-4EE8-9FC2-0CC1F882ABBA}"/>
    <cellStyle name="Normal 9 5 4 4 2" xfId="53505" xr:uid="{5875990E-FEAB-426E-9B54-72AFFEA55370}"/>
    <cellStyle name="Normal 9 5 4 4 2 2" xfId="53506" xr:uid="{E904F446-B0A5-43D0-B517-58213C86832C}"/>
    <cellStyle name="Normal 9 5 4 4 3" xfId="53507" xr:uid="{39072495-6309-4DF7-9925-C5F081945CEF}"/>
    <cellStyle name="Normal 9 5 4 5" xfId="53508" xr:uid="{9DA30061-E7B2-4201-8E0A-EB7F2D368C82}"/>
    <cellStyle name="Normal 9 5 4 5 2" xfId="53509" xr:uid="{D3912A38-4F18-4E84-85E9-7EFE01A2EF18}"/>
    <cellStyle name="Normal 9 5 4 6" xfId="53510" xr:uid="{7D504703-7714-4977-AB42-B0EDC0EF9711}"/>
    <cellStyle name="Normal 9 5 5" xfId="53511" xr:uid="{3FA6ED15-9959-4096-8C5B-CB8D07EA78BB}"/>
    <cellStyle name="Normal 9 5 5 2" xfId="53512" xr:uid="{0C068494-02D3-4DA6-B322-A7FBA9D83F03}"/>
    <cellStyle name="Normal 9 5 5 2 2" xfId="53513" xr:uid="{A99E9CF3-302E-4770-A5EB-8CA7E7EC5076}"/>
    <cellStyle name="Normal 9 5 5 2 2 2" xfId="53514" xr:uid="{4903CA4E-0A45-43F4-A1CA-E9A484D917E8}"/>
    <cellStyle name="Normal 9 5 5 2 2 2 2" xfId="53515" xr:uid="{7016E18A-76E8-4190-A7C4-0BE981AC541F}"/>
    <cellStyle name="Normal 9 5 5 2 2 3" xfId="53516" xr:uid="{B6691BDE-314A-4FC6-9BF6-F9936AE2E2FB}"/>
    <cellStyle name="Normal 9 5 5 2 3" xfId="53517" xr:uid="{8ADC476F-48C7-4510-84DB-1286C2EA446C}"/>
    <cellStyle name="Normal 9 5 5 2 3 2" xfId="53518" xr:uid="{F85E6DF9-13A3-4C97-8034-1835F7F8F749}"/>
    <cellStyle name="Normal 9 5 5 2 4" xfId="53519" xr:uid="{CBE25C63-C98C-4216-84E5-2D7E0853576F}"/>
    <cellStyle name="Normal 9 5 5 3" xfId="53520" xr:uid="{0B6EBB12-945A-4F07-93D7-95854A334976}"/>
    <cellStyle name="Normal 9 5 5 3 2" xfId="53521" xr:uid="{DF7E95E5-7CAA-474B-B30A-D6B545F42BFD}"/>
    <cellStyle name="Normal 9 5 5 3 2 2" xfId="53522" xr:uid="{E4043456-B1C9-4853-94F9-AD9534F5D5BB}"/>
    <cellStyle name="Normal 9 5 5 3 3" xfId="53523" xr:uid="{7B5BC5A0-BD44-4122-AABC-7E3A725C38CA}"/>
    <cellStyle name="Normal 9 5 5 4" xfId="53524" xr:uid="{46B2315F-BE18-4C47-880B-09264ED2204F}"/>
    <cellStyle name="Normal 9 5 5 4 2" xfId="53525" xr:uid="{3B3AB5A2-0EF5-43CE-BA3F-3D722A891325}"/>
    <cellStyle name="Normal 9 5 5 5" xfId="53526" xr:uid="{253C91C5-18FA-4EEE-9D20-3C8C349EE591}"/>
    <cellStyle name="Normal 9 5 6" xfId="53527" xr:uid="{0E8E7920-CEDC-4538-8EC4-CCEC3C9976B9}"/>
    <cellStyle name="Normal 9 5 6 2" xfId="53528" xr:uid="{1D1E0971-C65F-4947-9007-4D6A3F88B273}"/>
    <cellStyle name="Normal 9 5 6 2 2" xfId="53529" xr:uid="{9107D3FB-E6AA-4E41-BF64-61883B4F6828}"/>
    <cellStyle name="Normal 9 5 6 2 2 2" xfId="53530" xr:uid="{DB2CF9F5-DA0D-43DF-8B37-3610CF5CE5B2}"/>
    <cellStyle name="Normal 9 5 6 2 3" xfId="53531" xr:uid="{8D3A1165-C4E5-47F6-9093-C3AFC1090A48}"/>
    <cellStyle name="Normal 9 5 6 3" xfId="53532" xr:uid="{D597B9AF-A26B-4664-806A-0AE19DC365C4}"/>
    <cellStyle name="Normal 9 5 6 3 2" xfId="53533" xr:uid="{A3234A62-CA96-4B42-8D08-F23B52501CD8}"/>
    <cellStyle name="Normal 9 5 6 4" xfId="53534" xr:uid="{892E1E67-05F7-49CC-93BD-179EF995C003}"/>
    <cellStyle name="Normal 9 5 7" xfId="53535" xr:uid="{A4F0750F-609D-42ED-B1BE-C50C62317A71}"/>
    <cellStyle name="Normal 9 5 7 2" xfId="53536" xr:uid="{EB9A37F3-0A54-424B-A51A-A44DD97A900C}"/>
    <cellStyle name="Normal 9 5 7 2 2" xfId="53537" xr:uid="{63646A2E-1EBA-409B-995E-715FEFF691E5}"/>
    <cellStyle name="Normal 9 5 7 3" xfId="53538" xr:uid="{2DACBCEB-734B-4FC4-AC25-A2B66E0103F7}"/>
    <cellStyle name="Normal 9 5 8" xfId="53539" xr:uid="{F0ECD667-2D43-4AE6-8831-93E6DE44F322}"/>
    <cellStyle name="Normal 9 5 8 2" xfId="53540" xr:uid="{C50FEE99-D1EE-4DA1-A7D7-6AE632DF3B25}"/>
    <cellStyle name="Normal 9 5 9" xfId="53541" xr:uid="{D007D38D-D889-45D2-8392-7410179E638F}"/>
    <cellStyle name="Normal 9 6" xfId="53542" xr:uid="{83D69730-DDFF-42F9-B19E-40EFEF56F604}"/>
    <cellStyle name="Normal 9 6 2" xfId="53543" xr:uid="{E8C6A64E-C055-4A70-B3D2-C4136846BB13}"/>
    <cellStyle name="Normal 9 6 2 2" xfId="53544" xr:uid="{39B04167-C95B-4C82-8B11-2FEFE3FAD3C6}"/>
    <cellStyle name="Normal 9 6 2 2 2" xfId="53545" xr:uid="{0DFBBCB4-F5F0-4FDE-A2EE-87DE71C776AB}"/>
    <cellStyle name="Normal 9 6 2 2 2 2" xfId="53546" xr:uid="{E0998420-EBD0-42E6-AC99-97FAAA991F24}"/>
    <cellStyle name="Normal 9 6 2 2 2 2 2" xfId="53547" xr:uid="{DE914222-30E2-499E-B6FA-A1A4F72D1BE3}"/>
    <cellStyle name="Normal 9 6 2 2 2 2 2 2" xfId="53548" xr:uid="{4DFBF75C-8B41-4159-9E33-43DA4177BF92}"/>
    <cellStyle name="Normal 9 6 2 2 2 2 2 2 2" xfId="53549" xr:uid="{47CFA6A3-C560-436E-A92B-239365384D68}"/>
    <cellStyle name="Normal 9 6 2 2 2 2 2 3" xfId="53550" xr:uid="{37D19997-637A-4830-A069-1BDDDB8EE2DF}"/>
    <cellStyle name="Normal 9 6 2 2 2 2 3" xfId="53551" xr:uid="{48F906E2-D6E6-4CA0-8F55-3FB0B5C9455A}"/>
    <cellStyle name="Normal 9 6 2 2 2 2 3 2" xfId="53552" xr:uid="{99620949-A573-43C9-9EE1-B7DCE508AEEA}"/>
    <cellStyle name="Normal 9 6 2 2 2 2 4" xfId="53553" xr:uid="{9F6F56C2-C9E7-4CD3-8CEE-5CE05708F849}"/>
    <cellStyle name="Normal 9 6 2 2 2 3" xfId="53554" xr:uid="{5C23437A-8DCA-446B-BB6F-9494D4B2604B}"/>
    <cellStyle name="Normal 9 6 2 2 2 3 2" xfId="53555" xr:uid="{EFEA1EE6-938D-4A5E-A43B-E499C59D72F3}"/>
    <cellStyle name="Normal 9 6 2 2 2 3 2 2" xfId="53556" xr:uid="{C4E986E6-423E-4675-8171-C2164BA5D989}"/>
    <cellStyle name="Normal 9 6 2 2 2 3 3" xfId="53557" xr:uid="{41EE1E68-C517-4C82-9E0A-FD42704174F5}"/>
    <cellStyle name="Normal 9 6 2 2 2 4" xfId="53558" xr:uid="{83F493ED-1F8D-4F49-A022-E760DD015637}"/>
    <cellStyle name="Normal 9 6 2 2 2 4 2" xfId="53559" xr:uid="{39537BEC-8CA2-417A-92CC-B66C6071DD43}"/>
    <cellStyle name="Normal 9 6 2 2 2 5" xfId="53560" xr:uid="{53E7DC4C-9CE2-4208-9A9E-6CB94773510B}"/>
    <cellStyle name="Normal 9 6 2 2 3" xfId="53561" xr:uid="{33980A37-0425-42D6-9FE4-3F5336A0D91C}"/>
    <cellStyle name="Normal 9 6 2 2 3 2" xfId="53562" xr:uid="{CB3BEC85-13F4-4D53-8005-35F64C3A8752}"/>
    <cellStyle name="Normal 9 6 2 2 3 2 2" xfId="53563" xr:uid="{5AD75746-8EFE-453E-8A24-8C9147B32DD0}"/>
    <cellStyle name="Normal 9 6 2 2 3 2 2 2" xfId="53564" xr:uid="{1AC6E60D-823A-4BFC-A1AC-109166A8C2B6}"/>
    <cellStyle name="Normal 9 6 2 2 3 2 3" xfId="53565" xr:uid="{17BDAE3D-A266-494C-A58B-18C1E00D8545}"/>
    <cellStyle name="Normal 9 6 2 2 3 3" xfId="53566" xr:uid="{BAEDFE6D-4BDF-49B7-A7D9-5B0830BBD4AC}"/>
    <cellStyle name="Normal 9 6 2 2 3 3 2" xfId="53567" xr:uid="{96275C5E-6798-48FB-9C42-AFBC134FE7CB}"/>
    <cellStyle name="Normal 9 6 2 2 3 4" xfId="53568" xr:uid="{453C2AF5-ECAC-4E3D-AA09-39F3ABB1FD9E}"/>
    <cellStyle name="Normal 9 6 2 2 4" xfId="53569" xr:uid="{222D0523-BF2E-4683-AA0B-C34C66059964}"/>
    <cellStyle name="Normal 9 6 2 2 4 2" xfId="53570" xr:uid="{0A101C4F-73C3-493C-97B4-CA3241AEC8BC}"/>
    <cellStyle name="Normal 9 6 2 2 4 2 2" xfId="53571" xr:uid="{E84889CC-8CA8-4E18-AADB-3FE7B802D10B}"/>
    <cellStyle name="Normal 9 6 2 2 4 3" xfId="53572" xr:uid="{E627D2DA-7223-4667-9B64-73EEC6A9CEC6}"/>
    <cellStyle name="Normal 9 6 2 2 5" xfId="53573" xr:uid="{10D20831-61E5-47BF-BD47-7512401458E0}"/>
    <cellStyle name="Normal 9 6 2 2 5 2" xfId="53574" xr:uid="{7A1FFC7A-703B-47AA-9084-97CC6BA5CFA7}"/>
    <cellStyle name="Normal 9 6 2 2 6" xfId="53575" xr:uid="{50F880A6-0A6C-4852-827D-44680A2AC929}"/>
    <cellStyle name="Normal 9 6 2 3" xfId="53576" xr:uid="{8A155260-ED71-4E5E-A6A8-3C83DAC92E13}"/>
    <cellStyle name="Normal 9 6 2 3 2" xfId="53577" xr:uid="{8F6074BA-74AE-4FEE-A93F-888E5DB74325}"/>
    <cellStyle name="Normal 9 6 2 3 2 2" xfId="53578" xr:uid="{161C0F26-333F-4AD2-AFAB-5F6F39366FF4}"/>
    <cellStyle name="Normal 9 6 2 3 2 2 2" xfId="53579" xr:uid="{5FB2C6DE-7EE2-4124-8944-DE20430A76CB}"/>
    <cellStyle name="Normal 9 6 2 3 2 2 2 2" xfId="53580" xr:uid="{42A6D5A3-BE06-4941-A1C3-492C8F231318}"/>
    <cellStyle name="Normal 9 6 2 3 2 2 3" xfId="53581" xr:uid="{C551F035-3BF8-4F95-9B9D-84AB4F629BD7}"/>
    <cellStyle name="Normal 9 6 2 3 2 3" xfId="53582" xr:uid="{68BD7A98-8369-40AF-B941-EF0AAD9B9361}"/>
    <cellStyle name="Normal 9 6 2 3 2 3 2" xfId="53583" xr:uid="{FD6EF6F2-9F43-4F64-80FE-6D11B6724E09}"/>
    <cellStyle name="Normal 9 6 2 3 2 4" xfId="53584" xr:uid="{8E548A46-05EC-4CCD-9605-E55E987A1E49}"/>
    <cellStyle name="Normal 9 6 2 3 3" xfId="53585" xr:uid="{5E20D6C8-6FB2-427F-9E5A-CDCFF9B31E2D}"/>
    <cellStyle name="Normal 9 6 2 3 3 2" xfId="53586" xr:uid="{EBAFFA9C-A063-4F91-852D-EF97DC94CA12}"/>
    <cellStyle name="Normal 9 6 2 3 3 2 2" xfId="53587" xr:uid="{62B04355-441E-447A-924B-DDEAD667F40E}"/>
    <cellStyle name="Normal 9 6 2 3 3 3" xfId="53588" xr:uid="{9647D84A-0218-4274-8713-6D6FF9948FCE}"/>
    <cellStyle name="Normal 9 6 2 3 4" xfId="53589" xr:uid="{28852278-F812-450F-902C-43359AEBF577}"/>
    <cellStyle name="Normal 9 6 2 3 4 2" xfId="53590" xr:uid="{4DF81826-B79D-435E-A563-3B490366858C}"/>
    <cellStyle name="Normal 9 6 2 3 5" xfId="53591" xr:uid="{B42217C6-64EB-4C19-937F-3E000145774C}"/>
    <cellStyle name="Normal 9 6 2 4" xfId="53592" xr:uid="{68CD9133-0CB0-4720-A420-947DF05BC77B}"/>
    <cellStyle name="Normal 9 6 2 4 2" xfId="53593" xr:uid="{3667C35C-C19E-4E78-8A92-21810128A8CA}"/>
    <cellStyle name="Normal 9 6 2 4 2 2" xfId="53594" xr:uid="{307875BA-7B77-432E-8571-884BFAB3471C}"/>
    <cellStyle name="Normal 9 6 2 4 2 2 2" xfId="53595" xr:uid="{1D172AA1-B8FB-4693-88F9-2D17487226EF}"/>
    <cellStyle name="Normal 9 6 2 4 2 3" xfId="53596" xr:uid="{3F48EA93-311B-407E-A91C-07F86CFE3260}"/>
    <cellStyle name="Normal 9 6 2 4 3" xfId="53597" xr:uid="{E2094FDC-F480-4A31-90F5-E2D66C6E5C8E}"/>
    <cellStyle name="Normal 9 6 2 4 3 2" xfId="53598" xr:uid="{83ECF9E9-8EB6-44D4-B7A6-2CC744D4269F}"/>
    <cellStyle name="Normal 9 6 2 4 4" xfId="53599" xr:uid="{DF379DE8-3636-4519-A697-9A2C527E11D0}"/>
    <cellStyle name="Normal 9 6 2 5" xfId="53600" xr:uid="{36744D13-450B-439B-84F9-165641CF2E81}"/>
    <cellStyle name="Normal 9 6 2 5 2" xfId="53601" xr:uid="{D06E5792-4906-4787-8E08-7704F6903C18}"/>
    <cellStyle name="Normal 9 6 2 5 2 2" xfId="53602" xr:uid="{0938ECB6-7FD3-42C5-A970-149F4C954F52}"/>
    <cellStyle name="Normal 9 6 2 5 3" xfId="53603" xr:uid="{F5F6AA5A-134C-47B0-B694-338D804DB77D}"/>
    <cellStyle name="Normal 9 6 2 6" xfId="53604" xr:uid="{6911A3A0-2879-4DF7-B20A-6053957BA10B}"/>
    <cellStyle name="Normal 9 6 2 6 2" xfId="53605" xr:uid="{7AA528AE-B84F-4A41-8D2C-A7189918C64B}"/>
    <cellStyle name="Normal 9 6 2 7" xfId="53606" xr:uid="{49DE12DA-02AC-48A4-AE04-431CD89BCC80}"/>
    <cellStyle name="Normal 9 6 3" xfId="53607" xr:uid="{550F20D1-715F-4031-8CEB-2B906D9DCAA9}"/>
    <cellStyle name="Normal 9 6 3 2" xfId="53608" xr:uid="{1B3E808A-FFE9-4609-AE47-E31DCA5AD790}"/>
    <cellStyle name="Normal 9 6 3 2 2" xfId="53609" xr:uid="{5C7C592F-8135-48C9-9B9A-B817475E2826}"/>
    <cellStyle name="Normal 9 6 3 2 2 2" xfId="53610" xr:uid="{C75EB01E-68A5-432A-B57C-ABBB3399EF39}"/>
    <cellStyle name="Normal 9 6 3 2 2 2 2" xfId="53611" xr:uid="{B2A17336-E3E2-4422-ABA9-04499D0DFEC2}"/>
    <cellStyle name="Normal 9 6 3 2 2 2 2 2" xfId="53612" xr:uid="{83B39A8B-480A-41AE-A529-54D0883FE819}"/>
    <cellStyle name="Normal 9 6 3 2 2 2 3" xfId="53613" xr:uid="{C4736DA8-F8A0-439C-82B4-D3FB2CB07CE7}"/>
    <cellStyle name="Normal 9 6 3 2 2 3" xfId="53614" xr:uid="{6AF3E66D-D807-44B1-8503-253CE17357EA}"/>
    <cellStyle name="Normal 9 6 3 2 2 3 2" xfId="53615" xr:uid="{24EACB00-CFA9-4589-8D46-5A3C2F4B72F0}"/>
    <cellStyle name="Normal 9 6 3 2 2 4" xfId="53616" xr:uid="{8AB0C1F8-453E-416C-B341-F4CC4831806F}"/>
    <cellStyle name="Normal 9 6 3 2 3" xfId="53617" xr:uid="{FA8193EA-4C07-441A-BA37-5AB3A34CC51F}"/>
    <cellStyle name="Normal 9 6 3 2 3 2" xfId="53618" xr:uid="{D5BD008F-3F9E-49A0-8586-69E1CD780FCB}"/>
    <cellStyle name="Normal 9 6 3 2 3 2 2" xfId="53619" xr:uid="{E6B8F4BE-F5AB-4AA4-A6EE-753BB53C8A48}"/>
    <cellStyle name="Normal 9 6 3 2 3 3" xfId="53620" xr:uid="{6F6C45BC-C22C-4CC8-9BAD-E1036611B6DE}"/>
    <cellStyle name="Normal 9 6 3 2 4" xfId="53621" xr:uid="{E3697368-8BB7-4960-8C0E-BEFBCAEF6C27}"/>
    <cellStyle name="Normal 9 6 3 2 4 2" xfId="53622" xr:uid="{C6562B04-6DC9-4440-AB51-31E4726A05E1}"/>
    <cellStyle name="Normal 9 6 3 2 5" xfId="53623" xr:uid="{4F3D2C1E-B5A6-499D-A34E-BCBFB676EC7C}"/>
    <cellStyle name="Normal 9 6 3 3" xfId="53624" xr:uid="{16736774-EA4F-4CE0-901E-CE44BD62A119}"/>
    <cellStyle name="Normal 9 6 3 3 2" xfId="53625" xr:uid="{D893EF0E-58BD-4B12-8846-C50070F9962F}"/>
    <cellStyle name="Normal 9 6 3 3 2 2" xfId="53626" xr:uid="{DBECA235-3C11-4AED-959F-76E40D687C6C}"/>
    <cellStyle name="Normal 9 6 3 3 2 2 2" xfId="53627" xr:uid="{2C22A2BC-A48B-4409-BB84-79A3A67028FB}"/>
    <cellStyle name="Normal 9 6 3 3 2 3" xfId="53628" xr:uid="{BA6605E9-1C36-4755-A63F-AFC043D8DEA8}"/>
    <cellStyle name="Normal 9 6 3 3 3" xfId="53629" xr:uid="{185B15F9-C543-43EE-9F10-12D6424E8D10}"/>
    <cellStyle name="Normal 9 6 3 3 3 2" xfId="53630" xr:uid="{2C81F269-6B08-443F-A38A-985813DBC4EC}"/>
    <cellStyle name="Normal 9 6 3 3 4" xfId="53631" xr:uid="{2805B934-C88A-461A-BABA-C4EE64AD473A}"/>
    <cellStyle name="Normal 9 6 3 4" xfId="53632" xr:uid="{F2E50909-4ED2-4233-B53B-93AB2E3ECE28}"/>
    <cellStyle name="Normal 9 6 3 4 2" xfId="53633" xr:uid="{C586F399-3392-4815-A2DB-5A169D1A5F30}"/>
    <cellStyle name="Normal 9 6 3 4 2 2" xfId="53634" xr:uid="{CFB74168-860E-4034-8452-AF2B49D05A4F}"/>
    <cellStyle name="Normal 9 6 3 4 3" xfId="53635" xr:uid="{AA62B4AB-449D-49FF-BDC2-961D2DDC0463}"/>
    <cellStyle name="Normal 9 6 3 5" xfId="53636" xr:uid="{C26E6CAD-E837-4EE9-A276-9D66122DE0CF}"/>
    <cellStyle name="Normal 9 6 3 5 2" xfId="53637" xr:uid="{8137C2DD-2F3A-4248-AFB1-1556E5819008}"/>
    <cellStyle name="Normal 9 6 3 6" xfId="53638" xr:uid="{89C764C5-8883-4521-81C7-89F78813B98F}"/>
    <cellStyle name="Normal 9 6 4" xfId="53639" xr:uid="{D98039C4-745A-4FBC-A15B-69FDDA0B140C}"/>
    <cellStyle name="Normal 9 6 4 2" xfId="53640" xr:uid="{4FC9D101-2E75-40E4-B0AE-6C68DE14260E}"/>
    <cellStyle name="Normal 9 6 4 2 2" xfId="53641" xr:uid="{4B4F2BFA-FB61-4669-B08B-96D2D3966907}"/>
    <cellStyle name="Normal 9 6 4 2 2 2" xfId="53642" xr:uid="{A4152B89-0660-4E6A-B81D-E53FB05E4126}"/>
    <cellStyle name="Normal 9 6 4 2 2 2 2" xfId="53643" xr:uid="{B2AE599C-1DE9-4EA9-97C2-DEE780F54C02}"/>
    <cellStyle name="Normal 9 6 4 2 2 3" xfId="53644" xr:uid="{C3DDD5EF-055A-4C7E-B718-0F6D18C242F5}"/>
    <cellStyle name="Normal 9 6 4 2 3" xfId="53645" xr:uid="{5E257D4E-ED00-4276-A358-35EC1BD1F845}"/>
    <cellStyle name="Normal 9 6 4 2 3 2" xfId="53646" xr:uid="{82603E8A-B82D-4342-8934-2A09EBECEF52}"/>
    <cellStyle name="Normal 9 6 4 2 4" xfId="53647" xr:uid="{59242DA7-093E-4A48-91BA-B931A0EE61B0}"/>
    <cellStyle name="Normal 9 6 4 3" xfId="53648" xr:uid="{04FB8901-C6BC-42CE-BEF0-0E4940D3215C}"/>
    <cellStyle name="Normal 9 6 4 3 2" xfId="53649" xr:uid="{6884B977-7168-4260-9A37-2A9E21B2B47E}"/>
    <cellStyle name="Normal 9 6 4 3 2 2" xfId="53650" xr:uid="{A8E5CBD9-FE57-4B1A-8B55-12D6EEC949B6}"/>
    <cellStyle name="Normal 9 6 4 3 3" xfId="53651" xr:uid="{519CFF80-4D12-4BD2-B8B3-6DF7A444CB66}"/>
    <cellStyle name="Normal 9 6 4 4" xfId="53652" xr:uid="{E87854B1-0A7C-4962-A6E8-D3CEED175A5D}"/>
    <cellStyle name="Normal 9 6 4 4 2" xfId="53653" xr:uid="{B2FC247F-71EF-4E12-8F04-E9B76397BE1C}"/>
    <cellStyle name="Normal 9 6 4 5" xfId="53654" xr:uid="{7C6B7329-F2D6-4EC5-B72D-8C8E5EAE16B0}"/>
    <cellStyle name="Normal 9 6 5" xfId="53655" xr:uid="{F8037526-7356-4D3B-9F15-CF74A7A835C4}"/>
    <cellStyle name="Normal 9 6 5 2" xfId="53656" xr:uid="{E7BA7C2C-2478-46E8-9A40-8801E68926F0}"/>
    <cellStyle name="Normal 9 6 5 2 2" xfId="53657" xr:uid="{A146961E-9394-4EF7-BCE2-4759185F234D}"/>
    <cellStyle name="Normal 9 6 5 2 2 2" xfId="53658" xr:uid="{C7C0EFA2-0403-4BDB-9777-F2CE766C2F2C}"/>
    <cellStyle name="Normal 9 6 5 2 3" xfId="53659" xr:uid="{AE7A2269-312B-4A4B-BAC6-6B3CA9419503}"/>
    <cellStyle name="Normal 9 6 5 3" xfId="53660" xr:uid="{B961D8DC-86E3-499F-8EB4-F9833DA652D6}"/>
    <cellStyle name="Normal 9 6 5 3 2" xfId="53661" xr:uid="{7F1F3E50-60A9-44D2-BFB4-0EC51B6896AF}"/>
    <cellStyle name="Normal 9 6 5 4" xfId="53662" xr:uid="{E31D65EA-2ED5-48E5-B129-A486F277E622}"/>
    <cellStyle name="Normal 9 6 6" xfId="53663" xr:uid="{B7A98214-EA7F-446E-B17F-43913D520B4F}"/>
    <cellStyle name="Normal 9 6 6 2" xfId="53664" xr:uid="{19F0373B-12D3-4EB4-A88F-AEF148F3B8A0}"/>
    <cellStyle name="Normal 9 6 6 2 2" xfId="53665" xr:uid="{74C9EA17-EAAE-4A25-B257-4A816C2C0181}"/>
    <cellStyle name="Normal 9 6 6 3" xfId="53666" xr:uid="{E975E5DD-C117-4C3D-B841-C65808562C9B}"/>
    <cellStyle name="Normal 9 6 7" xfId="53667" xr:uid="{DE2C8A47-AFEE-4455-8D37-B3B354D3DDFB}"/>
    <cellStyle name="Normal 9 6 7 2" xfId="53668" xr:uid="{BC0C15AD-72C5-411A-818E-975CA603E057}"/>
    <cellStyle name="Normal 9 6 8" xfId="53669" xr:uid="{B1EBD44C-E706-4410-9D61-FF7515627DF2}"/>
    <cellStyle name="Normal 9 7" xfId="53670" xr:uid="{E68CDE3D-F278-4289-AEA0-154F713CE7FB}"/>
    <cellStyle name="Normal 9 7 2" xfId="53671" xr:uid="{509E1E2D-2A31-452B-B7E2-85145B004339}"/>
    <cellStyle name="Normal 9 7 2 2" xfId="53672" xr:uid="{79D06142-C4F8-4C1A-A451-6489EAF5CF36}"/>
    <cellStyle name="Normal 9 7 2 2 2" xfId="53673" xr:uid="{A37585FB-B4BB-40C3-8856-D0785E5A8E5C}"/>
    <cellStyle name="Normal 9 7 2 2 2 2" xfId="53674" xr:uid="{D65B9971-1DC1-42EA-83B5-50001AC76FDF}"/>
    <cellStyle name="Normal 9 7 2 2 2 2 2" xfId="53675" xr:uid="{3614D648-824C-4919-811D-069F2A62BFD6}"/>
    <cellStyle name="Normal 9 7 2 2 2 2 2 2" xfId="53676" xr:uid="{74AB818C-B2CB-446D-9CB1-DBCCD4C3DBE3}"/>
    <cellStyle name="Normal 9 7 2 2 2 2 3" xfId="53677" xr:uid="{4B6B3256-C508-4C2C-A80E-8B285A6DB38D}"/>
    <cellStyle name="Normal 9 7 2 2 2 3" xfId="53678" xr:uid="{4A9A4298-8269-43E0-97C2-071EE6CBD99C}"/>
    <cellStyle name="Normal 9 7 2 2 2 3 2" xfId="53679" xr:uid="{BE5D867E-6F5A-4772-B054-82C699D89553}"/>
    <cellStyle name="Normal 9 7 2 2 2 4" xfId="53680" xr:uid="{DA5A48C4-E0B3-417D-BCA0-A02E8AC12B57}"/>
    <cellStyle name="Normal 9 7 2 2 3" xfId="53681" xr:uid="{02B9DCBC-6264-4175-9EF5-75B051EDB214}"/>
    <cellStyle name="Normal 9 7 2 2 3 2" xfId="53682" xr:uid="{0BB448BE-8408-46AB-BACB-D72FFBB76201}"/>
    <cellStyle name="Normal 9 7 2 2 3 2 2" xfId="53683" xr:uid="{3528821C-B434-4C2F-A6BB-12064B88B7FB}"/>
    <cellStyle name="Normal 9 7 2 2 3 3" xfId="53684" xr:uid="{A15B1C99-55EF-49D4-B15C-3B5C5A6045B8}"/>
    <cellStyle name="Normal 9 7 2 2 4" xfId="53685" xr:uid="{B8DE193F-F22A-4F00-B811-707BDA8D0802}"/>
    <cellStyle name="Normal 9 7 2 2 4 2" xfId="53686" xr:uid="{DED61DB0-C7E0-4E1D-A7DF-008F44560438}"/>
    <cellStyle name="Normal 9 7 2 2 5" xfId="53687" xr:uid="{053C1663-6D48-4DC4-90BC-3B6E0BD646EB}"/>
    <cellStyle name="Normal 9 7 2 3" xfId="53688" xr:uid="{452FBCCD-9583-4330-A1D5-52ED406DA909}"/>
    <cellStyle name="Normal 9 7 2 3 2" xfId="53689" xr:uid="{6EAB6F75-2A31-4A0E-BF15-C63C51C6CEF2}"/>
    <cellStyle name="Normal 9 7 2 3 2 2" xfId="53690" xr:uid="{250A281D-3EEE-4115-9DBA-747374A6E45E}"/>
    <cellStyle name="Normal 9 7 2 3 2 2 2" xfId="53691" xr:uid="{2CD13482-6DD8-45F2-9C86-6EBC2B76C00F}"/>
    <cellStyle name="Normal 9 7 2 3 2 3" xfId="53692" xr:uid="{4C05277B-E850-42A3-86E5-731E2FD5AED6}"/>
    <cellStyle name="Normal 9 7 2 3 3" xfId="53693" xr:uid="{DBB0196F-B65E-4D27-87FD-0C4DD88DE193}"/>
    <cellStyle name="Normal 9 7 2 3 3 2" xfId="53694" xr:uid="{1686FD1B-5523-4F14-B29F-AC9F8DBB2F0D}"/>
    <cellStyle name="Normal 9 7 2 3 4" xfId="53695" xr:uid="{2B3C9B39-BBDD-4B61-A5EE-E75AEDA1F799}"/>
    <cellStyle name="Normal 9 7 2 4" xfId="53696" xr:uid="{E2E1BB0D-8D21-4017-AD7B-FBA80882B1F9}"/>
    <cellStyle name="Normal 9 7 2 4 2" xfId="53697" xr:uid="{864577E2-5FC5-4E24-96F0-03A1C10AD243}"/>
    <cellStyle name="Normal 9 7 2 4 2 2" xfId="53698" xr:uid="{4887476B-82E6-4A92-AE43-2D46F6884DE3}"/>
    <cellStyle name="Normal 9 7 2 4 3" xfId="53699" xr:uid="{6652C52F-B94E-4031-8FFE-CC899C7805F4}"/>
    <cellStyle name="Normal 9 7 2 5" xfId="53700" xr:uid="{F42A1506-D3D4-4186-BA90-429D588CFDD9}"/>
    <cellStyle name="Normal 9 7 2 5 2" xfId="53701" xr:uid="{B1169293-FFE8-43C3-B0CE-99940288F909}"/>
    <cellStyle name="Normal 9 7 2 6" xfId="53702" xr:uid="{38AD1D41-5475-4770-85A7-D75156614837}"/>
    <cellStyle name="Normal 9 7 3" xfId="53703" xr:uid="{91771AE3-B5F7-47BE-9E47-62BBB9F1D45C}"/>
    <cellStyle name="Normal 9 7 3 2" xfId="53704" xr:uid="{E350FC1E-9767-49AE-9AC6-95A7F25876D9}"/>
    <cellStyle name="Normal 9 7 3 2 2" xfId="53705" xr:uid="{BA77E7A1-F9A9-4388-9462-C59467E11CEA}"/>
    <cellStyle name="Normal 9 7 3 2 2 2" xfId="53706" xr:uid="{60E5E67B-5932-4B1F-A3A9-B5E51CE68A6D}"/>
    <cellStyle name="Normal 9 7 3 2 2 2 2" xfId="53707" xr:uid="{E9153EB4-1F44-48FE-A9C9-7E4A6DE18B9F}"/>
    <cellStyle name="Normal 9 7 3 2 2 3" xfId="53708" xr:uid="{A0CEAA8C-BD51-4B94-9790-2657549E49F0}"/>
    <cellStyle name="Normal 9 7 3 2 3" xfId="53709" xr:uid="{290EB334-BE6B-47B0-862B-143D7CD4868E}"/>
    <cellStyle name="Normal 9 7 3 2 3 2" xfId="53710" xr:uid="{FD8E3C8A-A737-4A0E-B92F-A16248A557C1}"/>
    <cellStyle name="Normal 9 7 3 2 4" xfId="53711" xr:uid="{DF4EC59B-FC8B-4162-B230-4E1DA149E967}"/>
    <cellStyle name="Normal 9 7 3 3" xfId="53712" xr:uid="{E6EB44E7-46D4-4CED-8EB9-B5249AF00ECC}"/>
    <cellStyle name="Normal 9 7 3 3 2" xfId="53713" xr:uid="{AB67B85E-4AB4-468D-9D32-04227A612BF8}"/>
    <cellStyle name="Normal 9 7 3 3 2 2" xfId="53714" xr:uid="{289D6244-6BC8-4D57-84C6-1E5680E476A5}"/>
    <cellStyle name="Normal 9 7 3 3 3" xfId="53715" xr:uid="{C41545EC-EC1F-4F73-85BB-21A6E5257482}"/>
    <cellStyle name="Normal 9 7 3 4" xfId="53716" xr:uid="{8F6E53A8-6E64-475E-AE3F-7BE3C6FA5BE0}"/>
    <cellStyle name="Normal 9 7 3 4 2" xfId="53717" xr:uid="{E8695259-BFD9-4CEB-8645-00D191A53E1C}"/>
    <cellStyle name="Normal 9 7 3 5" xfId="53718" xr:uid="{D72C4780-B9DC-4072-A87E-280D370245A4}"/>
    <cellStyle name="Normal 9 7 4" xfId="53719" xr:uid="{BD198609-172C-4F13-BE23-9113283F5619}"/>
    <cellStyle name="Normal 9 7 4 2" xfId="53720" xr:uid="{CACFE214-0236-450A-8550-549CC7C6C255}"/>
    <cellStyle name="Normal 9 7 4 2 2" xfId="53721" xr:uid="{17BBAED0-6B3A-4715-B054-5B9278F3297F}"/>
    <cellStyle name="Normal 9 7 4 2 2 2" xfId="53722" xr:uid="{F53A7339-09CB-4084-B0E8-F93B96D8B39C}"/>
    <cellStyle name="Normal 9 7 4 2 3" xfId="53723" xr:uid="{1EA1EEED-C3F5-45BC-861F-9BCC8BC48B6A}"/>
    <cellStyle name="Normal 9 7 4 3" xfId="53724" xr:uid="{B5954B50-EFCA-4191-8EED-6843D5F2EE0D}"/>
    <cellStyle name="Normal 9 7 4 3 2" xfId="53725" xr:uid="{596040DF-4D83-4EBD-BFD0-F7B0BBFD5163}"/>
    <cellStyle name="Normal 9 7 4 4" xfId="53726" xr:uid="{7A100583-34C0-4544-A806-46970386788D}"/>
    <cellStyle name="Normal 9 7 5" xfId="53727" xr:uid="{DB5683F7-5B50-4E69-939B-20255770FA5E}"/>
    <cellStyle name="Normal 9 7 5 2" xfId="53728" xr:uid="{F3F803CD-D108-483A-95CA-A1C52A1DC579}"/>
    <cellStyle name="Normal 9 7 5 2 2" xfId="53729" xr:uid="{5995D58D-7E7B-4CB2-8628-88D041B07158}"/>
    <cellStyle name="Normal 9 7 5 3" xfId="53730" xr:uid="{171C1146-8E00-4A79-A92A-74BC105D9AF2}"/>
    <cellStyle name="Normal 9 7 6" xfId="53731" xr:uid="{01616209-FFE3-4FF1-8652-2D5B30A14DA1}"/>
    <cellStyle name="Normal 9 7 6 2" xfId="53732" xr:uid="{4FD2AB16-5800-4DA6-B527-6F8D12935C5D}"/>
    <cellStyle name="Normal 9 7 7" xfId="53733" xr:uid="{7319A944-6748-4AB5-9360-988794346CD5}"/>
    <cellStyle name="Normal 9 8" xfId="53734" xr:uid="{4919F142-D57F-4016-AF15-608440B801B8}"/>
    <cellStyle name="Normal 9 8 2" xfId="53735" xr:uid="{E2F791E2-330D-4577-A508-BB2D07423D0F}"/>
    <cellStyle name="Normal 9 8 2 2" xfId="53736" xr:uid="{4EADDA2C-22EF-48F7-85EE-2A02257C15EF}"/>
    <cellStyle name="Normal 9 8 2 2 2" xfId="53737" xr:uid="{BA872137-410A-4A29-B825-34DCA8192576}"/>
    <cellStyle name="Normal 9 8 2 2 2 2" xfId="53738" xr:uid="{BF87F1B4-F2C1-45FC-9FEA-F8634BD99864}"/>
    <cellStyle name="Normal 9 8 2 2 2 2 2" xfId="53739" xr:uid="{DEDCEDAB-30C4-4D35-989D-A508114BA19E}"/>
    <cellStyle name="Normal 9 8 2 2 2 3" xfId="53740" xr:uid="{0A40D3BA-18D9-49F4-8110-B0E5BC31882B}"/>
    <cellStyle name="Normal 9 8 2 2 3" xfId="53741" xr:uid="{B448FBDB-923C-4E9F-811E-A45B56982D03}"/>
    <cellStyle name="Normal 9 8 2 2 3 2" xfId="53742" xr:uid="{90D41005-A852-4374-B2A4-C37D08CA3DDD}"/>
    <cellStyle name="Normal 9 8 2 2 4" xfId="53743" xr:uid="{DC847F79-4DBE-47E0-B383-16D016899467}"/>
    <cellStyle name="Normal 9 8 2 3" xfId="53744" xr:uid="{B0369C99-58F9-418D-9055-BE6D18E34979}"/>
    <cellStyle name="Normal 9 8 2 3 2" xfId="53745" xr:uid="{750E6152-A8EB-4629-9E62-72892EE8FF91}"/>
    <cellStyle name="Normal 9 8 2 3 2 2" xfId="53746" xr:uid="{AF5BB391-B3B9-452B-8F77-811473BDA042}"/>
    <cellStyle name="Normal 9 8 2 3 3" xfId="53747" xr:uid="{5768009B-6E34-4ECD-AE82-19F53FA8E2BE}"/>
    <cellStyle name="Normal 9 8 2 4" xfId="53748" xr:uid="{7D179BAD-4734-44A3-8800-613177D29574}"/>
    <cellStyle name="Normal 9 8 2 4 2" xfId="53749" xr:uid="{9D04F12C-74FF-4CB0-B9C6-AF1D7C32C11B}"/>
    <cellStyle name="Normal 9 8 2 5" xfId="53750" xr:uid="{FE25D811-D0AF-49A5-8927-E53389535F23}"/>
    <cellStyle name="Normal 9 8 3" xfId="53751" xr:uid="{16419591-CB18-4491-889F-A67CB3AFD773}"/>
    <cellStyle name="Normal 9 8 3 2" xfId="53752" xr:uid="{F797D8F9-F3C2-4938-8696-392F7078C5FE}"/>
    <cellStyle name="Normal 9 8 3 2 2" xfId="53753" xr:uid="{CCD39241-7EA7-4010-80F6-6C847E815394}"/>
    <cellStyle name="Normal 9 8 3 2 2 2" xfId="53754" xr:uid="{58BE87EB-7691-4C07-95DA-009988DFE123}"/>
    <cellStyle name="Normal 9 8 3 2 3" xfId="53755" xr:uid="{FE4C09EB-A2E7-4430-AB17-75A5FC7E1B29}"/>
    <cellStyle name="Normal 9 8 3 3" xfId="53756" xr:uid="{E9743D56-EA6D-44AB-8867-547C71FB7144}"/>
    <cellStyle name="Normal 9 8 3 3 2" xfId="53757" xr:uid="{D25BA9FD-B242-4D53-9144-F64FFB0DB7D0}"/>
    <cellStyle name="Normal 9 8 3 4" xfId="53758" xr:uid="{D5A826F4-ABBE-49F7-94CB-1BD6D4F22ED7}"/>
    <cellStyle name="Normal 9 8 4" xfId="53759" xr:uid="{75778ED5-AC5E-405F-98BD-76204753A067}"/>
    <cellStyle name="Normal 9 8 4 2" xfId="53760" xr:uid="{3220260C-43E8-41A6-92BD-3ED11C1CDF1C}"/>
    <cellStyle name="Normal 9 8 4 2 2" xfId="53761" xr:uid="{18EBFCCD-FBCB-458A-9DFB-64FA655D68C9}"/>
    <cellStyle name="Normal 9 8 4 3" xfId="53762" xr:uid="{055AD061-F1CC-4C7C-BFBA-D72BD05E2B79}"/>
    <cellStyle name="Normal 9 8 5" xfId="53763" xr:uid="{22C98B63-8C28-43F9-AE8D-69E47CA0ADCC}"/>
    <cellStyle name="Normal 9 8 5 2" xfId="53764" xr:uid="{979B5EBF-CDF3-49BC-94C1-4591EFB50754}"/>
    <cellStyle name="Normal 9 8 6" xfId="53765" xr:uid="{38FF40A0-FC88-4523-8BB1-53B79FCCF932}"/>
    <cellStyle name="Normal 9 9" xfId="53766" xr:uid="{A8AFDA7F-8A0C-413B-B400-A6EE5994E88F}"/>
    <cellStyle name="Normal 9 9 2" xfId="53767" xr:uid="{85B140D4-0708-46CD-A53F-2C6F29D3B1DD}"/>
    <cellStyle name="Normal 9 9 2 2" xfId="53768" xr:uid="{5B623CD7-54AB-43B5-9210-6B8579DE920F}"/>
    <cellStyle name="Normal 9 9 2 2 2" xfId="53769" xr:uid="{0623F98B-6DA7-45E5-9CBA-41E9065B07CD}"/>
    <cellStyle name="Normal 9 9 2 2 2 2" xfId="53770" xr:uid="{4724C754-E26F-4A1F-8FF1-93601EB02D1A}"/>
    <cellStyle name="Normal 9 9 2 2 3" xfId="53771" xr:uid="{6506936E-65ED-4EDC-AACE-B60A9254413E}"/>
    <cellStyle name="Normal 9 9 2 3" xfId="53772" xr:uid="{775BA393-CC80-414D-B704-539D4933E00D}"/>
    <cellStyle name="Normal 9 9 2 3 2" xfId="53773" xr:uid="{0F707A73-D5CA-4BF3-BCE6-0C2C6EF5E704}"/>
    <cellStyle name="Normal 9 9 2 4" xfId="53774" xr:uid="{203EAC3D-8112-4486-8F36-B00C07B50F9D}"/>
    <cellStyle name="Normal 9 9 3" xfId="53775" xr:uid="{36CAB5D2-5E72-4D0B-9803-B9AC47BE4106}"/>
    <cellStyle name="Normal 9 9 3 2" xfId="53776" xr:uid="{62C07E3F-6488-417D-ABCF-F83D585B0D3E}"/>
    <cellStyle name="Normal 9 9 3 2 2" xfId="53777" xr:uid="{A21BA01B-6879-4C8B-91C0-104712F8D660}"/>
    <cellStyle name="Normal 9 9 3 3" xfId="53778" xr:uid="{6F4BAFED-E1C1-49C1-A080-4CCA61193538}"/>
    <cellStyle name="Normal 9 9 4" xfId="53779" xr:uid="{B6870D11-38B4-4F01-9628-F4433527C605}"/>
    <cellStyle name="Normal 9 9 4 2" xfId="53780" xr:uid="{65F22C5A-5BD9-4752-9248-FCE33ED3FA99}"/>
    <cellStyle name="Normal 9 9 5" xfId="53781" xr:uid="{CEF64979-7917-48D3-BEAB-2F940C1E4F5B}"/>
    <cellStyle name="Note 10" xfId="53782" xr:uid="{E58002C9-6F51-4946-A68A-18A2FEFB9253}"/>
    <cellStyle name="Note 11" xfId="53783" xr:uid="{71F54B95-A30D-42A1-91CE-2C74137EEEFC}"/>
    <cellStyle name="Note 2" xfId="53784" xr:uid="{774E44F3-D7B5-4657-9B31-7CDA681A84A1}"/>
    <cellStyle name="Note 2 2" xfId="53785" xr:uid="{2CF23B1B-B97A-4512-AA62-292EE95A7302}"/>
    <cellStyle name="Note 2 3" xfId="53786" xr:uid="{880A3D94-D721-4926-B5A3-F659A5EC09E5}"/>
    <cellStyle name="Note 2 4" xfId="53787" xr:uid="{20D52193-2431-43FA-9BE9-E10DE6C0D3F8}"/>
    <cellStyle name="Note 2 5" xfId="53788" xr:uid="{D14DFD27-6964-4518-99F7-D6851B137CE5}"/>
    <cellStyle name="Note 2 6" xfId="53789" xr:uid="{BCA44C2A-C2C9-411D-A6C9-F3E848F6A335}"/>
    <cellStyle name="Note 2 7" xfId="53790" xr:uid="{925CA5D6-1F1E-4951-83D9-FD6C6CB8A0F5}"/>
    <cellStyle name="Note 2 8" xfId="53791" xr:uid="{75150167-1161-47F8-BB44-A2EA2B0E0981}"/>
    <cellStyle name="Note 2 8 10" xfId="53792" xr:uid="{639D43A4-D440-4466-AA26-525969CB4A9A}"/>
    <cellStyle name="Note 2 8 10 2" xfId="53793" xr:uid="{539A2A3E-9AC4-4C7E-BEA6-52CFCFF77970}"/>
    <cellStyle name="Note 2 8 10 2 2" xfId="53794" xr:uid="{3D91A204-3D20-4735-822F-A4C4DF25B6C8}"/>
    <cellStyle name="Note 2 8 10 3" xfId="53795" xr:uid="{B96B9A4C-92B1-45F9-960B-AFDD5A3EB329}"/>
    <cellStyle name="Note 2 8 11" xfId="53796" xr:uid="{B1BEC9E6-7D85-4144-9E86-9F6733288596}"/>
    <cellStyle name="Note 2 8 11 2" xfId="53797" xr:uid="{F4E5B893-FA1D-4E4A-B016-318134A9C7AE}"/>
    <cellStyle name="Note 2 8 12" xfId="53798" xr:uid="{E5B0A187-DE05-4EC9-AD40-BE716D24F73E}"/>
    <cellStyle name="Note 2 8 13" xfId="54782" xr:uid="{9B06E38A-55DB-4B81-9A59-13E688095010}"/>
    <cellStyle name="Note 2 8 2" xfId="53799" xr:uid="{F517EA3F-4789-4CE4-90BA-71BCCAEDE043}"/>
    <cellStyle name="Note 2 8 2 10" xfId="53800" xr:uid="{23477BB0-ACD8-4E51-8AF8-6F051A783C5D}"/>
    <cellStyle name="Note 2 8 2 10 2" xfId="53801" xr:uid="{7319AA38-B27A-4131-9B96-F0717A28C756}"/>
    <cellStyle name="Note 2 8 2 11" xfId="53802" xr:uid="{88BB2B2D-503B-46F0-8265-08B237ABAC34}"/>
    <cellStyle name="Note 2 8 2 2" xfId="53803" xr:uid="{28D1E5D9-7DB9-4124-AA40-ACFD0F7869E1}"/>
    <cellStyle name="Note 2 8 2 2 2" xfId="53804" xr:uid="{1B8D60C2-A501-4F85-8B13-4950E517DE48}"/>
    <cellStyle name="Note 2 8 2 2 2 2" xfId="53805" xr:uid="{B6E36B32-A771-404B-BB93-C9DD8EF37D12}"/>
    <cellStyle name="Note 2 8 2 2 2 2 2" xfId="53806" xr:uid="{483E6EAB-E7A0-4322-AA9E-A1DC60514B24}"/>
    <cellStyle name="Note 2 8 2 2 2 2 2 2" xfId="53807" xr:uid="{86664FAB-FD3B-48F6-A9D7-BE4D5A285BF0}"/>
    <cellStyle name="Note 2 8 2 2 2 2 2 2 2" xfId="53808" xr:uid="{329F8378-4602-4009-89E5-41B30372D01A}"/>
    <cellStyle name="Note 2 8 2 2 2 2 2 2 2 2" xfId="53809" xr:uid="{9DFD28A3-59C6-420D-9C34-1642FBF2EFED}"/>
    <cellStyle name="Note 2 8 2 2 2 2 2 2 2 2 2" xfId="53810" xr:uid="{83120EFE-B2C7-4658-A55F-12DF9CE5D38C}"/>
    <cellStyle name="Note 2 8 2 2 2 2 2 2 2 3" xfId="53811" xr:uid="{A2814721-E039-4878-8A8B-A15058BABFF2}"/>
    <cellStyle name="Note 2 8 2 2 2 2 2 2 3" xfId="53812" xr:uid="{F0DB88E0-8C63-4774-BAFA-D167EBF94113}"/>
    <cellStyle name="Note 2 8 2 2 2 2 2 2 3 2" xfId="53813" xr:uid="{49E2E97A-4F51-43C5-899A-A75CC09F8FC4}"/>
    <cellStyle name="Note 2 8 2 2 2 2 2 2 4" xfId="53814" xr:uid="{72B534E6-2C58-469B-98CD-D947570A4374}"/>
    <cellStyle name="Note 2 8 2 2 2 2 2 3" xfId="53815" xr:uid="{68A1CFA3-D307-41FE-A932-01F48333E2EC}"/>
    <cellStyle name="Note 2 8 2 2 2 2 2 3 2" xfId="53816" xr:uid="{650AA377-577E-4056-9C87-406651F44ED8}"/>
    <cellStyle name="Note 2 8 2 2 2 2 2 3 2 2" xfId="53817" xr:uid="{2B864344-92F8-4034-BCD8-BC63EFDDBDAA}"/>
    <cellStyle name="Note 2 8 2 2 2 2 2 3 3" xfId="53818" xr:uid="{4DA3E5B9-B3A6-4C92-AD70-6C9DAEB2AF50}"/>
    <cellStyle name="Note 2 8 2 2 2 2 2 4" xfId="53819" xr:uid="{39B3D285-B4F8-4B91-9255-B6AA57A9995A}"/>
    <cellStyle name="Note 2 8 2 2 2 2 2 4 2" xfId="53820" xr:uid="{3A7FAA09-8D56-4816-B45C-0BE9E9472984}"/>
    <cellStyle name="Note 2 8 2 2 2 2 2 5" xfId="53821" xr:uid="{C089D1AB-A78E-4B3C-A95E-A9379B7365E0}"/>
    <cellStyle name="Note 2 8 2 2 2 2 3" xfId="53822" xr:uid="{A27AABA0-A306-437F-88C0-B13A6C9653F3}"/>
    <cellStyle name="Note 2 8 2 2 2 2 3 2" xfId="53823" xr:uid="{7F7C1106-DED6-4038-8BDB-71E43CA3DABB}"/>
    <cellStyle name="Note 2 8 2 2 2 2 3 2 2" xfId="53824" xr:uid="{7B6EF026-B1C8-47C0-B87C-8424E7691A68}"/>
    <cellStyle name="Note 2 8 2 2 2 2 3 2 2 2" xfId="53825" xr:uid="{526FCF08-1C18-44CA-994E-347D5A9C0146}"/>
    <cellStyle name="Note 2 8 2 2 2 2 3 2 3" xfId="53826" xr:uid="{B28E1D8B-6618-4D40-8DC2-7B7AF99C43A9}"/>
    <cellStyle name="Note 2 8 2 2 2 2 3 3" xfId="53827" xr:uid="{2C615626-42B9-4A94-94E3-0CF6494401A6}"/>
    <cellStyle name="Note 2 8 2 2 2 2 3 3 2" xfId="53828" xr:uid="{518B3A75-9DFD-41E6-89F9-E7CA5E558AAA}"/>
    <cellStyle name="Note 2 8 2 2 2 2 3 4" xfId="53829" xr:uid="{3D5A2EBA-30D8-40E4-9399-F62BBD3F613C}"/>
    <cellStyle name="Note 2 8 2 2 2 2 4" xfId="53830" xr:uid="{1EEF578B-F677-4D2E-B9BC-9F19BE98A422}"/>
    <cellStyle name="Note 2 8 2 2 2 2 4 2" xfId="53831" xr:uid="{9DF2BDA8-F241-412B-B858-499CFF887C33}"/>
    <cellStyle name="Note 2 8 2 2 2 2 4 2 2" xfId="53832" xr:uid="{19909B3F-6B06-49CB-ACC7-F189AEEEC0D7}"/>
    <cellStyle name="Note 2 8 2 2 2 2 4 3" xfId="53833" xr:uid="{D8067719-6B6A-401E-8952-8490654B0FD8}"/>
    <cellStyle name="Note 2 8 2 2 2 2 5" xfId="53834" xr:uid="{AAD22B3B-114E-446E-BCAC-6BB49A401853}"/>
    <cellStyle name="Note 2 8 2 2 2 2 5 2" xfId="53835" xr:uid="{EF658CE0-F3D7-4696-9022-5D5C25A49CA6}"/>
    <cellStyle name="Note 2 8 2 2 2 2 6" xfId="53836" xr:uid="{4CE8272A-D67A-452A-A269-A2539EA58BC6}"/>
    <cellStyle name="Note 2 8 2 2 2 3" xfId="53837" xr:uid="{399353D7-C89E-40BC-A55D-A1C882F6042F}"/>
    <cellStyle name="Note 2 8 2 2 2 3 2" xfId="53838" xr:uid="{42D7C079-6E1C-458B-A9EF-640AB43EB539}"/>
    <cellStyle name="Note 2 8 2 2 2 3 2 2" xfId="53839" xr:uid="{4B2E4D14-D436-4631-BCBE-A6DF83ACE5DB}"/>
    <cellStyle name="Note 2 8 2 2 2 3 2 2 2" xfId="53840" xr:uid="{10721BDD-4EFD-4366-8768-5114DF5DF81C}"/>
    <cellStyle name="Note 2 8 2 2 2 3 2 2 2 2" xfId="53841" xr:uid="{8EEC40F1-C1CB-4100-BCA9-C5779790E93B}"/>
    <cellStyle name="Note 2 8 2 2 2 3 2 2 3" xfId="53842" xr:uid="{2C05E4C2-9106-4088-AF02-7932138D42F0}"/>
    <cellStyle name="Note 2 8 2 2 2 3 2 3" xfId="53843" xr:uid="{DE4F9881-2C43-41EC-BB20-135D192C313D}"/>
    <cellStyle name="Note 2 8 2 2 2 3 2 3 2" xfId="53844" xr:uid="{904EE255-C775-41E1-B191-CEDA3C2B9956}"/>
    <cellStyle name="Note 2 8 2 2 2 3 2 4" xfId="53845" xr:uid="{CECE7216-1205-4CE9-BBF1-518F83B7D023}"/>
    <cellStyle name="Note 2 8 2 2 2 3 3" xfId="53846" xr:uid="{3A76D887-41AF-4239-88EB-5ED5B40FEEAC}"/>
    <cellStyle name="Note 2 8 2 2 2 3 3 2" xfId="53847" xr:uid="{09C91067-4742-463E-9248-11D3ABAE9BC4}"/>
    <cellStyle name="Note 2 8 2 2 2 3 3 2 2" xfId="53848" xr:uid="{CDAE3DA9-0EED-4BDA-9EC1-70E6B1855754}"/>
    <cellStyle name="Note 2 8 2 2 2 3 3 3" xfId="53849" xr:uid="{7522E1AA-9EB1-4EF7-AA03-B56B472C7E5E}"/>
    <cellStyle name="Note 2 8 2 2 2 3 4" xfId="53850" xr:uid="{A6F25C6C-3B6D-4C2F-9ABF-37F4CC7B0255}"/>
    <cellStyle name="Note 2 8 2 2 2 3 4 2" xfId="53851" xr:uid="{E53773B3-FAC4-4780-B3AE-D503C985F690}"/>
    <cellStyle name="Note 2 8 2 2 2 3 5" xfId="53852" xr:uid="{830B06E3-E1E3-40BC-8DD1-403160AA3103}"/>
    <cellStyle name="Note 2 8 2 2 2 4" xfId="53853" xr:uid="{76CC60DF-0BE1-4AE9-8581-477FDF51DEDC}"/>
    <cellStyle name="Note 2 8 2 2 2 4 2" xfId="53854" xr:uid="{F51A7845-EB87-4090-93A8-52733F1A7F71}"/>
    <cellStyle name="Note 2 8 2 2 2 4 2 2" xfId="53855" xr:uid="{79588AD5-F5CB-4264-BC95-856B67A9A621}"/>
    <cellStyle name="Note 2 8 2 2 2 4 2 2 2" xfId="53856" xr:uid="{4BA57A06-D0AF-438C-9015-5E9D19B8EE86}"/>
    <cellStyle name="Note 2 8 2 2 2 4 2 3" xfId="53857" xr:uid="{D00D4138-F47E-41BC-8FD9-AFB9C40FA1E0}"/>
    <cellStyle name="Note 2 8 2 2 2 4 3" xfId="53858" xr:uid="{AD68E1EE-CB24-49C7-B364-1DB2F5AC0297}"/>
    <cellStyle name="Note 2 8 2 2 2 4 3 2" xfId="53859" xr:uid="{D0D95D7A-BA58-4A18-BE91-6DA3A2DED264}"/>
    <cellStyle name="Note 2 8 2 2 2 4 4" xfId="53860" xr:uid="{441C346C-3C63-4B0D-A090-DE2E18D96F2C}"/>
    <cellStyle name="Note 2 8 2 2 2 5" xfId="53861" xr:uid="{BF97F001-8AFF-4F7E-8DA3-6ECB0CCE74C4}"/>
    <cellStyle name="Note 2 8 2 2 2 5 2" xfId="53862" xr:uid="{1D689707-9AD2-4924-8697-1F0118162393}"/>
    <cellStyle name="Note 2 8 2 2 2 5 2 2" xfId="53863" xr:uid="{5FEAACFF-0B6E-4392-9BE1-3CE03C58D00E}"/>
    <cellStyle name="Note 2 8 2 2 2 5 3" xfId="53864" xr:uid="{27AB7ACB-366D-4E2C-A484-47A462B637BD}"/>
    <cellStyle name="Note 2 8 2 2 2 6" xfId="53865" xr:uid="{B510DDE8-6FC1-4448-8B7F-FC6F1866B680}"/>
    <cellStyle name="Note 2 8 2 2 2 6 2" xfId="53866" xr:uid="{202306B4-2B73-4B2B-9364-27ADCF133269}"/>
    <cellStyle name="Note 2 8 2 2 2 7" xfId="53867" xr:uid="{7DD4551E-1376-4AFE-98AC-414D59243ED9}"/>
    <cellStyle name="Note 2 8 2 2 3" xfId="53868" xr:uid="{9ED9F1CB-C196-40FA-815B-08467AC098B9}"/>
    <cellStyle name="Note 2 8 2 2 3 2" xfId="53869" xr:uid="{7ACFCA1B-FEB4-49EE-A95B-452E70031685}"/>
    <cellStyle name="Note 2 8 2 2 3 2 2" xfId="53870" xr:uid="{776F608B-344E-4B3F-9F55-C36B8215B170}"/>
    <cellStyle name="Note 2 8 2 2 3 2 2 2" xfId="53871" xr:uid="{A727A3E4-545C-435C-BCAD-3658B1FD7556}"/>
    <cellStyle name="Note 2 8 2 2 3 2 2 2 2" xfId="53872" xr:uid="{A3FE3E64-D3B8-41CA-96D6-D4A1056365EE}"/>
    <cellStyle name="Note 2 8 2 2 3 2 2 2 2 2" xfId="53873" xr:uid="{0BE45FF7-4289-4C0E-B24B-506B03D7776F}"/>
    <cellStyle name="Note 2 8 2 2 3 2 2 2 3" xfId="53874" xr:uid="{1D5733AC-AC0F-434B-8F23-EB3E4182900D}"/>
    <cellStyle name="Note 2 8 2 2 3 2 2 3" xfId="53875" xr:uid="{3C637F2A-C6FC-4799-A898-95B4466A1E84}"/>
    <cellStyle name="Note 2 8 2 2 3 2 2 3 2" xfId="53876" xr:uid="{268F9888-6A34-4092-ACD2-2D37FD4253B8}"/>
    <cellStyle name="Note 2 8 2 2 3 2 2 4" xfId="53877" xr:uid="{D3EDAAAA-3F55-4E96-811B-BED7062F4228}"/>
    <cellStyle name="Note 2 8 2 2 3 2 3" xfId="53878" xr:uid="{5AE53334-1C88-4068-A65F-448F14F68BA5}"/>
    <cellStyle name="Note 2 8 2 2 3 2 3 2" xfId="53879" xr:uid="{BA5012BB-5478-417C-AAE3-DD22E52F6CD2}"/>
    <cellStyle name="Note 2 8 2 2 3 2 3 2 2" xfId="53880" xr:uid="{8008727B-2711-42F9-A3FB-52A7E2FA3E2B}"/>
    <cellStyle name="Note 2 8 2 2 3 2 3 3" xfId="53881" xr:uid="{85CA0520-25F8-4A2C-BF37-9A0F192CA399}"/>
    <cellStyle name="Note 2 8 2 2 3 2 4" xfId="53882" xr:uid="{0669154D-AE00-46E5-BA56-BAED91270B22}"/>
    <cellStyle name="Note 2 8 2 2 3 2 4 2" xfId="53883" xr:uid="{DEBE0471-0955-4C6A-92F5-BDCB5833A9D5}"/>
    <cellStyle name="Note 2 8 2 2 3 2 5" xfId="53884" xr:uid="{8A6D21B2-E6FA-44E7-B41C-3B5B7C20169C}"/>
    <cellStyle name="Note 2 8 2 2 3 3" xfId="53885" xr:uid="{1D5B4CB1-60D0-4AFB-89B9-B154744CE439}"/>
    <cellStyle name="Note 2 8 2 2 3 3 2" xfId="53886" xr:uid="{024D0CEB-A7E0-4B53-ADFA-A3839D8B62B5}"/>
    <cellStyle name="Note 2 8 2 2 3 3 2 2" xfId="53887" xr:uid="{0E533194-C7E7-47E7-855A-2AB8B8E1DC7E}"/>
    <cellStyle name="Note 2 8 2 2 3 3 2 2 2" xfId="53888" xr:uid="{892ECCFB-1732-4F5D-9444-BC3041E6C98F}"/>
    <cellStyle name="Note 2 8 2 2 3 3 2 3" xfId="53889" xr:uid="{547031EF-EB5F-481C-9259-1995D91D98C8}"/>
    <cellStyle name="Note 2 8 2 2 3 3 3" xfId="53890" xr:uid="{7A40E1DF-1D47-4E08-BEAC-45CE8D816CBC}"/>
    <cellStyle name="Note 2 8 2 2 3 3 3 2" xfId="53891" xr:uid="{AEDC6F4C-C841-440D-9B48-F7A25DD132ED}"/>
    <cellStyle name="Note 2 8 2 2 3 3 4" xfId="53892" xr:uid="{88A7C4D8-5CF4-4252-8F45-7257A6A0ECD2}"/>
    <cellStyle name="Note 2 8 2 2 3 4" xfId="53893" xr:uid="{69DC2F51-EB12-430F-9FC1-183F48C77980}"/>
    <cellStyle name="Note 2 8 2 2 3 4 2" xfId="53894" xr:uid="{CC36372E-9B56-47E4-812F-B693D6D9B23D}"/>
    <cellStyle name="Note 2 8 2 2 3 4 2 2" xfId="53895" xr:uid="{5968F6A4-053A-445E-9AAC-40AD8032BDAF}"/>
    <cellStyle name="Note 2 8 2 2 3 4 3" xfId="53896" xr:uid="{9890446B-7DBC-4252-AF1B-3FC4C89430E0}"/>
    <cellStyle name="Note 2 8 2 2 3 5" xfId="53897" xr:uid="{F0D2E866-4C77-483F-9C86-7F4C6AEC27C1}"/>
    <cellStyle name="Note 2 8 2 2 3 5 2" xfId="53898" xr:uid="{E50678E6-331E-4646-85DF-2678ACCEEB6F}"/>
    <cellStyle name="Note 2 8 2 2 3 6" xfId="53899" xr:uid="{6C66C978-D6B2-4F09-8339-977CDD048345}"/>
    <cellStyle name="Note 2 8 2 2 4" xfId="53900" xr:uid="{7F2861B2-C057-4801-ABB1-F332223FED05}"/>
    <cellStyle name="Note 2 8 2 2 4 2" xfId="53901" xr:uid="{9B259785-E2F0-4457-927A-538FE428BB1B}"/>
    <cellStyle name="Note 2 8 2 2 4 2 2" xfId="53902" xr:uid="{09A184D1-B2B5-47F6-9E26-9A614613E311}"/>
    <cellStyle name="Note 2 8 2 2 4 2 2 2" xfId="53903" xr:uid="{FC4F6217-3CAB-489F-9533-D461E6598B1C}"/>
    <cellStyle name="Note 2 8 2 2 4 2 2 2 2" xfId="53904" xr:uid="{26DE4319-9494-4510-807C-09C9F5F5E8F9}"/>
    <cellStyle name="Note 2 8 2 2 4 2 2 3" xfId="53905" xr:uid="{49D288E3-67C6-454B-BE21-ECA67074F1BD}"/>
    <cellStyle name="Note 2 8 2 2 4 2 3" xfId="53906" xr:uid="{A8B1BE60-4B09-4F3B-A768-45D1D9C93867}"/>
    <cellStyle name="Note 2 8 2 2 4 2 3 2" xfId="53907" xr:uid="{3DE2D539-641C-4DCB-AA80-5B14CFF6AA81}"/>
    <cellStyle name="Note 2 8 2 2 4 2 4" xfId="53908" xr:uid="{D8CC5489-5D48-4447-B0C4-AE2437649FF1}"/>
    <cellStyle name="Note 2 8 2 2 4 3" xfId="53909" xr:uid="{080B7B17-C637-46C9-8A35-64238152A064}"/>
    <cellStyle name="Note 2 8 2 2 4 3 2" xfId="53910" xr:uid="{7C537599-1CFC-441A-8C3B-329193C60E13}"/>
    <cellStyle name="Note 2 8 2 2 4 3 2 2" xfId="53911" xr:uid="{926F4CDA-74B4-4113-BE59-6B55DC232E80}"/>
    <cellStyle name="Note 2 8 2 2 4 3 3" xfId="53912" xr:uid="{CBBF4CB2-BD59-4B23-AC42-34024C774ACD}"/>
    <cellStyle name="Note 2 8 2 2 4 4" xfId="53913" xr:uid="{3638D037-8F64-48A9-B7D3-26DC68749C5C}"/>
    <cellStyle name="Note 2 8 2 2 4 4 2" xfId="53914" xr:uid="{8801517B-12A1-4E1E-8FCF-C2EE365E96BC}"/>
    <cellStyle name="Note 2 8 2 2 4 5" xfId="53915" xr:uid="{0C6BD88B-89D1-4884-AA52-9ECE96136E69}"/>
    <cellStyle name="Note 2 8 2 2 5" xfId="53916" xr:uid="{23604695-EB2B-46DF-9E90-270D3668CB68}"/>
    <cellStyle name="Note 2 8 2 2 5 2" xfId="53917" xr:uid="{B4466A52-D2D3-4ED4-90C2-A02A01F5236C}"/>
    <cellStyle name="Note 2 8 2 2 5 2 2" xfId="53918" xr:uid="{3C7A671D-FF35-4D23-A2BC-AA300BAD20AE}"/>
    <cellStyle name="Note 2 8 2 2 5 2 2 2" xfId="53919" xr:uid="{6B4D5943-BC49-4900-B932-30003072AF43}"/>
    <cellStyle name="Note 2 8 2 2 5 2 3" xfId="53920" xr:uid="{24ED9B7C-5CA4-447B-9C0A-979A566F39B7}"/>
    <cellStyle name="Note 2 8 2 2 5 3" xfId="53921" xr:uid="{1F3C7BEF-D72D-42F8-9774-DFE580DED582}"/>
    <cellStyle name="Note 2 8 2 2 5 3 2" xfId="53922" xr:uid="{39CB8FA8-4389-4D04-9FB8-224E0FA321AF}"/>
    <cellStyle name="Note 2 8 2 2 5 4" xfId="53923" xr:uid="{24D45F37-7CC4-4111-A108-69DCFE0C8E32}"/>
    <cellStyle name="Note 2 8 2 2 6" xfId="53924" xr:uid="{B68A5F98-CDFC-4847-BBC3-B70D14DAF8A2}"/>
    <cellStyle name="Note 2 8 2 2 6 2" xfId="53925" xr:uid="{6902913C-5B2C-4BC3-9F11-A3FE7C56A701}"/>
    <cellStyle name="Note 2 8 2 2 6 2 2" xfId="53926" xr:uid="{16CC2736-DCDA-4FAC-8806-8462F2A91102}"/>
    <cellStyle name="Note 2 8 2 2 6 3" xfId="53927" xr:uid="{70027149-B0CC-4277-AA55-924E5DD20BD9}"/>
    <cellStyle name="Note 2 8 2 2 7" xfId="53928" xr:uid="{D902927D-99FF-4AE7-9BA5-2E6CE08FFA79}"/>
    <cellStyle name="Note 2 8 2 2 7 2" xfId="53929" xr:uid="{7916A93E-2255-4406-99DA-2A92B245A2AD}"/>
    <cellStyle name="Note 2 8 2 2 8" xfId="53930" xr:uid="{1AA565D5-9D16-45E6-9584-DBDE36D99733}"/>
    <cellStyle name="Note 2 8 2 3" xfId="53931" xr:uid="{B5369393-F2C9-4620-BC88-6D99C9532D49}"/>
    <cellStyle name="Note 2 8 2 4" xfId="53932" xr:uid="{9A2CFB8D-2FEC-4749-9ED1-AC6FEB681EB2}"/>
    <cellStyle name="Note 2 8 2 4 2" xfId="53933" xr:uid="{2FF99096-96A0-4C3B-B6FF-A994E1540A76}"/>
    <cellStyle name="Note 2 8 2 4 2 2" xfId="53934" xr:uid="{B7283A72-A6AB-412F-AAC0-5EBBD23260DA}"/>
    <cellStyle name="Note 2 8 2 4 2 2 2" xfId="53935" xr:uid="{9491E69E-522D-46A1-BA5A-25613E27A5BB}"/>
    <cellStyle name="Note 2 8 2 4 2 2 2 2" xfId="53936" xr:uid="{073CE49E-DEB9-4A52-B35C-D5C632AAFFA8}"/>
    <cellStyle name="Note 2 8 2 4 2 2 2 2 2" xfId="53937" xr:uid="{7733BC06-C617-4719-AE47-6A1D9F9157AC}"/>
    <cellStyle name="Note 2 8 2 4 2 2 2 2 2 2" xfId="53938" xr:uid="{64136FB2-BF11-4784-948C-E6187D04E1CD}"/>
    <cellStyle name="Note 2 8 2 4 2 2 2 2 2 2 2" xfId="53939" xr:uid="{B1CE7A79-2780-4023-8E92-65964616C0B6}"/>
    <cellStyle name="Note 2 8 2 4 2 2 2 2 2 3" xfId="53940" xr:uid="{349C17C9-281F-4B67-8D40-A1297A09BB32}"/>
    <cellStyle name="Note 2 8 2 4 2 2 2 2 3" xfId="53941" xr:uid="{4A6C2700-6522-4A37-9DC1-3169778544F2}"/>
    <cellStyle name="Note 2 8 2 4 2 2 2 2 3 2" xfId="53942" xr:uid="{63E9C08C-0CE6-4EB5-8438-DE2D57965140}"/>
    <cellStyle name="Note 2 8 2 4 2 2 2 2 4" xfId="53943" xr:uid="{02C4D557-DE3D-4F02-97C5-9DBC990EC923}"/>
    <cellStyle name="Note 2 8 2 4 2 2 2 3" xfId="53944" xr:uid="{06E34C32-9758-4DED-9CD7-185BDDCBAD5B}"/>
    <cellStyle name="Note 2 8 2 4 2 2 2 3 2" xfId="53945" xr:uid="{6EF2565E-BCF1-495C-983C-F5F7ED3F5429}"/>
    <cellStyle name="Note 2 8 2 4 2 2 2 3 2 2" xfId="53946" xr:uid="{08E7A2F5-3AD2-42BD-8823-BF102CB122EB}"/>
    <cellStyle name="Note 2 8 2 4 2 2 2 3 3" xfId="53947" xr:uid="{91767170-4A2E-46C4-88E0-CEEC2CE827F6}"/>
    <cellStyle name="Note 2 8 2 4 2 2 2 4" xfId="53948" xr:uid="{575DC156-5CBF-4CFB-B533-F55E444A6662}"/>
    <cellStyle name="Note 2 8 2 4 2 2 2 4 2" xfId="53949" xr:uid="{71906F9E-7564-4213-9885-5FA8D1D7B7D8}"/>
    <cellStyle name="Note 2 8 2 4 2 2 2 5" xfId="53950" xr:uid="{526A54DD-7C92-4461-8EF8-41D8C65FA600}"/>
    <cellStyle name="Note 2 8 2 4 2 2 3" xfId="53951" xr:uid="{C3C96C97-BCDA-43B8-AD4B-8C7ADC9D5F17}"/>
    <cellStyle name="Note 2 8 2 4 2 2 3 2" xfId="53952" xr:uid="{65851CFE-8D08-4633-9C28-E43FE2E457D1}"/>
    <cellStyle name="Note 2 8 2 4 2 2 3 2 2" xfId="53953" xr:uid="{FE887A1A-C30C-4257-B886-40E88104F157}"/>
    <cellStyle name="Note 2 8 2 4 2 2 3 2 2 2" xfId="53954" xr:uid="{43F472FA-46DB-4AC5-9AE6-F979896939F2}"/>
    <cellStyle name="Note 2 8 2 4 2 2 3 2 3" xfId="53955" xr:uid="{771B8331-E018-472D-8E4F-F530C3AC18FD}"/>
    <cellStyle name="Note 2 8 2 4 2 2 3 3" xfId="53956" xr:uid="{3C097748-9837-41F9-8C4F-07399DD94701}"/>
    <cellStyle name="Note 2 8 2 4 2 2 3 3 2" xfId="53957" xr:uid="{5E1F9A29-7D6B-4C99-886F-E0B8E23FFD1C}"/>
    <cellStyle name="Note 2 8 2 4 2 2 3 4" xfId="53958" xr:uid="{C4775C60-16BA-44D6-98F0-F735E29706F8}"/>
    <cellStyle name="Note 2 8 2 4 2 2 4" xfId="53959" xr:uid="{FB26A3AA-3990-44E0-B0C2-A57B92F68A81}"/>
    <cellStyle name="Note 2 8 2 4 2 2 4 2" xfId="53960" xr:uid="{2BA5E5DA-DA8D-4C41-922E-E49591FC0A5D}"/>
    <cellStyle name="Note 2 8 2 4 2 2 4 2 2" xfId="53961" xr:uid="{712FCAB5-884F-4EEE-9828-21D36EC0DE90}"/>
    <cellStyle name="Note 2 8 2 4 2 2 4 3" xfId="53962" xr:uid="{0096F683-1D26-4B9D-8F75-F0D219E7F7D5}"/>
    <cellStyle name="Note 2 8 2 4 2 2 5" xfId="53963" xr:uid="{6F518A9A-E61D-478A-A868-C3A24EA3D75F}"/>
    <cellStyle name="Note 2 8 2 4 2 2 5 2" xfId="53964" xr:uid="{CC4B3483-FE8D-4402-8237-32B82598DA1D}"/>
    <cellStyle name="Note 2 8 2 4 2 2 6" xfId="53965" xr:uid="{C89ED299-8F4E-4ABD-8961-1A432CC4E714}"/>
    <cellStyle name="Note 2 8 2 4 2 3" xfId="53966" xr:uid="{C332F7C1-FF07-43C8-909E-EBE6F94DD3A4}"/>
    <cellStyle name="Note 2 8 2 4 2 3 2" xfId="53967" xr:uid="{3715D223-3245-4B77-A3DC-EA04169024DD}"/>
    <cellStyle name="Note 2 8 2 4 2 3 2 2" xfId="53968" xr:uid="{DC027D7A-7FAA-42D4-9831-DF530D557C73}"/>
    <cellStyle name="Note 2 8 2 4 2 3 2 2 2" xfId="53969" xr:uid="{404DD7CB-EA5B-4C88-862A-0A937366697F}"/>
    <cellStyle name="Note 2 8 2 4 2 3 2 2 2 2" xfId="53970" xr:uid="{EC139B45-E7EF-4D28-8362-DF6B0A7672A1}"/>
    <cellStyle name="Note 2 8 2 4 2 3 2 2 3" xfId="53971" xr:uid="{5932ECE7-8A7A-4BD9-930E-002E56430CBB}"/>
    <cellStyle name="Note 2 8 2 4 2 3 2 3" xfId="53972" xr:uid="{0E097843-2A22-4BD5-96CD-022EF0CDACBD}"/>
    <cellStyle name="Note 2 8 2 4 2 3 2 3 2" xfId="53973" xr:uid="{47FD2E0F-CBEE-4CC6-9BE6-3528A0C934B0}"/>
    <cellStyle name="Note 2 8 2 4 2 3 2 4" xfId="53974" xr:uid="{0410CA49-0026-4454-B629-D516AD5143E0}"/>
    <cellStyle name="Note 2 8 2 4 2 3 3" xfId="53975" xr:uid="{6B29AE44-1304-4A72-98AC-6D97AF1B3F67}"/>
    <cellStyle name="Note 2 8 2 4 2 3 3 2" xfId="53976" xr:uid="{B4268CBF-93C6-455F-9085-02093395F088}"/>
    <cellStyle name="Note 2 8 2 4 2 3 3 2 2" xfId="53977" xr:uid="{C5764D12-F96C-4429-8708-760F7A83BC28}"/>
    <cellStyle name="Note 2 8 2 4 2 3 3 3" xfId="53978" xr:uid="{A7D345C0-B8B1-417E-B924-B33BF909086E}"/>
    <cellStyle name="Note 2 8 2 4 2 3 4" xfId="53979" xr:uid="{8549336E-E336-476E-B96F-B2A993D4D965}"/>
    <cellStyle name="Note 2 8 2 4 2 3 4 2" xfId="53980" xr:uid="{7A752271-54C5-4432-A4A1-197F0F8E76B4}"/>
    <cellStyle name="Note 2 8 2 4 2 3 5" xfId="53981" xr:uid="{1331A428-A348-43B0-93D1-F531EF2C4398}"/>
    <cellStyle name="Note 2 8 2 4 2 4" xfId="53982" xr:uid="{64D41B41-7126-48D9-9AB8-2B8D125B02EB}"/>
    <cellStyle name="Note 2 8 2 4 2 4 2" xfId="53983" xr:uid="{8A976AA0-1BE3-451E-8DB5-91F6E22DBD5A}"/>
    <cellStyle name="Note 2 8 2 4 2 4 2 2" xfId="53984" xr:uid="{1B731607-1FC0-4DF9-BA4C-99E531E79C9B}"/>
    <cellStyle name="Note 2 8 2 4 2 4 2 2 2" xfId="53985" xr:uid="{6242376C-2810-4B62-88E0-01315B61E355}"/>
    <cellStyle name="Note 2 8 2 4 2 4 2 3" xfId="53986" xr:uid="{47E7035A-2D4E-48C6-B6AC-5F2FED36E726}"/>
    <cellStyle name="Note 2 8 2 4 2 4 3" xfId="53987" xr:uid="{25A9B2CA-DEF1-4D25-A5D8-53CF4B4FBAF2}"/>
    <cellStyle name="Note 2 8 2 4 2 4 3 2" xfId="53988" xr:uid="{E72C5F66-0314-4A6B-AA82-0EE20A91639E}"/>
    <cellStyle name="Note 2 8 2 4 2 4 4" xfId="53989" xr:uid="{DEC90683-839B-4845-9EDC-35C921916E52}"/>
    <cellStyle name="Note 2 8 2 4 2 5" xfId="53990" xr:uid="{21A78342-F7D8-4B35-AFC4-B1236D3D8E7B}"/>
    <cellStyle name="Note 2 8 2 4 2 5 2" xfId="53991" xr:uid="{05A0250E-C0EF-4844-98C6-27DF2771AD57}"/>
    <cellStyle name="Note 2 8 2 4 2 5 2 2" xfId="53992" xr:uid="{4938423C-01FA-48F8-925E-5C0D8B1EA34C}"/>
    <cellStyle name="Note 2 8 2 4 2 5 3" xfId="53993" xr:uid="{CCE144A6-FAEF-4651-AA13-708B5AEFCA59}"/>
    <cellStyle name="Note 2 8 2 4 2 6" xfId="53994" xr:uid="{837C1BAD-AFBC-4EE2-8BD0-FB986EBE88A9}"/>
    <cellStyle name="Note 2 8 2 4 2 6 2" xfId="53995" xr:uid="{2E29B901-672D-492B-8A04-553388C3B991}"/>
    <cellStyle name="Note 2 8 2 4 2 7" xfId="53996" xr:uid="{08D0420F-C233-4762-9E12-C3AC82ECAEC3}"/>
    <cellStyle name="Note 2 8 2 4 3" xfId="53997" xr:uid="{CC817340-225F-4A77-8F38-DE2BADFA60F6}"/>
    <cellStyle name="Note 2 8 2 4 3 2" xfId="53998" xr:uid="{701F347E-2263-4674-A6A2-17FE013EAE6B}"/>
    <cellStyle name="Note 2 8 2 4 3 2 2" xfId="53999" xr:uid="{0FB7B9FA-93C1-48C5-BA05-F7C3C2ACF611}"/>
    <cellStyle name="Note 2 8 2 4 3 2 2 2" xfId="54000" xr:uid="{566BCF78-D691-41EC-BC33-A0474A403F88}"/>
    <cellStyle name="Note 2 8 2 4 3 2 2 2 2" xfId="54001" xr:uid="{8B1F1221-8092-4C0A-A89A-C0B0D993B377}"/>
    <cellStyle name="Note 2 8 2 4 3 2 2 2 2 2" xfId="54002" xr:uid="{E15CDA6A-CA1C-47F5-BC33-91838CDFB05C}"/>
    <cellStyle name="Note 2 8 2 4 3 2 2 2 3" xfId="54003" xr:uid="{06AA8DD1-CC05-4B6E-A764-A2C337100DF4}"/>
    <cellStyle name="Note 2 8 2 4 3 2 2 3" xfId="54004" xr:uid="{6651D1E9-3B70-4D3D-B1E4-AA783A0D64AB}"/>
    <cellStyle name="Note 2 8 2 4 3 2 2 3 2" xfId="54005" xr:uid="{62226AC9-B035-4FBB-99D2-019A8E263381}"/>
    <cellStyle name="Note 2 8 2 4 3 2 2 4" xfId="54006" xr:uid="{35041038-7C74-4045-8F53-7A07F49A193E}"/>
    <cellStyle name="Note 2 8 2 4 3 2 3" xfId="54007" xr:uid="{E0B4C011-603D-4414-984C-6E2026AF3CEF}"/>
    <cellStyle name="Note 2 8 2 4 3 2 3 2" xfId="54008" xr:uid="{20D220B6-8858-4B3D-A685-DF46D50138E2}"/>
    <cellStyle name="Note 2 8 2 4 3 2 3 2 2" xfId="54009" xr:uid="{196620B8-E772-4DFC-9618-272DD0F6A55D}"/>
    <cellStyle name="Note 2 8 2 4 3 2 3 3" xfId="54010" xr:uid="{CE959224-EC35-4991-97BC-BAFBB055D506}"/>
    <cellStyle name="Note 2 8 2 4 3 2 4" xfId="54011" xr:uid="{6BC945B6-4ABB-42CE-9121-B5397F27B76B}"/>
    <cellStyle name="Note 2 8 2 4 3 2 4 2" xfId="54012" xr:uid="{8CECB83E-06BF-4B0F-838A-2CABFC5C42C2}"/>
    <cellStyle name="Note 2 8 2 4 3 2 5" xfId="54013" xr:uid="{E373963C-095F-4D1B-B16A-C4E885801FE8}"/>
    <cellStyle name="Note 2 8 2 4 3 3" xfId="54014" xr:uid="{542D1983-6BC4-4FF0-9BBB-4550A0BFBD73}"/>
    <cellStyle name="Note 2 8 2 4 3 3 2" xfId="54015" xr:uid="{D9FB8894-B8F5-4655-93CE-4BD26AF792ED}"/>
    <cellStyle name="Note 2 8 2 4 3 3 2 2" xfId="54016" xr:uid="{6614A443-CD9A-43BC-B351-61D015AB8EA2}"/>
    <cellStyle name="Note 2 8 2 4 3 3 2 2 2" xfId="54017" xr:uid="{C5CB4A41-C503-4421-B775-8F4DFF7147C7}"/>
    <cellStyle name="Note 2 8 2 4 3 3 2 3" xfId="54018" xr:uid="{F62E846F-DDCA-441D-B324-364BCF599EC3}"/>
    <cellStyle name="Note 2 8 2 4 3 3 3" xfId="54019" xr:uid="{CFD96898-F9E0-4F05-9F16-25DA850F2C49}"/>
    <cellStyle name="Note 2 8 2 4 3 3 3 2" xfId="54020" xr:uid="{FE8343A5-6302-48B5-AFE5-F9688EF393DC}"/>
    <cellStyle name="Note 2 8 2 4 3 3 4" xfId="54021" xr:uid="{9C92EDFA-80F9-4122-BAEE-12DA573B10E6}"/>
    <cellStyle name="Note 2 8 2 4 3 4" xfId="54022" xr:uid="{C14A3D83-D2BB-4E4F-8871-FBF9B7C8BAEE}"/>
    <cellStyle name="Note 2 8 2 4 3 4 2" xfId="54023" xr:uid="{C033831C-98BE-4CE5-AA8B-BBDA268A1B05}"/>
    <cellStyle name="Note 2 8 2 4 3 4 2 2" xfId="54024" xr:uid="{D85D2FDE-6E72-4A16-8F7E-FF770792B045}"/>
    <cellStyle name="Note 2 8 2 4 3 4 3" xfId="54025" xr:uid="{3FD795C1-A196-4C03-BB0A-730C905001A7}"/>
    <cellStyle name="Note 2 8 2 4 3 5" xfId="54026" xr:uid="{7B9016B7-6E01-445D-8542-B92C6E159010}"/>
    <cellStyle name="Note 2 8 2 4 3 5 2" xfId="54027" xr:uid="{0C55DFB3-FD0D-493C-9250-5FC68CFEE48A}"/>
    <cellStyle name="Note 2 8 2 4 3 6" xfId="54028" xr:uid="{9996D6D7-F628-4E6A-A13C-6E5BC042BCA8}"/>
    <cellStyle name="Note 2 8 2 4 4" xfId="54029" xr:uid="{AC7F78F6-E8D7-4FDF-A89A-255F096CB84E}"/>
    <cellStyle name="Note 2 8 2 4 4 2" xfId="54030" xr:uid="{0B82F3C0-89B6-47E8-9CC1-BC08E6A381A9}"/>
    <cellStyle name="Note 2 8 2 4 4 2 2" xfId="54031" xr:uid="{ADFCE966-3DD8-413A-9948-DEBF97A3EF75}"/>
    <cellStyle name="Note 2 8 2 4 4 2 2 2" xfId="54032" xr:uid="{13371E6F-9623-4E46-9190-6A0FC0AD1810}"/>
    <cellStyle name="Note 2 8 2 4 4 2 2 2 2" xfId="54033" xr:uid="{0ACE1855-E5F6-43A8-A3BC-E27D158FEEBC}"/>
    <cellStyle name="Note 2 8 2 4 4 2 2 3" xfId="54034" xr:uid="{14CA94A5-20C3-4997-905B-EE102997D2EF}"/>
    <cellStyle name="Note 2 8 2 4 4 2 3" xfId="54035" xr:uid="{FE56CE96-2688-44AF-83AE-2356446D3946}"/>
    <cellStyle name="Note 2 8 2 4 4 2 3 2" xfId="54036" xr:uid="{81F59F11-FE2C-41AC-8FB1-F3DD56AED748}"/>
    <cellStyle name="Note 2 8 2 4 4 2 4" xfId="54037" xr:uid="{3179987F-EF68-4FA5-9F82-08AD2B4C04A2}"/>
    <cellStyle name="Note 2 8 2 4 4 3" xfId="54038" xr:uid="{022E4959-F579-4B06-B2AA-EFE70CDAF0FF}"/>
    <cellStyle name="Note 2 8 2 4 4 3 2" xfId="54039" xr:uid="{C63F8B26-3103-454F-A959-FA81B5D1C51E}"/>
    <cellStyle name="Note 2 8 2 4 4 3 2 2" xfId="54040" xr:uid="{4496E365-9EE0-45CB-8853-3AB5CFEC9F03}"/>
    <cellStyle name="Note 2 8 2 4 4 3 3" xfId="54041" xr:uid="{6B44772A-11EE-41AD-9981-890E8AF3AAA4}"/>
    <cellStyle name="Note 2 8 2 4 4 4" xfId="54042" xr:uid="{321C93E6-7A9E-49F8-83A8-A8466EABC865}"/>
    <cellStyle name="Note 2 8 2 4 4 4 2" xfId="54043" xr:uid="{582F1FDF-5AB9-4BCA-9520-43C3B743F96F}"/>
    <cellStyle name="Note 2 8 2 4 4 5" xfId="54044" xr:uid="{DBE2B225-EC42-45E0-A436-859B087DE8CE}"/>
    <cellStyle name="Note 2 8 2 4 5" xfId="54045" xr:uid="{783F79CE-4C59-4057-8734-BE5565238B76}"/>
    <cellStyle name="Note 2 8 2 4 5 2" xfId="54046" xr:uid="{D7B1FE57-3B2D-4162-9B5A-5BAF35457436}"/>
    <cellStyle name="Note 2 8 2 4 5 2 2" xfId="54047" xr:uid="{BC878699-FA6C-4E6A-95CB-8A243348F9E4}"/>
    <cellStyle name="Note 2 8 2 4 5 2 2 2" xfId="54048" xr:uid="{A9E8015C-CFCD-4161-8A0E-6C5C6EF088DD}"/>
    <cellStyle name="Note 2 8 2 4 5 2 3" xfId="54049" xr:uid="{4C31E1D6-C4D6-4FD3-A446-E873958510BB}"/>
    <cellStyle name="Note 2 8 2 4 5 3" xfId="54050" xr:uid="{AC706E8D-3E7A-4AED-958E-9383D8F2F1CF}"/>
    <cellStyle name="Note 2 8 2 4 5 3 2" xfId="54051" xr:uid="{B7C3D8FF-2BE3-4481-A5B7-B5C64AFB91AB}"/>
    <cellStyle name="Note 2 8 2 4 5 4" xfId="54052" xr:uid="{3C51E0AA-C5E9-4373-ACBC-0DB7DAEF2FD6}"/>
    <cellStyle name="Note 2 8 2 4 6" xfId="54053" xr:uid="{3FCBEE55-9DA5-47B8-A4F8-F7D42207F9DE}"/>
    <cellStyle name="Note 2 8 2 4 6 2" xfId="54054" xr:uid="{590CCF9D-AA00-4963-8B91-E201EE8899B4}"/>
    <cellStyle name="Note 2 8 2 4 6 2 2" xfId="54055" xr:uid="{47C8D959-CEEE-48D7-830E-A885A5C314C5}"/>
    <cellStyle name="Note 2 8 2 4 6 3" xfId="54056" xr:uid="{9032C435-B776-49C2-BCA0-14A2116A32D0}"/>
    <cellStyle name="Note 2 8 2 4 7" xfId="54057" xr:uid="{29722A66-77C5-42C3-9AB1-694A40CC5AD7}"/>
    <cellStyle name="Note 2 8 2 4 7 2" xfId="54058" xr:uid="{6470BCDF-9BB1-40E3-960D-BC113FDB574E}"/>
    <cellStyle name="Note 2 8 2 4 8" xfId="54059" xr:uid="{BF838513-D9EA-4595-B08E-4935A57FA713}"/>
    <cellStyle name="Note 2 8 2 5" xfId="54060" xr:uid="{4C3F3DC3-9C32-4650-BF0C-F338AA2BE515}"/>
    <cellStyle name="Note 2 8 2 5 2" xfId="54061" xr:uid="{32FACFCA-5A80-4835-8A52-5C76A7246756}"/>
    <cellStyle name="Note 2 8 2 5 2 2" xfId="54062" xr:uid="{01E03C70-14B6-40C0-9F2A-00163D287029}"/>
    <cellStyle name="Note 2 8 2 5 2 2 2" xfId="54063" xr:uid="{D02EBD13-45AC-47C6-80DA-3CC61563E139}"/>
    <cellStyle name="Note 2 8 2 5 2 2 2 2" xfId="54064" xr:uid="{EED23517-4677-4EF4-A82A-4EC656CCC19D}"/>
    <cellStyle name="Note 2 8 2 5 2 2 2 2 2" xfId="54065" xr:uid="{05AD172F-4E3C-430C-ADD9-57BE66B7DEF5}"/>
    <cellStyle name="Note 2 8 2 5 2 2 2 2 2 2" xfId="54066" xr:uid="{D6B5C1A4-43C1-4F5F-B68B-2165FAFBD8BF}"/>
    <cellStyle name="Note 2 8 2 5 2 2 2 2 3" xfId="54067" xr:uid="{CD501AD8-AA96-44C1-A9DB-84CB06FD6839}"/>
    <cellStyle name="Note 2 8 2 5 2 2 2 3" xfId="54068" xr:uid="{7ABAC752-D984-4A31-BC0F-4B0AFA4D38B4}"/>
    <cellStyle name="Note 2 8 2 5 2 2 2 3 2" xfId="54069" xr:uid="{63B11032-B225-4928-981B-6FE7770E1BB3}"/>
    <cellStyle name="Note 2 8 2 5 2 2 2 4" xfId="54070" xr:uid="{FD3ACD5D-3947-4486-B41F-FBED46FF4085}"/>
    <cellStyle name="Note 2 8 2 5 2 2 3" xfId="54071" xr:uid="{FD374149-C539-4215-8547-092D926D7D03}"/>
    <cellStyle name="Note 2 8 2 5 2 2 3 2" xfId="54072" xr:uid="{B589F6DA-D3CB-4381-B8F2-609E55BA445B}"/>
    <cellStyle name="Note 2 8 2 5 2 2 3 2 2" xfId="54073" xr:uid="{69283CBE-F258-4ABC-AF90-0A95FF3171F8}"/>
    <cellStyle name="Note 2 8 2 5 2 2 3 3" xfId="54074" xr:uid="{4E32D82B-8595-4797-AAFB-F9EE8DF2F6FC}"/>
    <cellStyle name="Note 2 8 2 5 2 2 4" xfId="54075" xr:uid="{EE5301C5-885F-4031-9BA1-9C55A3115D36}"/>
    <cellStyle name="Note 2 8 2 5 2 2 4 2" xfId="54076" xr:uid="{28BF3D8D-6226-45A2-B5EE-1E8927487B8A}"/>
    <cellStyle name="Note 2 8 2 5 2 2 5" xfId="54077" xr:uid="{C5D95633-D05E-4BFC-A414-A66B0CD014AB}"/>
    <cellStyle name="Note 2 8 2 5 2 3" xfId="54078" xr:uid="{24EDB9D4-785E-4C99-9036-587AB2FB028A}"/>
    <cellStyle name="Note 2 8 2 5 2 3 2" xfId="54079" xr:uid="{2152A02F-AB28-42A2-B40E-9CF02DD95529}"/>
    <cellStyle name="Note 2 8 2 5 2 3 2 2" xfId="54080" xr:uid="{47DE06AD-846E-453A-8A51-5B522B2B3A7D}"/>
    <cellStyle name="Note 2 8 2 5 2 3 2 2 2" xfId="54081" xr:uid="{EF94BF07-3747-4EDC-96E3-7ECF04D29C2C}"/>
    <cellStyle name="Note 2 8 2 5 2 3 2 3" xfId="54082" xr:uid="{7F321C2A-3450-45FF-A2E6-AEBD3C49E1E7}"/>
    <cellStyle name="Note 2 8 2 5 2 3 3" xfId="54083" xr:uid="{0BBB7904-FC25-47ED-9372-0DFDB146A394}"/>
    <cellStyle name="Note 2 8 2 5 2 3 3 2" xfId="54084" xr:uid="{FADA686F-0FE7-4DDB-824B-511DE1F92E4A}"/>
    <cellStyle name="Note 2 8 2 5 2 3 4" xfId="54085" xr:uid="{206EAD95-0BD2-4958-8F7E-328734CD1A86}"/>
    <cellStyle name="Note 2 8 2 5 2 4" xfId="54086" xr:uid="{7E4EDE1E-C7AE-4435-AFEE-B2F8564581FC}"/>
    <cellStyle name="Note 2 8 2 5 2 4 2" xfId="54087" xr:uid="{8EEC36B4-4070-4E58-AAD1-E9C24EF6623D}"/>
    <cellStyle name="Note 2 8 2 5 2 4 2 2" xfId="54088" xr:uid="{3D1C637F-C99C-4CC0-94E5-B2EC8BADD5AD}"/>
    <cellStyle name="Note 2 8 2 5 2 4 3" xfId="54089" xr:uid="{B830B652-630F-4B09-85AC-EED7A767270A}"/>
    <cellStyle name="Note 2 8 2 5 2 5" xfId="54090" xr:uid="{4CA5A5E8-5171-429B-A206-F536CD5B8BC2}"/>
    <cellStyle name="Note 2 8 2 5 2 5 2" xfId="54091" xr:uid="{A4B898CE-F1BF-43EC-BBDC-D5B008B52363}"/>
    <cellStyle name="Note 2 8 2 5 2 6" xfId="54092" xr:uid="{BE5EE4B4-03CF-4258-A7F5-BA1207715D75}"/>
    <cellStyle name="Note 2 8 2 5 3" xfId="54093" xr:uid="{A3DF6B75-3A3B-4DCD-A4C2-A27789F07EBB}"/>
    <cellStyle name="Note 2 8 2 5 3 2" xfId="54094" xr:uid="{5B4E7E63-630E-4B2A-BAF5-75559266EAD4}"/>
    <cellStyle name="Note 2 8 2 5 3 2 2" xfId="54095" xr:uid="{E08C4325-D2BF-44F5-AD3C-7F0D91C756EB}"/>
    <cellStyle name="Note 2 8 2 5 3 2 2 2" xfId="54096" xr:uid="{9DF6F229-916F-488E-8EDC-14C0FF9C5F10}"/>
    <cellStyle name="Note 2 8 2 5 3 2 2 2 2" xfId="54097" xr:uid="{992CB798-9AC6-48C4-87D5-66605BE2F423}"/>
    <cellStyle name="Note 2 8 2 5 3 2 2 3" xfId="54098" xr:uid="{BE09772B-3FD9-4B44-9B65-49BB42B772ED}"/>
    <cellStyle name="Note 2 8 2 5 3 2 3" xfId="54099" xr:uid="{969E5C3A-4C4A-431A-8177-04701747F110}"/>
    <cellStyle name="Note 2 8 2 5 3 2 3 2" xfId="54100" xr:uid="{82D28072-FE85-4A7B-9976-7666175BBFEE}"/>
    <cellStyle name="Note 2 8 2 5 3 2 4" xfId="54101" xr:uid="{A5BBC4A1-F9DE-4D30-94A8-F3046192E758}"/>
    <cellStyle name="Note 2 8 2 5 3 3" xfId="54102" xr:uid="{6E83C607-0DA1-475C-B766-663027C247FA}"/>
    <cellStyle name="Note 2 8 2 5 3 3 2" xfId="54103" xr:uid="{64F2B10F-7B63-4EF0-8826-15F206462CA1}"/>
    <cellStyle name="Note 2 8 2 5 3 3 2 2" xfId="54104" xr:uid="{3192A0B0-6AB6-46C6-8F28-14559074C793}"/>
    <cellStyle name="Note 2 8 2 5 3 3 3" xfId="54105" xr:uid="{62BFE4E7-922C-4742-97E1-F6DB751DDC9B}"/>
    <cellStyle name="Note 2 8 2 5 3 4" xfId="54106" xr:uid="{A6AC6037-B03A-45A1-B099-01DBBCA8961A}"/>
    <cellStyle name="Note 2 8 2 5 3 4 2" xfId="54107" xr:uid="{8F7D57FF-6C6E-4671-BAF4-290F835EF408}"/>
    <cellStyle name="Note 2 8 2 5 3 5" xfId="54108" xr:uid="{A849EBB3-684F-4394-8CFF-0ECA6A07A13A}"/>
    <cellStyle name="Note 2 8 2 5 4" xfId="54109" xr:uid="{267508D5-D7CE-44A1-81F2-7983BFF431C8}"/>
    <cellStyle name="Note 2 8 2 5 4 2" xfId="54110" xr:uid="{B5E1C777-329C-4E29-B24A-F6088524F34D}"/>
    <cellStyle name="Note 2 8 2 5 4 2 2" xfId="54111" xr:uid="{BCE05664-39B6-4DCF-8DDE-DA2F41F66E22}"/>
    <cellStyle name="Note 2 8 2 5 4 2 2 2" xfId="54112" xr:uid="{AE6F6B04-23C9-466B-941E-1436B1F40B98}"/>
    <cellStyle name="Note 2 8 2 5 4 2 3" xfId="54113" xr:uid="{04ACFACB-3E10-484D-9304-134AB48D05B7}"/>
    <cellStyle name="Note 2 8 2 5 4 3" xfId="54114" xr:uid="{A541F153-5998-4A08-8729-7B7D59BAF7FB}"/>
    <cellStyle name="Note 2 8 2 5 4 3 2" xfId="54115" xr:uid="{1E9332FC-87F4-4F35-832F-EBD16EA27817}"/>
    <cellStyle name="Note 2 8 2 5 4 4" xfId="54116" xr:uid="{4349AA44-9E83-4404-8DE8-9CC3F0CC5D5E}"/>
    <cellStyle name="Note 2 8 2 5 5" xfId="54117" xr:uid="{FE87DED6-313F-42B5-A5FE-E5F93CE79465}"/>
    <cellStyle name="Note 2 8 2 5 5 2" xfId="54118" xr:uid="{B1EAC3D9-B55E-496A-B252-9F015CD38E52}"/>
    <cellStyle name="Note 2 8 2 5 5 2 2" xfId="54119" xr:uid="{534D6C63-2BA7-4D75-A3F7-D42CAA40EA36}"/>
    <cellStyle name="Note 2 8 2 5 5 3" xfId="54120" xr:uid="{6F60C824-68A4-4102-BD8E-67F6B7B65D57}"/>
    <cellStyle name="Note 2 8 2 5 6" xfId="54121" xr:uid="{22BF43AC-CB28-4FC5-8DC6-18C3153707BE}"/>
    <cellStyle name="Note 2 8 2 5 6 2" xfId="54122" xr:uid="{E601EAE8-D468-4BA7-BEF1-536D9CC0D8AE}"/>
    <cellStyle name="Note 2 8 2 5 7" xfId="54123" xr:uid="{B8F7E2A5-7CEF-4879-8D34-8D328E34BA9D}"/>
    <cellStyle name="Note 2 8 2 6" xfId="54124" xr:uid="{7AD2E7B5-A077-41DD-83F7-36A9D5BF482F}"/>
    <cellStyle name="Note 2 8 2 6 2" xfId="54125" xr:uid="{35B17295-8B71-4EFC-B11C-A53EA33FB4E4}"/>
    <cellStyle name="Note 2 8 2 6 2 2" xfId="54126" xr:uid="{C7A2A7BD-9406-4A86-A98D-B8183E102151}"/>
    <cellStyle name="Note 2 8 2 6 2 2 2" xfId="54127" xr:uid="{3F471C9C-ABD8-42C3-9426-2BC810B5B9EB}"/>
    <cellStyle name="Note 2 8 2 6 2 2 2 2" xfId="54128" xr:uid="{0B0859E8-2F91-4217-BED6-D3C4AF6ACA23}"/>
    <cellStyle name="Note 2 8 2 6 2 2 2 2 2" xfId="54129" xr:uid="{F0D60461-9A41-4B47-A825-9BB0B8BF16B7}"/>
    <cellStyle name="Note 2 8 2 6 2 2 2 3" xfId="54130" xr:uid="{5204C61A-C562-4634-AFFA-007CB9BB9B87}"/>
    <cellStyle name="Note 2 8 2 6 2 2 3" xfId="54131" xr:uid="{5D3624A7-1F54-4AD9-ADBB-E80BC8A9D481}"/>
    <cellStyle name="Note 2 8 2 6 2 2 3 2" xfId="54132" xr:uid="{2FF65541-75AA-4A04-BAD8-7D591AF5F0BA}"/>
    <cellStyle name="Note 2 8 2 6 2 2 4" xfId="54133" xr:uid="{9E901EF0-58ED-47F9-8424-D9B1DEBF40AA}"/>
    <cellStyle name="Note 2 8 2 6 2 3" xfId="54134" xr:uid="{209F8CDA-721F-4C45-AF7C-DE0483FC065E}"/>
    <cellStyle name="Note 2 8 2 6 2 3 2" xfId="54135" xr:uid="{72614E52-BC2E-4034-BE3A-53337C99F5A6}"/>
    <cellStyle name="Note 2 8 2 6 2 3 2 2" xfId="54136" xr:uid="{387C5DA6-F6CC-44C8-9BB9-7F3FBD598581}"/>
    <cellStyle name="Note 2 8 2 6 2 3 3" xfId="54137" xr:uid="{C9D3B5F1-9AFC-4A4E-9C43-34ED39A7B61A}"/>
    <cellStyle name="Note 2 8 2 6 2 4" xfId="54138" xr:uid="{8D9A3A4A-AF63-4468-9766-89F29EF9A957}"/>
    <cellStyle name="Note 2 8 2 6 2 4 2" xfId="54139" xr:uid="{86F8D411-3C9C-422C-B3A2-0D99FF43C53E}"/>
    <cellStyle name="Note 2 8 2 6 2 5" xfId="54140" xr:uid="{6AEE2D2B-F2E1-4A1D-9435-A4FAB633681E}"/>
    <cellStyle name="Note 2 8 2 6 3" xfId="54141" xr:uid="{9A9858A0-A1C9-454D-9703-412270DBABF1}"/>
    <cellStyle name="Note 2 8 2 6 3 2" xfId="54142" xr:uid="{54FCF200-6F0E-4EB0-95A7-E721711E9E6B}"/>
    <cellStyle name="Note 2 8 2 6 3 2 2" xfId="54143" xr:uid="{8E13710B-6BF6-4FB5-9FCF-0DD2693685F9}"/>
    <cellStyle name="Note 2 8 2 6 3 2 2 2" xfId="54144" xr:uid="{CC8D4FAA-653D-411A-91D0-741027763B5B}"/>
    <cellStyle name="Note 2 8 2 6 3 2 3" xfId="54145" xr:uid="{A839EA93-1DE1-4943-BD7F-999AFB423E31}"/>
    <cellStyle name="Note 2 8 2 6 3 3" xfId="54146" xr:uid="{4B2CB370-3027-49A3-A09A-07B78A6249B6}"/>
    <cellStyle name="Note 2 8 2 6 3 3 2" xfId="54147" xr:uid="{8625674F-2138-4330-BB52-A9C8A2B8ED93}"/>
    <cellStyle name="Note 2 8 2 6 3 4" xfId="54148" xr:uid="{67E34E7F-C661-4522-9E7E-36BDCD11C854}"/>
    <cellStyle name="Note 2 8 2 6 4" xfId="54149" xr:uid="{0F3703A8-5A66-4CB4-A43B-16144EB47D5F}"/>
    <cellStyle name="Note 2 8 2 6 4 2" xfId="54150" xr:uid="{30D37640-271A-4859-9C2D-DCDE09487DA5}"/>
    <cellStyle name="Note 2 8 2 6 4 2 2" xfId="54151" xr:uid="{62DCD114-6DAD-49B4-AEFD-73D0E5A00B8D}"/>
    <cellStyle name="Note 2 8 2 6 4 3" xfId="54152" xr:uid="{5EF011BD-F9D0-43E9-AB04-782F9777E3A5}"/>
    <cellStyle name="Note 2 8 2 6 5" xfId="54153" xr:uid="{8CA0DA83-6B5D-488A-BB28-DADD2AA3F2F9}"/>
    <cellStyle name="Note 2 8 2 6 5 2" xfId="54154" xr:uid="{47031206-E432-46BB-90AD-2E2544B1B42F}"/>
    <cellStyle name="Note 2 8 2 6 6" xfId="54155" xr:uid="{D1C88DA3-2CB1-4905-AFEC-C2AC4593E505}"/>
    <cellStyle name="Note 2 8 2 7" xfId="54156" xr:uid="{B1E6608E-3E9E-453F-997D-9B2CFF065EF9}"/>
    <cellStyle name="Note 2 8 2 7 2" xfId="54157" xr:uid="{9EE8CEA1-518B-4990-889F-D43B172999D5}"/>
    <cellStyle name="Note 2 8 2 7 2 2" xfId="54158" xr:uid="{5720E76C-7496-4367-B481-434E462B35D5}"/>
    <cellStyle name="Note 2 8 2 7 2 2 2" xfId="54159" xr:uid="{8E832CD7-10B6-4565-B7AC-5C4640125226}"/>
    <cellStyle name="Note 2 8 2 7 2 2 2 2" xfId="54160" xr:uid="{DD4E22F2-432B-4FC2-A4E7-3CFCAC958A6B}"/>
    <cellStyle name="Note 2 8 2 7 2 2 3" xfId="54161" xr:uid="{2B181CC8-2600-4192-8FBF-BBBFF1174180}"/>
    <cellStyle name="Note 2 8 2 7 2 3" xfId="54162" xr:uid="{3A943B8F-1F00-4CF5-BC03-F25578654CAE}"/>
    <cellStyle name="Note 2 8 2 7 2 3 2" xfId="54163" xr:uid="{7AB1D61B-FDCE-4FEA-B33B-79A85F573305}"/>
    <cellStyle name="Note 2 8 2 7 2 4" xfId="54164" xr:uid="{926412DD-C912-461A-92EF-8E6D25CE55F4}"/>
    <cellStyle name="Note 2 8 2 7 3" xfId="54165" xr:uid="{AB537E8E-E021-4FE7-B91D-B049C09B82F7}"/>
    <cellStyle name="Note 2 8 2 7 3 2" xfId="54166" xr:uid="{7B79518B-B51B-4226-8762-33F8F91E1BE1}"/>
    <cellStyle name="Note 2 8 2 7 3 2 2" xfId="54167" xr:uid="{4A899F21-3835-4902-BE99-E6066571AF8D}"/>
    <cellStyle name="Note 2 8 2 7 3 3" xfId="54168" xr:uid="{18D6577C-07A3-4E24-A4C8-FDEAC3D7A7FF}"/>
    <cellStyle name="Note 2 8 2 7 4" xfId="54169" xr:uid="{E87002F2-9F0A-4EE7-806E-E93170E884CC}"/>
    <cellStyle name="Note 2 8 2 7 4 2" xfId="54170" xr:uid="{40EAFF33-E3BA-411F-B9FD-9824D62A8D45}"/>
    <cellStyle name="Note 2 8 2 7 5" xfId="54171" xr:uid="{8C2293EC-7516-4178-A3D7-2508069078AD}"/>
    <cellStyle name="Note 2 8 2 8" xfId="54172" xr:uid="{A31DF94F-2EA2-4DA5-9FC2-62F477A63157}"/>
    <cellStyle name="Note 2 8 2 8 2" xfId="54173" xr:uid="{CFDA464C-44BE-4443-B2E0-AF78C3D12CC9}"/>
    <cellStyle name="Note 2 8 2 8 2 2" xfId="54174" xr:uid="{52D75BAC-19F4-43FF-A43A-E49C18DB10B7}"/>
    <cellStyle name="Note 2 8 2 8 2 2 2" xfId="54175" xr:uid="{025E93BB-25FB-4418-8CE4-48F161EF6A20}"/>
    <cellStyle name="Note 2 8 2 8 2 3" xfId="54176" xr:uid="{7F906BCC-D832-43CC-AE65-D8FEAB86111B}"/>
    <cellStyle name="Note 2 8 2 8 3" xfId="54177" xr:uid="{25F4D968-3363-43C0-A621-E6F5BEF44D42}"/>
    <cellStyle name="Note 2 8 2 8 3 2" xfId="54178" xr:uid="{9F4FC879-0461-4072-8373-6D14949951C5}"/>
    <cellStyle name="Note 2 8 2 8 4" xfId="54179" xr:uid="{0925473D-E3C1-4663-9622-DF434FED8DB1}"/>
    <cellStyle name="Note 2 8 2 9" xfId="54180" xr:uid="{DE3F1FE9-FE45-447A-BF0C-6D4096EAA475}"/>
    <cellStyle name="Note 2 8 2 9 2" xfId="54181" xr:uid="{08BB7021-9C19-4C52-B071-C51DB2099937}"/>
    <cellStyle name="Note 2 8 2 9 2 2" xfId="54182" xr:uid="{C7C3854A-13A8-45FD-8738-9369B214860A}"/>
    <cellStyle name="Note 2 8 2 9 3" xfId="54183" xr:uid="{FB139044-9723-4E29-8899-C165AD33117D}"/>
    <cellStyle name="Note 2 8 3" xfId="54184" xr:uid="{1E7519FC-9448-40ED-B490-290EA0A42E27}"/>
    <cellStyle name="Note 2 8 3 2" xfId="54185" xr:uid="{236BE4C9-C1EB-4827-808C-1D4785FD7B92}"/>
    <cellStyle name="Note 2 8 3 2 2" xfId="54186" xr:uid="{DD03BE25-BAF9-4B41-A3C1-881A6FCB8EFB}"/>
    <cellStyle name="Note 2 8 3 2 2 2" xfId="54187" xr:uid="{F10B05ED-F7AF-43F2-8165-27B6B0EBC1BF}"/>
    <cellStyle name="Note 2 8 3 2 2 2 2" xfId="54188" xr:uid="{7AE55B41-DC4F-4B96-90C1-9C36914D8E57}"/>
    <cellStyle name="Note 2 8 3 2 2 2 2 2" xfId="54189" xr:uid="{2D9AF16E-6B31-4F7A-A327-B84FC6CCBB98}"/>
    <cellStyle name="Note 2 8 3 2 2 2 2 2 2" xfId="54190" xr:uid="{B079F0A7-C17F-482E-BB8B-A7F393FE4384}"/>
    <cellStyle name="Note 2 8 3 2 2 2 2 2 2 2" xfId="54191" xr:uid="{5FF7D45A-075D-4FE0-BFFF-9141B8B84D59}"/>
    <cellStyle name="Note 2 8 3 2 2 2 2 2 3" xfId="54192" xr:uid="{B21E4867-F551-4BB3-BFA2-701B4E53BC7E}"/>
    <cellStyle name="Note 2 8 3 2 2 2 2 3" xfId="54193" xr:uid="{DABCCFFE-0292-4F9F-AF2E-C5196DD25D45}"/>
    <cellStyle name="Note 2 8 3 2 2 2 2 3 2" xfId="54194" xr:uid="{C9D3316A-473B-44DA-AA7D-49BEBCE7F58C}"/>
    <cellStyle name="Note 2 8 3 2 2 2 2 4" xfId="54195" xr:uid="{DAA794D8-3F0A-4E74-88FD-85E64C65BA1A}"/>
    <cellStyle name="Note 2 8 3 2 2 2 3" xfId="54196" xr:uid="{8B4B8A25-4733-48C4-908A-550CC24F6366}"/>
    <cellStyle name="Note 2 8 3 2 2 2 3 2" xfId="54197" xr:uid="{D6564155-FEA3-48E9-9360-F3E70ABBFC6F}"/>
    <cellStyle name="Note 2 8 3 2 2 2 3 2 2" xfId="54198" xr:uid="{307D7ED7-D495-4FE6-91B1-A85324DF1231}"/>
    <cellStyle name="Note 2 8 3 2 2 2 3 3" xfId="54199" xr:uid="{8A4735A8-B2AE-45D4-BE11-50CD2BEB01CB}"/>
    <cellStyle name="Note 2 8 3 2 2 2 4" xfId="54200" xr:uid="{93023EFD-5A25-41DA-B94B-204CF7887504}"/>
    <cellStyle name="Note 2 8 3 2 2 2 4 2" xfId="54201" xr:uid="{1B22CE94-8A9F-48C7-9214-2F980172FBA9}"/>
    <cellStyle name="Note 2 8 3 2 2 2 5" xfId="54202" xr:uid="{9E188BB0-DADE-49F2-885F-C36AB47A83E8}"/>
    <cellStyle name="Note 2 8 3 2 2 3" xfId="54203" xr:uid="{B0F2C831-631A-4D37-B899-D93AE1E8A431}"/>
    <cellStyle name="Note 2 8 3 2 2 3 2" xfId="54204" xr:uid="{5666E4FE-EFE3-49CD-AB4B-9700EADF7575}"/>
    <cellStyle name="Note 2 8 3 2 2 3 2 2" xfId="54205" xr:uid="{E18F8744-91A9-4E5D-A100-BFC5B8F73298}"/>
    <cellStyle name="Note 2 8 3 2 2 3 2 2 2" xfId="54206" xr:uid="{F3EA1DDC-B349-4377-8F65-263889884A8B}"/>
    <cellStyle name="Note 2 8 3 2 2 3 2 3" xfId="54207" xr:uid="{6FDFEDA3-26DC-4869-B45A-7955AC620E2B}"/>
    <cellStyle name="Note 2 8 3 2 2 3 3" xfId="54208" xr:uid="{7B4C9D29-6417-4ED8-9F5A-FA334086CA75}"/>
    <cellStyle name="Note 2 8 3 2 2 3 3 2" xfId="54209" xr:uid="{A4BA6354-7B60-4CC4-8FFD-31108EF1AE9B}"/>
    <cellStyle name="Note 2 8 3 2 2 3 4" xfId="54210" xr:uid="{E38E6A37-FE9B-48F6-9E0C-C9239EB72D47}"/>
    <cellStyle name="Note 2 8 3 2 2 4" xfId="54211" xr:uid="{79456ACE-E8ED-4718-BA42-CCC0D22AF050}"/>
    <cellStyle name="Note 2 8 3 2 2 4 2" xfId="54212" xr:uid="{CC90624D-C6CA-425F-AACD-60954BEFBC18}"/>
    <cellStyle name="Note 2 8 3 2 2 4 2 2" xfId="54213" xr:uid="{C7FC7FCD-269E-491D-AA97-1921C3F48BDE}"/>
    <cellStyle name="Note 2 8 3 2 2 4 3" xfId="54214" xr:uid="{99F1FB6E-EA4E-442A-B149-9374A7527D71}"/>
    <cellStyle name="Note 2 8 3 2 2 5" xfId="54215" xr:uid="{2D111515-2F8E-4941-8AAA-2BCA12AE8524}"/>
    <cellStyle name="Note 2 8 3 2 2 5 2" xfId="54216" xr:uid="{C024A8C2-FD4F-44E2-BCA7-ADBD80466FDA}"/>
    <cellStyle name="Note 2 8 3 2 2 6" xfId="54217" xr:uid="{DEDF39E3-4788-48A4-B761-8E9156BAE869}"/>
    <cellStyle name="Note 2 8 3 2 3" xfId="54218" xr:uid="{3B80A068-FCB0-4C3B-92CA-391336B97967}"/>
    <cellStyle name="Note 2 8 3 2 3 2" xfId="54219" xr:uid="{A503C5D4-810B-42AC-9589-AA5EEFA11EF1}"/>
    <cellStyle name="Note 2 8 3 2 3 2 2" xfId="54220" xr:uid="{FBFCD4DC-63A9-47CA-8F4F-695A782D5B93}"/>
    <cellStyle name="Note 2 8 3 2 3 2 2 2" xfId="54221" xr:uid="{C1B5433D-04FE-4A11-94CC-D877DCBE28E3}"/>
    <cellStyle name="Note 2 8 3 2 3 2 2 2 2" xfId="54222" xr:uid="{38F85F73-3EB3-42E7-BEE3-B5316E02FE26}"/>
    <cellStyle name="Note 2 8 3 2 3 2 2 3" xfId="54223" xr:uid="{11DF6AD0-3112-435D-9CB2-59CB632B143F}"/>
    <cellStyle name="Note 2 8 3 2 3 2 3" xfId="54224" xr:uid="{8439E893-D44C-4F8B-9504-AA4EADE95232}"/>
    <cellStyle name="Note 2 8 3 2 3 2 3 2" xfId="54225" xr:uid="{2A50FE14-72A5-4B45-83CF-6DE1C9EFC52F}"/>
    <cellStyle name="Note 2 8 3 2 3 2 4" xfId="54226" xr:uid="{A71129D6-2F5B-420E-A53D-3A6F1A6AA26D}"/>
    <cellStyle name="Note 2 8 3 2 3 3" xfId="54227" xr:uid="{F058AF8C-54B5-45C5-9858-727C613F131B}"/>
    <cellStyle name="Note 2 8 3 2 3 3 2" xfId="54228" xr:uid="{0A080092-BEB7-4F86-A81F-0F19264898D7}"/>
    <cellStyle name="Note 2 8 3 2 3 3 2 2" xfId="54229" xr:uid="{B33428B0-E038-41E8-837E-95DFC4B89ACE}"/>
    <cellStyle name="Note 2 8 3 2 3 3 3" xfId="54230" xr:uid="{DF367B1B-DDB3-4465-9285-70B5219BF0C7}"/>
    <cellStyle name="Note 2 8 3 2 3 4" xfId="54231" xr:uid="{3246552C-F012-4746-858A-E100FE4AAB02}"/>
    <cellStyle name="Note 2 8 3 2 3 4 2" xfId="54232" xr:uid="{26C5082B-6E11-456B-A0D1-6752AEA588D5}"/>
    <cellStyle name="Note 2 8 3 2 3 5" xfId="54233" xr:uid="{DFFFCA42-879B-4F31-B3AE-66A6DDC28F59}"/>
    <cellStyle name="Note 2 8 3 2 4" xfId="54234" xr:uid="{8B14C838-B509-49EA-81FE-64DFE4143BCB}"/>
    <cellStyle name="Note 2 8 3 2 4 2" xfId="54235" xr:uid="{5406AEC5-7529-4E6C-A625-C486D04F4CA4}"/>
    <cellStyle name="Note 2 8 3 2 4 2 2" xfId="54236" xr:uid="{42EF4371-E811-468E-B4FC-5DF2A4CACEF3}"/>
    <cellStyle name="Note 2 8 3 2 4 2 2 2" xfId="54237" xr:uid="{B7138A97-2F56-4C90-853F-FE2C0C52CB04}"/>
    <cellStyle name="Note 2 8 3 2 4 2 3" xfId="54238" xr:uid="{04F99062-6161-4708-9B67-9AD898A582F8}"/>
    <cellStyle name="Note 2 8 3 2 4 3" xfId="54239" xr:uid="{01EEA0DA-0086-440B-B5D7-338A56E45E6A}"/>
    <cellStyle name="Note 2 8 3 2 4 3 2" xfId="54240" xr:uid="{2CD92410-7727-4A65-86C7-6651F80616AC}"/>
    <cellStyle name="Note 2 8 3 2 4 4" xfId="54241" xr:uid="{382190DC-A53F-4279-8A85-47FFEF14E14C}"/>
    <cellStyle name="Note 2 8 3 2 5" xfId="54242" xr:uid="{DD64A321-65D2-491C-96D7-E5F0503E934F}"/>
    <cellStyle name="Note 2 8 3 2 5 2" xfId="54243" xr:uid="{CC7A71DD-DAAE-4FBE-A66D-B7CA00955AC3}"/>
    <cellStyle name="Note 2 8 3 2 5 2 2" xfId="54244" xr:uid="{DF75D678-60E0-4A38-87C5-88FB9004F3D0}"/>
    <cellStyle name="Note 2 8 3 2 5 3" xfId="54245" xr:uid="{07590487-6A1F-430D-BF18-693AE463A3BB}"/>
    <cellStyle name="Note 2 8 3 2 6" xfId="54246" xr:uid="{722B6FBD-3CEF-496E-AD78-C4468E905F9A}"/>
    <cellStyle name="Note 2 8 3 2 6 2" xfId="54247" xr:uid="{EEA396B0-C8F3-4A4B-9A5D-D7BB2906B174}"/>
    <cellStyle name="Note 2 8 3 2 7" xfId="54248" xr:uid="{5AB83C75-EE2F-4D72-9F1E-772897759B6C}"/>
    <cellStyle name="Note 2 8 3 3" xfId="54249" xr:uid="{B56F0E8A-4276-4251-AC44-87E7C3511AD0}"/>
    <cellStyle name="Note 2 8 3 3 2" xfId="54250" xr:uid="{D1F1E2A1-4AE8-49D1-8D7C-E7F3D3D94D40}"/>
    <cellStyle name="Note 2 8 3 3 2 2" xfId="54251" xr:uid="{1EF409FA-D9B3-4645-BE5F-560B3D48733F}"/>
    <cellStyle name="Note 2 8 3 3 2 2 2" xfId="54252" xr:uid="{0015DFB4-B0C5-4136-AC0C-68BE71D8F8AF}"/>
    <cellStyle name="Note 2 8 3 3 2 2 2 2" xfId="54253" xr:uid="{6CF8571C-5D7F-4B14-8138-A5CBDB8DD035}"/>
    <cellStyle name="Note 2 8 3 3 2 2 2 2 2" xfId="54254" xr:uid="{C09E2BFD-B47A-4D27-8FC8-789972CC5AFC}"/>
    <cellStyle name="Note 2 8 3 3 2 2 2 3" xfId="54255" xr:uid="{276BF03E-9B25-4E67-A802-8397A520832E}"/>
    <cellStyle name="Note 2 8 3 3 2 2 3" xfId="54256" xr:uid="{4C9E537C-571C-4695-930C-B1E085038991}"/>
    <cellStyle name="Note 2 8 3 3 2 2 3 2" xfId="54257" xr:uid="{5FD0469C-B949-425B-BB57-F243A968D444}"/>
    <cellStyle name="Note 2 8 3 3 2 2 4" xfId="54258" xr:uid="{C43289AC-DA36-4D4C-A6D4-513542762628}"/>
    <cellStyle name="Note 2 8 3 3 2 3" xfId="54259" xr:uid="{ECB5243B-B7AA-4DF2-A474-B86C67DF1914}"/>
    <cellStyle name="Note 2 8 3 3 2 3 2" xfId="54260" xr:uid="{6129071E-DAC1-476D-B0D4-3ADA39045E41}"/>
    <cellStyle name="Note 2 8 3 3 2 3 2 2" xfId="54261" xr:uid="{CEC8EA94-A31B-4D09-8D7B-A8D79770D19A}"/>
    <cellStyle name="Note 2 8 3 3 2 3 3" xfId="54262" xr:uid="{E2C391D5-76E2-4A89-BA71-B91F5C0A3A86}"/>
    <cellStyle name="Note 2 8 3 3 2 4" xfId="54263" xr:uid="{9E3A98C5-69E0-4978-8F76-56A7899E4AE9}"/>
    <cellStyle name="Note 2 8 3 3 2 4 2" xfId="54264" xr:uid="{4531216E-19C0-4DC5-B334-86496F22A54E}"/>
    <cellStyle name="Note 2 8 3 3 2 5" xfId="54265" xr:uid="{134EC422-0AD0-45CA-97F0-B09C6462BB0C}"/>
    <cellStyle name="Note 2 8 3 3 3" xfId="54266" xr:uid="{05ADDF74-E6A4-4BF2-8AAE-34A6818D54AE}"/>
    <cellStyle name="Note 2 8 3 3 3 2" xfId="54267" xr:uid="{FAB20EFE-E38D-4A65-969B-DC3EE9A1CB1B}"/>
    <cellStyle name="Note 2 8 3 3 3 2 2" xfId="54268" xr:uid="{8E4D20E9-EA0E-419C-BC75-2CDB0BF8D280}"/>
    <cellStyle name="Note 2 8 3 3 3 2 2 2" xfId="54269" xr:uid="{1D5E3CA4-A0E0-4C0F-826D-EE4193ECADA6}"/>
    <cellStyle name="Note 2 8 3 3 3 2 3" xfId="54270" xr:uid="{5FC085A2-D7C1-47B6-9DE3-E783449426D6}"/>
    <cellStyle name="Note 2 8 3 3 3 3" xfId="54271" xr:uid="{7535958A-1602-416C-89C5-C5F7858964AA}"/>
    <cellStyle name="Note 2 8 3 3 3 3 2" xfId="54272" xr:uid="{AF78D5AF-44C9-4964-B558-88ADBE58EFBC}"/>
    <cellStyle name="Note 2 8 3 3 3 4" xfId="54273" xr:uid="{49C4AFA2-025C-4774-A264-223F7E47C37E}"/>
    <cellStyle name="Note 2 8 3 3 4" xfId="54274" xr:uid="{920D4CB3-4550-42E6-8AD3-4457E070FA64}"/>
    <cellStyle name="Note 2 8 3 3 4 2" xfId="54275" xr:uid="{2BBB962D-3DFA-4A97-89A9-C2F4854C3937}"/>
    <cellStyle name="Note 2 8 3 3 4 2 2" xfId="54276" xr:uid="{6C240076-74AD-4BAC-B226-5ED66CE85E6B}"/>
    <cellStyle name="Note 2 8 3 3 4 3" xfId="54277" xr:uid="{77A27920-2517-438F-866C-095B2303D986}"/>
    <cellStyle name="Note 2 8 3 3 5" xfId="54278" xr:uid="{1266B3A5-5BD3-475A-A9DE-54167EAD34CA}"/>
    <cellStyle name="Note 2 8 3 3 5 2" xfId="54279" xr:uid="{584CB66C-9D82-4940-BDC0-023E9B9E5B85}"/>
    <cellStyle name="Note 2 8 3 3 6" xfId="54280" xr:uid="{6A9A61CC-B231-45F1-86DF-A407CBB05D70}"/>
    <cellStyle name="Note 2 8 3 4" xfId="54281" xr:uid="{84BFB839-ED71-49DA-92F6-A5C6F947DF70}"/>
    <cellStyle name="Note 2 8 3 4 2" xfId="54282" xr:uid="{23A228BB-493A-4ACC-A734-948C9178BF20}"/>
    <cellStyle name="Note 2 8 3 4 2 2" xfId="54283" xr:uid="{3E076725-C7F5-41EC-BC5B-311588FDEE0A}"/>
    <cellStyle name="Note 2 8 3 4 2 2 2" xfId="54284" xr:uid="{3EAE7B86-B940-401C-B719-E7C8E8A6A4D9}"/>
    <cellStyle name="Note 2 8 3 4 2 2 2 2" xfId="54285" xr:uid="{76C37D3E-DC22-4720-8482-58B7D7537BF2}"/>
    <cellStyle name="Note 2 8 3 4 2 2 3" xfId="54286" xr:uid="{7BE2CF98-284A-4D38-8520-7FEB7CE00CC1}"/>
    <cellStyle name="Note 2 8 3 4 2 3" xfId="54287" xr:uid="{B25C65E7-5055-4B5F-AC51-DFFB913EAB97}"/>
    <cellStyle name="Note 2 8 3 4 2 3 2" xfId="54288" xr:uid="{54CEECAF-FF6F-4AF4-8625-98BE101E5D38}"/>
    <cellStyle name="Note 2 8 3 4 2 4" xfId="54289" xr:uid="{4A558A16-5C19-49EA-89CD-BA4C610A3478}"/>
    <cellStyle name="Note 2 8 3 4 3" xfId="54290" xr:uid="{D818A07C-5E6A-42F5-B1A5-22C2BB24E1E7}"/>
    <cellStyle name="Note 2 8 3 4 3 2" xfId="54291" xr:uid="{537A2626-65EB-438D-9530-72720C897B9C}"/>
    <cellStyle name="Note 2 8 3 4 3 2 2" xfId="54292" xr:uid="{D65D6EC5-4534-4050-920D-8D32BF234A59}"/>
    <cellStyle name="Note 2 8 3 4 3 3" xfId="54293" xr:uid="{B7074D48-D48C-4944-AFA0-E8E9591D8CA7}"/>
    <cellStyle name="Note 2 8 3 4 4" xfId="54294" xr:uid="{53269DC8-A998-4426-B16E-709411A10E60}"/>
    <cellStyle name="Note 2 8 3 4 4 2" xfId="54295" xr:uid="{6D836F68-806B-4B6A-AE81-D23D9BD221F0}"/>
    <cellStyle name="Note 2 8 3 4 5" xfId="54296" xr:uid="{8217B884-4390-4F5F-97D5-5D7BD3350C2C}"/>
    <cellStyle name="Note 2 8 3 5" xfId="54297" xr:uid="{0B519F87-58B7-42F4-80AC-FE9A8B2C9CFB}"/>
    <cellStyle name="Note 2 8 3 5 2" xfId="54298" xr:uid="{A7818438-BCF4-4F38-9234-70263191B654}"/>
    <cellStyle name="Note 2 8 3 5 2 2" xfId="54299" xr:uid="{B90E89BA-DFF0-4A90-8D2E-300084E86BF8}"/>
    <cellStyle name="Note 2 8 3 5 2 2 2" xfId="54300" xr:uid="{2CAA417D-5B38-4FCB-BFA7-81B75B55D2F6}"/>
    <cellStyle name="Note 2 8 3 5 2 3" xfId="54301" xr:uid="{ED9FCDB5-5C6C-4676-816E-C0CF36F4809C}"/>
    <cellStyle name="Note 2 8 3 5 3" xfId="54302" xr:uid="{0642FB0D-C456-4F60-A3DE-51F78B0CC8FD}"/>
    <cellStyle name="Note 2 8 3 5 3 2" xfId="54303" xr:uid="{A1AE63E2-F773-4A91-B67C-73C0DA37CAF4}"/>
    <cellStyle name="Note 2 8 3 5 4" xfId="54304" xr:uid="{676E67FB-75C1-43B0-A3A0-A88659751A10}"/>
    <cellStyle name="Note 2 8 3 6" xfId="54305" xr:uid="{23FB7BB7-AE2E-4021-977C-1602A87CBADC}"/>
    <cellStyle name="Note 2 8 3 6 2" xfId="54306" xr:uid="{AEA2FF67-02C7-4DA8-A16F-59FEB3A45C77}"/>
    <cellStyle name="Note 2 8 3 6 2 2" xfId="54307" xr:uid="{A26E145D-8A3E-462F-B824-4872FA9ECC31}"/>
    <cellStyle name="Note 2 8 3 6 3" xfId="54308" xr:uid="{B62EB6CC-94E5-4F89-80D1-6349280B593F}"/>
    <cellStyle name="Note 2 8 3 7" xfId="54309" xr:uid="{D85F2F51-4A99-4B68-9375-5128C88D6F99}"/>
    <cellStyle name="Note 2 8 3 7 2" xfId="54310" xr:uid="{D2385202-CEA4-4D5D-BD76-133A9A457B02}"/>
    <cellStyle name="Note 2 8 3 8" xfId="54311" xr:uid="{13F7CE12-76AD-4C14-B1DC-7273B67BB315}"/>
    <cellStyle name="Note 2 8 4" xfId="54312" xr:uid="{675B9155-7E37-47FC-80E3-BBE2F7EE53DE}"/>
    <cellStyle name="Note 2 8 5" xfId="54313" xr:uid="{9ED0745C-A8AE-4A19-955D-A705A5E9FDD6}"/>
    <cellStyle name="Note 2 8 5 2" xfId="54314" xr:uid="{268508FF-F30B-434A-AAAD-7BCE96E9FCB8}"/>
    <cellStyle name="Note 2 8 5 2 2" xfId="54315" xr:uid="{8958B569-C430-418A-AFDC-0AC4E3393169}"/>
    <cellStyle name="Note 2 8 5 2 2 2" xfId="54316" xr:uid="{16D1D55D-9A01-4285-AEE5-B17C7451CA67}"/>
    <cellStyle name="Note 2 8 5 2 2 2 2" xfId="54317" xr:uid="{642FFA3F-A5EE-460E-B0F6-92A1A47CE67F}"/>
    <cellStyle name="Note 2 8 5 2 2 2 2 2" xfId="54318" xr:uid="{C15992A6-3F2B-4D56-B3D1-CAF1CA2A08B7}"/>
    <cellStyle name="Note 2 8 5 2 2 2 2 2 2" xfId="54319" xr:uid="{BFFBF635-83AD-43A1-AAF5-1F37780D1EBE}"/>
    <cellStyle name="Note 2 8 5 2 2 2 2 2 2 2" xfId="54320" xr:uid="{32E02933-0506-45F6-BD9B-5C25FB3C88F7}"/>
    <cellStyle name="Note 2 8 5 2 2 2 2 2 3" xfId="54321" xr:uid="{BE3E0901-644A-4189-97E1-90008D2A09A3}"/>
    <cellStyle name="Note 2 8 5 2 2 2 2 3" xfId="54322" xr:uid="{78CD32DA-669C-41D7-B70E-831A48C3C1FE}"/>
    <cellStyle name="Note 2 8 5 2 2 2 2 3 2" xfId="54323" xr:uid="{637FBE14-4B18-4C53-82E0-638C4B80EE02}"/>
    <cellStyle name="Note 2 8 5 2 2 2 2 4" xfId="54324" xr:uid="{EC95F7DB-9192-40B3-9EA7-1244661D87DE}"/>
    <cellStyle name="Note 2 8 5 2 2 2 3" xfId="54325" xr:uid="{8C43381A-A62D-4FC3-98EE-0F3E051C0683}"/>
    <cellStyle name="Note 2 8 5 2 2 2 3 2" xfId="54326" xr:uid="{B2DA9689-F494-458B-BD73-4DC619C02AD8}"/>
    <cellStyle name="Note 2 8 5 2 2 2 3 2 2" xfId="54327" xr:uid="{BF3E3B14-CFD0-4703-B583-7868C952ABA5}"/>
    <cellStyle name="Note 2 8 5 2 2 2 3 3" xfId="54328" xr:uid="{21BC06BD-78EB-4557-BB2F-4433012196F6}"/>
    <cellStyle name="Note 2 8 5 2 2 2 4" xfId="54329" xr:uid="{AE2A49E5-BB56-42A5-A666-E5CB07B855E1}"/>
    <cellStyle name="Note 2 8 5 2 2 2 4 2" xfId="54330" xr:uid="{668852F1-4188-4C25-815E-2FCD17DB9DF5}"/>
    <cellStyle name="Note 2 8 5 2 2 2 5" xfId="54331" xr:uid="{6CD7C81B-97D5-4C8B-AA31-C06117A2C4FE}"/>
    <cellStyle name="Note 2 8 5 2 2 3" xfId="54332" xr:uid="{D110A55F-1EC9-40BA-8514-FB9793C18B3F}"/>
    <cellStyle name="Note 2 8 5 2 2 3 2" xfId="54333" xr:uid="{1B784E15-E714-483B-8DDD-841C89A780C8}"/>
    <cellStyle name="Note 2 8 5 2 2 3 2 2" xfId="54334" xr:uid="{0B561306-4381-40AA-96E9-A2E8E468D035}"/>
    <cellStyle name="Note 2 8 5 2 2 3 2 2 2" xfId="54335" xr:uid="{CEF51B60-4E27-4380-815F-500234B3B8F8}"/>
    <cellStyle name="Note 2 8 5 2 2 3 2 3" xfId="54336" xr:uid="{0AE089F6-275A-47B0-B30B-6EF13953ACA2}"/>
    <cellStyle name="Note 2 8 5 2 2 3 3" xfId="54337" xr:uid="{20A7CAEC-71CE-44B8-AB50-4DD0341764EB}"/>
    <cellStyle name="Note 2 8 5 2 2 3 3 2" xfId="54338" xr:uid="{F9F027C7-FD17-408B-B840-96138148FA19}"/>
    <cellStyle name="Note 2 8 5 2 2 3 4" xfId="54339" xr:uid="{8822CCCF-322B-4D0B-8998-476B79027AE0}"/>
    <cellStyle name="Note 2 8 5 2 2 4" xfId="54340" xr:uid="{62ACD91A-C248-4715-BF0F-E2E93F5E7CDE}"/>
    <cellStyle name="Note 2 8 5 2 2 4 2" xfId="54341" xr:uid="{28589C0A-D462-458A-A55E-0B7011AEAE5B}"/>
    <cellStyle name="Note 2 8 5 2 2 4 2 2" xfId="54342" xr:uid="{3D23C1B5-CE3B-4C2B-9BD4-56F621FC7502}"/>
    <cellStyle name="Note 2 8 5 2 2 4 3" xfId="54343" xr:uid="{1D528984-30FE-4858-9483-E821F643E075}"/>
    <cellStyle name="Note 2 8 5 2 2 5" xfId="54344" xr:uid="{F0A51163-5A53-4610-82F7-9BABD6AC73D4}"/>
    <cellStyle name="Note 2 8 5 2 2 5 2" xfId="54345" xr:uid="{87BC3B8D-E70F-4A26-A075-2FB3EC1FA0AF}"/>
    <cellStyle name="Note 2 8 5 2 2 6" xfId="54346" xr:uid="{694765C9-720C-42ED-A2C6-FDE9E8E16DE3}"/>
    <cellStyle name="Note 2 8 5 2 3" xfId="54347" xr:uid="{BEE000F5-A9EB-4467-9275-4217B4421DC7}"/>
    <cellStyle name="Note 2 8 5 2 3 2" xfId="54348" xr:uid="{2C1C008A-1E6A-45E2-AD86-A2A81CA46A72}"/>
    <cellStyle name="Note 2 8 5 2 3 2 2" xfId="54349" xr:uid="{5EF26671-A98C-41F9-9887-9AEB88A22362}"/>
    <cellStyle name="Note 2 8 5 2 3 2 2 2" xfId="54350" xr:uid="{5EB3DB71-F03B-44F8-9995-004D76A0349F}"/>
    <cellStyle name="Note 2 8 5 2 3 2 2 2 2" xfId="54351" xr:uid="{5626520A-410E-431A-A73E-1D991A923161}"/>
    <cellStyle name="Note 2 8 5 2 3 2 2 3" xfId="54352" xr:uid="{8A0E028B-42A7-4B37-BDBE-4F3D5766E014}"/>
    <cellStyle name="Note 2 8 5 2 3 2 3" xfId="54353" xr:uid="{88B5F537-F5E0-4B93-8595-119772BDFEEA}"/>
    <cellStyle name="Note 2 8 5 2 3 2 3 2" xfId="54354" xr:uid="{503A7ED8-A60B-4E87-BCB8-4E4408D1B487}"/>
    <cellStyle name="Note 2 8 5 2 3 2 4" xfId="54355" xr:uid="{8578B536-ACF4-4835-B0C6-779301127FAC}"/>
    <cellStyle name="Note 2 8 5 2 3 3" xfId="54356" xr:uid="{31056902-9762-4EF6-920F-F189AE5EBDD1}"/>
    <cellStyle name="Note 2 8 5 2 3 3 2" xfId="54357" xr:uid="{D7BAFAC3-421F-4179-86CC-9951DB69B10C}"/>
    <cellStyle name="Note 2 8 5 2 3 3 2 2" xfId="54358" xr:uid="{D36C4048-B962-4621-86EB-648E9272D582}"/>
    <cellStyle name="Note 2 8 5 2 3 3 3" xfId="54359" xr:uid="{46F940DC-29B2-449D-8ECD-C6ADC383A6AE}"/>
    <cellStyle name="Note 2 8 5 2 3 4" xfId="54360" xr:uid="{BF0DF4F6-FB75-4391-A83D-1527BE3F9D61}"/>
    <cellStyle name="Note 2 8 5 2 3 4 2" xfId="54361" xr:uid="{347FEE46-51DA-49E4-A577-0EE722378582}"/>
    <cellStyle name="Note 2 8 5 2 3 5" xfId="54362" xr:uid="{C29F99BB-DDB9-495B-9669-41CC43ACBC64}"/>
    <cellStyle name="Note 2 8 5 2 4" xfId="54363" xr:uid="{78F8BE70-40D8-46DA-A9DE-3708D369D1D2}"/>
    <cellStyle name="Note 2 8 5 2 4 2" xfId="54364" xr:uid="{C162D619-CFC3-46C3-AFD0-C764A383F243}"/>
    <cellStyle name="Note 2 8 5 2 4 2 2" xfId="54365" xr:uid="{4A9B89EB-8D9B-4761-928B-83FE7729435F}"/>
    <cellStyle name="Note 2 8 5 2 4 2 2 2" xfId="54366" xr:uid="{C3A71DD4-A68D-4327-B12E-6B848EB83AFC}"/>
    <cellStyle name="Note 2 8 5 2 4 2 3" xfId="54367" xr:uid="{AC92BD1E-69AB-4C77-87CF-8B80262AD345}"/>
    <cellStyle name="Note 2 8 5 2 4 3" xfId="54368" xr:uid="{CEAD6C43-2094-4C0F-A142-63A472894F82}"/>
    <cellStyle name="Note 2 8 5 2 4 3 2" xfId="54369" xr:uid="{BE9D37CD-9621-4732-8433-4216DEC45D35}"/>
    <cellStyle name="Note 2 8 5 2 4 4" xfId="54370" xr:uid="{CE0DE324-BE4C-454D-B807-5831EC01D4C7}"/>
    <cellStyle name="Note 2 8 5 2 5" xfId="54371" xr:uid="{C2A8391A-54B3-4889-8DDD-21D3C4C9B080}"/>
    <cellStyle name="Note 2 8 5 2 5 2" xfId="54372" xr:uid="{1F9C14C3-9CEF-43EA-926E-55EBAA583071}"/>
    <cellStyle name="Note 2 8 5 2 5 2 2" xfId="54373" xr:uid="{3B6F392A-E5E1-416B-A8BF-0E9DE0321605}"/>
    <cellStyle name="Note 2 8 5 2 5 3" xfId="54374" xr:uid="{B1534465-849B-4300-AF66-42F893951861}"/>
    <cellStyle name="Note 2 8 5 2 6" xfId="54375" xr:uid="{A1479E79-D94F-44AD-9CDD-C732F68180A8}"/>
    <cellStyle name="Note 2 8 5 2 6 2" xfId="54376" xr:uid="{81E83D7C-06AA-4ECC-8B30-58826B04F4B4}"/>
    <cellStyle name="Note 2 8 5 2 7" xfId="54377" xr:uid="{81625555-C14C-4A80-8D41-1667253E771D}"/>
    <cellStyle name="Note 2 8 5 3" xfId="54378" xr:uid="{9A735494-6EC2-47EF-A7E9-7B416C2B9AEB}"/>
    <cellStyle name="Note 2 8 5 3 2" xfId="54379" xr:uid="{04267ECB-D9FD-4496-B7DB-31AB0FE657DE}"/>
    <cellStyle name="Note 2 8 5 3 2 2" xfId="54380" xr:uid="{4A314D9B-A124-4304-A343-0DCAC65AEF45}"/>
    <cellStyle name="Note 2 8 5 3 2 2 2" xfId="54381" xr:uid="{9491E5EC-F850-4D27-B100-32300F5C3CD3}"/>
    <cellStyle name="Note 2 8 5 3 2 2 2 2" xfId="54382" xr:uid="{7B6F78F6-B18C-45F2-8B47-AE1B9D60A48F}"/>
    <cellStyle name="Note 2 8 5 3 2 2 2 2 2" xfId="54383" xr:uid="{4225BE80-9DF2-43B7-BB06-03E77AE62218}"/>
    <cellStyle name="Note 2 8 5 3 2 2 2 3" xfId="54384" xr:uid="{22941A6B-4831-47AE-A3DD-9F4A08AC101E}"/>
    <cellStyle name="Note 2 8 5 3 2 2 3" xfId="54385" xr:uid="{BCEBD8E5-1D16-42ED-B79F-5C6DA8D1D749}"/>
    <cellStyle name="Note 2 8 5 3 2 2 3 2" xfId="54386" xr:uid="{F1D24A83-B232-4D45-877A-EDF47F2329EE}"/>
    <cellStyle name="Note 2 8 5 3 2 2 4" xfId="54387" xr:uid="{6C1E65D9-395C-4EA4-A8EE-53AB07ABEAAF}"/>
    <cellStyle name="Note 2 8 5 3 2 3" xfId="54388" xr:uid="{3F75DCFB-8F62-4F74-8970-9513A12A20B1}"/>
    <cellStyle name="Note 2 8 5 3 2 3 2" xfId="54389" xr:uid="{D0593DCC-D6F9-4BD6-89CD-26FC2BBF4BDD}"/>
    <cellStyle name="Note 2 8 5 3 2 3 2 2" xfId="54390" xr:uid="{D17FC0E7-7B20-4313-ACCA-4F8D44133E87}"/>
    <cellStyle name="Note 2 8 5 3 2 3 3" xfId="54391" xr:uid="{9B2C1EA9-FCB6-4C46-9D42-92D9A38769F4}"/>
    <cellStyle name="Note 2 8 5 3 2 4" xfId="54392" xr:uid="{FB8CD340-2E5F-4608-A336-893C6FA2EE85}"/>
    <cellStyle name="Note 2 8 5 3 2 4 2" xfId="54393" xr:uid="{59BB011F-BCAD-46D7-9D7F-B44A70025868}"/>
    <cellStyle name="Note 2 8 5 3 2 5" xfId="54394" xr:uid="{805770A1-1AB4-4E56-B36E-FF0D23AA7A87}"/>
    <cellStyle name="Note 2 8 5 3 3" xfId="54395" xr:uid="{74910967-5F40-4BB1-A26E-17DDEA6A2183}"/>
    <cellStyle name="Note 2 8 5 3 3 2" xfId="54396" xr:uid="{895F327A-38C8-4CAB-BB0B-5F1B6B3F9569}"/>
    <cellStyle name="Note 2 8 5 3 3 2 2" xfId="54397" xr:uid="{E512FB91-3331-4C4F-A02A-377EE28F59E1}"/>
    <cellStyle name="Note 2 8 5 3 3 2 2 2" xfId="54398" xr:uid="{91B369F9-8E84-435B-8B3A-5F0D2744AEB7}"/>
    <cellStyle name="Note 2 8 5 3 3 2 3" xfId="54399" xr:uid="{46F95C9B-4370-4725-BF73-7BE4AB028D7C}"/>
    <cellStyle name="Note 2 8 5 3 3 3" xfId="54400" xr:uid="{0F534F3A-98F0-4717-9B1C-43349A1DB547}"/>
    <cellStyle name="Note 2 8 5 3 3 3 2" xfId="54401" xr:uid="{91B2EC88-B5C9-4F1E-AA08-31AD8D2AAA36}"/>
    <cellStyle name="Note 2 8 5 3 3 4" xfId="54402" xr:uid="{EC49A037-4CCA-4B5A-85C2-25B574BAFA6E}"/>
    <cellStyle name="Note 2 8 5 3 4" xfId="54403" xr:uid="{83E355A6-2D42-45BA-9252-9132239B12D2}"/>
    <cellStyle name="Note 2 8 5 3 4 2" xfId="54404" xr:uid="{493B77DA-6691-466D-8BBB-8CC3763E32D4}"/>
    <cellStyle name="Note 2 8 5 3 4 2 2" xfId="54405" xr:uid="{AAA93DF1-3BD6-41C7-ACDD-297F5AC595AF}"/>
    <cellStyle name="Note 2 8 5 3 4 3" xfId="54406" xr:uid="{3A0ADCD9-4FEE-4640-8D8E-B81705312615}"/>
    <cellStyle name="Note 2 8 5 3 5" xfId="54407" xr:uid="{47A4B3C4-9886-4237-A42F-4D267C0F469E}"/>
    <cellStyle name="Note 2 8 5 3 5 2" xfId="54408" xr:uid="{A1A1D966-C2C8-4370-858C-47442CED26D3}"/>
    <cellStyle name="Note 2 8 5 3 6" xfId="54409" xr:uid="{678731EC-E890-4028-9840-E68E186E8FCC}"/>
    <cellStyle name="Note 2 8 5 4" xfId="54410" xr:uid="{A70F1946-F876-4DB8-A551-5C11AE9A1F48}"/>
    <cellStyle name="Note 2 8 5 4 2" xfId="54411" xr:uid="{816BB60E-CA94-451E-AAB2-359F11ABEDE6}"/>
    <cellStyle name="Note 2 8 5 4 2 2" xfId="54412" xr:uid="{55CDE804-2431-4725-AC80-7DCA8AFD7046}"/>
    <cellStyle name="Note 2 8 5 4 2 2 2" xfId="54413" xr:uid="{E4702065-11F8-45B6-8CCD-22F816E0F809}"/>
    <cellStyle name="Note 2 8 5 4 2 2 2 2" xfId="54414" xr:uid="{5443F665-618B-4A2B-94F2-F8A1FD430B45}"/>
    <cellStyle name="Note 2 8 5 4 2 2 3" xfId="54415" xr:uid="{DDD3863A-15EB-4210-A36D-726AC1782DEE}"/>
    <cellStyle name="Note 2 8 5 4 2 3" xfId="54416" xr:uid="{CA99C9AF-00B4-40BF-BA3D-4CFE2C94E3EE}"/>
    <cellStyle name="Note 2 8 5 4 2 3 2" xfId="54417" xr:uid="{40965F70-1A60-4578-8C5B-17C4C3B331EA}"/>
    <cellStyle name="Note 2 8 5 4 2 4" xfId="54418" xr:uid="{A0CFD586-F861-433E-A399-345BBB0DDD20}"/>
    <cellStyle name="Note 2 8 5 4 3" xfId="54419" xr:uid="{F1AF3F9F-98BB-43D9-A1BA-C943BE75AF49}"/>
    <cellStyle name="Note 2 8 5 4 3 2" xfId="54420" xr:uid="{4BA576DD-3C84-4F8E-9CB9-F5C423254EFC}"/>
    <cellStyle name="Note 2 8 5 4 3 2 2" xfId="54421" xr:uid="{7F163B55-4CA3-406A-9F04-D48350EC148D}"/>
    <cellStyle name="Note 2 8 5 4 3 3" xfId="54422" xr:uid="{E1AE3085-FF3E-4325-974A-89EFF681F697}"/>
    <cellStyle name="Note 2 8 5 4 4" xfId="54423" xr:uid="{59A88407-1B59-41F0-8BDD-B77206428CC5}"/>
    <cellStyle name="Note 2 8 5 4 4 2" xfId="54424" xr:uid="{CD5A3532-988C-4894-8EF3-0C5EC84F797D}"/>
    <cellStyle name="Note 2 8 5 4 5" xfId="54425" xr:uid="{176E5955-C5D0-47DE-A40E-03CBA0FE0341}"/>
    <cellStyle name="Note 2 8 5 5" xfId="54426" xr:uid="{D3766BD8-54F3-4B97-B4B7-43899AEF9C04}"/>
    <cellStyle name="Note 2 8 5 5 2" xfId="54427" xr:uid="{FFC2AE11-7FFB-4577-BE83-C5DC2F0DC38B}"/>
    <cellStyle name="Note 2 8 5 5 2 2" xfId="54428" xr:uid="{22CB3CC4-D0F3-47BA-ABAC-FE0A8DAE9717}"/>
    <cellStyle name="Note 2 8 5 5 2 2 2" xfId="54429" xr:uid="{AC140736-391D-4D5C-ABF2-F9A1491EB7AA}"/>
    <cellStyle name="Note 2 8 5 5 2 3" xfId="54430" xr:uid="{854CC6FF-4E97-4D8F-8673-0FD91C7AAC79}"/>
    <cellStyle name="Note 2 8 5 5 3" xfId="54431" xr:uid="{7CF989F8-C159-4150-8C13-38528DF121D2}"/>
    <cellStyle name="Note 2 8 5 5 3 2" xfId="54432" xr:uid="{9B0B0E1E-C43B-4E0D-95D6-52502D8E7A8B}"/>
    <cellStyle name="Note 2 8 5 5 4" xfId="54433" xr:uid="{B3EC6279-B867-453F-ACD5-98622299B56C}"/>
    <cellStyle name="Note 2 8 5 6" xfId="54434" xr:uid="{E6906C0A-B887-4EB9-8084-290D8E4ED4AA}"/>
    <cellStyle name="Note 2 8 5 6 2" xfId="54435" xr:uid="{619D4A19-4B2E-4068-A701-E4FA858BB841}"/>
    <cellStyle name="Note 2 8 5 6 2 2" xfId="54436" xr:uid="{9F1E2DF1-CC62-421A-8F8B-E4FDF113460B}"/>
    <cellStyle name="Note 2 8 5 6 3" xfId="54437" xr:uid="{29664287-3A3C-4B88-8D91-4B512E1BA010}"/>
    <cellStyle name="Note 2 8 5 7" xfId="54438" xr:uid="{395683C6-BC8B-49B5-9D04-0C72EF912DFE}"/>
    <cellStyle name="Note 2 8 5 7 2" xfId="54439" xr:uid="{28732CC8-BB63-4AD1-8443-2677859A9077}"/>
    <cellStyle name="Note 2 8 5 8" xfId="54440" xr:uid="{27BCB9DF-192E-46FC-A28C-E6854B2899F1}"/>
    <cellStyle name="Note 2 8 6" xfId="54441" xr:uid="{29C98677-04C6-471B-A323-F96DF839607D}"/>
    <cellStyle name="Note 2 8 6 2" xfId="54442" xr:uid="{047A06E4-AD05-430C-94A4-3120617977B8}"/>
    <cellStyle name="Note 2 8 6 2 2" xfId="54443" xr:uid="{EE88C083-6A10-4859-B3A8-AD706E7D7C7D}"/>
    <cellStyle name="Note 2 8 6 2 2 2" xfId="54444" xr:uid="{E7C6CFA8-0C54-4B98-B113-B91A04EFE1F2}"/>
    <cellStyle name="Note 2 8 6 2 2 2 2" xfId="54445" xr:uid="{1549CC50-1C86-4382-9B83-0101E42A126C}"/>
    <cellStyle name="Note 2 8 6 2 2 2 2 2" xfId="54446" xr:uid="{316B81F7-E7FD-4DEB-A9F4-91D2606912B6}"/>
    <cellStyle name="Note 2 8 6 2 2 2 2 2 2" xfId="54447" xr:uid="{AFEF70C0-DF33-4E2F-B25C-27121CC44796}"/>
    <cellStyle name="Note 2 8 6 2 2 2 2 3" xfId="54448" xr:uid="{71EEDB20-4803-4DA2-93DD-9F11A8EDA72F}"/>
    <cellStyle name="Note 2 8 6 2 2 2 3" xfId="54449" xr:uid="{9EF3F6E5-419E-415F-AEC4-749B41191F9C}"/>
    <cellStyle name="Note 2 8 6 2 2 2 3 2" xfId="54450" xr:uid="{26F820CF-8EFF-49D6-A89F-202966517DBF}"/>
    <cellStyle name="Note 2 8 6 2 2 2 4" xfId="54451" xr:uid="{13EE7CE8-0EEA-4004-B6BE-F485E27A56CC}"/>
    <cellStyle name="Note 2 8 6 2 2 3" xfId="54452" xr:uid="{69555890-11BF-488C-A33F-F55A4B26B886}"/>
    <cellStyle name="Note 2 8 6 2 2 3 2" xfId="54453" xr:uid="{7268AE00-17C4-46D5-A0E6-088BC6A3776F}"/>
    <cellStyle name="Note 2 8 6 2 2 3 2 2" xfId="54454" xr:uid="{54356651-1E22-4517-9C1C-12BCADE43C2F}"/>
    <cellStyle name="Note 2 8 6 2 2 3 3" xfId="54455" xr:uid="{A14CB7C9-4B78-4656-8B22-942BC4566670}"/>
    <cellStyle name="Note 2 8 6 2 2 4" xfId="54456" xr:uid="{56839740-D0E4-47A0-8CDE-F50FDC02D1E7}"/>
    <cellStyle name="Note 2 8 6 2 2 4 2" xfId="54457" xr:uid="{19FAD6A7-1304-42E0-98F7-D33007D19153}"/>
    <cellStyle name="Note 2 8 6 2 2 5" xfId="54458" xr:uid="{905222F8-F7C1-4CC9-8F1D-27A057D9E184}"/>
    <cellStyle name="Note 2 8 6 2 3" xfId="54459" xr:uid="{ACF3DE3B-3A79-49F2-9FA0-BD4EB54C6578}"/>
    <cellStyle name="Note 2 8 6 2 3 2" xfId="54460" xr:uid="{0204ADC4-C338-48C3-876C-00B02B6FA245}"/>
    <cellStyle name="Note 2 8 6 2 3 2 2" xfId="54461" xr:uid="{7A48C1EA-F009-4157-A764-7EE14508E744}"/>
    <cellStyle name="Note 2 8 6 2 3 2 2 2" xfId="54462" xr:uid="{C11318FD-D6B8-47E5-87DF-873F65F6E491}"/>
    <cellStyle name="Note 2 8 6 2 3 2 3" xfId="54463" xr:uid="{67C63642-A924-4995-967F-D55A7A38A0E7}"/>
    <cellStyle name="Note 2 8 6 2 3 3" xfId="54464" xr:uid="{BC4F9E57-E2D7-4FF2-B273-4B1BEC473D2E}"/>
    <cellStyle name="Note 2 8 6 2 3 3 2" xfId="54465" xr:uid="{F0791AD9-D178-4BC0-A948-C7D3CC55D753}"/>
    <cellStyle name="Note 2 8 6 2 3 4" xfId="54466" xr:uid="{1ED9C9BC-0737-4451-8444-C7801AEFD8A9}"/>
    <cellStyle name="Note 2 8 6 2 4" xfId="54467" xr:uid="{D469A9DF-24C2-4015-83B2-325C471852AC}"/>
    <cellStyle name="Note 2 8 6 2 4 2" xfId="54468" xr:uid="{5DA3F44C-E5A7-497C-9414-AEAE6AD30160}"/>
    <cellStyle name="Note 2 8 6 2 4 2 2" xfId="54469" xr:uid="{9CE19919-33A3-4CD2-A54E-C422B6E82B04}"/>
    <cellStyle name="Note 2 8 6 2 4 3" xfId="54470" xr:uid="{88E03D9D-A950-4E80-897F-2EC5D02DED8C}"/>
    <cellStyle name="Note 2 8 6 2 5" xfId="54471" xr:uid="{67304DDA-9971-4250-8F0E-6205C98E7050}"/>
    <cellStyle name="Note 2 8 6 2 5 2" xfId="54472" xr:uid="{862D599B-3538-4D8D-86F9-919AC5CAD1FF}"/>
    <cellStyle name="Note 2 8 6 2 6" xfId="54473" xr:uid="{2D2DE646-A365-4BA8-811D-2E74B9F14748}"/>
    <cellStyle name="Note 2 8 6 3" xfId="54474" xr:uid="{8685E75A-8861-4B7E-97BE-8372B547DA74}"/>
    <cellStyle name="Note 2 8 6 3 2" xfId="54475" xr:uid="{9037C96C-1229-4817-AEE6-E0A166332B88}"/>
    <cellStyle name="Note 2 8 6 3 2 2" xfId="54476" xr:uid="{277C74D8-670A-4409-9479-1859E88FFE12}"/>
    <cellStyle name="Note 2 8 6 3 2 2 2" xfId="54477" xr:uid="{1EC9991A-4821-4D26-9F38-0E1F7659D4EA}"/>
    <cellStyle name="Note 2 8 6 3 2 2 2 2" xfId="54478" xr:uid="{116E4400-6D2E-4640-AB12-54CCDFEED6AA}"/>
    <cellStyle name="Note 2 8 6 3 2 2 3" xfId="54479" xr:uid="{D8B242EE-E104-4275-B0F9-A728307B4489}"/>
    <cellStyle name="Note 2 8 6 3 2 3" xfId="54480" xr:uid="{DE2780E4-4648-4B0D-ADFA-EF4B880D29E9}"/>
    <cellStyle name="Note 2 8 6 3 2 3 2" xfId="54481" xr:uid="{A7F43118-92C6-459F-A958-042034A57601}"/>
    <cellStyle name="Note 2 8 6 3 2 4" xfId="54482" xr:uid="{E3310E28-4282-4DEE-9206-4A994CF07B9F}"/>
    <cellStyle name="Note 2 8 6 3 3" xfId="54483" xr:uid="{6318B4CD-89DF-4915-B3D9-D77BE9FEFD9D}"/>
    <cellStyle name="Note 2 8 6 3 3 2" xfId="54484" xr:uid="{75363EC3-BA00-457E-AC5E-0B628FF79162}"/>
    <cellStyle name="Note 2 8 6 3 3 2 2" xfId="54485" xr:uid="{A1E16056-0CA2-44E8-9AC2-35E9D64F0044}"/>
    <cellStyle name="Note 2 8 6 3 3 3" xfId="54486" xr:uid="{05AAD896-72AC-4E60-8414-1F447943EA1A}"/>
    <cellStyle name="Note 2 8 6 3 4" xfId="54487" xr:uid="{1F784EC5-491A-4A69-9B54-FD54F63C2FE6}"/>
    <cellStyle name="Note 2 8 6 3 4 2" xfId="54488" xr:uid="{6B37FC18-9CCD-4628-A634-491F3C6A30A8}"/>
    <cellStyle name="Note 2 8 6 3 5" xfId="54489" xr:uid="{3611658E-C268-40DD-B4EC-981F1D92E923}"/>
    <cellStyle name="Note 2 8 6 4" xfId="54490" xr:uid="{C1C61B65-FC0C-4A72-881A-3813B1EB31CF}"/>
    <cellStyle name="Note 2 8 6 4 2" xfId="54491" xr:uid="{5618850C-ED92-4709-B2F8-27120E2E4C8A}"/>
    <cellStyle name="Note 2 8 6 4 2 2" xfId="54492" xr:uid="{CF42AED3-FE8F-45C3-956F-948F7DD8EC12}"/>
    <cellStyle name="Note 2 8 6 4 2 2 2" xfId="54493" xr:uid="{9584361C-E8AD-4CB4-854D-7B191F0CBE41}"/>
    <cellStyle name="Note 2 8 6 4 2 3" xfId="54494" xr:uid="{4276B0AF-DDE5-4E0C-AFB7-70A493F1548A}"/>
    <cellStyle name="Note 2 8 6 4 3" xfId="54495" xr:uid="{15B74ECD-6CE4-4293-9777-8ADB6B101D9B}"/>
    <cellStyle name="Note 2 8 6 4 3 2" xfId="54496" xr:uid="{6CF69CEA-105A-47AA-AA28-7C05DB658CC2}"/>
    <cellStyle name="Note 2 8 6 4 4" xfId="54497" xr:uid="{614CD566-8E8C-4E58-AD31-EE4AFA4B3A91}"/>
    <cellStyle name="Note 2 8 6 5" xfId="54498" xr:uid="{23B25932-5F7D-49C4-8782-8C2DC1C38266}"/>
    <cellStyle name="Note 2 8 6 5 2" xfId="54499" xr:uid="{F753959E-2C11-44D5-8DD1-B6BEB387FBBE}"/>
    <cellStyle name="Note 2 8 6 5 2 2" xfId="54500" xr:uid="{8F71E5E8-8B6B-483B-B70C-787456EA8F37}"/>
    <cellStyle name="Note 2 8 6 5 3" xfId="54501" xr:uid="{AC72019C-8BF5-49A6-A2DE-179DBF62078D}"/>
    <cellStyle name="Note 2 8 6 6" xfId="54502" xr:uid="{36050BE4-AB91-457A-8C32-9FA92D287E6D}"/>
    <cellStyle name="Note 2 8 6 6 2" xfId="54503" xr:uid="{C193093F-257C-4E88-9F16-E25C87E7C400}"/>
    <cellStyle name="Note 2 8 6 7" xfId="54504" xr:uid="{649DF5EA-BC90-4E0F-B5F0-6557FFF15F56}"/>
    <cellStyle name="Note 2 8 7" xfId="54505" xr:uid="{CF57C61B-A805-4D1D-91B5-450B3AD34D10}"/>
    <cellStyle name="Note 2 8 7 2" xfId="54506" xr:uid="{7AE293D0-46C0-46B8-8241-B78D33ECC99B}"/>
    <cellStyle name="Note 2 8 7 2 2" xfId="54507" xr:uid="{2B9D4AA5-D090-44A1-9D3E-94F73291E2B1}"/>
    <cellStyle name="Note 2 8 7 2 2 2" xfId="54508" xr:uid="{49DFE4AB-1BBD-43DF-BD39-A02CA83D55BB}"/>
    <cellStyle name="Note 2 8 7 2 2 2 2" xfId="54509" xr:uid="{53B257E3-9022-4F89-A4C0-06F53DB1565C}"/>
    <cellStyle name="Note 2 8 7 2 2 2 2 2" xfId="54510" xr:uid="{898A0FAD-C078-4C12-8DE0-2C090E3C148F}"/>
    <cellStyle name="Note 2 8 7 2 2 2 3" xfId="54511" xr:uid="{BBAAF5D2-98AF-4C6C-AC3E-AB33C179B077}"/>
    <cellStyle name="Note 2 8 7 2 2 3" xfId="54512" xr:uid="{329E4C02-D943-4A83-ACC3-9E7967192E17}"/>
    <cellStyle name="Note 2 8 7 2 2 3 2" xfId="54513" xr:uid="{0FB49440-F356-47CA-A429-D9236B755505}"/>
    <cellStyle name="Note 2 8 7 2 2 4" xfId="54514" xr:uid="{75B61710-E83E-42E5-B712-626FDFD47025}"/>
    <cellStyle name="Note 2 8 7 2 3" xfId="54515" xr:uid="{2D9835EE-2846-4DA6-A7AD-8B5CBEC9681C}"/>
    <cellStyle name="Note 2 8 7 2 3 2" xfId="54516" xr:uid="{A339902C-A9B5-4BE9-B669-68133F41E941}"/>
    <cellStyle name="Note 2 8 7 2 3 2 2" xfId="54517" xr:uid="{4D5FF1E6-417B-437F-BF93-9E41CDADD6E0}"/>
    <cellStyle name="Note 2 8 7 2 3 3" xfId="54518" xr:uid="{3BD2B376-7BD0-4E69-97C7-1EC60C08D32B}"/>
    <cellStyle name="Note 2 8 7 2 4" xfId="54519" xr:uid="{989D8DE4-FF72-4CE8-B262-0F9F23DA4C1D}"/>
    <cellStyle name="Note 2 8 7 2 4 2" xfId="54520" xr:uid="{916642C3-E09F-4B16-B5D9-E02E19F0C972}"/>
    <cellStyle name="Note 2 8 7 2 5" xfId="54521" xr:uid="{7EA24E38-2F4B-432B-BC63-426395537FF3}"/>
    <cellStyle name="Note 2 8 7 3" xfId="54522" xr:uid="{B6750B7A-3528-4749-B8AE-CB0D2DC99180}"/>
    <cellStyle name="Note 2 8 7 3 2" xfId="54523" xr:uid="{AB84951F-AEB9-4240-BD8A-B7FC288A3539}"/>
    <cellStyle name="Note 2 8 7 3 2 2" xfId="54524" xr:uid="{5E02B377-3414-4851-BBFE-9A15182D88F2}"/>
    <cellStyle name="Note 2 8 7 3 2 2 2" xfId="54525" xr:uid="{4F9AD2BD-45A5-40AE-B7B5-15B55FB88C1F}"/>
    <cellStyle name="Note 2 8 7 3 2 3" xfId="54526" xr:uid="{47618621-83CF-4D7E-B16A-3DB006149907}"/>
    <cellStyle name="Note 2 8 7 3 3" xfId="54527" xr:uid="{B640A094-29D3-4586-9539-892E641ACBC7}"/>
    <cellStyle name="Note 2 8 7 3 3 2" xfId="54528" xr:uid="{1AA55959-AEE0-4DB9-B404-1D5409C10CCA}"/>
    <cellStyle name="Note 2 8 7 3 4" xfId="54529" xr:uid="{6420764A-1548-406C-88AF-3A5F481F7E79}"/>
    <cellStyle name="Note 2 8 7 4" xfId="54530" xr:uid="{7D6602B6-D832-4648-98E9-FBEF54FE8EE8}"/>
    <cellStyle name="Note 2 8 7 4 2" xfId="54531" xr:uid="{C02A15C4-1F16-4140-993C-48C6C1519E08}"/>
    <cellStyle name="Note 2 8 7 4 2 2" xfId="54532" xr:uid="{915A640F-D86B-4E0B-8B86-34173B35311C}"/>
    <cellStyle name="Note 2 8 7 4 3" xfId="54533" xr:uid="{86A7F7E6-D814-49B9-BD01-A13B89B58C69}"/>
    <cellStyle name="Note 2 8 7 5" xfId="54534" xr:uid="{B913D9A4-73AA-4446-99AF-F634D52E16FB}"/>
    <cellStyle name="Note 2 8 7 5 2" xfId="54535" xr:uid="{042F83FF-8DFA-46B6-BE2C-0BEB848E90E5}"/>
    <cellStyle name="Note 2 8 7 6" xfId="54536" xr:uid="{BB7A2D7A-5275-4B6E-858A-C1059A8203E7}"/>
    <cellStyle name="Note 2 8 8" xfId="54537" xr:uid="{20C8F886-4DAF-463A-9555-6ACA79528431}"/>
    <cellStyle name="Note 2 8 8 2" xfId="54538" xr:uid="{F8ADA27E-19BE-4A45-AB0A-E0B915E1264C}"/>
    <cellStyle name="Note 2 8 8 2 2" xfId="54539" xr:uid="{68F3EE1A-F04B-409E-A42F-D63FBB8818F3}"/>
    <cellStyle name="Note 2 8 8 2 2 2" xfId="54540" xr:uid="{240C5EBE-ECA4-4242-9CC1-9C203859F938}"/>
    <cellStyle name="Note 2 8 8 2 2 2 2" xfId="54541" xr:uid="{C65464B0-8A96-4A1A-B1DB-BD91FEBF8927}"/>
    <cellStyle name="Note 2 8 8 2 2 3" xfId="54542" xr:uid="{13F9F5B4-A278-461C-8645-3FC8E3C31610}"/>
    <cellStyle name="Note 2 8 8 2 3" xfId="54543" xr:uid="{8E86BBA1-BC7A-4E45-9206-7DF5A33EE28A}"/>
    <cellStyle name="Note 2 8 8 2 3 2" xfId="54544" xr:uid="{92E7B477-C545-4ACD-8E8B-F9A19FF749A4}"/>
    <cellStyle name="Note 2 8 8 2 4" xfId="54545" xr:uid="{57341E51-BE54-4124-889C-A14EC1CADD8D}"/>
    <cellStyle name="Note 2 8 8 3" xfId="54546" xr:uid="{2FE37401-6C3D-4841-A1CA-EBC14D7F9159}"/>
    <cellStyle name="Note 2 8 8 3 2" xfId="54547" xr:uid="{5905EBF9-4E5A-47B1-86DF-D965DE10EE6E}"/>
    <cellStyle name="Note 2 8 8 3 2 2" xfId="54548" xr:uid="{25E06143-A407-486A-A4AD-ACB91D0949B2}"/>
    <cellStyle name="Note 2 8 8 3 3" xfId="54549" xr:uid="{F4557E81-39DF-4CDF-BA9C-30AB2528AF8E}"/>
    <cellStyle name="Note 2 8 8 4" xfId="54550" xr:uid="{874A77F7-3BCD-47C9-A0D1-7690C143E162}"/>
    <cellStyle name="Note 2 8 8 4 2" xfId="54551" xr:uid="{F2068595-06B5-44B8-8F14-E947940B5AE2}"/>
    <cellStyle name="Note 2 8 8 5" xfId="54552" xr:uid="{0F4B156E-2A98-4D98-92B0-65E5043BD7E9}"/>
    <cellStyle name="Note 2 8 9" xfId="54553" xr:uid="{09AC82BF-BE89-42C1-992E-9B82705ABDA6}"/>
    <cellStyle name="Note 2 8 9 2" xfId="54554" xr:uid="{764BCB5F-FCAA-42E5-A1CC-0151723F3DE2}"/>
    <cellStyle name="Note 2 8 9 2 2" xfId="54555" xr:uid="{07F97083-308D-4EA1-9B2C-914DD48F4694}"/>
    <cellStyle name="Note 2 8 9 2 2 2" xfId="54556" xr:uid="{FA075E6F-222D-44A0-9178-953D8A53715A}"/>
    <cellStyle name="Note 2 8 9 2 3" xfId="54557" xr:uid="{65800937-2541-4B48-B846-5FDA42C6E749}"/>
    <cellStyle name="Note 2 8 9 3" xfId="54558" xr:uid="{1C06509E-57B4-4C23-847F-70D17204E7B0}"/>
    <cellStyle name="Note 2 8 9 3 2" xfId="54559" xr:uid="{1C4895ED-2DBD-4ED7-9856-F281654396BC}"/>
    <cellStyle name="Note 2 8 9 4" xfId="54560" xr:uid="{0B9D6A17-C0ED-4296-A57F-650246783EC1}"/>
    <cellStyle name="Note 3" xfId="54561" xr:uid="{4D0A7BAB-294E-4B89-A781-8AFCA80408DF}"/>
    <cellStyle name="Note 3 2" xfId="54562" xr:uid="{7723BE0B-FE2F-4264-8F3D-C3203ABD1391}"/>
    <cellStyle name="Note 3 3" xfId="54563" xr:uid="{BE2D63C8-7985-4C14-B506-208175EC3852}"/>
    <cellStyle name="Note 3 4" xfId="54564" xr:uid="{03EDCBDD-83CD-4097-997A-46ACD24657D0}"/>
    <cellStyle name="Note 3 5" xfId="54565" xr:uid="{8E25F473-D1F2-4063-B09C-3D9E2F26D422}"/>
    <cellStyle name="Note 3 6" xfId="54566" xr:uid="{6C2C2F17-9192-4DD7-A2EA-A459A1B551DB}"/>
    <cellStyle name="Note 3 7" xfId="54567" xr:uid="{110EF04D-ECAC-48D8-89BF-CD8E0EDBCC38}"/>
    <cellStyle name="Note 4" xfId="54568" xr:uid="{AFC65035-E05E-44E9-9CA9-524A8ED3D9EA}"/>
    <cellStyle name="Note 4 2" xfId="54569" xr:uid="{BE2669CC-A9E1-4F24-8A06-DFA7F2840BE3}"/>
    <cellStyle name="Note 4 3" xfId="54570" xr:uid="{C0419EAF-5C04-4B6E-A299-C3C248858437}"/>
    <cellStyle name="Note 4 4" xfId="54571" xr:uid="{764E981E-1801-4E80-B6A7-A68B5A8744CC}"/>
    <cellStyle name="Note 4 5" xfId="54572" xr:uid="{66EB2583-9318-4352-9972-1C5392F93F30}"/>
    <cellStyle name="Note 4 6" xfId="54573" xr:uid="{8E3A64F1-9D5E-4600-B3CF-4260BCD31904}"/>
    <cellStyle name="Note 4 7" xfId="54574" xr:uid="{75170BBC-0C29-4D98-9B09-B0AB5023673D}"/>
    <cellStyle name="Note 5" xfId="54575" xr:uid="{D6046439-BF6A-47D4-AA08-8CDADA5F6F94}"/>
    <cellStyle name="Note 5 2" xfId="54576" xr:uid="{CAACC77B-A79C-4071-AE3B-4BD2922040A7}"/>
    <cellStyle name="Note 5 3" xfId="54577" xr:uid="{8FAC7C1C-1256-4EAC-B545-FCC2D6BEA7A6}"/>
    <cellStyle name="Note 5 4" xfId="54578" xr:uid="{A864C31E-3F0B-422E-9516-0ABB1D5BC2B3}"/>
    <cellStyle name="Note 5 5" xfId="54579" xr:uid="{DFB59D5B-841D-47A6-8849-69DE51661E51}"/>
    <cellStyle name="Note 5 6" xfId="54580" xr:uid="{41ABD24A-5A0A-41DF-A0F5-6C73236AF67F}"/>
    <cellStyle name="Note 5 7" xfId="54581" xr:uid="{CD7F4714-B593-411E-8823-0DDDC5156247}"/>
    <cellStyle name="Note 6" xfId="54582" xr:uid="{AB0A89AA-FC20-48D1-89CF-C99BEC4C28F1}"/>
    <cellStyle name="Note 6 2" xfId="54583" xr:uid="{C096C6E1-708D-45D7-B74F-E3930B30E937}"/>
    <cellStyle name="Note 6 3" xfId="54584" xr:uid="{EB7C9650-A106-4E54-A5FD-4B32F02E6942}"/>
    <cellStyle name="Note 6 4" xfId="54585" xr:uid="{C93F9250-048A-4D28-9EAF-813B9E14FE32}"/>
    <cellStyle name="Note 6 5" xfId="54586" xr:uid="{2F823452-0D41-4A60-B86E-32C33D4EC839}"/>
    <cellStyle name="Note 7" xfId="54587" xr:uid="{3BC7C0C8-4A3A-40CC-AB75-7C23776A3E55}"/>
    <cellStyle name="Note 7 2" xfId="54588" xr:uid="{431305C6-F368-45B2-9AE1-553312F0CC03}"/>
    <cellStyle name="Note 7 3" xfId="54589" xr:uid="{D4D89F3F-B511-4897-ADDE-6A17E6BEF255}"/>
    <cellStyle name="Note 7 4" xfId="54590" xr:uid="{DBC7CC94-A2F1-4896-A5A9-483D7052165B}"/>
    <cellStyle name="Note 7 5" xfId="54591" xr:uid="{06A960A5-BD2A-44B6-AC91-64AC80C631B2}"/>
    <cellStyle name="Note 8" xfId="54592" xr:uid="{102B4C75-52DE-46DE-B953-E727A15C4076}"/>
    <cellStyle name="Note 9" xfId="54593" xr:uid="{C6723F6C-FD60-45C7-B74D-6D4C96681A39}"/>
    <cellStyle name="Output 10" xfId="54594" xr:uid="{8B4328BD-444A-4E11-B0D4-67AC2470E9D7}"/>
    <cellStyle name="Output 11" xfId="54595" xr:uid="{DF865C8B-75DB-4826-B285-C4201C131629}"/>
    <cellStyle name="Output 2" xfId="54596" xr:uid="{E0014921-F2A0-4CC9-84AE-6AA195AB2851}"/>
    <cellStyle name="Output 2 2" xfId="54597" xr:uid="{36912E97-AB19-4DAA-AD6E-21B3D5D1E696}"/>
    <cellStyle name="Output 2 3" xfId="54598" xr:uid="{5FFDFACF-62D5-403C-8C97-FD97E6C07735}"/>
    <cellStyle name="Output 2 4" xfId="54599" xr:uid="{C291B039-3688-4BCE-9BFF-5FC25EB97545}"/>
    <cellStyle name="Output 2 5" xfId="54600" xr:uid="{28C0BEBA-9945-435E-A5E9-021F651A9CF2}"/>
    <cellStyle name="Output 2 6" xfId="54601" xr:uid="{DAC8FDC3-D05E-46D1-AB23-B045745081AA}"/>
    <cellStyle name="Output 2 7" xfId="54602" xr:uid="{B2186C4C-33E7-4B1A-9284-1639FF52DBD0}"/>
    <cellStyle name="Output 3" xfId="54603" xr:uid="{FD792DFE-86D5-4BA4-9E5D-91BB0DEA32E7}"/>
    <cellStyle name="Output 3 2" xfId="54604" xr:uid="{C80956A2-CDE7-4244-99C5-0D3B31F3AAB2}"/>
    <cellStyle name="Output 3 3" xfId="54605" xr:uid="{26B05D42-2D68-49AB-ADE0-91B10E669E10}"/>
    <cellStyle name="Output 3 4" xfId="54606" xr:uid="{9FC672DD-03BF-4B18-9965-69F1DE97515E}"/>
    <cellStyle name="Output 3 5" xfId="54607" xr:uid="{F3D0269B-4B86-4BED-BBAD-DB292524D724}"/>
    <cellStyle name="Output 3 6" xfId="54608" xr:uid="{A8A386BD-6ADE-4C7D-8390-CB751F64810B}"/>
    <cellStyle name="Output 3 7" xfId="54609" xr:uid="{B4AA57EC-B176-4B85-8085-7D2A8BEEAE51}"/>
    <cellStyle name="Output 4" xfId="54610" xr:uid="{E13A0F14-9F43-4CED-82C5-0DFF58150A35}"/>
    <cellStyle name="Output 4 2" xfId="54611" xr:uid="{FE4FD375-0E0C-4DB7-81C0-B2C413C87DCC}"/>
    <cellStyle name="Output 4 3" xfId="54612" xr:uid="{78882A86-F503-4629-B5AC-5077BCDC8274}"/>
    <cellStyle name="Output 4 4" xfId="54613" xr:uid="{3D24925D-3EEE-4458-9D7E-1ABF206D22FE}"/>
    <cellStyle name="Output 4 5" xfId="54614" xr:uid="{D09B097C-2CA0-42B4-A6D3-719AEE036C0D}"/>
    <cellStyle name="Output 4 6" xfId="54615" xr:uid="{19E16C31-452B-4C6C-AF9A-2D7C493C7AB3}"/>
    <cellStyle name="Output 4 7" xfId="54616" xr:uid="{F7F0E2B4-90F1-4BB6-A780-09A4D3F1E6E5}"/>
    <cellStyle name="Output 5" xfId="54617" xr:uid="{78FAD7D8-1BBA-4458-ADF1-F02C238856FA}"/>
    <cellStyle name="Output 5 2" xfId="54618" xr:uid="{D81D01A1-414A-4E3F-8A2F-3001C10DFFB5}"/>
    <cellStyle name="Output 5 3" xfId="54619" xr:uid="{849AF0BA-94D1-4A40-856B-4FC29F24A6E6}"/>
    <cellStyle name="Output 5 4" xfId="54620" xr:uid="{103DD2B0-C9CE-42CB-B1DF-A40D408D05A1}"/>
    <cellStyle name="Output 5 5" xfId="54621" xr:uid="{7263F0C0-B27E-4F1E-975E-4B98EA36B41F}"/>
    <cellStyle name="Output 5 6" xfId="54622" xr:uid="{06A71BE0-546D-4C69-A20E-B24127FBD447}"/>
    <cellStyle name="Output 5 7" xfId="54623" xr:uid="{55C1D79C-7EA6-493A-ACCE-2039BAD70A06}"/>
    <cellStyle name="Output 6" xfId="54624" xr:uid="{62ED366C-A91F-4AE1-9BFF-43B1F08CECE3}"/>
    <cellStyle name="Output 6 2" xfId="54625" xr:uid="{C5E3C5A2-34C6-4EB4-8780-12A18827A705}"/>
    <cellStyle name="Output 6 3" xfId="54626" xr:uid="{A2B0C76E-455E-4BEF-963E-EC2DEBFFB30D}"/>
    <cellStyle name="Output 6 4" xfId="54627" xr:uid="{1A86EB91-7804-478E-BC59-A64A9871C292}"/>
    <cellStyle name="Output 6 5" xfId="54628" xr:uid="{B33AAA63-5620-48D7-B9CC-8F71852ABF8B}"/>
    <cellStyle name="Output 7" xfId="54629" xr:uid="{83EB4AA1-F131-4354-AFAC-6157AF842E72}"/>
    <cellStyle name="Output 7 2" xfId="54630" xr:uid="{2E156D1E-32A1-40E6-881D-975360BBF4BE}"/>
    <cellStyle name="Output 7 3" xfId="54631" xr:uid="{3017C029-0FA8-41DC-9D9B-A9C885CBF56D}"/>
    <cellStyle name="Output 7 4" xfId="54632" xr:uid="{DA25D116-A2CD-4E24-B956-5B29627C47EE}"/>
    <cellStyle name="Output 7 5" xfId="54633" xr:uid="{6487D0B0-E0BF-4F02-91B5-BDEABEC8D55A}"/>
    <cellStyle name="Output 8" xfId="54634" xr:uid="{C064A697-84C9-46D7-B352-E52C996DE139}"/>
    <cellStyle name="Output 9" xfId="54635" xr:uid="{A515A618-FEE5-43AB-8FC5-03851AF0D3F0}"/>
    <cellStyle name="Percent" xfId="10" builtinId="5"/>
    <cellStyle name="Percent 2" xfId="12" xr:uid="{00000000-0005-0000-0000-00001A000000}"/>
    <cellStyle name="Percent 2 2" xfId="208" xr:uid="{2EE1D5FA-7497-426F-B236-88F894AF50CC}"/>
    <cellStyle name="Percent 2 3" xfId="172" xr:uid="{25A2B631-7D50-4B18-BB7E-D0EABBC99D6E}"/>
    <cellStyle name="Percent 2 4" xfId="54636" xr:uid="{F1C8242B-96E5-44BE-9FCA-482AB9462668}"/>
    <cellStyle name="Percent 2 5" xfId="54783" xr:uid="{FCAF1E59-5882-4020-B795-98C0FE4BD9EF}"/>
    <cellStyle name="Percent 3" xfId="16" xr:uid="{00000000-0005-0000-0000-00001B000000}"/>
    <cellStyle name="Percent 3 2" xfId="18" xr:uid="{00000000-0005-0000-0000-00001C000000}"/>
    <cellStyle name="Percent 3 3" xfId="22" xr:uid="{00000000-0005-0000-0000-00001D000000}"/>
    <cellStyle name="Percent 3 4" xfId="34" xr:uid="{3A83ED95-28BA-4D1A-BDF2-85099D36BDFF}"/>
    <cellStyle name="Percent 4" xfId="54784" xr:uid="{EA077ED9-F929-446B-B2C7-6C7D17A137C4}"/>
    <cellStyle name="Percent 4 2" xfId="54809" xr:uid="{5E0B3259-C259-45A9-997E-F8BE054E38DF}"/>
    <cellStyle name="Percent 5" xfId="31" xr:uid="{42593113-FC57-4E10-A8C3-525FCCDB5431}"/>
    <cellStyle name="Thousands" xfId="54637" xr:uid="{8F0A630F-3C06-428F-BD2E-FFAB37D95D48}"/>
    <cellStyle name="Title 10" xfId="54638" xr:uid="{61A52CF6-9A33-410F-975B-DD847B634C5F}"/>
    <cellStyle name="Title 11" xfId="54639" xr:uid="{B190ABBB-A578-4B5C-A51B-51D4FAD98D0C}"/>
    <cellStyle name="Title 2" xfId="54640" xr:uid="{75D988DF-6508-4F10-9930-0DBCF265F11D}"/>
    <cellStyle name="Title 2 2" xfId="54641" xr:uid="{02DC9D80-D914-4A24-BBAC-252C474C8588}"/>
    <cellStyle name="Title 2 3" xfId="54642" xr:uid="{BFDA1580-467A-42CF-9E38-52DF02CEEA17}"/>
    <cellStyle name="Title 2 4" xfId="54643" xr:uid="{E1A814BC-2E3C-4622-8263-376B35DF43B5}"/>
    <cellStyle name="Title 2 5" xfId="54644" xr:uid="{BD023B87-CBEC-48E1-92C8-8A95D3A9C1F7}"/>
    <cellStyle name="Title 2 6" xfId="54645" xr:uid="{A5635D55-2857-4BE9-802F-DE39F24854AB}"/>
    <cellStyle name="Title 2 7" xfId="54646" xr:uid="{176DBA7D-DFB5-462A-87F9-DF7C97B86E6A}"/>
    <cellStyle name="Title 3" xfId="54647" xr:uid="{67F540F2-0A3B-4F91-A417-72435300311E}"/>
    <cellStyle name="Title 3 2" xfId="54648" xr:uid="{D309D405-7971-433A-B2EE-0F7BFFC654F1}"/>
    <cellStyle name="Title 3 3" xfId="54649" xr:uid="{DDF086A5-184B-43F1-A7F6-8E9397251F92}"/>
    <cellStyle name="Title 3 4" xfId="54650" xr:uid="{29EC6F17-A6D9-4C9F-96EE-DF034D9EC41A}"/>
    <cellStyle name="Title 3 5" xfId="54651" xr:uid="{609B3B13-E9E3-4F34-BB7F-247CF45EF156}"/>
    <cellStyle name="Title 3 6" xfId="54652" xr:uid="{41FE3241-27EC-44A3-860F-5A467D07D8E0}"/>
    <cellStyle name="Title 3 7" xfId="54653" xr:uid="{CD4D0777-AA18-45E6-823B-52F9A6215877}"/>
    <cellStyle name="Title 4" xfId="54654" xr:uid="{B2C5CA86-BCA4-4362-9408-FEB61925A6A5}"/>
    <cellStyle name="Title 4 2" xfId="54655" xr:uid="{85BAB818-FC8C-4849-A88C-CF29BE59B65C}"/>
    <cellStyle name="Title 4 3" xfId="54656" xr:uid="{F9A51E75-759A-49B2-AEE2-54E063D2C247}"/>
    <cellStyle name="Title 4 4" xfId="54657" xr:uid="{E7998186-AA86-4733-8404-2F7241C8A763}"/>
    <cellStyle name="Title 4 5" xfId="54658" xr:uid="{79D6D420-AFA2-45CD-903D-DA66C8619C23}"/>
    <cellStyle name="Title 4 6" xfId="54659" xr:uid="{B0683121-5119-4BF8-B53D-FB8BA654C29B}"/>
    <cellStyle name="Title 4 7" xfId="54660" xr:uid="{47876685-1A8F-4E49-A46C-804EE8F6F513}"/>
    <cellStyle name="Title 5" xfId="54661" xr:uid="{9E37B7F1-B0AA-48DD-9D5F-BE30CD33A7A6}"/>
    <cellStyle name="Title 5 2" xfId="54662" xr:uid="{0A60F289-64F7-4742-8EF7-63375159B2C2}"/>
    <cellStyle name="Title 5 3" xfId="54663" xr:uid="{DF607C12-A474-4C78-91E8-16BBD82A7CD2}"/>
    <cellStyle name="Title 5 4" xfId="54664" xr:uid="{0DB016D4-60AD-435E-899E-8F954CDDAF56}"/>
    <cellStyle name="Title 5 5" xfId="54665" xr:uid="{BC24994F-55FB-40F1-BB1B-C51D17C8D5AD}"/>
    <cellStyle name="Title 5 6" xfId="54666" xr:uid="{A5F7D8DF-9E41-4D6A-80F1-386F93E882D5}"/>
    <cellStyle name="Title 5 7" xfId="54667" xr:uid="{26B0DB56-FFB9-4436-A96A-8F5F083C7E75}"/>
    <cellStyle name="Title 6" xfId="54668" xr:uid="{D2E57C77-CF1A-489A-B5AD-158FF4334889}"/>
    <cellStyle name="Title 6 2" xfId="54669" xr:uid="{8449724D-9C07-422B-927A-F1DC3EEA7025}"/>
    <cellStyle name="Title 6 3" xfId="54670" xr:uid="{1C188F9D-D567-4F5B-830D-DCBCC3453612}"/>
    <cellStyle name="Title 6 4" xfId="54671" xr:uid="{E53F5C6C-7D98-42E4-8C45-FEC51ABA920F}"/>
    <cellStyle name="Title 6 5" xfId="54672" xr:uid="{A0702D59-4A96-43CD-81F1-5B458693E0C0}"/>
    <cellStyle name="Title 7" xfId="54673" xr:uid="{52D95329-F79D-4481-8290-A90977784585}"/>
    <cellStyle name="Title 7 2" xfId="54674" xr:uid="{C8018D9E-1F09-4CAB-B902-B5558456A235}"/>
    <cellStyle name="Title 7 3" xfId="54675" xr:uid="{2FD343BC-8CE1-47C9-B1B6-40721BA9AA21}"/>
    <cellStyle name="Title 7 4" xfId="54676" xr:uid="{5C4A3444-94B2-452C-B929-A852F20948FE}"/>
    <cellStyle name="Title 7 5" xfId="54677" xr:uid="{4D683C2C-DA93-4EC0-85DA-0ACBC9EE51AF}"/>
    <cellStyle name="Title 8" xfId="54678" xr:uid="{E860B4B6-0E28-4FD6-98E3-F2AF6E782CE6}"/>
    <cellStyle name="Title 9" xfId="54679" xr:uid="{900D0EC7-0895-4813-84E7-F2F507A6E811}"/>
    <cellStyle name="Total 10" xfId="54680" xr:uid="{C6B4A099-A90D-406E-87DD-F6F611030732}"/>
    <cellStyle name="Total 11" xfId="54681" xr:uid="{47FD0F8E-FC7D-4818-9F15-835D5385EEAB}"/>
    <cellStyle name="Total 2" xfId="54682" xr:uid="{C74EF4E0-F4ED-443C-9DC9-C53990B7B920}"/>
    <cellStyle name="Total 2 2" xfId="54683" xr:uid="{8373F2D0-4FC5-414B-8201-9A38D878B896}"/>
    <cellStyle name="Total 2 3" xfId="54684" xr:uid="{F50F8CC1-0BFE-402D-94E6-0ADE79A105EA}"/>
    <cellStyle name="Total 2 4" xfId="54685" xr:uid="{23A53D86-BB20-49B5-A45D-F0A6824A9C64}"/>
    <cellStyle name="Total 2 5" xfId="54686" xr:uid="{98F70A8F-30ED-4F33-9AD2-98F31447C25B}"/>
    <cellStyle name="Total 2 6" xfId="54687" xr:uid="{1DB94B84-8D24-46DD-A1AE-B7B3DEDAAD98}"/>
    <cellStyle name="Total 2 7" xfId="54688" xr:uid="{4BCD0499-882A-4291-A954-9E0F229456B5}"/>
    <cellStyle name="Total 3" xfId="54689" xr:uid="{8600BBF1-72F4-43C2-8FA4-32A7C933A7DE}"/>
    <cellStyle name="Total 3 2" xfId="54690" xr:uid="{5306E643-F16B-46FE-B6DE-945EAD0E72FA}"/>
    <cellStyle name="Total 3 3" xfId="54691" xr:uid="{CFCCF7B7-EAAA-4A19-B240-B889C83990C1}"/>
    <cellStyle name="Total 3 4" xfId="54692" xr:uid="{1AF53626-F714-466F-AD4A-C80D67BF3B80}"/>
    <cellStyle name="Total 3 5" xfId="54693" xr:uid="{51138AA4-483D-4185-A0BC-4FE111310D73}"/>
    <cellStyle name="Total 3 6" xfId="54694" xr:uid="{AB1BF941-8276-4813-90B3-3A7DD7F19EC3}"/>
    <cellStyle name="Total 3 7" xfId="54695" xr:uid="{7D82004B-AEF4-4A0B-BBE3-8535BAE01F44}"/>
    <cellStyle name="Total 4" xfId="54696" xr:uid="{EC15E12E-9C9B-430D-99B4-D613B3AACD41}"/>
    <cellStyle name="Total 4 2" xfId="54697" xr:uid="{FDC82AE7-7AC7-46AE-B758-99A130276922}"/>
    <cellStyle name="Total 4 3" xfId="54698" xr:uid="{4068322B-B6E2-4570-B220-F784BB5CDA98}"/>
    <cellStyle name="Total 4 4" xfId="54699" xr:uid="{AE68748E-50FA-4D81-B8A5-9F8C4426A5F1}"/>
    <cellStyle name="Total 4 5" xfId="54700" xr:uid="{F307317E-A55E-4F01-8818-42A6B23818AB}"/>
    <cellStyle name="Total 4 6" xfId="54701" xr:uid="{5B2E0213-3F01-4E5C-96E5-5A33C4AB99C5}"/>
    <cellStyle name="Total 4 7" xfId="54702" xr:uid="{1EB1B896-5E95-4D34-BFE4-BE5CE8404E18}"/>
    <cellStyle name="Total 5" xfId="54703" xr:uid="{3028B530-6117-4239-BADF-DCA0309A9D22}"/>
    <cellStyle name="Total 5 2" xfId="54704" xr:uid="{82BDF4C8-F316-49E1-A140-C6A266A58632}"/>
    <cellStyle name="Total 5 3" xfId="54705" xr:uid="{19F4F80A-5C8D-4D94-B663-6C2D53B1D41C}"/>
    <cellStyle name="Total 5 4" xfId="54706" xr:uid="{FE90EF03-36E7-4C05-9F52-A810F766D3E0}"/>
    <cellStyle name="Total 5 5" xfId="54707" xr:uid="{A3C0BF56-282D-4DF9-9855-5328B92AB5B9}"/>
    <cellStyle name="Total 5 6" xfId="54708" xr:uid="{ED7A3DD7-9D09-4942-B494-994AF82CD3EE}"/>
    <cellStyle name="Total 5 7" xfId="54709" xr:uid="{7D3CBB6C-B0A3-459C-AC0C-46E2DE73208F}"/>
    <cellStyle name="Total 6" xfId="54710" xr:uid="{ABEF3988-D1CD-4251-955B-A47B182A887A}"/>
    <cellStyle name="Total 6 2" xfId="54711" xr:uid="{8C4F15ED-8A6B-445E-83BF-7A83B82CEE2F}"/>
    <cellStyle name="Total 6 3" xfId="54712" xr:uid="{4AEA9DE7-FC74-4E43-B117-5BE23188D05C}"/>
    <cellStyle name="Total 6 4" xfId="54713" xr:uid="{8DD02ED6-CF54-42F3-A137-78AEF0F0A78C}"/>
    <cellStyle name="Total 6 5" xfId="54714" xr:uid="{2083F246-AB92-48AA-BFFC-60461F429E5C}"/>
    <cellStyle name="Total 7" xfId="54715" xr:uid="{1288BDAB-FF10-4E29-940C-EC2B62FDC683}"/>
    <cellStyle name="Total 7 2" xfId="54716" xr:uid="{5ABA3D82-9B53-4DD1-82F1-CE37098F083E}"/>
    <cellStyle name="Total 7 3" xfId="54717" xr:uid="{EFA7CA2E-F2FF-4435-85B5-A2027E8E0A46}"/>
    <cellStyle name="Total 7 4" xfId="54718" xr:uid="{290419AB-DE34-46A8-B2DE-E51ED8EB19E5}"/>
    <cellStyle name="Total 7 5" xfId="54719" xr:uid="{846B12F4-0F9D-4E29-A843-0F5D90E8AAA4}"/>
    <cellStyle name="Total 8" xfId="54720" xr:uid="{423D7ABF-35D5-4A78-A6D0-6F94BB097C7F}"/>
    <cellStyle name="Total 9" xfId="54721" xr:uid="{473C6B62-4F34-4FC5-A9C7-2AFCAE5B273F}"/>
    <cellStyle name="Warning Text 10" xfId="54722" xr:uid="{49E85F96-9283-4BAC-A586-06F87A0E7935}"/>
    <cellStyle name="Warning Text 11" xfId="54723" xr:uid="{9639B530-0562-45EC-A328-7F3AB263D2C0}"/>
    <cellStyle name="Warning Text 2" xfId="54724" xr:uid="{CE6F9737-9627-4BA5-B62D-2AE7B7E0735E}"/>
    <cellStyle name="Warning Text 2 2" xfId="54725" xr:uid="{DCAB6CCB-AECC-4355-B758-68B01E493BC3}"/>
    <cellStyle name="Warning Text 2 3" xfId="54726" xr:uid="{532FC413-F402-4DA0-B9BB-3762DA4A5119}"/>
    <cellStyle name="Warning Text 2 4" xfId="54727" xr:uid="{9CCC8722-C364-4548-97F6-BAFA4E44741E}"/>
    <cellStyle name="Warning Text 2 5" xfId="54728" xr:uid="{9710748C-ECE7-4E11-A024-D2E4E31CE326}"/>
    <cellStyle name="Warning Text 2 6" xfId="54729" xr:uid="{7DC8D0BC-54FF-4A44-960D-A7B707955BE7}"/>
    <cellStyle name="Warning Text 2 7" xfId="54730" xr:uid="{0EDF4883-F46D-4A9E-B64F-CDC7E8AE8545}"/>
    <cellStyle name="Warning Text 3" xfId="54731" xr:uid="{338659C0-C98A-4C6C-BED3-352743256776}"/>
    <cellStyle name="Warning Text 3 2" xfId="54732" xr:uid="{F0470C3C-C2B5-4ADA-8124-3068276E5A22}"/>
    <cellStyle name="Warning Text 3 3" xfId="54733" xr:uid="{B7707A3E-FB2C-4CEB-8068-EC2DD5A3E140}"/>
    <cellStyle name="Warning Text 3 4" xfId="54734" xr:uid="{5549799B-369D-407C-9FE5-34CC70DD66BF}"/>
    <cellStyle name="Warning Text 3 5" xfId="54735" xr:uid="{A4F2E456-F24B-4CA9-A3A4-7EA44C2F3BA6}"/>
    <cellStyle name="Warning Text 3 6" xfId="54736" xr:uid="{3714656E-3CC7-4143-9E92-A74E44E8B164}"/>
    <cellStyle name="Warning Text 3 7" xfId="54737" xr:uid="{0FE238EF-EEDA-4B12-97C8-4D20A054518F}"/>
    <cellStyle name="Warning Text 4" xfId="54738" xr:uid="{192813C9-0F4E-486B-8B90-D1A33ADB03AB}"/>
    <cellStyle name="Warning Text 4 2" xfId="54739" xr:uid="{045F0D56-321F-4706-B4D8-60A00397D240}"/>
    <cellStyle name="Warning Text 4 3" xfId="54740" xr:uid="{DF6936BB-037E-4FCC-A0D1-DAA0A481C0C0}"/>
    <cellStyle name="Warning Text 4 4" xfId="54741" xr:uid="{59C91523-1E31-4E2C-826F-C3C6FB5F8E6F}"/>
    <cellStyle name="Warning Text 4 5" xfId="54742" xr:uid="{397E38CF-0900-4AE2-BFE7-1439B2F6B857}"/>
    <cellStyle name="Warning Text 4 6" xfId="54743" xr:uid="{DF9AEDBC-1887-4BDD-BE24-860D8C0204C1}"/>
    <cellStyle name="Warning Text 4 7" xfId="54744" xr:uid="{489F51AE-30D9-40C6-BD61-B42FEA9209DB}"/>
    <cellStyle name="Warning Text 5" xfId="54745" xr:uid="{2C8DFBFB-1995-4745-A3A0-E424E263795E}"/>
    <cellStyle name="Warning Text 5 2" xfId="54746" xr:uid="{AD0FC18C-E2E9-46CB-B472-059AC91C21DF}"/>
    <cellStyle name="Warning Text 5 3" xfId="54747" xr:uid="{1BD0663F-0EBD-41D5-AAEB-5FB009DA3189}"/>
    <cellStyle name="Warning Text 5 4" xfId="54748" xr:uid="{E7F74549-4BE3-4542-A7A7-188974035DCB}"/>
    <cellStyle name="Warning Text 5 5" xfId="54749" xr:uid="{7C591BE2-E477-4B3A-82F1-E95A4A9FECC6}"/>
    <cellStyle name="Warning Text 5 6" xfId="54750" xr:uid="{E460CB72-7895-41F0-BB89-AA20778A2406}"/>
    <cellStyle name="Warning Text 5 7" xfId="54751" xr:uid="{49B87FD6-4E03-4F0F-AF5C-51DEDE7BD348}"/>
    <cellStyle name="Warning Text 6" xfId="54752" xr:uid="{54A84D62-0ABE-4C10-AEF2-AC3BD81909A3}"/>
    <cellStyle name="Warning Text 6 2" xfId="54753" xr:uid="{456E2BC5-1F32-4AF2-A041-CE80FE8D1D79}"/>
    <cellStyle name="Warning Text 6 3" xfId="54754" xr:uid="{DFE6D158-5FD8-42BA-8259-CC1CE5D68D3D}"/>
    <cellStyle name="Warning Text 6 4" xfId="54755" xr:uid="{0DAB10A0-5996-4D16-A81F-5381B30EE789}"/>
    <cellStyle name="Warning Text 6 5" xfId="54756" xr:uid="{59B0BADD-4098-4DFE-8268-B6AC90BD4C25}"/>
    <cellStyle name="Warning Text 7" xfId="54757" xr:uid="{257CD860-0CE7-4111-BC9D-2B34D20413D2}"/>
    <cellStyle name="Warning Text 7 2" xfId="54758" xr:uid="{9FDC34C5-C236-4C3A-8FAB-3EFD4D6752F9}"/>
    <cellStyle name="Warning Text 7 3" xfId="54759" xr:uid="{DFD5D16C-0EE9-4BA9-8317-0FD7E34DF656}"/>
    <cellStyle name="Warning Text 7 4" xfId="54760" xr:uid="{400899CF-0844-4E61-A985-988A4745A236}"/>
    <cellStyle name="Warning Text 7 5" xfId="54761" xr:uid="{6D9B3BB3-082F-4063-99FF-810E8406B4E0}"/>
    <cellStyle name="Warning Text 8" xfId="54762" xr:uid="{F88F2C03-654F-4BF4-A330-341B1E0569E7}"/>
    <cellStyle name="Warning Text 9" xfId="54763" xr:uid="{F297C12C-737C-4DF9-9DC7-91EFFF3F0473}"/>
    <cellStyle name="Year" xfId="54764" xr:uid="{B245CE79-AF4A-4AC2-B6CC-EF1B3EAA5F44}"/>
  </cellStyles>
  <dxfs count="0"/>
  <tableStyles count="1" defaultTableStyle="TableStyleMedium9" defaultPivotStyle="PivotStyleLight16">
    <tableStyle name="Invisible" pivot="0" table="0" count="0" xr9:uid="{E82E6228-722E-4467-BA63-948479CBE887}"/>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0066"/>
      <color rgb="FF0000FF"/>
      <color rgb="FFFFFF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rogram%20Files%20(x86)/PBGC/ATPBGC/atpbgc2007.xlam" TargetMode="External"/><Relationship Id="rId2" Type="http://schemas.openxmlformats.org/officeDocument/2006/relationships/externalLinkPath" Target="file:///C:\Program%20Files%20(x86)\PBGC\ATPBGC\atpbgc2007.xlam" TargetMode="External"/><Relationship Id="rId1" Type="http://schemas.openxmlformats.org/officeDocument/2006/relationships/externalLinkPath" Target="/Program%20Files%20(x86)/PBGC/ATPBGC/atpbgc2007.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s>
    <definedNames>
      <definedName name="ADDMONTHS"/>
      <definedName name="anb"/>
      <definedName name="ATT"/>
      <definedName name="BL"/>
      <definedName name="COMPM"/>
      <definedName name="LLF"/>
      <definedName name="LRFAEQ"/>
      <definedName name="lx"/>
      <definedName name="MAXLIM"/>
      <definedName name="NPVF2"/>
      <definedName name="NRD"/>
      <definedName name="PBGCBFCF2"/>
      <definedName name="PBGCERF"/>
      <definedName name="PBGCLRF"/>
      <definedName name="PBGCOFA"/>
      <definedName name="QPSAPVF"/>
      <definedName name="RBD"/>
      <definedName name="retdate"/>
      <definedName name="SXRA2"/>
      <definedName name="XRA2"/>
      <definedName name="XRD2"/>
    </definedNames>
    <sheetDataSet>
      <sheetData sheetId="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82A2-1055-4B81-9141-C0B87CA639E2}">
  <sheetPr codeName="Sheet1"/>
  <dimension ref="A1:NU92"/>
  <sheetViews>
    <sheetView topLeftCell="LJ1" zoomScale="85" zoomScaleNormal="85" workbookViewId="0"/>
  </sheetViews>
  <sheetFormatPr defaultRowHeight="12.9" x14ac:dyDescent="0.2"/>
  <cols>
    <col min="1" max="1" width="12.625" bestFit="1" customWidth="1"/>
    <col min="2" max="2" width="14.25" bestFit="1" customWidth="1"/>
    <col min="3" max="3" width="17.625" bestFit="1" customWidth="1"/>
    <col min="4" max="4" width="17.125" bestFit="1" customWidth="1"/>
    <col min="5" max="5" width="11" bestFit="1" customWidth="1"/>
    <col min="6" max="6" width="22.75" bestFit="1" customWidth="1"/>
    <col min="7" max="7" width="9.625" bestFit="1" customWidth="1"/>
    <col min="8" max="8" width="10.25" bestFit="1" customWidth="1"/>
    <col min="9" max="9" width="12.75" bestFit="1" customWidth="1"/>
    <col min="10" max="10" width="15.125" bestFit="1" customWidth="1"/>
    <col min="11" max="11" width="19.875" bestFit="1" customWidth="1"/>
    <col min="12" max="12" width="11.25" bestFit="1" customWidth="1"/>
    <col min="13" max="13" width="13.875" bestFit="1" customWidth="1"/>
    <col min="14" max="14" width="15.125" bestFit="1" customWidth="1"/>
    <col min="15" max="15" width="11.25" bestFit="1" customWidth="1"/>
    <col min="16" max="16" width="13.875" bestFit="1" customWidth="1"/>
    <col min="17" max="17" width="14.125" bestFit="1" customWidth="1"/>
    <col min="18" max="18" width="24.375" bestFit="1" customWidth="1"/>
    <col min="19" max="19" width="12.875" bestFit="1" customWidth="1"/>
    <col min="20" max="20" width="11" bestFit="1" customWidth="1"/>
    <col min="21" max="21" width="11" customWidth="1"/>
    <col min="22" max="22" width="11" bestFit="1" customWidth="1"/>
    <col min="23" max="23" width="13.125" bestFit="1" customWidth="1"/>
    <col min="24" max="24" width="10.75" bestFit="1" customWidth="1"/>
    <col min="25" max="25" width="10.25" bestFit="1" customWidth="1"/>
    <col min="26" max="26" width="6.875" bestFit="1" customWidth="1"/>
    <col min="27" max="28" width="11.375" bestFit="1" customWidth="1"/>
    <col min="29" max="29" width="16.25" bestFit="1" customWidth="1"/>
    <col min="30" max="30" width="10.875" bestFit="1" customWidth="1"/>
    <col min="31" max="32" width="11.375" bestFit="1" customWidth="1"/>
    <col min="33" max="33" width="10.25" bestFit="1" customWidth="1"/>
    <col min="34" max="34" width="11.25" bestFit="1" customWidth="1"/>
    <col min="35" max="35" width="14.75" bestFit="1" customWidth="1"/>
    <col min="36" max="36" width="32.125" bestFit="1" customWidth="1"/>
    <col min="37" max="38" width="10.25" bestFit="1" customWidth="1"/>
    <col min="39" max="39" width="11.125" customWidth="1"/>
    <col min="40" max="41" width="10.75" bestFit="1" customWidth="1"/>
    <col min="42" max="42" width="11.25" bestFit="1" customWidth="1"/>
    <col min="43" max="43" width="13.875" bestFit="1" customWidth="1"/>
    <col min="44" max="44" width="12.375" bestFit="1" customWidth="1"/>
    <col min="45" max="45" width="11.375" customWidth="1"/>
    <col min="46" max="47" width="11.625" bestFit="1" customWidth="1"/>
    <col min="48" max="48" width="10.75" bestFit="1" customWidth="1"/>
    <col min="49" max="49" width="10.25" bestFit="1" customWidth="1"/>
    <col min="50" max="50" width="11.375" bestFit="1" customWidth="1"/>
    <col min="51" max="51" width="14.625" bestFit="1" customWidth="1"/>
    <col min="52" max="52" width="14.375" bestFit="1" customWidth="1"/>
    <col min="53" max="54" width="10.25" bestFit="1" customWidth="1"/>
    <col min="55" max="55" width="16.375" bestFit="1" customWidth="1"/>
    <col min="56" max="56" width="10.25" bestFit="1" customWidth="1"/>
    <col min="57" max="57" width="13.375" bestFit="1" customWidth="1"/>
    <col min="58" max="58" width="9.75" bestFit="1" customWidth="1"/>
    <col min="59" max="59" width="12.375" bestFit="1" customWidth="1"/>
    <col min="60" max="61" width="10.25" bestFit="1" customWidth="1"/>
    <col min="62" max="62" width="11.375" bestFit="1" customWidth="1"/>
    <col min="63" max="63" width="22.375" bestFit="1" customWidth="1"/>
    <col min="64" max="64" width="15" bestFit="1" customWidth="1"/>
    <col min="65" max="65" width="16.375" bestFit="1" customWidth="1"/>
    <col min="66" max="66" width="11.375" bestFit="1" customWidth="1"/>
    <col min="67" max="67" width="9.125" bestFit="1" customWidth="1"/>
    <col min="68" max="68" width="15.625" bestFit="1" customWidth="1"/>
    <col min="69" max="69" width="17.625" bestFit="1" customWidth="1"/>
    <col min="70" max="70" width="15.125" bestFit="1" customWidth="1"/>
    <col min="71" max="71" width="11.75" bestFit="1" customWidth="1"/>
    <col min="72" max="72" width="20" bestFit="1" customWidth="1"/>
    <col min="73" max="73" width="17.75" bestFit="1" customWidth="1"/>
    <col min="74" max="74" width="10.375" bestFit="1" customWidth="1"/>
    <col min="75" max="75" width="11.625" bestFit="1" customWidth="1"/>
    <col min="76" max="76" width="35.625" bestFit="1" customWidth="1"/>
    <col min="77" max="77" width="27.375" bestFit="1" customWidth="1"/>
    <col min="78" max="78" width="17.375" bestFit="1" customWidth="1"/>
    <col min="79" max="79" width="12.375" customWidth="1"/>
    <col min="80" max="80" width="10.75" bestFit="1" customWidth="1"/>
    <col min="81" max="81" width="15.625" bestFit="1" customWidth="1"/>
    <col min="82" max="82" width="14.25" bestFit="1" customWidth="1"/>
    <col min="83" max="84" width="13.25" customWidth="1"/>
    <col min="85" max="85" width="13.25" bestFit="1" customWidth="1"/>
    <col min="86" max="88" width="10.75" bestFit="1" customWidth="1"/>
    <col min="89" max="89" width="13.75" bestFit="1" customWidth="1"/>
    <col min="90" max="90" width="10" bestFit="1" customWidth="1"/>
    <col min="91" max="91" width="14.25" bestFit="1" customWidth="1"/>
    <col min="92" max="92" width="10.75" bestFit="1" customWidth="1"/>
    <col min="93" max="93" width="15.125" bestFit="1" customWidth="1"/>
    <col min="94" max="94" width="10.75" bestFit="1" customWidth="1"/>
    <col min="95" max="95" width="13.875" bestFit="1" customWidth="1"/>
    <col min="96" max="96" width="10.75" bestFit="1" customWidth="1"/>
    <col min="97" max="97" width="14.375" bestFit="1" customWidth="1"/>
    <col min="98" max="99" width="13.25" bestFit="1" customWidth="1"/>
    <col min="100" max="100" width="14.625" customWidth="1"/>
    <col min="101" max="101" width="10.75" bestFit="1" customWidth="1"/>
    <col min="102" max="102" width="15.625" bestFit="1" customWidth="1"/>
    <col min="103" max="103" width="10.75" bestFit="1" customWidth="1"/>
    <col min="104" max="107" width="13.25" bestFit="1" customWidth="1"/>
    <col min="108" max="108" width="234.125" bestFit="1" customWidth="1"/>
    <col min="109" max="109" width="11.375" bestFit="1" customWidth="1"/>
    <col min="110" max="110" width="15.125" customWidth="1"/>
    <col min="111" max="111" width="14.25" bestFit="1" customWidth="1"/>
    <col min="112" max="114" width="10.75" bestFit="1" customWidth="1"/>
    <col min="115" max="115" width="11.75" bestFit="1" customWidth="1"/>
    <col min="116" max="116" width="10.875" bestFit="1" customWidth="1"/>
    <col min="117" max="117" width="10.75" bestFit="1" customWidth="1"/>
    <col min="118" max="118" width="12.125" customWidth="1"/>
    <col min="119" max="119" width="10.625" bestFit="1" customWidth="1"/>
    <col min="120" max="120" width="9.875" bestFit="1" customWidth="1"/>
    <col min="121" max="121" width="12.625" bestFit="1" customWidth="1"/>
    <col min="122" max="122" width="10.75" bestFit="1" customWidth="1"/>
    <col min="123" max="123" width="9.625" bestFit="1" customWidth="1"/>
    <col min="124" max="131" width="10.75" bestFit="1" customWidth="1"/>
    <col min="132" max="132" width="10.625" customWidth="1"/>
    <col min="133" max="134" width="10.75" bestFit="1" customWidth="1"/>
    <col min="135" max="135" width="11.25" bestFit="1" customWidth="1"/>
    <col min="136" max="137" width="9.25" bestFit="1" customWidth="1"/>
    <col min="138" max="138" width="15.125" bestFit="1" customWidth="1"/>
    <col min="139" max="139" width="11" bestFit="1" customWidth="1"/>
    <col min="140" max="140" width="13.25" bestFit="1" customWidth="1"/>
    <col min="141" max="141" width="10" bestFit="1" customWidth="1"/>
    <col min="142" max="142" width="10.375" bestFit="1" customWidth="1"/>
    <col min="143" max="143" width="18.875" bestFit="1" customWidth="1"/>
    <col min="144" max="144" width="12.25" bestFit="1" customWidth="1"/>
    <col min="145" max="145" width="10.75" bestFit="1" customWidth="1"/>
    <col min="146" max="146" width="10" bestFit="1" customWidth="1"/>
    <col min="147" max="147" width="14.625" bestFit="1" customWidth="1"/>
    <col min="148" max="148" width="10.75" bestFit="1" customWidth="1"/>
    <col min="149" max="149" width="20" bestFit="1" customWidth="1"/>
    <col min="150" max="151" width="13.625" bestFit="1" customWidth="1"/>
    <col min="152" max="153" width="10.375" bestFit="1" customWidth="1"/>
    <col min="154" max="154" width="9.75" bestFit="1" customWidth="1"/>
    <col min="155" max="155" width="14.25" customWidth="1"/>
    <col min="156" max="156" width="10.75" bestFit="1" customWidth="1"/>
    <col min="157" max="157" width="11.875" bestFit="1" customWidth="1"/>
    <col min="158" max="158" width="11.25" bestFit="1" customWidth="1"/>
    <col min="159" max="161" width="10.75" bestFit="1" customWidth="1"/>
    <col min="162" max="162" width="12.625" bestFit="1" customWidth="1"/>
    <col min="163" max="163" width="10.75" bestFit="1" customWidth="1"/>
    <col min="164" max="165" width="12.25" bestFit="1" customWidth="1"/>
    <col min="166" max="166" width="14.125" bestFit="1" customWidth="1"/>
    <col min="167" max="167" width="10.25" bestFit="1" customWidth="1"/>
    <col min="168" max="168" width="15.125" bestFit="1" customWidth="1"/>
    <col min="169" max="169" width="18.375" bestFit="1" customWidth="1"/>
    <col min="170" max="170" width="28" bestFit="1" customWidth="1"/>
    <col min="171" max="171" width="12.75" bestFit="1" customWidth="1"/>
    <col min="172" max="172" width="18.25" bestFit="1" customWidth="1"/>
    <col min="173" max="173" width="18.125" bestFit="1" customWidth="1"/>
    <col min="174" max="174" width="10.75" bestFit="1" customWidth="1"/>
    <col min="175" max="175" width="11.25" bestFit="1" customWidth="1"/>
    <col min="176" max="176" width="22.75" bestFit="1" customWidth="1"/>
    <col min="177" max="177" width="20.75" bestFit="1" customWidth="1"/>
    <col min="178" max="178" width="24.125" bestFit="1" customWidth="1"/>
    <col min="179" max="179" width="10.875" bestFit="1" customWidth="1"/>
    <col min="180" max="180" width="24.125" bestFit="1" customWidth="1"/>
    <col min="181" max="181" width="24" bestFit="1" customWidth="1"/>
    <col min="182" max="182" width="25.125" bestFit="1" customWidth="1"/>
    <col min="183" max="183" width="25.125" customWidth="1"/>
    <col min="184" max="184" width="18.25" customWidth="1"/>
    <col min="185" max="185" width="17" bestFit="1" customWidth="1"/>
    <col min="186" max="186" width="20.375" bestFit="1" customWidth="1"/>
    <col min="187" max="187" width="20.25" bestFit="1" customWidth="1"/>
    <col min="188" max="188" width="28" bestFit="1" customWidth="1"/>
    <col min="189" max="189" width="20.875" bestFit="1" customWidth="1"/>
    <col min="190" max="190" width="11.25" bestFit="1" customWidth="1"/>
    <col min="191" max="191" width="19" bestFit="1" customWidth="1"/>
    <col min="192" max="192" width="14.125" bestFit="1" customWidth="1"/>
    <col min="193" max="193" width="7.75" bestFit="1" customWidth="1"/>
    <col min="194" max="194" width="11.25" customWidth="1"/>
    <col min="195" max="195" width="14.75" bestFit="1" customWidth="1"/>
    <col min="196" max="198" width="10.75" bestFit="1" customWidth="1"/>
    <col min="199" max="199" width="13.625" bestFit="1" customWidth="1"/>
    <col min="200" max="200" width="18.375" bestFit="1" customWidth="1"/>
    <col min="201" max="201" width="14.125" customWidth="1"/>
    <col min="202" max="202" width="15.25" bestFit="1" customWidth="1"/>
    <col min="203" max="203" width="10" bestFit="1" customWidth="1"/>
    <col min="204" max="204" width="15.625" bestFit="1" customWidth="1"/>
    <col min="205" max="205" width="13.75" bestFit="1" customWidth="1"/>
    <col min="206" max="206" width="14.25" bestFit="1" customWidth="1"/>
    <col min="207" max="207" width="13.875" bestFit="1" customWidth="1"/>
    <col min="208" max="208" width="10.75" bestFit="1" customWidth="1"/>
    <col min="209" max="209" width="14.375" bestFit="1" customWidth="1"/>
    <col min="210" max="210" width="13.25" bestFit="1" customWidth="1"/>
    <col min="211" max="211" width="15.625" bestFit="1" customWidth="1"/>
    <col min="212" max="212" width="13.25" bestFit="1" customWidth="1"/>
    <col min="213" max="213" width="11.125" bestFit="1" customWidth="1"/>
    <col min="214" max="221" width="10.75" bestFit="1" customWidth="1"/>
    <col min="222" max="222" width="20.875" bestFit="1" customWidth="1"/>
    <col min="223" max="223" width="15.75" bestFit="1" customWidth="1"/>
    <col min="224" max="224" width="16.25" bestFit="1" customWidth="1"/>
    <col min="225" max="225" width="18.25" bestFit="1" customWidth="1"/>
    <col min="226" max="226" width="17.375" bestFit="1" customWidth="1"/>
    <col min="227" max="227" width="18" bestFit="1" customWidth="1"/>
    <col min="228" max="229" width="12.25" bestFit="1" customWidth="1"/>
    <col min="230" max="230" width="17.75" bestFit="1" customWidth="1"/>
    <col min="231" max="231" width="12.125" bestFit="1" customWidth="1"/>
    <col min="232" max="232" width="11.25" bestFit="1" customWidth="1"/>
    <col min="233" max="233" width="23.875" bestFit="1" customWidth="1"/>
    <col min="234" max="234" width="16.625" bestFit="1" customWidth="1"/>
    <col min="235" max="235" width="23.75" bestFit="1" customWidth="1"/>
    <col min="236" max="236" width="6.125" bestFit="1" customWidth="1"/>
    <col min="237" max="237" width="23.125" bestFit="1" customWidth="1"/>
    <col min="238" max="238" width="10.75" bestFit="1" customWidth="1"/>
    <col min="239" max="239" width="24.125" bestFit="1" customWidth="1"/>
    <col min="240" max="240" width="29.75" bestFit="1" customWidth="1"/>
    <col min="241" max="241" width="20.875" bestFit="1" customWidth="1"/>
    <col min="242" max="242" width="10.875" bestFit="1" customWidth="1"/>
    <col min="243" max="243" width="19" bestFit="1" customWidth="1"/>
    <col min="244" max="244" width="19.75" bestFit="1" customWidth="1"/>
    <col min="245" max="245" width="20.125" bestFit="1" customWidth="1"/>
    <col min="246" max="246" width="20.375" bestFit="1" customWidth="1"/>
    <col min="247" max="247" width="20.125" bestFit="1" customWidth="1"/>
    <col min="248" max="248" width="14.75" bestFit="1" customWidth="1"/>
    <col min="249" max="249" width="21.125" bestFit="1" customWidth="1"/>
    <col min="250" max="250" width="26.875" bestFit="1" customWidth="1"/>
    <col min="251" max="251" width="20.25" bestFit="1" customWidth="1"/>
    <col min="252" max="252" width="26.125" bestFit="1" customWidth="1"/>
    <col min="253" max="253" width="26.375" bestFit="1" customWidth="1"/>
    <col min="254" max="254" width="19.375" bestFit="1" customWidth="1"/>
    <col min="255" max="255" width="14.375" bestFit="1" customWidth="1"/>
    <col min="256" max="256" width="15.75" bestFit="1" customWidth="1"/>
    <col min="257" max="257" width="16" bestFit="1" customWidth="1"/>
    <col min="258" max="258" width="13.125" bestFit="1" customWidth="1"/>
    <col min="259" max="260" width="12.875" bestFit="1" customWidth="1"/>
    <col min="261" max="263" width="12.875" customWidth="1"/>
    <col min="264" max="264" width="15" bestFit="1" customWidth="1"/>
    <col min="265" max="265" width="15" customWidth="1"/>
    <col min="266" max="266" width="10.75" bestFit="1" customWidth="1"/>
    <col min="267" max="267" width="15.75" bestFit="1" customWidth="1"/>
    <col min="268" max="268" width="10.75" bestFit="1" customWidth="1"/>
    <col min="269" max="269" width="17.75" bestFit="1" customWidth="1"/>
    <col min="270" max="270" width="17.25" bestFit="1" customWidth="1"/>
    <col min="271" max="275" width="17.25" customWidth="1"/>
    <col min="276" max="276" width="20.375" bestFit="1" customWidth="1"/>
    <col min="277" max="277" width="20.375" customWidth="1"/>
    <col min="278" max="278" width="34.375" bestFit="1" customWidth="1"/>
    <col min="279" max="279" width="16.25" bestFit="1" customWidth="1"/>
    <col min="280" max="280" width="24.625" bestFit="1" customWidth="1"/>
    <col min="281" max="281" width="25.625" bestFit="1" customWidth="1"/>
    <col min="282" max="282" width="21" bestFit="1" customWidth="1"/>
    <col min="283" max="283" width="30.375" bestFit="1" customWidth="1"/>
    <col min="284" max="284" width="27.75" bestFit="1" customWidth="1"/>
    <col min="285" max="285" width="21" bestFit="1" customWidth="1"/>
    <col min="286" max="286" width="17.875" bestFit="1" customWidth="1"/>
    <col min="287" max="287" width="30.875" bestFit="1" customWidth="1"/>
    <col min="288" max="288" width="21" bestFit="1" customWidth="1"/>
    <col min="289" max="289" width="25.625" bestFit="1" customWidth="1"/>
    <col min="290" max="290" width="21" bestFit="1" customWidth="1"/>
    <col min="291" max="292" width="10.75" bestFit="1" customWidth="1"/>
    <col min="293" max="293" width="28.375" bestFit="1" customWidth="1"/>
    <col min="294" max="294" width="18.25" bestFit="1" customWidth="1"/>
    <col min="295" max="295" width="28" bestFit="1" customWidth="1"/>
    <col min="296" max="297" width="18" bestFit="1" customWidth="1"/>
    <col min="298" max="298" width="11.875" bestFit="1" customWidth="1"/>
    <col min="299" max="299" width="11.25" bestFit="1" customWidth="1"/>
    <col min="300" max="300" width="16.75" bestFit="1" customWidth="1"/>
    <col min="301" max="301" width="13.625" bestFit="1" customWidth="1"/>
    <col min="302" max="302" width="13.875" bestFit="1" customWidth="1"/>
    <col min="303" max="304" width="13.875" customWidth="1"/>
    <col min="305" max="305" width="11.25" bestFit="1" customWidth="1"/>
    <col min="306" max="306" width="11.25" customWidth="1"/>
    <col min="307" max="309" width="11.25" bestFit="1" customWidth="1"/>
    <col min="310" max="310" width="15.75" bestFit="1" customWidth="1"/>
    <col min="311" max="313" width="15.75" customWidth="1"/>
    <col min="314" max="314" width="15.125" bestFit="1" customWidth="1"/>
    <col min="315" max="315" width="15.125" customWidth="1"/>
    <col min="316" max="316" width="15" bestFit="1" customWidth="1"/>
    <col min="317" max="318" width="9.625" customWidth="1"/>
    <col min="319" max="320" width="20.25" bestFit="1" customWidth="1"/>
    <col min="321" max="321" width="22.75" bestFit="1" customWidth="1"/>
    <col min="322" max="322" width="13.625" bestFit="1" customWidth="1"/>
    <col min="323" max="323" width="12.75" bestFit="1" customWidth="1"/>
    <col min="324" max="324" width="12.875" bestFit="1" customWidth="1"/>
    <col min="325" max="325" width="15" bestFit="1" customWidth="1"/>
    <col min="326" max="326" width="14.75" bestFit="1" customWidth="1"/>
    <col min="327" max="332" width="17.125" bestFit="1" customWidth="1"/>
    <col min="333" max="334" width="10.75" customWidth="1"/>
    <col min="335" max="336" width="10.375" bestFit="1" customWidth="1"/>
    <col min="337" max="337" width="11.625" bestFit="1" customWidth="1"/>
    <col min="338" max="338" width="10.375" bestFit="1" customWidth="1"/>
    <col min="339" max="339" width="16.625" bestFit="1" customWidth="1"/>
    <col min="340" max="341" width="12.75" bestFit="1" customWidth="1"/>
    <col min="342" max="342" width="12.75" customWidth="1"/>
    <col min="343" max="343" width="10.75" bestFit="1" customWidth="1"/>
    <col min="344" max="345" width="11.75" customWidth="1"/>
    <col min="346" max="346" width="11.625" bestFit="1" customWidth="1"/>
    <col min="347" max="350" width="10.75" customWidth="1"/>
    <col min="351" max="355" width="10.375" customWidth="1"/>
    <col min="356" max="356" width="11.75" bestFit="1" customWidth="1"/>
    <col min="357" max="357" width="16.25" bestFit="1" customWidth="1"/>
    <col min="358" max="358" width="27.625" bestFit="1" customWidth="1"/>
    <col min="359" max="359" width="27" bestFit="1" customWidth="1"/>
    <col min="360" max="360" width="27" customWidth="1"/>
    <col min="361" max="361" width="26.625" bestFit="1" customWidth="1"/>
    <col min="362" max="362" width="11.75" customWidth="1"/>
    <col min="363" max="363" width="11.875" bestFit="1" customWidth="1"/>
    <col min="364" max="364" width="17.25" bestFit="1" customWidth="1"/>
    <col min="365" max="365" width="11.75" customWidth="1"/>
    <col min="366" max="366" width="11" bestFit="1" customWidth="1"/>
    <col min="367" max="367" width="14.875" bestFit="1" customWidth="1"/>
    <col min="368" max="369" width="11" bestFit="1" customWidth="1"/>
    <col min="370" max="370" width="11" customWidth="1"/>
    <col min="371" max="371" width="17" bestFit="1" customWidth="1"/>
    <col min="372" max="372" width="16.25" customWidth="1"/>
    <col min="373" max="373" width="98.875" customWidth="1"/>
    <col min="374" max="374" width="255.75" bestFit="1" customWidth="1"/>
    <col min="375" max="375" width="143" customWidth="1"/>
    <col min="376" max="376" width="13" customWidth="1"/>
    <col min="377" max="377" width="13.25" customWidth="1"/>
    <col min="378" max="379" width="13.25" style="92" customWidth="1"/>
    <col min="380" max="383" width="13.25" customWidth="1"/>
    <col min="384" max="385" width="13.25" style="92" customWidth="1"/>
    <col min="386" max="386" width="10.25" bestFit="1" customWidth="1"/>
  </cols>
  <sheetData>
    <row r="1" spans="1:385" s="26" customFormat="1" ht="13.6" x14ac:dyDescent="0.25">
      <c r="A1" s="4" t="s">
        <v>0</v>
      </c>
      <c r="B1" s="24" t="s">
        <v>263</v>
      </c>
      <c r="C1" s="24" t="s">
        <v>1</v>
      </c>
      <c r="D1" s="24" t="s">
        <v>2</v>
      </c>
      <c r="E1" s="25" t="s">
        <v>3</v>
      </c>
      <c r="F1" s="25" t="s">
        <v>122</v>
      </c>
      <c r="G1" s="25" t="s">
        <v>234</v>
      </c>
      <c r="H1" s="25" t="s">
        <v>77</v>
      </c>
      <c r="I1" s="4" t="s">
        <v>4</v>
      </c>
      <c r="J1" s="4" t="s">
        <v>5</v>
      </c>
      <c r="K1" s="4"/>
      <c r="L1" s="4" t="s">
        <v>71</v>
      </c>
      <c r="M1" s="4" t="s">
        <v>72</v>
      </c>
      <c r="N1" s="4" t="s">
        <v>73</v>
      </c>
      <c r="O1" s="4" t="s">
        <v>102</v>
      </c>
      <c r="P1" s="4" t="s">
        <v>103</v>
      </c>
      <c r="Q1" s="4" t="s">
        <v>104</v>
      </c>
      <c r="R1" s="4" t="s">
        <v>105</v>
      </c>
      <c r="S1" s="4" t="s">
        <v>110</v>
      </c>
      <c r="T1" s="4" t="s">
        <v>8</v>
      </c>
      <c r="U1" s="4" t="s">
        <v>9</v>
      </c>
      <c r="V1" s="4" t="s">
        <v>106</v>
      </c>
      <c r="W1" s="4" t="s">
        <v>21</v>
      </c>
      <c r="X1" s="4" t="s">
        <v>254</v>
      </c>
      <c r="Y1" s="4" t="s">
        <v>6</v>
      </c>
      <c r="Z1" s="4"/>
      <c r="AA1" s="4" t="s">
        <v>7</v>
      </c>
      <c r="AB1" s="4" t="s">
        <v>107</v>
      </c>
      <c r="AC1" s="4" t="s">
        <v>19</v>
      </c>
      <c r="AD1" s="4" t="s">
        <v>75</v>
      </c>
      <c r="AE1" s="4" t="s">
        <v>108</v>
      </c>
      <c r="AF1" s="4" t="s">
        <v>109</v>
      </c>
      <c r="AG1" s="4" t="s">
        <v>22</v>
      </c>
      <c r="AH1" s="4" t="s">
        <v>23</v>
      </c>
      <c r="AI1" s="4" t="s">
        <v>1122</v>
      </c>
      <c r="AJ1" s="4" t="s">
        <v>435</v>
      </c>
      <c r="AK1" s="4" t="s">
        <v>136</v>
      </c>
      <c r="AL1" s="4"/>
      <c r="AM1" s="4"/>
      <c r="AN1" s="4" t="s">
        <v>707</v>
      </c>
      <c r="AO1" s="4" t="s">
        <v>1075</v>
      </c>
      <c r="AP1" s="4" t="s">
        <v>126</v>
      </c>
      <c r="AQ1" s="4" t="s">
        <v>117</v>
      </c>
      <c r="AR1" s="4" t="s">
        <v>880</v>
      </c>
      <c r="AS1" s="4" t="s">
        <v>1022</v>
      </c>
      <c r="AT1" s="4" t="s">
        <v>260</v>
      </c>
      <c r="AU1" s="4" t="s">
        <v>259</v>
      </c>
      <c r="AV1" s="4" t="s">
        <v>883</v>
      </c>
      <c r="AW1" s="4" t="s">
        <v>34</v>
      </c>
      <c r="AX1" s="4" t="s">
        <v>35</v>
      </c>
      <c r="AY1" s="4" t="s">
        <v>142</v>
      </c>
      <c r="AZ1" s="4" t="s">
        <v>95</v>
      </c>
      <c r="BA1" s="4" t="s">
        <v>36</v>
      </c>
      <c r="BB1" s="4" t="s">
        <v>37</v>
      </c>
      <c r="BC1" s="4"/>
      <c r="BD1" s="4"/>
      <c r="BE1" s="4" t="s">
        <v>135</v>
      </c>
      <c r="BF1" s="4"/>
      <c r="BG1" s="4" t="s">
        <v>208</v>
      </c>
      <c r="BH1" s="4" t="s">
        <v>42</v>
      </c>
      <c r="BI1" s="4" t="s">
        <v>43</v>
      </c>
      <c r="BJ1" s="4" t="s">
        <v>44</v>
      </c>
      <c r="BK1" s="4" t="s">
        <v>268</v>
      </c>
      <c r="BL1" s="4" t="s">
        <v>101</v>
      </c>
      <c r="BM1" s="4" t="s">
        <v>269</v>
      </c>
      <c r="BN1" s="4" t="s">
        <v>270</v>
      </c>
      <c r="BO1" s="4"/>
      <c r="BP1" s="4" t="s">
        <v>271</v>
      </c>
      <c r="BQ1" s="4" t="s">
        <v>30</v>
      </c>
      <c r="BR1" s="4" t="s">
        <v>32</v>
      </c>
      <c r="BS1" s="4" t="s">
        <v>33</v>
      </c>
      <c r="BT1" s="4" t="s">
        <v>681</v>
      </c>
      <c r="BU1" s="4" t="s">
        <v>682</v>
      </c>
      <c r="BV1" s="4" t="s">
        <v>275</v>
      </c>
      <c r="BW1" s="4" t="s">
        <v>66</v>
      </c>
      <c r="BX1" s="4" t="s">
        <v>276</v>
      </c>
      <c r="BY1" s="4" t="s">
        <v>1112</v>
      </c>
      <c r="BZ1" s="4" t="s">
        <v>277</v>
      </c>
      <c r="CA1" s="4" t="s">
        <v>1018</v>
      </c>
      <c r="CB1" s="4" t="s">
        <v>115</v>
      </c>
      <c r="CC1" s="4" t="s">
        <v>848</v>
      </c>
      <c r="CD1" s="4" t="s">
        <v>93</v>
      </c>
      <c r="CE1" s="4" t="s">
        <v>1014</v>
      </c>
      <c r="CF1" s="4" t="s">
        <v>1021</v>
      </c>
      <c r="CG1" s="4" t="s">
        <v>64</v>
      </c>
      <c r="CH1" s="4" t="s">
        <v>815</v>
      </c>
      <c r="CI1" s="4" t="s">
        <v>1055</v>
      </c>
      <c r="CJ1" s="4" t="s">
        <v>1070</v>
      </c>
      <c r="CK1" s="4" t="s">
        <v>47</v>
      </c>
      <c r="CL1" s="4" t="s">
        <v>1017</v>
      </c>
      <c r="CM1" s="4" t="s">
        <v>48</v>
      </c>
      <c r="CN1" s="4" t="s">
        <v>814</v>
      </c>
      <c r="CO1" s="4" t="s">
        <v>284</v>
      </c>
      <c r="CP1" s="4" t="s">
        <v>216</v>
      </c>
      <c r="CQ1" s="4" t="s">
        <v>57</v>
      </c>
      <c r="CR1" s="4" t="s">
        <v>492</v>
      </c>
      <c r="CS1" s="4" t="s">
        <v>58</v>
      </c>
      <c r="CT1" s="4" t="s">
        <v>183</v>
      </c>
      <c r="CU1" s="4" t="s">
        <v>816</v>
      </c>
      <c r="CV1" s="4"/>
      <c r="CW1" s="4" t="s">
        <v>187</v>
      </c>
      <c r="CX1" s="4" t="s">
        <v>49</v>
      </c>
      <c r="CY1" s="4" t="s">
        <v>817</v>
      </c>
      <c r="CZ1" s="4" t="s">
        <v>190</v>
      </c>
      <c r="DA1" s="4" t="s">
        <v>818</v>
      </c>
      <c r="DB1" s="4" t="s">
        <v>1083</v>
      </c>
      <c r="DC1" s="4"/>
      <c r="DD1" s="4"/>
      <c r="DE1" s="4"/>
      <c r="DF1" s="4" t="s">
        <v>866</v>
      </c>
      <c r="DG1" s="4" t="s">
        <v>179</v>
      </c>
      <c r="DH1" s="4" t="s">
        <v>845</v>
      </c>
      <c r="DI1" s="4" t="s">
        <v>1076</v>
      </c>
      <c r="DJ1" s="4" t="s">
        <v>192</v>
      </c>
      <c r="DK1" s="4" t="s">
        <v>1005</v>
      </c>
      <c r="DL1" s="4"/>
      <c r="DM1" s="4"/>
      <c r="DN1" s="4"/>
      <c r="DO1" s="4"/>
      <c r="DP1" s="4"/>
      <c r="DQ1" s="4" t="s">
        <v>257</v>
      </c>
      <c r="DR1" s="4" t="s">
        <v>819</v>
      </c>
      <c r="DS1" s="4"/>
      <c r="DT1" s="4" t="s">
        <v>194</v>
      </c>
      <c r="DU1" s="4" t="s">
        <v>195</v>
      </c>
      <c r="DV1" s="4" t="s">
        <v>196</v>
      </c>
      <c r="DW1" s="4" t="s">
        <v>820</v>
      </c>
      <c r="DX1" s="4" t="s">
        <v>849</v>
      </c>
      <c r="DY1" s="4" t="s">
        <v>253</v>
      </c>
      <c r="DZ1" s="4" t="s">
        <v>197</v>
      </c>
      <c r="EA1" s="4" t="s">
        <v>821</v>
      </c>
      <c r="EB1" s="4"/>
      <c r="EC1" s="4" t="s">
        <v>822</v>
      </c>
      <c r="ED1" s="4" t="s">
        <v>474</v>
      </c>
      <c r="EE1" s="4" t="s">
        <v>823</v>
      </c>
      <c r="EF1" s="4"/>
      <c r="EG1" s="4"/>
      <c r="EH1" s="4" t="s">
        <v>97</v>
      </c>
      <c r="EI1" s="4" t="s">
        <v>1077</v>
      </c>
      <c r="EJ1" s="4"/>
      <c r="EK1" s="4"/>
      <c r="EL1" s="4"/>
      <c r="EM1" s="4" t="s">
        <v>301</v>
      </c>
      <c r="EN1" s="4" t="s">
        <v>676</v>
      </c>
      <c r="EO1" s="4" t="s">
        <v>298</v>
      </c>
      <c r="EP1" s="97"/>
      <c r="EQ1" s="4" t="s">
        <v>296</v>
      </c>
      <c r="ER1" s="4" t="s">
        <v>846</v>
      </c>
      <c r="ES1" s="4" t="s">
        <v>297</v>
      </c>
      <c r="ET1" s="4" t="s">
        <v>299</v>
      </c>
      <c r="EU1" s="4" t="s">
        <v>1121</v>
      </c>
      <c r="EV1" s="4"/>
      <c r="EW1" s="4"/>
      <c r="EX1" s="4"/>
      <c r="EY1" s="4" t="s">
        <v>850</v>
      </c>
      <c r="EZ1" s="4" t="s">
        <v>851</v>
      </c>
      <c r="FA1" s="4" t="s">
        <v>79</v>
      </c>
      <c r="FB1" s="4" t="s">
        <v>80</v>
      </c>
      <c r="FC1" s="4" t="s">
        <v>239</v>
      </c>
      <c r="FD1" s="4" t="s">
        <v>240</v>
      </c>
      <c r="FE1" s="4" t="s">
        <v>313</v>
      </c>
      <c r="FF1" s="4" t="s">
        <v>238</v>
      </c>
      <c r="FG1" s="4" t="s">
        <v>910</v>
      </c>
      <c r="FH1" s="4"/>
      <c r="FI1" s="4"/>
      <c r="FJ1" s="4" t="s">
        <v>235</v>
      </c>
      <c r="FK1" s="4"/>
      <c r="FL1" s="4" t="s">
        <v>289</v>
      </c>
      <c r="FM1" s="4" t="s">
        <v>290</v>
      </c>
      <c r="FN1" s="4" t="s">
        <v>2317</v>
      </c>
      <c r="FO1" s="4" t="s">
        <v>410</v>
      </c>
      <c r="FP1" s="4" t="s">
        <v>225</v>
      </c>
      <c r="FQ1" s="4" t="s">
        <v>314</v>
      </c>
      <c r="FR1" s="4" t="s">
        <v>211</v>
      </c>
      <c r="FS1" s="4" t="s">
        <v>213</v>
      </c>
      <c r="FT1" s="4" t="s">
        <v>1049</v>
      </c>
      <c r="FU1" s="4" t="s">
        <v>316</v>
      </c>
      <c r="FV1" s="121" t="s">
        <v>317</v>
      </c>
      <c r="FW1" s="4" t="s">
        <v>325</v>
      </c>
      <c r="FX1" s="4" t="s">
        <v>224</v>
      </c>
      <c r="FY1" s="4" t="s">
        <v>326</v>
      </c>
      <c r="FZ1" s="4" t="s">
        <v>1050</v>
      </c>
      <c r="GA1" s="4" t="s">
        <v>1807</v>
      </c>
      <c r="GB1" s="4" t="s">
        <v>1805</v>
      </c>
      <c r="GC1" s="4" t="s">
        <v>227</v>
      </c>
      <c r="GD1" s="4" t="s">
        <v>288</v>
      </c>
      <c r="GE1" s="4" t="s">
        <v>286</v>
      </c>
      <c r="GF1" s="4" t="s">
        <v>2316</v>
      </c>
      <c r="GG1" s="4" t="s">
        <v>1006</v>
      </c>
      <c r="GH1" s="4" t="s">
        <v>1073</v>
      </c>
      <c r="GI1" s="4" t="s">
        <v>899</v>
      </c>
      <c r="GJ1" s="4" t="s">
        <v>1011</v>
      </c>
      <c r="GK1" s="4"/>
      <c r="GL1" s="4" t="s">
        <v>864</v>
      </c>
      <c r="GM1" s="4" t="s">
        <v>714</v>
      </c>
      <c r="GN1" s="4" t="s">
        <v>1078</v>
      </c>
      <c r="GO1" s="4" t="s">
        <v>1079</v>
      </c>
      <c r="GP1" s="4" t="s">
        <v>926</v>
      </c>
      <c r="GQ1" s="4" t="s">
        <v>94</v>
      </c>
      <c r="GR1" s="4" t="s">
        <v>734</v>
      </c>
      <c r="GS1" s="4" t="s">
        <v>884</v>
      </c>
      <c r="GT1" s="4" t="s">
        <v>92</v>
      </c>
      <c r="GU1" s="4" t="s">
        <v>1080</v>
      </c>
      <c r="GV1" s="4" t="s">
        <v>743</v>
      </c>
      <c r="GW1" s="4" t="s">
        <v>745</v>
      </c>
      <c r="GX1" s="4" t="s">
        <v>746</v>
      </c>
      <c r="GY1" s="4" t="s">
        <v>749</v>
      </c>
      <c r="GZ1" s="4" t="s">
        <v>1081</v>
      </c>
      <c r="HA1" s="4" t="s">
        <v>750</v>
      </c>
      <c r="HB1" s="4" t="s">
        <v>862</v>
      </c>
      <c r="HC1" s="4" t="s">
        <v>753</v>
      </c>
      <c r="HD1" s="4" t="s">
        <v>863</v>
      </c>
      <c r="HE1" s="4" t="s">
        <v>852</v>
      </c>
      <c r="HF1" s="4" t="s">
        <v>853</v>
      </c>
      <c r="HG1" s="4" t="s">
        <v>854</v>
      </c>
      <c r="HH1" s="4" t="s">
        <v>855</v>
      </c>
      <c r="HI1" s="4" t="s">
        <v>860</v>
      </c>
      <c r="HJ1" s="4" t="s">
        <v>861</v>
      </c>
      <c r="HK1" s="4" t="s">
        <v>856</v>
      </c>
      <c r="HL1" s="4" t="s">
        <v>857</v>
      </c>
      <c r="HM1" s="4" t="s">
        <v>858</v>
      </c>
      <c r="HN1" s="4" t="s">
        <v>752</v>
      </c>
      <c r="HO1" s="4" t="s">
        <v>906</v>
      </c>
      <c r="HP1" s="4" t="s">
        <v>907</v>
      </c>
      <c r="HQ1" s="4" t="s">
        <v>908</v>
      </c>
      <c r="HR1" s="4" t="s">
        <v>909</v>
      </c>
      <c r="HS1" s="4" t="s">
        <v>918</v>
      </c>
      <c r="HT1" s="4"/>
      <c r="HU1" s="4"/>
      <c r="HV1" s="4" t="s">
        <v>922</v>
      </c>
      <c r="HW1" s="4" t="s">
        <v>923</v>
      </c>
      <c r="HX1" s="4" t="s">
        <v>925</v>
      </c>
      <c r="HY1" s="4" t="s">
        <v>760</v>
      </c>
      <c r="HZ1" s="4" t="s">
        <v>927</v>
      </c>
      <c r="IA1" s="4" t="s">
        <v>791</v>
      </c>
      <c r="IB1" s="4"/>
      <c r="IC1" s="4" t="s">
        <v>82</v>
      </c>
      <c r="ID1" s="4" t="s">
        <v>81</v>
      </c>
      <c r="IE1" s="4" t="s">
        <v>226</v>
      </c>
      <c r="IF1" s="4" t="s">
        <v>337</v>
      </c>
      <c r="IG1" s="4" t="s">
        <v>840</v>
      </c>
      <c r="IH1" s="4" t="s">
        <v>1082</v>
      </c>
      <c r="II1" s="4" t="s">
        <v>1048</v>
      </c>
      <c r="IJ1" s="4" t="s">
        <v>1013</v>
      </c>
      <c r="IK1" s="4" t="s">
        <v>1074</v>
      </c>
      <c r="IL1" s="4" t="s">
        <v>78</v>
      </c>
      <c r="IM1" s="4" t="s">
        <v>50</v>
      </c>
      <c r="IN1" s="4" t="s">
        <v>357</v>
      </c>
      <c r="IO1" s="4" t="s">
        <v>348</v>
      </c>
      <c r="IP1" s="4" t="s">
        <v>349</v>
      </c>
      <c r="IQ1" s="4" t="s">
        <v>61</v>
      </c>
      <c r="IR1" s="4" t="s">
        <v>111</v>
      </c>
      <c r="IS1" s="4" t="s">
        <v>112</v>
      </c>
      <c r="IT1" s="4" t="s">
        <v>159</v>
      </c>
      <c r="IU1" s="4" t="s">
        <v>346</v>
      </c>
      <c r="IV1" s="4" t="s">
        <v>312</v>
      </c>
      <c r="IW1" s="4" t="s">
        <v>150</v>
      </c>
      <c r="IX1" s="4" t="s">
        <v>878</v>
      </c>
      <c r="IY1" s="4"/>
      <c r="IZ1" s="4" t="s">
        <v>877</v>
      </c>
      <c r="JA1" s="4"/>
      <c r="JB1" s="4" t="s">
        <v>876</v>
      </c>
      <c r="JC1" s="4"/>
      <c r="JD1" s="4" t="s">
        <v>153</v>
      </c>
      <c r="JE1" s="4"/>
      <c r="JF1" s="4" t="s">
        <v>302</v>
      </c>
      <c r="JG1" s="4"/>
      <c r="JH1" s="4"/>
      <c r="JI1" s="4" t="s">
        <v>305</v>
      </c>
      <c r="JJ1" s="4" t="s">
        <v>311</v>
      </c>
      <c r="JK1" s="4"/>
      <c r="JL1" s="4"/>
      <c r="JM1" s="4" t="s">
        <v>303</v>
      </c>
      <c r="JN1" s="4" t="s">
        <v>304</v>
      </c>
      <c r="JO1" s="4"/>
      <c r="JP1" s="26" t="s">
        <v>154</v>
      </c>
      <c r="JR1" s="4" t="s">
        <v>99</v>
      </c>
      <c r="JS1" s="398" t="s">
        <v>330</v>
      </c>
      <c r="JT1" s="4" t="s">
        <v>332</v>
      </c>
      <c r="JU1" s="4" t="s">
        <v>1007</v>
      </c>
      <c r="JV1" s="4" t="s">
        <v>1008</v>
      </c>
      <c r="JW1" s="4" t="s">
        <v>788</v>
      </c>
      <c r="JX1" s="4" t="s">
        <v>789</v>
      </c>
      <c r="JY1" s="4" t="s">
        <v>790</v>
      </c>
      <c r="JZ1" s="4" t="s">
        <v>1135</v>
      </c>
      <c r="KA1" s="4" t="s">
        <v>333</v>
      </c>
      <c r="KB1" s="4" t="s">
        <v>334</v>
      </c>
      <c r="KC1" s="4" t="s">
        <v>841</v>
      </c>
      <c r="KD1" s="4" t="s">
        <v>842</v>
      </c>
      <c r="KE1" s="97" t="s">
        <v>335</v>
      </c>
      <c r="KF1" s="4" t="s">
        <v>336</v>
      </c>
      <c r="KG1" s="4" t="s">
        <v>551</v>
      </c>
      <c r="KH1" s="4" t="s">
        <v>550</v>
      </c>
      <c r="KI1" s="4" t="s">
        <v>350</v>
      </c>
      <c r="KJ1" s="4" t="s">
        <v>351</v>
      </c>
      <c r="KK1" s="4" t="s">
        <v>51</v>
      </c>
      <c r="KL1" s="4" t="s">
        <v>353</v>
      </c>
      <c r="KM1" s="4" t="s">
        <v>354</v>
      </c>
      <c r="KN1" s="4" t="s">
        <v>719</v>
      </c>
      <c r="KP1" s="4" t="s">
        <v>931</v>
      </c>
      <c r="KQ1" s="4" t="s">
        <v>928</v>
      </c>
      <c r="KR1" s="4"/>
      <c r="KS1" s="4" t="s">
        <v>199</v>
      </c>
      <c r="KT1" s="4"/>
      <c r="KU1" s="4"/>
      <c r="KV1" s="4"/>
      <c r="KW1" s="4" t="s">
        <v>202</v>
      </c>
      <c r="KX1" s="4" t="s">
        <v>203</v>
      </c>
      <c r="KY1" s="4" t="s">
        <v>200</v>
      </c>
      <c r="KZ1" s="4" t="s">
        <v>201</v>
      </c>
      <c r="LA1" s="4"/>
      <c r="LB1" s="4" t="s">
        <v>355</v>
      </c>
      <c r="LC1" s="4"/>
      <c r="LD1" s="4" t="s">
        <v>52</v>
      </c>
      <c r="LE1" s="4"/>
      <c r="LF1" s="4"/>
      <c r="LG1" s="4" t="s">
        <v>54</v>
      </c>
      <c r="LH1" s="4" t="s">
        <v>55</v>
      </c>
      <c r="LI1" s="4" t="s">
        <v>125</v>
      </c>
      <c r="LJ1" s="4" t="s">
        <v>358</v>
      </c>
      <c r="LK1" s="4" t="s">
        <v>359</v>
      </c>
      <c r="LL1" s="4" t="s">
        <v>76</v>
      </c>
      <c r="LM1" s="4" t="s">
        <v>45</v>
      </c>
      <c r="LN1" s="4" t="s">
        <v>360</v>
      </c>
      <c r="LO1" s="4" t="s">
        <v>361</v>
      </c>
      <c r="LP1" s="4" t="s">
        <v>362</v>
      </c>
      <c r="LQ1" s="4" t="s">
        <v>363</v>
      </c>
      <c r="LR1" s="4" t="s">
        <v>364</v>
      </c>
      <c r="LS1" s="4" t="s">
        <v>365</v>
      </c>
      <c r="LT1" s="4" t="s">
        <v>366</v>
      </c>
      <c r="LU1" s="4" t="s">
        <v>1775</v>
      </c>
      <c r="LV1" s="4" t="s">
        <v>1776</v>
      </c>
      <c r="LW1" s="4"/>
      <c r="LX1" s="4"/>
      <c r="LY1" s="4"/>
      <c r="LZ1" s="4"/>
      <c r="MA1" s="4"/>
      <c r="MB1" s="4" t="s">
        <v>204</v>
      </c>
      <c r="MC1" s="4" t="s">
        <v>205</v>
      </c>
      <c r="MD1" s="4" t="s">
        <v>63</v>
      </c>
      <c r="ME1" s="4" t="s">
        <v>802</v>
      </c>
      <c r="MF1" s="4" t="s">
        <v>801</v>
      </c>
      <c r="MG1" s="4" t="s">
        <v>1100</v>
      </c>
      <c r="MH1" s="4" t="s">
        <v>800</v>
      </c>
      <c r="MI1" s="4"/>
      <c r="MJ1" s="4"/>
      <c r="MK1" s="4"/>
      <c r="ML1" s="4"/>
      <c r="MM1" s="4"/>
      <c r="MN1" s="4"/>
      <c r="MO1" s="4"/>
      <c r="MP1" s="4"/>
      <c r="MQ1" s="4"/>
      <c r="MR1" s="4"/>
      <c r="MS1" s="4"/>
      <c r="MT1" s="4" t="s">
        <v>1101</v>
      </c>
      <c r="MU1" s="4" t="s">
        <v>1102</v>
      </c>
      <c r="MV1" s="4"/>
      <c r="MW1" s="4" t="s">
        <v>1103</v>
      </c>
      <c r="MX1" s="4" t="s">
        <v>1104</v>
      </c>
      <c r="MY1" s="4" t="s">
        <v>1105</v>
      </c>
      <c r="MZ1" s="4" t="s">
        <v>1106</v>
      </c>
      <c r="NA1" s="4" t="s">
        <v>1107</v>
      </c>
      <c r="NB1" s="4" t="s">
        <v>803</v>
      </c>
      <c r="NC1" s="4" t="s">
        <v>804</v>
      </c>
      <c r="ND1" s="4" t="s">
        <v>805</v>
      </c>
      <c r="NE1" s="4" t="s">
        <v>806</v>
      </c>
      <c r="NF1" s="4" t="s">
        <v>1818</v>
      </c>
      <c r="NG1" s="4" t="s">
        <v>807</v>
      </c>
      <c r="NH1" s="4"/>
      <c r="NI1" s="4"/>
      <c r="NJ1" s="4" t="s">
        <v>2793</v>
      </c>
      <c r="NK1" s="4" t="s">
        <v>114</v>
      </c>
      <c r="NL1" s="26" t="s">
        <v>1794</v>
      </c>
      <c r="NM1" s="26" t="s">
        <v>1795</v>
      </c>
      <c r="NN1" s="578"/>
      <c r="NO1" s="578"/>
      <c r="NP1" s="26" t="s">
        <v>2315</v>
      </c>
      <c r="NS1" s="26" t="s">
        <v>2791</v>
      </c>
      <c r="NT1" s="578" t="s">
        <v>2786</v>
      </c>
      <c r="NU1" s="578" t="s">
        <v>2785</v>
      </c>
    </row>
    <row r="2" spans="1:385" s="13" customFormat="1" x14ac:dyDescent="0.2">
      <c r="A2" s="6" t="s">
        <v>10</v>
      </c>
      <c r="B2" s="3">
        <v>22386400</v>
      </c>
      <c r="C2" s="3">
        <v>1</v>
      </c>
      <c r="D2" s="3"/>
      <c r="E2" s="3" t="s">
        <v>17</v>
      </c>
      <c r="F2" t="s">
        <v>266</v>
      </c>
      <c r="G2"/>
      <c r="H2" s="3"/>
      <c r="I2" s="3"/>
      <c r="J2" s="3"/>
      <c r="K2" s="3" t="str">
        <f>PROPER(J2)&amp;", "&amp;PROPER(I2)</f>
        <v xml:space="preserve">, </v>
      </c>
      <c r="L2"/>
      <c r="M2"/>
      <c r="N2"/>
      <c r="O2"/>
      <c r="P2"/>
      <c r="Q2"/>
      <c r="R2"/>
      <c r="S2">
        <v>0</v>
      </c>
      <c r="T2" s="3" t="s">
        <v>74</v>
      </c>
      <c r="U2"/>
      <c r="V2"/>
      <c r="W2" s="89" t="s">
        <v>1200</v>
      </c>
      <c r="X2" s="90">
        <v>35987</v>
      </c>
      <c r="Y2" s="92">
        <v>18336</v>
      </c>
      <c r="Z2" s="92" t="str">
        <f>IF(DAY(Y2)=1,"Y","N")</f>
        <v>N</v>
      </c>
      <c r="AA2" s="92"/>
      <c r="AB2" s="92"/>
      <c r="AC2" s="269" t="str">
        <f>IF(R2="Y",AB2,IF(AA2&gt;0,AA2,"null"))</f>
        <v>null</v>
      </c>
      <c r="AD2" s="92"/>
      <c r="AE2" s="92"/>
      <c r="AF2" s="92"/>
      <c r="AG2" s="92">
        <v>26406</v>
      </c>
      <c r="AH2" s="92">
        <v>33168</v>
      </c>
      <c r="AI2" s="92"/>
      <c r="AJ2" s="92"/>
      <c r="AK2" s="272">
        <v>41518</v>
      </c>
      <c r="AL2" s="95">
        <f>[1]!ATT(Y2,AK2)</f>
        <v>63</v>
      </c>
      <c r="AM2">
        <f>IF(AU2&gt;0,INT(AU2)*12+VLOOKUP((AU2-INT(AU2)),monthsadd,2),INT(AT2)*12+VLOOKUP((AT2-INT(AT2)),monthsadd,2))</f>
        <v>234</v>
      </c>
      <c r="AN2" s="92">
        <f>IF(AJ2&lt;&gt;"",DATE(YEAR(AJ2), MONTH(AJ2), DAY(AJ2)-1),[1]!ADDMONTHS(AG2,AM2))</f>
        <v>33528</v>
      </c>
      <c r="AO2" s="92">
        <f>IF(AH2&gt;0,AH2,MIN(AK2-1,AN2))</f>
        <v>33168</v>
      </c>
      <c r="AP2" s="269" t="str">
        <f>IF(AH2="","null",IF(AH2&gt;DOBF,DOBF,"null"))</f>
        <v>null</v>
      </c>
      <c r="AQ2" s="270">
        <f>IF(AO2="null","null",[1]!ATT(Y2,AO2))</f>
        <v>40</v>
      </c>
      <c r="AR2" s="92"/>
      <c r="AS2" s="92"/>
      <c r="AT2" s="91">
        <f>19.3</f>
        <v>19.3</v>
      </c>
      <c r="AU2" s="91">
        <f>19.5</f>
        <v>19.5</v>
      </c>
      <c r="AV2" s="91" t="str">
        <f>IF(AJ2&gt;0,"Disability",IF(AND(AQ2&gt;=65,IF(AU2&gt;0,AU2,AT2)&gt;=5),"NR",IF(AND(AQ2&gt;=55,IF(AU2&gt;0,AU2,AT2)&gt;=10),"ER","DV")))</f>
        <v>DV</v>
      </c>
      <c r="AW2" s="7">
        <f>[1]!anb(Y2,DOPT)</f>
        <v>64</v>
      </c>
      <c r="AX2" s="7" t="str">
        <f>IF(AC2="null","null",IF(AC2&gt;DOPT,0,[1]!anb(AC2,DOPT)))</f>
        <v>null</v>
      </c>
      <c r="AY2" s="270">
        <f>IF(AND(AJ2="",AH2=""),"null",IF(AND(AG2&lt;=DATE(1989,4,10),AT2&gt;=30,AQ2&gt;=55),58,IF(AND(AG2&lt;=DATE(1989,4,10),IF(AU2="",AT2,AU2)&gt;=10,AQ2&gt;=55),62,IF(AND(AG2&gt;DATE(1989,4,10),IF(AU2="",AT2,AU2)&gt;=10,AQ2&gt;=62),62,65))))</f>
        <v>65</v>
      </c>
      <c r="AZ2" s="272">
        <f>IF(AY2="null","null",[1]!NRD(Y2,AY2))</f>
        <v>42095</v>
      </c>
      <c r="BA2" s="7">
        <f>65</f>
        <v>65</v>
      </c>
      <c r="BB2" s="269">
        <f>[1]!NRD(Y2,65)</f>
        <v>42095</v>
      </c>
      <c r="BC2" s="269">
        <f>DATE(YEAR(Y2)+70,MONTH(Y2)+6,DAY(Y2))</f>
        <v>44088</v>
      </c>
      <c r="BD2" s="269">
        <f>DATE(YEAR(BC2)+1,4,1)</f>
        <v>44287</v>
      </c>
      <c r="BE2" s="272">
        <f>[1]!RBD(C2,DOPT,"P",Y2,AH2)</f>
        <v>45017</v>
      </c>
      <c r="BF2" s="272" t="str">
        <f>IF(AH2&lt;&gt;"",IF(AH2&gt;BD2,"Y","N"),"null")</f>
        <v>N</v>
      </c>
      <c r="BG2" s="272"/>
      <c r="BH2" s="7">
        <f>AW2</f>
        <v>64</v>
      </c>
      <c r="BI2" s="269">
        <f>DOPT2</f>
        <v>41640</v>
      </c>
      <c r="BJ2" s="7" t="str">
        <f>AX2</f>
        <v>null</v>
      </c>
      <c r="BK2" s="95" t="s">
        <v>158</v>
      </c>
      <c r="BL2" s="275"/>
      <c r="BM2" s="276">
        <v>0</v>
      </c>
      <c r="BN2" s="7" t="str">
        <f>IF(BM2=0,"null",DATE(YEAR(AK2)+BM2/12,MONTH(AK2)-1,1))</f>
        <v>null</v>
      </c>
      <c r="BO2" s="7" t="str">
        <f>IF(BN2="null","null",DATE(YEAR(BN2),MONTH(BN2)+1,1))</f>
        <v>null</v>
      </c>
      <c r="BP2" s="7" t="str">
        <f>IF(BN2="null","null",IF(BN2&lt;DOPT2,0,[1]!COMPM(DOPT2,BO2)))</f>
        <v>null</v>
      </c>
      <c r="BQ2" s="7" t="str">
        <f>IF(AND(AE2&lt;&gt;"",AE2&lt;DOPT,OR(BK2={"0","9"})),"2",IF(AND(BK2="5",BP2=0),"2",BK2))</f>
        <v>2</v>
      </c>
      <c r="BR2" s="275">
        <f>IF(OR(BQ2={"9","0"}),BL2,0)</f>
        <v>0</v>
      </c>
      <c r="BS2" s="276">
        <f>IF(BP2="null",0,IF(BP2=0,0,BM2))</f>
        <v>0</v>
      </c>
      <c r="BT2" s="276" t="str">
        <f>IF(OR(AD2="",AND(AE2&lt;AD2,AE2&lt;&gt;""),BK2="2"),"null","2")</f>
        <v>null</v>
      </c>
      <c r="BU2" s="276" t="str">
        <f>IF(BT2="null","null",0)</f>
        <v>null</v>
      </c>
      <c r="BV2" s="7">
        <f>[1]!anb(Y2,AK2)</f>
        <v>63</v>
      </c>
      <c r="BW2" s="7" t="str">
        <f>IF(OR(BK2="2",BK2="5"),"null",IF(AC2="null","null",[1]!anb(AC2,AK2)))</f>
        <v>null</v>
      </c>
      <c r="BX2" s="7" t="str">
        <f>IF(BK2="2","Straight Life Annuity",IF(BL2&gt;0,"Joint-and-"&amp;BL2*100&amp;"% Survivor "&amp;IF(BK2="0","'Pop-up'","")&amp; " Annuity",BM2/12&amp;"-year Certain-and-Continuous Annuity"))</f>
        <v>Straight Life Annuity</v>
      </c>
      <c r="BY2" s="7" t="str">
        <f>IF(BK2="2","SLA",IF(BK2=9,"J&amp;"&amp;BL2*100&amp;"%S",IF(BK2="0","J&amp;"&amp;BL2*100&amp;"%P",BM2/12&amp;"-year Certain-and-Continuous Annuity")))</f>
        <v>SLA</v>
      </c>
      <c r="BZ2" s="7" t="str">
        <f>IF(OR(BQ2="2",BQ2="5"),"SLA","JSC")</f>
        <v>SLA</v>
      </c>
      <c r="CA2" s="7"/>
      <c r="CB2" s="272" t="str">
        <f>IF(OR(AH2&lt;&gt;"",CA2="Yes",AJ2&lt;&gt;""),"Yes","No")</f>
        <v>Yes</v>
      </c>
      <c r="CC2" s="272"/>
      <c r="CD2">
        <f>958.74</f>
        <v>958.74</v>
      </c>
      <c r="CE2"/>
      <c r="CF2" t="str">
        <f>IF(CA2="Yes",IF(AND(AH2&gt;=DATE(2001,9,1),AH2&lt;DATE(2005,4,15)),28.75,"null"),"null")</f>
        <v>null</v>
      </c>
      <c r="CG2" s="273">
        <f>IF(CB2="No","null",IF(CF2&lt;&gt;"null",ROUND(AT2*CF2,2),IF(CC2&lt;&gt;"",ROUND(CC2/12,2),IF(CE2&lt;&gt;"",CE2,ROUND(CD2/12,2)))))</f>
        <v>79.900000000000006</v>
      </c>
      <c r="CH2" s="7"/>
      <c r="CI2" s="284">
        <f>IF(CB2="No","null",IF(AK2&lt;DATE(1989,4,10),DQ2,1))</f>
        <v>1</v>
      </c>
      <c r="CJ2" s="8">
        <f>IF(CB2="No","null",ROUND(CG2*CI2,2))</f>
        <v>79.900000000000006</v>
      </c>
      <c r="CK2" s="7">
        <f>IF(CB2="No","null",IF(AK2&lt;AZ2,[1]!COMPM(AK2,AZ2),0))</f>
        <v>19</v>
      </c>
      <c r="CL2" s="7"/>
      <c r="CM2" s="277">
        <f>IF(CB2="No","null",IF(OR(AY2=58,AND(AG2&lt;=DATE(1989,4,10),AY2=62)),VLOOKUP(CK2,erftable2,2),VLOOKUP(CK2,erftable1,2)))</f>
        <v>0.88600000000000001</v>
      </c>
      <c r="CN2" s="277"/>
      <c r="CO2" s="276">
        <f>IF(CB2="No","null",IF(AH2="",IF(AK2&lt;BB2,0,[1]!COMPM(BB2,AK2)),IF(AH2&lt;BB2,0,[1]!COMPM(BB2,[1]!NRD(AH2,0)))))</f>
        <v>0</v>
      </c>
      <c r="CP2" s="277">
        <f>IF(CB2="No","null",ROUND([1]!LRFAEQ(0.045,"M",65,CO2,0,MMORT,FMORT,"MP","Y"),4))</f>
        <v>1</v>
      </c>
      <c r="CQ2" s="7">
        <f>IF(CB2="No","null",IF(BB2&gt;AK2,0,[1]!COMPM(BB2,AK2)))</f>
        <v>0</v>
      </c>
      <c r="CR2" s="277">
        <f>IF(CB2="No","null",ROUND([1]!LRFAEQ(0.045,"M",65,CQ2,0,"AA06","AA06","MP","Y"),4))</f>
        <v>1</v>
      </c>
      <c r="CS2" s="278">
        <f>IF(CB2="No","null",ROUND(CR2/CP2,4))</f>
        <v>1</v>
      </c>
      <c r="CT2" s="12">
        <f>IF(CB2="No","null",ROUND(CJ2*CM2*CS2,2))</f>
        <v>70.790000000000006</v>
      </c>
      <c r="CU2" s="12"/>
      <c r="CV2" s="12">
        <f>IF(CT2="null","",CT2-CU2)</f>
        <v>70.790000000000006</v>
      </c>
      <c r="CW2" s="274" t="str">
        <f>IF(BL2="","null",IF(AC2&lt;Y2,(YEAR(Y2)-YEAR(AC2))-IF(Y2&gt;=DATE(YEAR(Y2),MONTH(AC2),DAY(AC2)),0,1),-(YEAR(AC2)-YEAR(Y2))+IF(AC2&gt;=DATE(YEAR(AC2),MONTH(Y2),DAY(Y2)),0,1)))</f>
        <v>null</v>
      </c>
      <c r="CX2" s="277">
        <f>IF(BK2="2",1,IF(ABS(CW2)&lt;=5,0.95,IF(CW2&gt;0,MIN(1,0.95+0.005*(ABS(CW2)-5)),0.95-0.005*(ABS(CW2)-5))))</f>
        <v>1</v>
      </c>
      <c r="CY2" s="277"/>
      <c r="CZ2" s="273">
        <f>IF(CB2="No","null",ROUND(CT2*CX2,2))</f>
        <v>70.790000000000006</v>
      </c>
      <c r="DA2" s="273"/>
      <c r="DB2">
        <f>IF(CB2="Yes",CZ2,IF(AND(CZ2="null",DA2=""),"null",DA2))</f>
        <v>70.790000000000006</v>
      </c>
      <c r="DC2">
        <f>IF(DB2="null","",DB2-IF(BK2="0",DA2,CU2))</f>
        <v>70.790000000000006</v>
      </c>
      <c r="DD2"/>
      <c r="DE2" t="str">
        <f>IF(AG2&lt;DATE(1986,10,1),"Y","N")</f>
        <v>Y</v>
      </c>
      <c r="DF2" s="272"/>
      <c r="DG2" s="273">
        <v>16.79</v>
      </c>
      <c r="DH2" s="273"/>
      <c r="DI2" s="272" t="str">
        <f>IF(AND(OR(DG2&gt;0,DH2&gt;0),DA2&gt;0),"Yes","No")</f>
        <v>No</v>
      </c>
      <c r="DJ2" s="273" t="str">
        <f>IF(DI2="No","null",IF(DH2&gt;0,ROUND(DH2,2),ROUND(DG2,2)))</f>
        <v>null</v>
      </c>
      <c r="DK2" s="273"/>
      <c r="DL2" s="273" t="str">
        <f>IF(DK2="","",IF(DK2=AK2,"Yes","No"))</f>
        <v/>
      </c>
      <c r="DM2" s="269" t="str">
        <f>IF(DI2="No","null",[1]!NRD(Y2,45))</f>
        <v>null</v>
      </c>
      <c r="DN2" s="269" t="str">
        <f t="shared" ref="DN2" si="0">IF(DI2="No","null",MAX(DM2,DATE(1986,10,1)))</f>
        <v>null</v>
      </c>
      <c r="DO2" s="269" t="str">
        <f>IF(DI2="No","null",AK2)</f>
        <v>null</v>
      </c>
      <c r="DP2" s="276" t="str">
        <f>IF(DI2="No","null",IF(OR(DAY(DN2)=1,DAY(DN2)=2),[1]!COMPM(DN2,DO2),[1]!COMPM(DN2,DO2)+1))</f>
        <v>null</v>
      </c>
      <c r="DQ2" s="277" t="str">
        <f>IF(DI2="No","null",ROUND(1-ROUND(DP2*1/24*0.01,4),4))</f>
        <v>null</v>
      </c>
      <c r="DR2" s="277"/>
      <c r="DS2" s="276" t="str">
        <f>IF(DR2="","",DQ2=DR2)</f>
        <v/>
      </c>
      <c r="DT2" s="273" t="str">
        <f>IF(DI2="No","null",IF(OR(DJ2={"",0,"null"}),"null",ROUND(DJ2*IF(DQ2="null",1,DQ2),2)))</f>
        <v>null</v>
      </c>
      <c r="DU2" s="276" t="str">
        <f>IF(DI2="No","null",IF(AK2&gt;=BB2,0,[1]!COMPM(AK2,BB2)))</f>
        <v>null</v>
      </c>
      <c r="DV2" s="277" t="str">
        <f>IF(DU2="null","null",VLOOKUP(DU2,erftable1,2))</f>
        <v>null</v>
      </c>
      <c r="DW2"/>
      <c r="DX2" s="7" t="str">
        <f>IF(DI2="No","null",IF(BB2&gt;AK2,0,[1]!COMPM(BB2,AK2)))</f>
        <v>null</v>
      </c>
      <c r="DY2" s="277" t="str">
        <f>IF(DX2="null","null",ROUND([1]!LRFAEQ(0.04,"M",65,DX2,0,"AA06","AA06","MP","Y"),4))</f>
        <v>null</v>
      </c>
      <c r="DZ2" s="273" t="str">
        <f>IF(DT2="null","null",ROUND(DT2*DV2*DY2,2))</f>
        <v>null</v>
      </c>
      <c r="EA2" s="273"/>
      <c r="EB2" s="277" t="str">
        <f>IF(DI2="No","null",CX2)</f>
        <v>null</v>
      </c>
      <c r="EC2" s="273"/>
      <c r="ED2" s="273" t="str">
        <f>IF(DI2="No","null",ROUND(DZ2*EB2,2))</f>
        <v>null</v>
      </c>
      <c r="EE2" s="273"/>
      <c r="EF2" s="273" t="str">
        <f>IF(OR(ED2="null",EE2=""),"",ED2-EE2)</f>
        <v/>
      </c>
      <c r="EG2" s="273" t="str">
        <f>IF(DI2="No","null",ED2)</f>
        <v>null</v>
      </c>
      <c r="EH2" s="12">
        <f>IF(AND(CB2="No",DI2="No"),"null",ROUND(DB2,2)-ROUND(IF(ED2="null",0,ED2),2))</f>
        <v>70.790000000000006</v>
      </c>
      <c r="EI2" s="12" t="str">
        <f>IF(AND(AE2&gt;0,AE2&lt;=DOPT,BL2&gt;0),IF(AND(CB2="Yes",DI2="Yes"),ROUND(CT2-DZ2,2),IF(AND(CB2="No",DI2="Yes"),IF(CU2&gt;0,ROUND(CU2-DZ2,2),ROUND(EH2/CX2,2)))),"null")</f>
        <v>null</v>
      </c>
      <c r="EJ2" s="12">
        <f>IF(DB2&lt;&gt;"null",ROUND(DB2*BL2,2),0)</f>
        <v>0</v>
      </c>
      <c r="EK2" s="12">
        <f>IF(ED2&lt;&gt;"null",ROUND(ED2*IF(BK2="2",0,0.55),2),0)</f>
        <v>0</v>
      </c>
      <c r="EL2" s="12">
        <f>ROUND(EJ2-EK2,2)</f>
        <v>0</v>
      </c>
      <c r="EM2" s="272"/>
      <c r="EN2" s="550"/>
      <c r="EO2" s="12">
        <f>IF(OR(CB2="Yes",DI2="Yes"),ROUND(IF(EI2&lt;&gt;"null",EI2,EH2)-EM2,2),"null")</f>
        <v>70.790000000000006</v>
      </c>
      <c r="EP2" s="98">
        <f>IF(EO2="null","null",ROUND(ABS((IF(EI2&lt;&gt;"null",EI2,EH2)-EM2)/MIN(IF(EI2&lt;&gt;"null",EI2,EH2),EM2)),4))</f>
        <v>1</v>
      </c>
      <c r="EQ2" s="12" t="str">
        <f>IF(EP2="null","null",IF(EO2&gt;0,"N",IF(EO2&lt;-5,"N","Y")))</f>
        <v>N</v>
      </c>
      <c r="ER2" s="12"/>
      <c r="ES2" s="12" t="str">
        <f>IF(EQ2="null","null",IF(EQ2="Y",IF(EO2=0,"M","N"),IF(EO2&lt;0,"D","I")))</f>
        <v>I</v>
      </c>
      <c r="ET2" s="12">
        <f>IF(EQ2="N",IF(EI2&lt;&gt;"null",EI2,EH2),EM2)</f>
        <v>70.790000000000006</v>
      </c>
      <c r="EU2" s="12" t="str">
        <f>IF(BQ2="2","null",IF(AND(CB2="No",DI2="No"),ROUND(ET2*BL2,2),ROUND(FC2-IF(FD2="null",0,FD2),2)))</f>
        <v>null</v>
      </c>
      <c r="EV2" s="12" t="str">
        <f>IF(AD2="","Participant",IF(BK2="2","Estate",IF(AE2&lt;&gt;"","Estate","Beneficiary")))</f>
        <v>Participant</v>
      </c>
      <c r="EW2" s="12" t="str">
        <f>IF(EV2&lt;&gt;"Estate","null",IF(BK2="2","Participant",IF(AE2&lt;AD2,"Participant","Beneficiary")))</f>
        <v>null</v>
      </c>
      <c r="EX2" s="277">
        <f>CX2</f>
        <v>1</v>
      </c>
      <c r="EY2" s="8" t="str">
        <f>IF(BQ2="2","null",IF(AND(AE2&gt;0,AE2&lt;=DOPT,BL2&gt;0),"null",IF(EQ2="Y",CU2,IF(EQ2="N",IF(CB2="No",CU2,CT2),"null"))))</f>
        <v>null</v>
      </c>
      <c r="EZ2" s="8" t="str">
        <f>IF(EY2="null","null",IF(DE2="N","null",IF(EQ2="Y",IF(EA2&gt;0,EA2,IF(ES2="M",DZ2,ROUND(EE2/EX2,2))),DZ2)))</f>
        <v>null</v>
      </c>
      <c r="FA2" s="8">
        <f>IF(AND(BK2="0",BQ2="2"),ET2,IF(EY2="null",ROUND(ET2/CX2,2),ROUND(EY2-IF(EZ2="null",0,EZ2),2)))</f>
        <v>70.790000000000006</v>
      </c>
      <c r="FB2" s="8" t="str">
        <f>IF(BQ2="2","null",ROUND(FA2-ET2,2))</f>
        <v>null</v>
      </c>
      <c r="FC2" s="273" t="str">
        <f>IF(BQ2="2","null",IF(AND(CB2="No",DI2="No"),"null",ROUND(BL2*IF(OR(ES2="M",ES2="null",ES2="N"),DA2,ROUND(EY2*EX2,2)),2)))</f>
        <v>null</v>
      </c>
      <c r="FD2" s="273" t="str">
        <f t="shared" ref="FD2" si="1">IF(BQ2="2","null",IF(DE2="N","null",IF(AND(CB2="No",DI2="No"),"null",IF(BL2&gt;0,ROUND(0.55*IF(EQ2="Y",EE2,ED2),2),0))))</f>
        <v>null</v>
      </c>
      <c r="FE2" s="8" t="str">
        <f>IF(BQ2="2","null",IF(AND(CB2="No",DI2="No"),ROUND(ET2*BL2,2),ROUND(FC2-IF(FD2="null",0,FD2),2)))</f>
        <v>null</v>
      </c>
      <c r="FF2" s="7">
        <f>IF(FE2="null",0,ROUND(FE2/ET2,4))</f>
        <v>0</v>
      </c>
      <c r="FG2" s="292">
        <f>IF(FF2=0,1,ROUND([1]!PBGCBFCF2("SLA",0,0,"JSP",FF2,0,+AW2,AX2),4))</f>
        <v>1</v>
      </c>
      <c r="FH2" s="292">
        <f>ROUND(IF(FF2=0,VLOOKUP(BS2,bfcfpbgc,2,FALSE),IF(FF2&lt;=0.5,((0.5-FF2)*0.02+FF2*0.018*VLOOKUP(AW2-AX2,AgeDiffFactor,2,FALSE))*100,((1-FF2)*0.018+(FF2-0.5)*0.016)*100*VLOOKUP(AW2-AX2,AgeDiffFactor,2,FALSE))*(1*(120-BS2)+IF(FF2&lt;=0.25,0.037*(25-FF2*100)+0.0378*FF2*100,0.0126*(100-FF2*100)+0.0132*(FF2*100-25))*BS2)/120)*IF(BQ2="0",1-0.04*FF2*IF((AW2-AX2)&lt;=0,1-0.1*(AW2-AX2),(0.6667^(0.2*(AW2-AX2)))),1),4)</f>
        <v>1</v>
      </c>
      <c r="FI2" s="292">
        <f>ABS(FG2-FH2)</f>
        <v>0</v>
      </c>
      <c r="FJ2" s="67">
        <f>[1]!ATT(Y2,DOPT)</f>
        <v>63</v>
      </c>
      <c r="FK2" s="269">
        <f>AK2</f>
        <v>41518</v>
      </c>
      <c r="FL2" s="8"/>
      <c r="FM2" s="8"/>
      <c r="FN2" s="8" t="str">
        <f>IF(AV2="DV","N",IF(OR(NOT(ISBLANK(FM2)),FJ2&lt;65),"Y","N"))</f>
        <v>N</v>
      </c>
      <c r="FO2" s="8" t="str">
        <f>IF(FN2="Y",IF(FL2&gt;0,FL2,VLOOKUP(AO2,Medicare,2)),"null")</f>
        <v>null</v>
      </c>
      <c r="FP2" s="269" t="str">
        <f>IF(FN2="N","null",MAX(BI2,BB2))</f>
        <v>null</v>
      </c>
      <c r="FQ2" s="269" t="str">
        <f>IF(FN2="N","null",DATE(2099,12,1))</f>
        <v>null</v>
      </c>
      <c r="FR2" s="277" t="str">
        <f>IF(FN2="Y",IF(BI2&gt;=FP2,0,[1]!LLF(DOPT,Y2,MAX(FP2,BI2),MAX(BI2,DATE(YEAR(FP2),MONTH(FP2)+1,1)))),"null")</f>
        <v>null</v>
      </c>
      <c r="FS2" s="277" t="str">
        <f>IF(FR2="null","null",1-FR2)</f>
        <v>null</v>
      </c>
      <c r="FT2" s="277" t="str">
        <f>IF(FN2="N","null","0")</f>
        <v>null</v>
      </c>
      <c r="FU2" s="8"/>
      <c r="FV2" s="269"/>
      <c r="FW2" s="7" t="str">
        <f>IF(AND(FN2="Y",BQ2&lt;&gt;"2"),FO2,"null")</f>
        <v>null</v>
      </c>
      <c r="FX2" s="269" t="str">
        <f>IF(FW2="null","null",MAX(DOPT2,DATE(YEAR(AA2)+65,MONTH(AA2)+1,1)))</f>
        <v>null</v>
      </c>
      <c r="FY2" s="269" t="str">
        <f>IF(FW2="null","null",DATE(2099,12,1))</f>
        <v>null</v>
      </c>
      <c r="FZ2" s="269" t="str">
        <f>FY2</f>
        <v>null</v>
      </c>
      <c r="GA2" s="269" t="str">
        <f ca="1">IF(FX2="null","null",IF(TODAY()&gt;=FX2,"Y","N"))</f>
        <v>null</v>
      </c>
      <c r="GB2" s="12"/>
      <c r="GC2" s="273"/>
      <c r="GD2" s="273"/>
      <c r="GE2" s="269"/>
      <c r="GF2" s="8" t="str">
        <f>IF(AND(GE2&gt;=DOPT,GC2&gt;0),"Y","N")</f>
        <v>N</v>
      </c>
      <c r="GG2" s="12">
        <f>ET2</f>
        <v>70.790000000000006</v>
      </c>
      <c r="GH2" s="12" t="str">
        <f>FB2</f>
        <v>null</v>
      </c>
      <c r="GI2" s="12" t="str">
        <f>FO2</f>
        <v>null</v>
      </c>
      <c r="GJ2" s="12" t="str">
        <f>FW2</f>
        <v>null</v>
      </c>
      <c r="GK2" s="12" t="str">
        <f>IF(ET2&gt;GG2,"Y","N")</f>
        <v>N</v>
      </c>
      <c r="GL2" s="6" t="str">
        <f>IF(AK2&lt;DOPT3,"Yes","No")</f>
        <v>No</v>
      </c>
      <c r="GM2" s="6">
        <f>IF(GL2="Yes","null",[1]!ATT(Y2,DOPT3))</f>
        <v>60</v>
      </c>
      <c r="GN2" s="6">
        <f>IF(GL2="Yes","null",IF(AO2&lt;DATE(2011,1,1),0,VLOOKUP(IF(AO2&gt;=DATE(2012,1,1),12*190,MONTH(AO2)*190),VS,2)))</f>
        <v>0</v>
      </c>
      <c r="GO2" s="6">
        <f>IF(GL2="Yes","null",IF(AO2&lt;DATE(2012,1,1),0,VLOOKUP(IF(AO2&gt;=DATE(2013,1,1),12*190,MONTH(AO2)*190),VS,2)))</f>
        <v>0</v>
      </c>
      <c r="GP2" s="6">
        <f>IF(GL2="Yes","null",IF(AO2&lt;DATE(2013,1,1),0,VLOOKUP(IF(AO2&gt;=DATE(2014,1,1),12*190,MONTH(AO2)*190),VS,2)))</f>
        <v>0</v>
      </c>
      <c r="GQ2" s="6">
        <f>IF(GL2="Yes","null",IF(AH2&lt;&gt;"",IF(AH2&lt;=DOPT3,IF(AU2="","null",AU2),AU2-GN2-GO2-GP2),"null"))</f>
        <v>19.5</v>
      </c>
      <c r="GR2" s="6" t="str">
        <f>IF(GL2="Yes","Y",IF(AND(GM2&gt;=55,GQ2&gt;=5),"Y","N"))</f>
        <v>Y</v>
      </c>
      <c r="GS2" s="6" t="str">
        <f>IF(GL2="Yes","null",IF(GR2="N","null",IF(AND(MIN(AQ2,GM2)&gt;=65,GQ2&gt;=5),"NR",IF(AND(MIN(AQ2,GM2)&gt;=55,GQ2&gt;=10),"ER","DV"))))</f>
        <v>DV</v>
      </c>
      <c r="GT2" s="12">
        <f>IF(GL2="Yes","null",IF(GR2="Y",CG2,"null"))</f>
        <v>79.900000000000006</v>
      </c>
      <c r="GU2" s="6">
        <f>IF(GL2="Yes","null",IF(GR2="N","null",IF(AND(AG2&lt;=DATE(1989,4,10),AT2&gt;=30,MIN(GM2,AQ2)&gt;=55),58,IF(AND(AG2&lt;=DATE(1989,4,10),GQ2&gt;=10,MIN(GM2,AQ2)&gt;=55),62,IF(AND(AG2&gt;DATE(1989,4,10),GQ2&gt;=10,MIN(GM2,AQ2)&gt;=62),62,65)))))</f>
        <v>65</v>
      </c>
      <c r="GV2" s="11">
        <f>IF(GL2="Yes","null",IF(GR2="N","null",[1]!NRD(Y2,GU2)))</f>
        <v>42095</v>
      </c>
      <c r="GW2" s="6">
        <f>IF(GL2="Yes","null",IF(GR2="N","null",IF(DOPT4&lt;GV2,[1]!COMPM(DOPT4,GV2),0)))</f>
        <v>51</v>
      </c>
      <c r="GX2" s="249">
        <f>IF(GL2="Yes","null",IF(GR2="N","null",VLOOKUP(GW2,IF(GU2=65,erftable1,erftable2),2,FALSE)))</f>
        <v>0.69399999999999995</v>
      </c>
      <c r="GY2" s="6">
        <f>IF(GL2="Yes","null",IF(GR2="N","null",IF(DOPT4&gt;BB2,[1]!COMPM(BB2,DOPT4),0)))</f>
        <v>0</v>
      </c>
      <c r="GZ2" s="249">
        <f>IF(GL2="Yes","null",IF(GR2="N","null",ROUND([1]!LRFAEQ(0.045,"M",65,GY2,0,"AA06","AA06","MP","Y"),4)))</f>
        <v>1</v>
      </c>
      <c r="HA2" s="249">
        <f>IF(GL2="Yes","null",IF(GR2="N","null",ROUND(MAX(1,GZ2/CP2),4)))</f>
        <v>1</v>
      </c>
      <c r="HB2" s="12">
        <f>IF(GL2="Yes","null",IF(GR2="N","null",ROUND(GT2*GX2*HA2,2)))</f>
        <v>55.45</v>
      </c>
      <c r="HC2" s="249">
        <f>IF(GL2="Yes","null",IF(GR2="N","null",CX2))</f>
        <v>1</v>
      </c>
      <c r="HD2" s="12">
        <f>IF(GL2="Yes","null",IF(GR2="N","null",ROUND(HB2*HC2,2)))</f>
        <v>55.45</v>
      </c>
      <c r="HE2" s="283" t="str">
        <f>IF(GL2="Yes","null",IF(OR(DJ2={"",0,"null"}),"null",DQ2))</f>
        <v>null</v>
      </c>
      <c r="HF2" s="8" t="str">
        <f>IF(GL2="Yes","null",IF(OR(DJ2={"",0,"null"}),"null",ROUND(DJ2*HE2,2)))</f>
        <v>null</v>
      </c>
      <c r="HG2" t="str">
        <f>IF(OR(GL2="Yes",DJ2="null",DI2="No"),"null",IF(DOPT4&lt;BB2,[1]!COMPM(DOPT4,BB2),0))</f>
        <v>null</v>
      </c>
      <c r="HH2" s="277" t="str">
        <f>IF(HG2="null","null",VLOOKUP(HG2,erftable1,2,FALSE))</f>
        <v>null</v>
      </c>
      <c r="HI2" s="276" t="str">
        <f>IF(GL2="Yes","null",IF(GR2="N","null", IF(DI2="No","null",IF(BB2&gt;DOPT4,0,[1]!COMPM(BB2,DOPT4)))))</f>
        <v>null</v>
      </c>
      <c r="HJ2" s="277" t="str">
        <f>IF(HI2="null","null",ROUND([1]!LRFAEQ(0.04,"M",65,HI2,0,"AA06","AA06","MP","Y"),4))</f>
        <v>null</v>
      </c>
      <c r="HK2" s="12" t="str">
        <f>IF(OR(GL2="Yes",OR(DJ2={0,"null"})),"null",ROUND(HF2*HH2*HJ2,2))</f>
        <v>null</v>
      </c>
      <c r="HL2" s="277" t="str">
        <f>IF(HK2="null","null",IF(GR2="N","null",HC2))</f>
        <v>null</v>
      </c>
      <c r="HM2" s="12" t="str">
        <f>IF(HK2="null","null",ROUND(HK2*HL2,2))</f>
        <v>null</v>
      </c>
      <c r="HN2" s="12">
        <f>IF(GL2="Yes",ET2,IF(GR2="N","null",MIN(ET2,ROUND(HD2-IF(HM2="null",0,HM2),2))))</f>
        <v>55.45</v>
      </c>
      <c r="HO2" s="12" t="str">
        <f>IF(GL2="Yes","null",IF(GR2="N","null",IF(BQ2="2","null",IF(ET2=HN2,"null",ROUND(HD2*BR2,2)))))</f>
        <v>null</v>
      </c>
      <c r="HP2" s="12" t="str">
        <f>IF(HM2="null","null",IF(BQ2="2","null",IF(ET2=HN2,"null",ROUND(HM2*IF(BR2=0,0,0.55),2))))</f>
        <v>null</v>
      </c>
      <c r="HQ2" s="12" t="str">
        <f>IF(BQ2="2","null",IF(ET2=HN2,FE2,IF(HO2="null","null",ROUND(HO2,2)-ROUND(IF(HP2="null",0,HP2),2))))</f>
        <v>null</v>
      </c>
      <c r="HR2" s="98">
        <f>IF(GL2="Yes","null",IF(HQ2="null",0,ROUND(HQ2/HN2,4)))</f>
        <v>0</v>
      </c>
      <c r="HS2" s="292">
        <f>IF(HR2="null","null",IF(HR2=0,1,ROUND([1]!PBGCBFCF2("SLA",0,0,"JSP",HR2,0,AW2,AX2),4)))</f>
        <v>1</v>
      </c>
      <c r="HT2" s="292">
        <f>IF(HR2="null","null",ROUND(IF(HR2=0,VLOOKUP(BS2,bfcfpbgc,2,FALSE),IF(HR2&lt;=0.5,((0.5-HR2)*0.02+HR2*0.018*VLOOKUP(AW2-AX2,AgeDiffFactor,2,FALSE))*100,((1-HR2)*0.018+(HR2-0.5)*0.016)*100*VLOOKUP(AW2-AX2,AgeDiffFactor,2,FALSE))*(1*(120-BS2)+IF(HR2&lt;=0.25,0.037*(25-HR2*100)+0.0378*HR2*100,0.0126*(100-HR2*100)+0.0132*(HR2*100-25))*BS2)/120)*IF(BQ2="0",1-0.04*HR2*IF((AW2-AX2)&lt;=0,1-0.1*(AW2-AX2),(0.6667^(0.2*(AW2-AX2)))),1),4))</f>
        <v>1</v>
      </c>
      <c r="HU2" s="292">
        <f>IF(HS2="null","null",ABS(HS2-HT2))</f>
        <v>0</v>
      </c>
      <c r="HV2" s="292">
        <f>IF(GL2="Yes","null",IF(GR2="N","null",ROUND(FG2/HS2,4)))</f>
        <v>1</v>
      </c>
      <c r="HW2" s="12">
        <f>IF(GR2="N","null",IF(GL2="Yes",HN2,ROUND(HN2*HV2,2)))</f>
        <v>55.45</v>
      </c>
      <c r="HX2" s="12" t="str">
        <f>IF(GR2="N","null",IF(GL2="Yes",FB2,IF(BQ2="2","null",IF(ET2=HN2,FB2,ROUND((HB2-IF(HK2="null",0,HK2))*HV2,2)-HW2))))</f>
        <v>null</v>
      </c>
      <c r="HY2" s="12" t="str">
        <f>IF(GR2="N","null",IF(GS2="DV","null",FO2))</f>
        <v>null</v>
      </c>
      <c r="HZ2" s="12" t="str">
        <f>IF(GR2="N","null",IF(GS2="DV","null",FW2))</f>
        <v>null</v>
      </c>
      <c r="IA2" s="98">
        <f>IF(GR2="N","null",PC34044AR)</f>
        <v>1</v>
      </c>
      <c r="IB2" s="98" t="str">
        <f>IF(AND(GR2="Y",HN2&gt;ET2),"Y","N")</f>
        <v>N</v>
      </c>
      <c r="IC2" s="12">
        <f>MAX(GG2,ROUND(HW2*IA2,2))</f>
        <v>70.790000000000006</v>
      </c>
      <c r="ID2" s="12" t="str">
        <f>IF(GH2="null","null",MAX(GH2,IF(GL2="Yes",ROUND(HX2*IA2,2),IF(HX2="null",0,ROUND(HX2*IA2*HV2,2)))))</f>
        <v>null</v>
      </c>
      <c r="IE2" s="12" t="str">
        <f>IF(GI2="null","null",GI2)</f>
        <v>null</v>
      </c>
      <c r="IF2" s="12" t="str">
        <f>IF(GJ2="null","null",GJ2)</f>
        <v>null</v>
      </c>
      <c r="IG2" s="12">
        <f>ROUND(MAX(0,ET2-IC2),2)</f>
        <v>0</v>
      </c>
      <c r="IH2" s="12" t="str">
        <f>IF(FB2="null","null",MAX(0,FB2-ID2))</f>
        <v>null</v>
      </c>
      <c r="II2" s="12" t="str">
        <f>IF(FO2="null","null",MAX(0,FO2-IE2))</f>
        <v>null</v>
      </c>
      <c r="IJ2" s="12" t="str">
        <f>IF(FW2="null","null",MAX(0,FW2-IF2))</f>
        <v>null</v>
      </c>
      <c r="IK2" s="401">
        <f>PC5AAR</f>
        <v>0.232181</v>
      </c>
      <c r="IL2" s="402">
        <v>0</v>
      </c>
      <c r="IM2" s="12">
        <f>IC2+IL2</f>
        <v>70.790000000000006</v>
      </c>
      <c r="IN2" s="12" t="str">
        <f>ID2</f>
        <v>null</v>
      </c>
      <c r="IO2" s="12" t="str">
        <f>IE2</f>
        <v>null</v>
      </c>
      <c r="IP2" s="12" t="str">
        <f>IF2</f>
        <v>null</v>
      </c>
      <c r="IQ2" s="12">
        <f>IM2</f>
        <v>70.790000000000006</v>
      </c>
      <c r="IR2" s="12" t="str">
        <f>FE2</f>
        <v>null</v>
      </c>
      <c r="IS2" s="12" t="str">
        <f>IR2</f>
        <v>null</v>
      </c>
      <c r="IT2" s="6">
        <f>ROUND([1]!NPVF2("MP",IF(OR(BQ2={"0","9"}),"JSC","SLA"),"N",DOPT,T2,AW2,BH2,IF(BJ2="null",0,BJ2),FF2,0,0,DOPT,DOPT,"P","","",IF(S2="",0,S2)),4)</f>
        <v>14.726800000000001</v>
      </c>
      <c r="IU2" s="6" t="str">
        <f>IF(BQ2="2","null",ROUND([1]!NPVF2("MP","SLA","N",DOPT,T2,AW2,AW2,0,0,0,0,DOPT,DOPT,"P","","",IF(S2="",0,S2)),4))</f>
        <v>null</v>
      </c>
      <c r="IV2" s="6" t="str">
        <f>IF(BQ2="2","null",ROUND([1]!NPVF2("MP","JSJ","N",DOPT,T2,AW2,BH2,BJ2,0,0,0,DOPT,DOPT,"P","","",IF(S2="",0,S2)),4))</f>
        <v>null</v>
      </c>
      <c r="IW2" s="6" t="str">
        <f>IF(BQ2="0",IU2-IV2,"null")</f>
        <v>null</v>
      </c>
      <c r="IX2" s="7" t="str">
        <f>IF(FP2="null","null",[1]!COMPM(BI2,FP2))</f>
        <v>null</v>
      </c>
      <c r="IY2" s="284" t="str">
        <f>IF(FO2="null","null",ROUND([1]!NPVF2("MP","SLA","N",DOPT,T2,AW2,BH2,0,0,0,0,DOPT,DOPT,"P","","",IF(S2="",0,S2)),4))</f>
        <v>null</v>
      </c>
      <c r="IZ2" s="284" t="str">
        <f>IF(FO2="null","null",IF(IX2=0,0,ROUND([1]!NPVF2("MP","SLA","N",DOPT,T2,AW2,BH2,0,0,0,IX2,DOPT,DOPT,"P","","",IF(S2="",0,S2)),4)))</f>
        <v>null</v>
      </c>
      <c r="JA2" s="284" t="str">
        <f>IF(FN2="N","null",[1]!anb(Y2,FP2))</f>
        <v>null</v>
      </c>
      <c r="JB2" s="284" t="str">
        <f>IF(FO2="null","null",ROUND([1]!NPVF2("MP","SLA","N",DOPT,T2,AW2,MAX(AW2,JA2),0,0,0,0,DOPT,DOPT,"P","","",IF(S2="",0,S2)),4))</f>
        <v>null</v>
      </c>
      <c r="JC2" s="284" t="str">
        <f>IF(FO2="null","null",ROUND(IY2-IZ2,4))</f>
        <v>null</v>
      </c>
      <c r="JD2" s="6" t="str">
        <f>IF(FO2="null","null",JB2)</f>
        <v>null</v>
      </c>
      <c r="JE2" s="249" t="str">
        <f>IF(JD2="null","null",JD2-JC2)</f>
        <v>null</v>
      </c>
      <c r="JF2" s="6" t="str">
        <f>IF(FW2="null","null",IF(IF(FX2="null",FV2,FX2)&lt;BI2,0,[1]!COMPM(BI2,IF(FX2="null",FV2,FX2))))</f>
        <v>null</v>
      </c>
      <c r="JG2" s="249" t="str">
        <f>IF(FW2="null","null",ROUND([1]!NPVF2("MP","SLA","N",DOPT,U2,AX2,BJ2,0,0,0,0,DOPT,DOPT,"P","","",0),4))</f>
        <v>null</v>
      </c>
      <c r="JH2" s="6" t="str">
        <f>IF(FW2="null","null",ROUND([1]!NPVF2("MP","JSJ","N",DOPT,U2,AX2,BJ2,BH2,0,0,0,DOPT,DOPT,"N","","",IF(S2="",0,S2)),4))</f>
        <v>null</v>
      </c>
      <c r="JI2" s="6" t="str">
        <f>IF(FW2="null","null",IF(JF2=0,0,ROUND([1]!NPVF2("MP","SLA","N",DOPT,U2,AX2,BJ2,0,0,0,JF2,DOPT,DOPT,"P","","",0),4)))</f>
        <v>null</v>
      </c>
      <c r="JJ2" s="6" t="str">
        <f>IF(FW2="null","null",IF(JF2=0,0,ROUND([1]!NPVF2("MP","JSJ","N",DOPT,U2,AX2,BJ2,BH2,0,0,JF2,DOPT,DOPT,"N","","",IF(S2="",0,S2)),4)))</f>
        <v>null</v>
      </c>
      <c r="JK2" s="6" t="str">
        <f>IF(FX2="null","null",[1]!anb(AC2,FX2))</f>
        <v>null</v>
      </c>
      <c r="JL2" s="6" t="str">
        <f>IF(FX2="null","null",[1]!anb(Y2,FX2))</f>
        <v>null</v>
      </c>
      <c r="JM2" s="6" t="str">
        <f>IF(FW2="null","null",ROUND([1]!NPVF2("MP","SLA","N",DOPT,U2,AX2,MAX(AX2,JK2),0,0,0,0,DOPT,DOPT,"P","","",0),4))</f>
        <v>null</v>
      </c>
      <c r="JN2" s="6" t="str">
        <f>IF(FW2="null","null",ROUND([1]!NPVF2("MP","JSJ","N",DOPT,U2,AX2,MAX(AX2,JK2),MAX(AW2,JL2),0,0,0,DOPT,DOPT,"B","","",IF(S2="",0,S2)),4))</f>
        <v>null</v>
      </c>
      <c r="JO2" s="6" t="str">
        <f>IF(FW2="null","null",(JG2-JI2)-(JH2-JJ2))</f>
        <v>null</v>
      </c>
      <c r="JP2" s="6" t="str">
        <f>IF(FW2="null","null",(JM2-JN2))</f>
        <v>null</v>
      </c>
      <c r="JQ2" s="6" t="str">
        <f>IF(JP2="null","null",JP2-JO2)</f>
        <v>null</v>
      </c>
      <c r="JR2" s="271">
        <f>ROUND((ET2*IT2*12),0)+IF(FO2="null",0,ROUND(FO2*JD2*12,0))+IF(FW2="null",0,ROUND(FW2*JP2*12,0))+ROUND(IF(BQ2="2",0,FB2*IW2*12),0)</f>
        <v>12510</v>
      </c>
      <c r="JS2" s="460">
        <f>LOADING</f>
        <v>8.0999999999999996E-3</v>
      </c>
      <c r="JT2" s="271">
        <f>ROUND(JR2*(1+JS2),0)</f>
        <v>12611</v>
      </c>
      <c r="JU2" s="271">
        <f>ROUND((GG2*IT2*12),0)+IF(GI2="null",0,ROUND(GI2*JD2*12,0))+IF(GJ2="null",0,ROUND(GJ2*JP2*12,0))+ROUND(IF(BQ2="2",0,GH2*IW2*12),0)</f>
        <v>12510</v>
      </c>
      <c r="JV2" s="271">
        <f>ROUND(JU2*(1+JS2),0)</f>
        <v>12611</v>
      </c>
      <c r="JW2" s="271">
        <f>IF(GR2="N","null",ROUND(HW2*IT2*12,0)+ROUND(IF(HX2="null",0,HX2*IW2*12),0)+ROUND(IF(HY2="null",0,HY2*JD2*12),0)+ROUND(IF(HZ2="null",0,HZ2*JP2*12),0))</f>
        <v>9799</v>
      </c>
      <c r="JX2" s="12">
        <f>IF(GR2="N","null",ROUND(JW2*JS2,0))</f>
        <v>79</v>
      </c>
      <c r="JY2" s="12">
        <f>IF(GR2="N","null",ROUND(JW2+JX2,0))</f>
        <v>9878</v>
      </c>
      <c r="JZ2" s="271">
        <f>IF(GR2="N","",JT2)</f>
        <v>12611</v>
      </c>
      <c r="KA2" s="68">
        <f>ROUND(IC2*IT2*12,0)+IF(ID2="null",0,ROUND(ID2*IW2*12,0))+IF(IE2="null",0,ROUND(IE2*JD2*12,0))+IF(IF2="null",0,ROUND(IF2*JP2*12,0))</f>
        <v>12510</v>
      </c>
      <c r="KB2" s="271">
        <f>ROUND(KA2*(1+LOADING),0)</f>
        <v>12611</v>
      </c>
      <c r="KC2" s="271">
        <f>ROUND(JR2-KA2,2)</f>
        <v>0</v>
      </c>
      <c r="KD2" s="271">
        <f>ROUND(JT2-KB2,0)</f>
        <v>0</v>
      </c>
      <c r="KE2" s="98">
        <f>SPARR</f>
        <v>4.9299999999999997E-2</v>
      </c>
      <c r="KF2" s="12">
        <f>ROUND(KD2*KE2,2)</f>
        <v>0</v>
      </c>
      <c r="KG2" s="404">
        <v>0</v>
      </c>
      <c r="KH2" s="404">
        <v>0</v>
      </c>
      <c r="KI2" s="271">
        <f>KG2+KA2</f>
        <v>12510</v>
      </c>
      <c r="KJ2" s="12">
        <f>KH2+KB2</f>
        <v>12611</v>
      </c>
      <c r="KK2" s="279">
        <f>ROUND([1]!NPVF2("MP",BZ2,"O",DOPT,T2,AW2,BH2,IF(BJ2="null",0,BJ2),FF2,0,0,DOPT,DOPT,"P","",""),4)</f>
        <v>13.549300000000001</v>
      </c>
      <c r="KL2" s="279" t="str">
        <f>IF(BQ2&lt;&gt;"0","null",ROUND([1]!NPVF2("MP","SLA","O",DOPT,T2,AW2,AW2,0,0,0,0,DOPT,DOPT,"P","",""),4))</f>
        <v>null</v>
      </c>
      <c r="KM2" s="279" t="str">
        <f>IF(BQ2&lt;&gt;"0","null",ROUND([1]!NPVF2("MP","JSJ","O",DOPT,T2,AW2,AW2,IF(AX2="null",0,AX2),0,0,0,DOPT,DOPT,"P","",""),4))</f>
        <v>null</v>
      </c>
      <c r="KN2" s="279" t="str">
        <f>IF(BQ2&lt;&gt;"0","null",KL2-KM2)</f>
        <v>null</v>
      </c>
      <c r="KO2" s="279" t="str">
        <f>IF(FN2="Y",ROUND([1]!NPVF2("MP","SLA","O",DOPT,T2,AW2,AW2,0,0,0,0,DOPT,DOPT,"P","",""),4),"null")</f>
        <v>null</v>
      </c>
      <c r="KP2" s="279" t="str">
        <f>IF(FN2="Y",IF(IX2=0,0,ROUND([1]!NPVF2("MP","SLA","O",DOPT,T2,AW2,AW2,0,0,0,IX2,DOPT,DOPT,"P","",""),4)),"null")</f>
        <v>null</v>
      </c>
      <c r="KQ2" s="279" t="str">
        <f>IF(FN2="Y",ROUND([1]!NPVF2("MP","SLA","O",DOPT,T2,AW2,MAX(JA2,AW2),0,0,0,0,DOPT,DOPT,"P","",""),4),"null")</f>
        <v>null</v>
      </c>
      <c r="KR2" s="279" t="str">
        <f>IF(FN2="Y",ROUND(KO2-KP2,4),"null")</f>
        <v>null</v>
      </c>
      <c r="KS2" s="7" t="str">
        <f>IF(FN2="Y",KQ2,"null")</f>
        <v>null</v>
      </c>
      <c r="KT2" s="284" t="str">
        <f>IF(KS2="null","null",KS2-KR2)</f>
        <v>null</v>
      </c>
      <c r="KU2" s="284" t="str">
        <f>IF(FW2="null","null",ROUND([1]!NPVF2("MP","SLA","O",DOPT,U2,AX2,AX2,0,0,0,0,DOPT,DOPT,"P","",""),4))</f>
        <v>null</v>
      </c>
      <c r="KV2" s="279" t="str">
        <f>IF(FW2="null","null",ROUND([1]!NPVF2("MP","JSJ","O",DOPT,T2,AX2,BJ2,BH2,0,0,0,DOPT,DOPT,"P","",""),4))</f>
        <v>null</v>
      </c>
      <c r="KW2" s="284" t="str">
        <f>IF(FW2="null","null",IF(JF2=0,0,ROUND([1]!NPVF2("MP","SLA","O",DOPT,U2,AX2,AX2,0,0,0,JF2,DOPT,DOPT,"P","",""),4)))</f>
        <v>null</v>
      </c>
      <c r="KX2" s="279" t="str">
        <f>IF(FW2="null","null",IF(JF2=0,0,ROUND([1]!NPVF2("MP","JSJ","O",DOPT,U2,AX2,BJ2,BH2,0,0,JF2,DOPT,DOPT,"P","",""),4)))</f>
        <v>null</v>
      </c>
      <c r="KY2" s="279" t="str">
        <f>IF(FW2="null","null",ROUND([1]!NPVF2("MP","SLA","O",DOPT,U2,AX2,MAX(JK2,AX2),0,0,0,0,DOPT,DOPT,"P","",""),4))</f>
        <v>null</v>
      </c>
      <c r="KZ2" s="279" t="str">
        <f>IF(FW2="null","null",ROUND([1]!NPVF2("MP","JSJ","O",DOPT,T2,AX2,MAX(AX2,JK2),MAX(JL2,AW2),0,0,0,DOPT,DOPT,"B","",""),4))</f>
        <v>null</v>
      </c>
      <c r="LA2" s="279" t="str">
        <f>IF(FW2="null","null",(KU2-KW2)-(KV2-KX2))</f>
        <v>null</v>
      </c>
      <c r="LB2" s="279" t="str">
        <f>IF(FW2="null","null",KY2-KZ2)</f>
        <v>null</v>
      </c>
      <c r="LC2" s="279" t="str">
        <f>IF(LB2="null","null",(LB2-LB2))</f>
        <v>null</v>
      </c>
      <c r="LD2" s="271">
        <f>ROUND(IM2*KK2*12,0)+ROUND(IF(IN2="null",0,IN2*KN2*12),0)+ROUND(IF(IO2="null",0,IO2*KS2*12),0)+ROUND(IF(IP2="null",0,IP2*LB2*12),0)</f>
        <v>11510</v>
      </c>
      <c r="LE2" s="271"/>
      <c r="LF2" s="271"/>
      <c r="LG2" s="271">
        <f>ROUND(AW2*KI2,0)</f>
        <v>800640</v>
      </c>
      <c r="LH2" s="271">
        <f>LG2</f>
        <v>800640</v>
      </c>
      <c r="LI2" s="12" t="str">
        <f>IF(BQ2="2","null",IM2+IF(IN2="null",0,IN2))</f>
        <v>null</v>
      </c>
      <c r="LJ2" s="12" t="str">
        <f>"null"</f>
        <v>null</v>
      </c>
      <c r="LK2" s="271" t="str">
        <f>"U"</f>
        <v>U</v>
      </c>
      <c r="LL2" s="271" t="str">
        <f>"U"</f>
        <v>U</v>
      </c>
      <c r="LM2" s="6">
        <f>BH2</f>
        <v>64</v>
      </c>
      <c r="LN2" s="6">
        <v>999</v>
      </c>
      <c r="LO2" s="6" t="str">
        <f t="shared" ref="LO2:LT2" si="2">"N"</f>
        <v>N</v>
      </c>
      <c r="LP2" s="6" t="str">
        <f t="shared" si="2"/>
        <v>N</v>
      </c>
      <c r="LQ2" s="6" t="str">
        <f t="shared" si="2"/>
        <v>N</v>
      </c>
      <c r="LR2" s="6" t="str">
        <f t="shared" si="2"/>
        <v>N</v>
      </c>
      <c r="LS2" s="6" t="str">
        <f t="shared" si="2"/>
        <v>N</v>
      </c>
      <c r="LT2" s="6" t="str">
        <f t="shared" si="2"/>
        <v>N</v>
      </c>
      <c r="LU2" s="8" t="str">
        <f>IF(BQ2="2","null",ROUND(BL2*IF(OR(ES2="M",ES2="null",ES2="N"),DA2,ROUND(EY2*EX2,2)),2))</f>
        <v>null</v>
      </c>
      <c r="LV2" s="8" t="str">
        <f>IF(BQ2="2","null",IF(DE2="N","null",IF(AND(CB2="No",DI2="No"),ROUND(0.55*EE2,2),IF(BL2&gt;0,ROUND(0.55*IF(EQ2="Y",EE2,ED2),2),0))))</f>
        <v>null</v>
      </c>
      <c r="LW2" s="399" t="str">
        <f>IF(AND(AD2&lt;&gt;"",BQ2&lt;&gt;"2"),ROUND(FE2-EN2,2),"null")</f>
        <v>null</v>
      </c>
      <c r="LX2" s="400" t="str">
        <f>IF(OR(FE2=0,LW2="null"),"null",IF(EN2=0,1,ROUND(ABS(FE2-EN2)/MIN(FE2,EN2),4)))</f>
        <v>null</v>
      </c>
      <c r="LY2" s="400" t="str">
        <f>IF(LX2="null","null",IF(LW2&gt;0,"N",IF(LW2&lt;-5,"N","Y")))</f>
        <v>null</v>
      </c>
      <c r="LZ2" s="400" t="str">
        <f>IF(LY2="null","null",IF(LY2="Y",IF(LW2=0,"M","N"),IF(LW2&lt;0,"D","I")))</f>
        <v>null</v>
      </c>
      <c r="MA2" s="8" t="str">
        <f>IF(LY2="N",IF(MS2=MR2,"M",IF(MS2&gt;MR2,"I","D")),"")</f>
        <v/>
      </c>
      <c r="MB2" s="8" t="str">
        <f>IF(AND(MA2&lt;&gt;"M",OR(EQ2="N",LY2="N",AND(FL2="",FP2&lt;=STALE))),"Y","N")</f>
        <v>Y</v>
      </c>
      <c r="MC2" s="8" t="str">
        <f>"N"</f>
        <v>N</v>
      </c>
      <c r="MD2" s="8" t="str">
        <f>IF(AK2&lt;BB2,"ER",IF(AK2&gt;BB2,"LR","NR"))</f>
        <v>ER</v>
      </c>
      <c r="ME2" s="6" t="str">
        <f>"Entitled"</f>
        <v>Entitled</v>
      </c>
      <c r="MF2" s="6" t="str">
        <f>IF(AD2="","Participant",IF(BK2="2","Estate",IF(AE2&lt;&gt;"","Estate","Beneficiary")))</f>
        <v>Participant</v>
      </c>
      <c r="MG2" s="6" t="str">
        <f>IF(MF2&lt;&gt;"Estate","null",IF(BK2="2","Participant",IF(AE2&lt;AD2,"Participant","Beneficiary")))</f>
        <v>null</v>
      </c>
      <c r="MH2" s="6" t="str">
        <f>IF(OR(MF2="Participant",MG2="Participant"),"ARD","BSD")</f>
        <v>ARD</v>
      </c>
      <c r="MI2" s="269">
        <f ca="1">TODAY()</f>
        <v>46219</v>
      </c>
      <c r="MJ2" s="8">
        <f>IF(OR(MF2="Beneficiary",MG2="Beneficiary"),"null",ROUND(EM2+FL2,2))</f>
        <v>0</v>
      </c>
      <c r="MK2" s="8">
        <f>IF(MJ2="null","null",ROUND(IM2+IF(IO2="null",0,IF(MI2&gt;=FP2,IO2,0)),2))</f>
        <v>70.790000000000006</v>
      </c>
      <c r="ML2" s="8" t="str">
        <f>IF(MJ2="null","null",IF(MJ2=MK2,"M",IF(MK2&lt;MJ2,"D","I")))</f>
        <v>I</v>
      </c>
      <c r="MM2" s="560" t="str">
        <f>IF(OR(MF2="Participant",MG2="Participant"),"null",ROUND(EN2+FU2,2))</f>
        <v>null</v>
      </c>
      <c r="MN2" s="560" t="str">
        <f>IF(MM2="null","null",ROUND(IR2+IF(FW2="null",0,IF(MI2&gt;=FX2,IP2,0)),2))</f>
        <v>null</v>
      </c>
      <c r="MO2" s="400" t="str">
        <f>IF(MN2="null","null",IF(MM2=MN2,"M",IF(MM2&gt;MN2,"D","I")))</f>
        <v>null</v>
      </c>
      <c r="MP2" s="560">
        <f>IF(MJ2="null",MM2,MJ2)</f>
        <v>0</v>
      </c>
      <c r="MQ2" s="560">
        <f>IF(MK2="null",MN2,MK2)</f>
        <v>70.790000000000006</v>
      </c>
      <c r="MR2" s="8">
        <f>MP2</f>
        <v>0</v>
      </c>
      <c r="MS2" s="8">
        <f>MQ2</f>
        <v>70.790000000000006</v>
      </c>
      <c r="MT2" s="6" t="str">
        <f>IF(MB2="N","null","Normal Retirement Date"&amp;IF(AK2=BB2,"",IF(OR(AND(EQ2="N",DI2="Yes"),AND(OR(LZ2="M",LZ2="null"),AH2&lt;BB2,AK2&lt;&gt;BB2))," (NRD)",""))&amp;":")</f>
        <v>Normal Retirement Date (NRD):</v>
      </c>
      <c r="MU2" s="6" t="str">
        <f>IF(MB2="N","null",IF(OR(MF2="Participant",MG2="Participant"),"Actual Retirement Date"&amp;IF(OR(AND(EQ2="N",DI2="Yes"),NB2="ERFBFCF",NB2="LRFBFCF")," (ARD):",":"),"Benefit Starting Date (BSD):"))</f>
        <v>Actual Retirement Date:</v>
      </c>
      <c r="MV2" s="6" t="str">
        <f>IF(MB2="N","null",IF(OR(MF2="Participant",MG2="Participant"),"Actual Retirement Date"&amp;IF(OR(AND(OR(EQ2="null",EQ2="N"),DI2="Yes"),NB2="ERFBFCF",NB2="LRFBFCF")," (ARD):",":"),"Benefit Starting Date (BSD):"))</f>
        <v>Actual Retirement Date:</v>
      </c>
      <c r="MW2" s="6" t="str">
        <f>IF(MB2="N","null",IF(ML2&lt;&gt;"null","DOPT","BSD"))</f>
        <v>DOPT</v>
      </c>
      <c r="MX2" s="6" t="str">
        <f>IF(MB2="N","null",IF(AK2=BB2,"ARD",IF(AND(AK2&gt;=AZ2,AK2&lt;BB2),"ARD",IF(AH2&gt;BB2,"DOTE","NRD"))))</f>
        <v>NRD</v>
      </c>
      <c r="MY2" s="6" t="str">
        <f>IF(MB2="N","null",IF(AND(OR(EQ2="null",EQ2="Y"),LY2="N"),"DOPT","ARD"))</f>
        <v>ARD</v>
      </c>
      <c r="MZ2" s="6" t="str">
        <f>IF(MB2="N","null",IF(DE2="Y","after Barnes Offset",IF(ISNUMBER(SEARCH("BFCF",NB2,1)),"after BFCF",IF(ISNUMBER(SEARCH("ERF",NB2,1)),"after ERF",IF(ISNUMBER(SEARCH("LRF",NB2,1)),"after LRF",IF(ISNUMBER(SEARCH("PRSA",NB2,1)),"after PRSA","after AMB"))))))</f>
        <v>after Barnes Offset</v>
      </c>
      <c r="NA2" s="6" t="str">
        <f>IF(MB2="N","null","DOPT")</f>
        <v>DOPT</v>
      </c>
      <c r="NB2" s="6" t="str">
        <f>IF(MB2="N","",IF(CB2="No","",IF(CI2="null","",IF(CI2&lt;1,"PRSA",""))&amp;IF(CM2="null","",IF(CM2&lt;1,"ERF",""))&amp;IF(CS2="null","",IF(CS2&gt;1,"LRF",""))&amp;IF(CX2="null","",IF(OR(CX2&lt;1,CX2&gt;1),"BFCF",""))))</f>
        <v>ERF</v>
      </c>
      <c r="NC2" s="6" t="str">
        <f>IF(MB2="N","",IF(OR(MB2="N",DI2="No"),"",IF(DQ2="null","",IF(DQ2&lt;1,"PRSA",""))&amp;IF(DV2="null","",IF(DV2&lt;1,"ERF",""))&amp;IF(DY2="null","",IF(DY2&gt;1,"LRF",""))&amp;IF(EB2="null","",IF(OR(EB2&lt;1,EB2&gt;1),"BFCF",""))))</f>
        <v/>
      </c>
      <c r="ND2" s="6" t="str">
        <f>IF(MB2="N","null",IF(GG2&lt;ET2,"MGB","null"))</f>
        <v>null</v>
      </c>
      <c r="NE2" s="6" t="str">
        <f>"null"</f>
        <v>null</v>
      </c>
      <c r="NF2" s="6" t="str">
        <f>IF(MB2="N","null",IF(OR(BK2="0",BK2="9"),"Yes","No"))</f>
        <v>No</v>
      </c>
      <c r="NG2" s="6" t="str">
        <f>IF(MB2="N","null",IF(AND(OR(EQ2="Y",EQ2="null"),LY2="N"),"Pre-DOPT Retiree2",IF(MB2="N","null","Pre-DOPT Retiree")))</f>
        <v>Pre-DOPT Retiree</v>
      </c>
      <c r="NH2" s="8"/>
      <c r="NI2" s="12" t="str">
        <f>IF(AND(ES2="null",LY2&lt;&gt;"N"),"null",IF(OR(ES2="I",MA2="I"),IF(EV2="Estate",IF(EW2="Beneficiary","The beneficiary's","The participant's"),"Your current")&amp;" monthly benefit of "&amp;DOLLAR(MR2,2)&amp;" will increase to "&amp;DOLLAR(MS2,2)&amp;IF(EV2="Estate",". The net difference is payable to the estate. See the Benefit Calculation section for further details.",". See the Benefit Calculation section for further details."),IF(ES2="N",IF(EV2="Estate",IF(EW2="Beneficiary","The beneficiary's","The participant's"),"Your current")&amp;" monthly benefit of "&amp;DOLLAR(MR2,2)&amp;" will not change. Although the amount of the PBGC monthly benefit shown above is slightly "&amp;IF(EO2&lt;0,"less","more")&amp;" than the amount you are currently receiving, we will not change the amount of your current monthly benefit.",IF(ES2="D",IF(EV2="Estate",IF(EW2="Beneficiary","The beneficiary's","The participant's"),"Your current")&amp;" monthly benefit of "&amp;DOLLAR(MR2,2)&amp;" will decrease to "&amp;DOLLAR(MS2,2),IF(OR(ES2="M",MA2="M"),IF(EV2="Estate",IF(EW2="Beneficiary","The beneficiary's","The participant's"),"Your current")&amp;" monthly benefit of "&amp;DOLLAR(MR2,2)&amp;" will not change.","null")))))</f>
        <v>Your current monthly benefit of $0.00 will increase to $70.79. See the Benefit Calculation section for further details.</v>
      </c>
      <c r="NJ2" s="12"/>
      <c r="NK2" s="12" t="str">
        <f>IF(ES2="D",NI2&amp;" "&amp;NJ2&amp;" See the Benefit Calculation section for further details.",NI2)</f>
        <v>Your current monthly benefit of $0.00 will increase to $70.79. See the Benefit Calculation section for further details.</v>
      </c>
      <c r="NN2" s="577" t="str">
        <f>IF(AD2&gt;0,AD2,"null")</f>
        <v>null</v>
      </c>
      <c r="NO2" s="577" t="str">
        <f>IF(AE2&gt;0,AE2,"null")</f>
        <v>null</v>
      </c>
      <c r="NP2" t="str">
        <f>IF(FN2="N","null",IF(AND(NN2&lt;&gt;"null",NO2&lt;&gt;"null"),"MS5","MS2"))</f>
        <v>null</v>
      </c>
      <c r="NQ2" s="577">
        <f>BB2</f>
        <v>42095</v>
      </c>
      <c r="NR2" s="577">
        <f>AK2</f>
        <v>41518</v>
      </c>
      <c r="NS2" s="577">
        <f ca="1">TODAY()</f>
        <v>46219</v>
      </c>
      <c r="NT2" s="92" t="str">
        <f>IF(FN2="Y",MAX(IF(FM2&gt;0,FM2,FP2),NQ2,NR2),"null")</f>
        <v>null</v>
      </c>
      <c r="NU2" s="92" t="str">
        <f>IF(BQ2="0",IF(NN2&lt;&gt;"null",MAX([1]!NRD(AA2,65),[1]!NRD(NN2,0)),IF(FV2&gt;0,FV2,FX2)),"null")</f>
        <v>null</v>
      </c>
    </row>
    <row r="3" spans="1:385" s="13" customFormat="1" x14ac:dyDescent="0.2">
      <c r="A3" s="6"/>
      <c r="B3" s="3"/>
      <c r="C3" s="3"/>
      <c r="D3" s="3"/>
      <c r="E3" s="3"/>
      <c r="F3"/>
      <c r="G3"/>
      <c r="H3" s="3"/>
      <c r="I3" s="3"/>
      <c r="J3" s="3"/>
      <c r="K3" s="3"/>
      <c r="L3"/>
      <c r="M3"/>
      <c r="N3"/>
      <c r="O3"/>
      <c r="P3"/>
      <c r="Q3"/>
      <c r="R3"/>
      <c r="S3"/>
      <c r="T3" s="3"/>
      <c r="U3"/>
      <c r="V3"/>
      <c r="W3" s="89"/>
      <c r="X3" s="90"/>
      <c r="Y3" s="92"/>
      <c r="Z3" s="92"/>
      <c r="AA3" s="92"/>
      <c r="AB3" s="92"/>
      <c r="AC3" s="269"/>
      <c r="AD3" s="92"/>
      <c r="AE3" s="92"/>
      <c r="AF3" s="92"/>
      <c r="AG3" s="92"/>
      <c r="AH3" s="92"/>
      <c r="AI3" s="92"/>
      <c r="AJ3" s="92"/>
      <c r="AK3" s="272"/>
      <c r="AL3" s="272"/>
      <c r="AM3"/>
      <c r="AN3" s="92"/>
      <c r="AO3" s="92"/>
      <c r="AP3" s="269"/>
      <c r="AQ3" s="270"/>
      <c r="AR3" s="92"/>
      <c r="AS3" s="92"/>
      <c r="AT3" s="91"/>
      <c r="AU3" s="91"/>
      <c r="AV3" s="91"/>
      <c r="AW3" s="7"/>
      <c r="AX3" s="7"/>
      <c r="AY3" s="270"/>
      <c r="AZ3" s="272"/>
      <c r="BA3" s="7"/>
      <c r="BB3" s="269"/>
      <c r="BC3" s="269"/>
      <c r="BD3" s="269"/>
      <c r="BE3" s="272"/>
      <c r="BF3" s="272"/>
      <c r="BG3" s="272"/>
      <c r="BH3" s="7"/>
      <c r="BI3" s="269"/>
      <c r="BJ3" s="7"/>
      <c r="BK3" s="95"/>
      <c r="BL3" s="275"/>
      <c r="BM3" s="276"/>
      <c r="BN3" s="7"/>
      <c r="BO3" s="7"/>
      <c r="BP3" s="7"/>
      <c r="BQ3" s="7"/>
      <c r="BR3" s="275"/>
      <c r="BS3" s="276"/>
      <c r="BT3" s="276"/>
      <c r="BU3" s="276"/>
      <c r="BV3" s="7"/>
      <c r="BW3" s="7"/>
      <c r="BX3" s="7"/>
      <c r="BY3" s="7"/>
      <c r="BZ3" s="7"/>
      <c r="CA3" s="7"/>
      <c r="CB3" s="272"/>
      <c r="CC3" s="272"/>
      <c r="CD3"/>
      <c r="CE3"/>
      <c r="CF3"/>
      <c r="CG3" s="273"/>
      <c r="CH3" s="7"/>
      <c r="CI3" s="7"/>
      <c r="CJ3" s="7"/>
      <c r="CK3" s="7"/>
      <c r="CL3" s="7"/>
      <c r="CM3" s="277"/>
      <c r="CN3" s="277"/>
      <c r="CO3" s="276"/>
      <c r="CP3" s="277"/>
      <c r="CQ3" s="7"/>
      <c r="CR3" s="277"/>
      <c r="CS3" s="278"/>
      <c r="CT3" s="12"/>
      <c r="CU3" s="12"/>
      <c r="CV3" s="12"/>
      <c r="CW3" s="274"/>
      <c r="CX3" s="277"/>
      <c r="CY3" s="277"/>
      <c r="CZ3" s="273"/>
      <c r="DA3" s="273"/>
      <c r="DB3"/>
      <c r="DC3"/>
      <c r="DD3"/>
      <c r="DE3"/>
      <c r="DF3" s="272"/>
      <c r="DG3" s="273"/>
      <c r="DH3" s="273"/>
      <c r="DI3" s="272"/>
      <c r="DJ3" s="273"/>
      <c r="DK3" s="273"/>
      <c r="DL3" s="273"/>
      <c r="DM3" s="269"/>
      <c r="DN3" s="269"/>
      <c r="DO3" s="269"/>
      <c r="DP3" s="276" t="str">
        <f>IF(DI2="No","null",IF(OR(DAY(DN2)=1,DAY(DN2)=2),MIN(240,[1]!COMPM(DN2,DO2)),MIN(240,[1]!COMPM(DN2,DO2)+1)))</f>
        <v>null</v>
      </c>
      <c r="DQ3" s="283"/>
      <c r="DR3" s="277"/>
      <c r="DS3" s="276"/>
      <c r="DT3" s="273"/>
      <c r="DU3" s="276"/>
      <c r="DV3" s="277"/>
      <c r="DW3"/>
      <c r="DX3" s="277"/>
      <c r="DY3" s="277"/>
      <c r="DZ3" s="273"/>
      <c r="EA3" s="273"/>
      <c r="EB3" s="277"/>
      <c r="EC3" s="273"/>
      <c r="ED3" s="273"/>
      <c r="EE3" s="273"/>
      <c r="EF3" s="273"/>
      <c r="EG3" s="273"/>
      <c r="EH3" s="12"/>
      <c r="EI3" s="12"/>
      <c r="EJ3" s="12"/>
      <c r="EK3" s="12"/>
      <c r="EL3" s="12"/>
      <c r="EM3" s="272"/>
      <c r="EN3" s="272"/>
      <c r="EO3" s="12"/>
      <c r="EP3" s="98"/>
      <c r="EQ3" s="12"/>
      <c r="ER3" s="12"/>
      <c r="ES3" s="12"/>
      <c r="ET3" s="12"/>
      <c r="EU3" s="12"/>
      <c r="EV3" s="12"/>
      <c r="EW3" s="12"/>
      <c r="EX3" s="277"/>
      <c r="EY3" s="7"/>
      <c r="EZ3" s="8"/>
      <c r="FA3" s="7"/>
      <c r="FB3" s="8"/>
      <c r="FC3" s="273"/>
      <c r="FD3" s="273"/>
      <c r="FE3" s="8"/>
      <c r="FF3" s="7"/>
      <c r="FG3" s="292"/>
      <c r="FH3" s="292"/>
      <c r="FI3" s="292"/>
      <c r="FJ3" s="67"/>
      <c r="FK3" s="269"/>
      <c r="FL3" s="8"/>
      <c r="FM3" s="8"/>
      <c r="FN3" s="8"/>
      <c r="FO3" s="8"/>
      <c r="FP3" s="269"/>
      <c r="FQ3" s="269"/>
      <c r="FR3" s="277"/>
      <c r="FS3" s="277"/>
      <c r="FT3" s="277"/>
      <c r="FU3" s="8"/>
      <c r="FV3" s="269"/>
      <c r="FW3" s="7"/>
      <c r="FX3" s="269"/>
      <c r="FY3" s="269"/>
      <c r="FZ3" s="269"/>
      <c r="GA3" s="269"/>
      <c r="GB3" s="12"/>
      <c r="GC3" s="273"/>
      <c r="GD3" s="273"/>
      <c r="GE3" s="269"/>
      <c r="GF3" s="8"/>
      <c r="GG3" s="12"/>
      <c r="GH3" s="12"/>
      <c r="GI3" s="12"/>
      <c r="GJ3" s="12"/>
      <c r="GK3" s="12"/>
      <c r="GL3" s="6"/>
      <c r="GM3" s="6"/>
      <c r="GN3" s="6"/>
      <c r="GO3" s="6"/>
      <c r="GP3" s="6"/>
      <c r="GQ3" s="6"/>
      <c r="GR3" s="6"/>
      <c r="GS3" s="6"/>
      <c r="GT3" s="12"/>
      <c r="GU3" s="6"/>
      <c r="GV3" s="12"/>
      <c r="GW3" s="6"/>
      <c r="GX3" s="249"/>
      <c r="GY3" s="249"/>
      <c r="GZ3" s="249"/>
      <c r="HA3" s="249"/>
      <c r="HB3" s="12"/>
      <c r="HC3" s="249"/>
      <c r="HD3" s="12"/>
      <c r="HE3" s="277"/>
      <c r="HF3" s="8"/>
      <c r="HG3"/>
      <c r="HH3" s="277"/>
      <c r="HI3" s="276"/>
      <c r="HJ3" s="277"/>
      <c r="HK3" s="12"/>
      <c r="HL3" s="277"/>
      <c r="HM3" s="12"/>
      <c r="HN3" s="12"/>
      <c r="HO3" s="12"/>
      <c r="HP3" s="12"/>
      <c r="HQ3" s="12"/>
      <c r="HR3" s="98"/>
      <c r="HS3" s="292"/>
      <c r="HT3" s="292"/>
      <c r="HU3" s="292"/>
      <c r="HV3" s="292"/>
      <c r="HW3" s="12"/>
      <c r="HX3" s="12"/>
      <c r="HY3" s="12"/>
      <c r="HZ3" s="12"/>
      <c r="IA3" s="98"/>
      <c r="IB3" s="98"/>
      <c r="IC3" s="12"/>
      <c r="ID3" s="12"/>
      <c r="IE3" s="12"/>
      <c r="IF3" s="12"/>
      <c r="IG3" s="12"/>
      <c r="IH3" s="12"/>
      <c r="II3" s="12"/>
      <c r="IJ3" s="12"/>
      <c r="IK3" s="401"/>
      <c r="IL3" s="402"/>
      <c r="IM3" s="12"/>
      <c r="IN3" s="12"/>
      <c r="IO3" s="12"/>
      <c r="IP3" s="12"/>
      <c r="IQ3" s="12"/>
      <c r="IR3" s="12"/>
      <c r="IS3" s="12"/>
      <c r="IT3" s="6"/>
      <c r="IU3" s="6"/>
      <c r="IV3" s="6"/>
      <c r="IW3" s="6"/>
      <c r="IX3" s="7"/>
      <c r="IY3" s="284"/>
      <c r="IZ3" s="284"/>
      <c r="JA3" s="284"/>
      <c r="JB3" s="284"/>
      <c r="JC3" s="284"/>
      <c r="JD3" s="6"/>
      <c r="JE3" s="6"/>
      <c r="JF3" s="6"/>
      <c r="JG3" s="6"/>
      <c r="JH3" s="6"/>
      <c r="JI3" s="6"/>
      <c r="JJ3" s="6"/>
      <c r="JK3" s="6"/>
      <c r="JL3" s="6"/>
      <c r="JM3" s="6"/>
      <c r="JN3" s="6"/>
      <c r="JO3" s="6"/>
      <c r="JP3" s="6"/>
      <c r="JQ3" s="6"/>
      <c r="JR3" s="12"/>
      <c r="JS3" s="403"/>
      <c r="JT3" s="12"/>
      <c r="JU3" s="271"/>
      <c r="JV3" s="271"/>
      <c r="JW3" s="12"/>
      <c r="JX3" s="12"/>
      <c r="JY3" s="12"/>
      <c r="JZ3" s="12"/>
      <c r="KA3" s="273"/>
      <c r="KB3" s="12"/>
      <c r="KC3" s="12"/>
      <c r="KD3" s="12"/>
      <c r="KE3" s="98"/>
      <c r="KF3" s="12"/>
      <c r="KG3" s="402"/>
      <c r="KH3" s="401"/>
      <c r="KI3" s="12"/>
      <c r="KJ3" s="12"/>
      <c r="KK3" s="279"/>
      <c r="KL3" s="279"/>
      <c r="KM3" s="279"/>
      <c r="KN3" s="279"/>
      <c r="KO3" s="279"/>
      <c r="KP3" s="279"/>
      <c r="KQ3" s="279"/>
      <c r="KR3" s="279"/>
      <c r="KS3" s="7"/>
      <c r="KT3" s="7"/>
      <c r="KU3" s="284"/>
      <c r="KV3" s="279"/>
      <c r="KW3" s="284"/>
      <c r="KX3" s="279"/>
      <c r="KY3" s="279"/>
      <c r="KZ3" s="279"/>
      <c r="LA3" s="279"/>
      <c r="LB3" s="279"/>
      <c r="LC3" s="279"/>
      <c r="LD3" s="271"/>
      <c r="LE3" s="271"/>
      <c r="LF3" s="271"/>
      <c r="LG3" s="271"/>
      <c r="LH3" s="271"/>
      <c r="LI3" s="271"/>
      <c r="LJ3" s="271">
        <f>IM2+IF(IO2="null",0,IO2)</f>
        <v>70.790000000000006</v>
      </c>
      <c r="LK3" s="271"/>
      <c r="LL3" s="271"/>
      <c r="LM3" s="6"/>
      <c r="LN3" s="6"/>
      <c r="LO3" s="6"/>
      <c r="LP3" s="6"/>
      <c r="LQ3" s="6"/>
      <c r="LR3" s="6"/>
      <c r="LS3" s="6"/>
      <c r="LT3" s="6"/>
      <c r="LU3" s="8"/>
      <c r="LV3" s="8"/>
      <c r="LW3" s="272"/>
      <c r="LX3" s="272"/>
      <c r="LY3" s="272"/>
      <c r="LZ3" s="272"/>
      <c r="MA3" s="269"/>
      <c r="MB3" s="8"/>
      <c r="MC3" s="8"/>
      <c r="MD3" s="8"/>
      <c r="ME3" s="6"/>
      <c r="MF3" s="6"/>
      <c r="MG3" s="6"/>
      <c r="MH3" s="6"/>
      <c r="MI3" s="8"/>
      <c r="MJ3" s="8"/>
      <c r="MK3" s="8"/>
      <c r="ML3" s="8"/>
      <c r="MM3" s="272"/>
      <c r="MN3" s="272"/>
      <c r="MO3" s="272"/>
      <c r="MP3" s="272"/>
      <c r="MQ3" s="272"/>
      <c r="MR3" s="269"/>
      <c r="MS3" s="269"/>
      <c r="MT3" s="6"/>
      <c r="MU3" s="6"/>
      <c r="MV3" s="6"/>
      <c r="MW3" s="6"/>
      <c r="MX3" s="337"/>
      <c r="MY3" s="6"/>
      <c r="MZ3" s="6"/>
      <c r="NA3" s="6"/>
      <c r="NB3" s="6"/>
      <c r="NC3" s="6"/>
      <c r="ND3" s="6"/>
      <c r="NE3" s="6"/>
      <c r="NF3" s="6"/>
      <c r="NG3" s="6"/>
      <c r="NH3" s="269"/>
      <c r="NI3" s="12"/>
      <c r="NJ3" s="12"/>
      <c r="NK3" s="12"/>
      <c r="NN3" s="577"/>
      <c r="NO3" s="577"/>
      <c r="NT3" s="577"/>
      <c r="NU3" s="577"/>
    </row>
    <row r="4" spans="1:385" s="13" customFormat="1" ht="13.6" x14ac:dyDescent="0.25">
      <c r="A4" s="6"/>
      <c r="B4" s="18"/>
      <c r="C4" s="18"/>
      <c r="D4" s="18"/>
      <c r="E4" s="18"/>
      <c r="F4" s="18"/>
      <c r="G4" s="18"/>
      <c r="H4" s="18"/>
      <c r="I4" s="5"/>
      <c r="J4" s="5"/>
      <c r="K4" s="5"/>
      <c r="L4" s="5"/>
      <c r="M4" s="5"/>
      <c r="N4" s="5"/>
      <c r="O4" s="5"/>
      <c r="P4" s="5"/>
      <c r="Q4" s="5"/>
      <c r="R4" s="5"/>
      <c r="S4" s="5"/>
      <c r="T4" s="5"/>
      <c r="U4" s="6"/>
      <c r="V4" s="6"/>
      <c r="W4" s="6"/>
      <c r="X4" s="6"/>
      <c r="Y4" s="11"/>
      <c r="Z4" s="11"/>
      <c r="AA4" s="11"/>
      <c r="AB4" s="11"/>
      <c r="AC4" s="269"/>
      <c r="AD4" s="19"/>
      <c r="AE4" s="19"/>
      <c r="AF4" s="19"/>
      <c r="AG4" s="11"/>
      <c r="AH4" s="19"/>
      <c r="AI4" s="19"/>
      <c r="AJ4" s="19"/>
      <c r="AK4" s="19"/>
      <c r="AL4" s="19"/>
      <c r="AM4" s="19"/>
      <c r="AN4" s="19"/>
      <c r="AO4" s="19"/>
      <c r="AP4" s="7"/>
      <c r="AQ4" s="18"/>
      <c r="AR4" s="19"/>
      <c r="AS4" s="19"/>
      <c r="AT4" s="19"/>
      <c r="AU4" s="19"/>
      <c r="AV4" s="19"/>
      <c r="AW4" s="6"/>
      <c r="AX4" s="6"/>
      <c r="AY4" s="18"/>
      <c r="AZ4" s="19"/>
      <c r="BA4" s="6"/>
      <c r="BB4" s="11"/>
      <c r="BC4" s="274"/>
      <c r="BD4" s="274"/>
      <c r="BE4" s="19"/>
      <c r="BF4" s="19"/>
      <c r="BG4" s="19"/>
      <c r="BH4" s="7"/>
      <c r="BI4" s="269"/>
      <c r="BJ4" s="7"/>
      <c r="BK4" s="271"/>
      <c r="BL4" s="12"/>
      <c r="BM4" s="12"/>
      <c r="BN4" s="6"/>
      <c r="BO4" s="6"/>
      <c r="BP4" s="6"/>
      <c r="BQ4" s="6"/>
      <c r="BR4" s="20"/>
      <c r="BS4" s="6"/>
      <c r="BT4" s="6"/>
      <c r="BU4" s="6"/>
      <c r="BV4" s="6"/>
      <c r="BW4" s="6"/>
      <c r="BX4" s="6"/>
      <c r="BY4" s="6"/>
      <c r="BZ4" s="6"/>
      <c r="CA4" s="6"/>
      <c r="CB4" s="19"/>
      <c r="CC4" s="19"/>
      <c r="CD4" s="12"/>
      <c r="CE4" s="12"/>
      <c r="CF4" s="12"/>
      <c r="CG4" s="12"/>
      <c r="CH4" s="6"/>
      <c r="CI4" s="6"/>
      <c r="CJ4" s="6"/>
      <c r="CK4" s="12"/>
      <c r="CL4" s="12"/>
      <c r="CM4" s="12"/>
      <c r="CN4" s="12"/>
      <c r="CO4" s="276"/>
      <c r="CP4" s="277"/>
      <c r="CQ4" s="7"/>
      <c r="CR4" s="277"/>
      <c r="CS4" s="278"/>
      <c r="CT4" s="140" t="s">
        <v>984</v>
      </c>
      <c r="CU4" s="140" t="s">
        <v>984</v>
      </c>
      <c r="CV4" s="140" t="s">
        <v>984</v>
      </c>
      <c r="CW4" s="12"/>
      <c r="CX4" s="12"/>
      <c r="CY4" s="12"/>
      <c r="CZ4" s="140" t="s">
        <v>984</v>
      </c>
      <c r="DA4" s="140" t="s">
        <v>984</v>
      </c>
      <c r="DB4" s="140" t="s">
        <v>984</v>
      </c>
      <c r="DC4" s="140" t="s">
        <v>984</v>
      </c>
      <c r="DD4" s="140" t="s">
        <v>984</v>
      </c>
      <c r="DE4" s="140"/>
      <c r="DF4" s="19"/>
      <c r="DG4" s="12"/>
      <c r="DH4" s="12"/>
      <c r="DI4" s="19"/>
      <c r="DJ4" s="12"/>
      <c r="DK4" s="12"/>
      <c r="DL4" s="12"/>
      <c r="DM4" s="12"/>
      <c r="DN4" s="12"/>
      <c r="DO4" s="12"/>
      <c r="DP4" s="12"/>
      <c r="DQ4" s="12"/>
      <c r="DR4" s="12"/>
      <c r="DS4" s="12"/>
      <c r="DT4" s="12"/>
      <c r="DU4" s="12"/>
      <c r="DV4" s="12"/>
      <c r="DW4" s="12"/>
      <c r="DX4" s="12"/>
      <c r="DY4" s="12"/>
      <c r="DZ4" s="308" t="s">
        <v>140</v>
      </c>
      <c r="EA4" s="308" t="s">
        <v>140</v>
      </c>
      <c r="EB4" s="12"/>
      <c r="EC4" s="12"/>
      <c r="ED4" s="310" t="s">
        <v>985</v>
      </c>
      <c r="EE4" s="310" t="s">
        <v>985</v>
      </c>
      <c r="EF4" s="310" t="s">
        <v>985</v>
      </c>
      <c r="EG4" s="310" t="s">
        <v>985</v>
      </c>
      <c r="EH4" s="310" t="s">
        <v>985</v>
      </c>
      <c r="EI4" s="310" t="s">
        <v>985</v>
      </c>
      <c r="EJ4" s="310" t="s">
        <v>985</v>
      </c>
      <c r="EK4" s="310" t="s">
        <v>985</v>
      </c>
      <c r="EL4" s="310" t="s">
        <v>985</v>
      </c>
      <c r="EM4" s="19"/>
      <c r="EN4" s="331" t="s">
        <v>1114</v>
      </c>
      <c r="EO4" s="12"/>
      <c r="EP4" s="98"/>
      <c r="EQ4" s="12"/>
      <c r="ER4" s="12"/>
      <c r="ES4" s="12"/>
      <c r="ET4" s="12"/>
      <c r="EU4" s="12"/>
      <c r="EV4" s="12"/>
      <c r="EW4" s="12"/>
      <c r="EX4" s="6"/>
      <c r="EY4" s="6"/>
      <c r="EZ4" s="6"/>
      <c r="FA4" s="6"/>
      <c r="FB4" s="6"/>
      <c r="FC4" s="6"/>
      <c r="FD4" s="6"/>
      <c r="FE4" s="12"/>
      <c r="FF4" s="6"/>
      <c r="FG4" s="12"/>
      <c r="FH4" s="12"/>
      <c r="FI4" s="12"/>
      <c r="FJ4" s="12"/>
      <c r="FK4" s="8"/>
      <c r="FL4" s="8"/>
      <c r="FM4" s="8"/>
      <c r="FN4" s="8"/>
      <c r="FO4" s="8"/>
      <c r="FP4" s="11"/>
      <c r="FQ4" s="11"/>
      <c r="FR4" s="277"/>
      <c r="FS4" s="277"/>
      <c r="FT4" s="277"/>
      <c r="FU4" s="8"/>
      <c r="FV4" s="269"/>
      <c r="FW4" s="6"/>
      <c r="FX4" s="12"/>
      <c r="FY4" s="12"/>
      <c r="FZ4" s="12"/>
      <c r="GA4" s="12"/>
      <c r="GB4" s="12"/>
      <c r="GC4" s="12"/>
      <c r="GD4" s="12"/>
      <c r="GE4" s="12"/>
      <c r="GF4" s="12"/>
      <c r="GG4" s="290" t="s">
        <v>894</v>
      </c>
      <c r="GH4" s="142" t="s">
        <v>633</v>
      </c>
      <c r="GI4" s="289" t="s">
        <v>896</v>
      </c>
      <c r="GJ4" s="291" t="s">
        <v>895</v>
      </c>
      <c r="GT4" s="140" t="s">
        <v>984</v>
      </c>
      <c r="HB4" s="140" t="s">
        <v>984</v>
      </c>
      <c r="HD4" s="140" t="s">
        <v>984</v>
      </c>
      <c r="HE4" s="280" t="s">
        <v>784</v>
      </c>
      <c r="HF4" s="280" t="s">
        <v>784</v>
      </c>
      <c r="HG4" s="280" t="s">
        <v>784</v>
      </c>
      <c r="HH4" s="280" t="s">
        <v>784</v>
      </c>
      <c r="HI4" s="280" t="s">
        <v>784</v>
      </c>
      <c r="HJ4" s="280" t="s">
        <v>784</v>
      </c>
      <c r="HK4" s="280" t="s">
        <v>784</v>
      </c>
      <c r="HL4" s="280" t="s">
        <v>784</v>
      </c>
      <c r="HM4" s="280" t="s">
        <v>784</v>
      </c>
      <c r="HN4" s="302" t="s">
        <v>986</v>
      </c>
      <c r="HO4" s="140" t="s">
        <v>984</v>
      </c>
      <c r="HP4" s="306" t="s">
        <v>635</v>
      </c>
      <c r="HQ4" s="302" t="s">
        <v>986</v>
      </c>
      <c r="HS4" s="12"/>
      <c r="HT4" s="12"/>
      <c r="HU4" s="12"/>
      <c r="HX4" s="142" t="s">
        <v>633</v>
      </c>
      <c r="HY4" s="289" t="s">
        <v>896</v>
      </c>
      <c r="HZ4" s="291" t="s">
        <v>895</v>
      </c>
      <c r="IC4" s="307" t="s">
        <v>770</v>
      </c>
      <c r="ID4" s="142" t="s">
        <v>633</v>
      </c>
      <c r="IE4" s="289" t="s">
        <v>896</v>
      </c>
      <c r="IF4" s="291" t="s">
        <v>895</v>
      </c>
      <c r="IG4" s="307" t="s">
        <v>770</v>
      </c>
      <c r="IH4" s="142" t="s">
        <v>633</v>
      </c>
      <c r="II4" s="289" t="s">
        <v>896</v>
      </c>
      <c r="IJ4" s="291" t="s">
        <v>895</v>
      </c>
      <c r="IK4" s="12"/>
      <c r="IL4" s="12"/>
      <c r="IM4" s="12"/>
      <c r="IN4" s="142" t="s">
        <v>633</v>
      </c>
      <c r="IO4" s="289" t="s">
        <v>896</v>
      </c>
      <c r="IP4" s="291" t="s">
        <v>895</v>
      </c>
      <c r="IQ4" s="12"/>
      <c r="IR4" s="12"/>
      <c r="IS4" s="12"/>
      <c r="IT4" s="319" t="s">
        <v>771</v>
      </c>
      <c r="IU4" s="319" t="s">
        <v>771</v>
      </c>
      <c r="IV4" s="319" t="s">
        <v>771</v>
      </c>
      <c r="IW4" s="319" t="s">
        <v>771</v>
      </c>
      <c r="IX4" s="7"/>
      <c r="IY4" s="319" t="s">
        <v>771</v>
      </c>
      <c r="IZ4" s="319" t="s">
        <v>771</v>
      </c>
      <c r="JA4" s="319"/>
      <c r="JB4" s="319"/>
      <c r="JC4" s="319"/>
      <c r="JD4" s="319" t="s">
        <v>771</v>
      </c>
      <c r="JE4" s="319"/>
      <c r="JF4" s="6"/>
      <c r="JG4" s="319" t="s">
        <v>771</v>
      </c>
      <c r="JH4" s="319" t="s">
        <v>771</v>
      </c>
      <c r="JI4" s="319" t="s">
        <v>771</v>
      </c>
      <c r="JJ4" s="319" t="s">
        <v>771</v>
      </c>
      <c r="JK4" s="319"/>
      <c r="JL4" s="319"/>
      <c r="JM4" s="319"/>
      <c r="JN4" s="319"/>
      <c r="JO4" s="319"/>
      <c r="JP4" s="319" t="s">
        <v>771</v>
      </c>
      <c r="JQ4" s="319"/>
      <c r="JS4" s="405"/>
      <c r="KA4" s="12"/>
      <c r="KB4" s="12"/>
      <c r="KC4" s="12"/>
      <c r="KD4" s="12"/>
      <c r="KE4" s="98"/>
      <c r="KF4" s="12"/>
      <c r="KG4" s="12"/>
      <c r="KH4" s="12"/>
      <c r="KI4" s="12"/>
      <c r="KJ4" s="12"/>
      <c r="KK4" s="315" t="s">
        <v>637</v>
      </c>
      <c r="KL4" s="315" t="s">
        <v>637</v>
      </c>
      <c r="KM4" s="315" t="s">
        <v>637</v>
      </c>
      <c r="KN4" s="315" t="s">
        <v>637</v>
      </c>
      <c r="KO4" s="315" t="s">
        <v>637</v>
      </c>
      <c r="KP4" s="315" t="s">
        <v>637</v>
      </c>
      <c r="KQ4" s="315"/>
      <c r="KR4" s="315"/>
      <c r="KS4" s="315" t="s">
        <v>637</v>
      </c>
      <c r="KT4" s="315"/>
      <c r="KU4" s="315" t="s">
        <v>637</v>
      </c>
      <c r="KV4" s="315" t="s">
        <v>637</v>
      </c>
      <c r="KW4" s="315" t="s">
        <v>637</v>
      </c>
      <c r="KX4" s="315" t="s">
        <v>637</v>
      </c>
      <c r="KY4" s="315"/>
      <c r="KZ4" s="315"/>
      <c r="LA4" s="315"/>
      <c r="LB4" s="315" t="s">
        <v>637</v>
      </c>
      <c r="LC4" s="315"/>
      <c r="LD4" s="271"/>
      <c r="LE4" s="271"/>
      <c r="LF4" s="271"/>
      <c r="LG4" s="271"/>
      <c r="LH4" s="271"/>
      <c r="LI4" s="271"/>
      <c r="LJ4" s="271"/>
      <c r="LK4" s="271"/>
      <c r="LL4" s="271"/>
      <c r="LM4" s="6"/>
      <c r="LN4" s="6"/>
      <c r="LO4" s="6"/>
      <c r="LP4" s="6"/>
      <c r="LQ4" s="6"/>
      <c r="LR4" s="6"/>
      <c r="LS4" s="6"/>
      <c r="LT4" s="6"/>
      <c r="LU4" s="331" t="s">
        <v>1114</v>
      </c>
      <c r="LV4" s="331" t="s">
        <v>1114</v>
      </c>
      <c r="LW4" s="331" t="s">
        <v>1114</v>
      </c>
      <c r="LX4" s="331" t="s">
        <v>1114</v>
      </c>
      <c r="LY4" s="331" t="s">
        <v>1114</v>
      </c>
      <c r="LZ4" s="331" t="s">
        <v>1114</v>
      </c>
      <c r="MA4" s="331" t="s">
        <v>1114</v>
      </c>
      <c r="MB4" s="12"/>
      <c r="MC4" s="12"/>
      <c r="MD4" s="12"/>
      <c r="ME4" s="6"/>
      <c r="MF4" s="6"/>
      <c r="MG4" s="6"/>
      <c r="MH4" s="6"/>
      <c r="MI4" s="12"/>
      <c r="MJ4" s="559" t="s">
        <v>1771</v>
      </c>
      <c r="MK4" s="559" t="s">
        <v>1771</v>
      </c>
      <c r="ML4" s="559" t="s">
        <v>1771</v>
      </c>
      <c r="MM4" s="331" t="s">
        <v>1114</v>
      </c>
      <c r="MN4" s="331" t="s">
        <v>1114</v>
      </c>
      <c r="MO4" s="331" t="s">
        <v>1114</v>
      </c>
      <c r="MP4" s="272"/>
      <c r="MQ4" s="272"/>
      <c r="MR4" s="561" t="str">
        <f>IF(AND(ES4="null",EV4="null"),"null",IF(ES4="I",IF(OR(EW4="Beneficiary",EV4="Beneficiary"),ROUND(EN4+IF(FU4&gt;0,FU4,0),2),ROUND(EM4+IF(FL4&gt;0,FL4,0),2)),IF(ES4="N",IF(OR(EW4="Beneficiary",EV4="Beneficiary"),ROUND(EN4+IF(FU4&gt;0,FU4,0),2),ROUND(EM4+IF(FL4&gt;0,FL4,0),2)),IF(ES4="D",IF(OR(EW4="Beneficiary",EV4="Beneficiary"),ROUND(EN4+IF(FU4&gt;0,FU4,0),2),ROUND(EM4+IF(FL4&gt;0,FL4,0),2)),IF(ES4="M",(IF(OR(EW4="Beneficiary",EV4="Beneficiary"),ROUND(EN4+IF(FU4&gt;0,FU4,0),2),ROUND(EM4+IF(FL4&gt;0,FL4,0),2))),IF(ES4="null",(IF(OR(EW4="Beneficiary",EV4="Beneficiary"),EN4,EM4)),"null"))))))</f>
        <v>null</v>
      </c>
      <c r="MS4" s="561">
        <f>IF(AND(ES4="null",EV4="null"),"null",IF(ES4="I",IF(OR(EW4="Beneficiary",EV4="Beneficiary"),ROUND(EL4+IF(FW4&lt;&gt;"null",FW4,0),2),ROUND(ET4+IF(FO4&lt;&gt;"null",FO4,0),2)),IF(OR(ES4="M",ES4="N"),IF(OR(EW4="Beneficiary",EV4="Beneficiary"),ROUND(FE4+IF(FW4&lt;&gt;"null",FW4,0),2),"null"),IF(OR(EW4="Beneficiary",EV4="Beneficiary"),ROUND(FE4+IF(FW4&lt;&gt;"null",FW4,0),2),ROUND(ET4+IF(FO4&lt;&gt;"null",FO4,0),2)))))</f>
        <v>0</v>
      </c>
      <c r="MT4" s="318" t="s">
        <v>1066</v>
      </c>
      <c r="MU4" s="316" t="s">
        <v>1062</v>
      </c>
      <c r="MV4" s="316"/>
      <c r="MW4" s="247" t="s">
        <v>1065</v>
      </c>
      <c r="MX4" s="317" t="s">
        <v>1064</v>
      </c>
      <c r="MY4" s="317" t="s">
        <v>1064</v>
      </c>
      <c r="MZ4" s="317" t="s">
        <v>1064</v>
      </c>
      <c r="NA4" s="317" t="s">
        <v>1064</v>
      </c>
      <c r="NB4" s="317" t="s">
        <v>1064</v>
      </c>
      <c r="NC4" s="317" t="s">
        <v>1064</v>
      </c>
      <c r="ND4" s="317" t="s">
        <v>1064</v>
      </c>
      <c r="NE4" s="317" t="s">
        <v>1064</v>
      </c>
      <c r="NF4" s="7"/>
      <c r="NG4" s="6"/>
      <c r="NH4" s="12"/>
      <c r="NI4" s="12" t="str">
        <f>IF(ES2="null","null",IF(ES2="I",IF(EV2="Estate","The participant's","Your current")&amp;" monthly benefit of "&amp;DOLLAR(MR2,2)&amp;" will increase to "&amp;DOLLAR(MS2,2)&amp;". See the Benefit Calculation Section for further details.",IF(ES2="N",IF(EV2="Estate","The participant's","Your current")&amp;" monthly benefit of "&amp;DOLLAR(MR2,2)&amp;" will not change. Although the amount of the PBGC monthly benefit shown above is slightly "&amp;IF(EO2&lt;0,"less","more")&amp;" than the amount you are currently receiving, we will not change the amount of your current monthly benefit.",IF(ES2="D",IF(EV2="Estate","The participant's","Your current")&amp;" monthly benefit of "&amp;DOLLAR(MR2,2)&amp;" will decrease to "&amp;DOLLAR(MS2,2),IF(ES2="M",IF(EV2="Estate","The participant's","Your current")&amp;" monthly benefit of "&amp;DOLLAR(MR2,2)&amp;" will not change.","null")))))</f>
        <v>Your current monthly benefit of $0.00 will increase to $70.79. See the Benefit Calculation Section for further details.</v>
      </c>
      <c r="NJ4" s="12"/>
      <c r="NK4" s="12"/>
      <c r="NN4" s="577"/>
      <c r="NO4" s="577"/>
      <c r="NT4" s="577"/>
      <c r="NU4" s="577"/>
    </row>
    <row r="5" spans="1:385" s="138" customFormat="1" x14ac:dyDescent="0.2">
      <c r="A5" s="128"/>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28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271"/>
      <c r="BL5" s="12"/>
      <c r="BM5" s="12"/>
      <c r="BN5" s="128"/>
      <c r="BO5" s="128"/>
      <c r="BP5" s="128"/>
      <c r="BQ5" s="6"/>
      <c r="BR5" s="20"/>
      <c r="BS5" s="6"/>
      <c r="BT5" s="6"/>
      <c r="BU5" s="6"/>
      <c r="BV5" s="128"/>
      <c r="BW5" s="128"/>
      <c r="BX5" s="128"/>
      <c r="BY5" s="128"/>
      <c r="BZ5" s="128"/>
      <c r="CA5" s="128"/>
      <c r="CB5" s="128"/>
      <c r="CC5" s="140" t="s">
        <v>984</v>
      </c>
      <c r="CD5" s="140" t="s">
        <v>984</v>
      </c>
      <c r="CE5" s="140" t="s">
        <v>984</v>
      </c>
      <c r="CF5" s="140" t="s">
        <v>984</v>
      </c>
      <c r="CG5" s="140" t="s">
        <v>984</v>
      </c>
      <c r="CH5" s="128"/>
      <c r="CI5" s="128"/>
      <c r="CJ5" s="128"/>
      <c r="CK5" s="129" t="s">
        <v>630</v>
      </c>
      <c r="CL5" s="129" t="s">
        <v>630</v>
      </c>
      <c r="CM5" s="129" t="s">
        <v>630</v>
      </c>
      <c r="CN5" s="129" t="s">
        <v>630</v>
      </c>
      <c r="CO5" s="139" t="s">
        <v>631</v>
      </c>
      <c r="CP5" s="139" t="s">
        <v>631</v>
      </c>
      <c r="CQ5" s="139" t="s">
        <v>631</v>
      </c>
      <c r="CR5" s="139" t="s">
        <v>631</v>
      </c>
      <c r="CS5" s="139" t="s">
        <v>631</v>
      </c>
      <c r="CT5" s="308" t="s">
        <v>140</v>
      </c>
      <c r="CU5" s="309" t="s">
        <v>140</v>
      </c>
      <c r="CV5" s="308" t="s">
        <v>140</v>
      </c>
      <c r="CW5" s="141" t="s">
        <v>632</v>
      </c>
      <c r="CX5" s="141" t="s">
        <v>632</v>
      </c>
      <c r="CY5" s="141" t="s">
        <v>632</v>
      </c>
      <c r="CZ5" s="310" t="s">
        <v>985</v>
      </c>
      <c r="DA5" s="309" t="s">
        <v>985</v>
      </c>
      <c r="DB5" s="310" t="s">
        <v>985</v>
      </c>
      <c r="DC5" s="310" t="s">
        <v>985</v>
      </c>
      <c r="DD5" s="310"/>
      <c r="DE5" s="310"/>
      <c r="DF5" s="128"/>
      <c r="DG5" s="306" t="s">
        <v>635</v>
      </c>
      <c r="DH5" s="306" t="s">
        <v>635</v>
      </c>
      <c r="DI5" s="306" t="s">
        <v>635</v>
      </c>
      <c r="DJ5" s="306" t="s">
        <v>635</v>
      </c>
      <c r="DK5" s="306" t="s">
        <v>635</v>
      </c>
      <c r="DL5" s="306" t="s">
        <v>635</v>
      </c>
      <c r="DM5" s="306" t="s">
        <v>635</v>
      </c>
      <c r="DN5" s="306" t="s">
        <v>635</v>
      </c>
      <c r="DO5" s="306" t="s">
        <v>635</v>
      </c>
      <c r="DP5" s="306" t="s">
        <v>635</v>
      </c>
      <c r="DQ5" s="306" t="s">
        <v>635</v>
      </c>
      <c r="DR5" s="306" t="s">
        <v>635</v>
      </c>
      <c r="DS5" s="306" t="s">
        <v>635</v>
      </c>
      <c r="DT5" s="306" t="s">
        <v>635</v>
      </c>
      <c r="DU5" s="306" t="s">
        <v>635</v>
      </c>
      <c r="DV5" s="306" t="s">
        <v>635</v>
      </c>
      <c r="DW5" s="306" t="s">
        <v>635</v>
      </c>
      <c r="DX5" s="306" t="s">
        <v>635</v>
      </c>
      <c r="DY5" s="306" t="s">
        <v>635</v>
      </c>
      <c r="DZ5" s="306" t="s">
        <v>635</v>
      </c>
      <c r="EA5" s="306" t="s">
        <v>635</v>
      </c>
      <c r="EB5" s="141" t="s">
        <v>632</v>
      </c>
      <c r="EC5" s="306" t="s">
        <v>635</v>
      </c>
      <c r="ED5" s="306" t="s">
        <v>635</v>
      </c>
      <c r="EE5" s="306" t="s">
        <v>635</v>
      </c>
      <c r="EF5" s="306" t="s">
        <v>635</v>
      </c>
      <c r="EG5" s="306" t="s">
        <v>635</v>
      </c>
      <c r="EH5" s="301" t="s">
        <v>986</v>
      </c>
      <c r="EI5" s="301" t="s">
        <v>986</v>
      </c>
      <c r="EJ5" s="140" t="s">
        <v>984</v>
      </c>
      <c r="EK5" s="306" t="s">
        <v>635</v>
      </c>
      <c r="EL5" s="331" t="s">
        <v>1114</v>
      </c>
      <c r="EM5" s="128"/>
      <c r="EN5" s="130" t="s">
        <v>291</v>
      </c>
      <c r="EO5" s="130" t="s">
        <v>291</v>
      </c>
      <c r="EP5" s="131" t="s">
        <v>291</v>
      </c>
      <c r="EQ5" s="130" t="s">
        <v>291</v>
      </c>
      <c r="ER5" s="130" t="s">
        <v>291</v>
      </c>
      <c r="ES5" s="130" t="s">
        <v>291</v>
      </c>
      <c r="ET5" s="130" t="s">
        <v>291</v>
      </c>
      <c r="EU5" s="130"/>
      <c r="EV5" s="130" t="s">
        <v>792</v>
      </c>
      <c r="EW5" s="130" t="s">
        <v>792</v>
      </c>
      <c r="EX5" s="140" t="s">
        <v>633</v>
      </c>
      <c r="EY5" s="140" t="s">
        <v>633</v>
      </c>
      <c r="EZ5" s="140" t="s">
        <v>633</v>
      </c>
      <c r="FA5" s="140" t="s">
        <v>633</v>
      </c>
      <c r="FB5" s="140" t="s">
        <v>633</v>
      </c>
      <c r="FC5" s="128"/>
      <c r="FD5" s="128"/>
      <c r="FE5" s="128"/>
      <c r="FF5" s="128"/>
      <c r="FG5" s="12"/>
      <c r="FH5" s="12"/>
      <c r="FI5" s="12"/>
      <c r="FJ5" s="128"/>
      <c r="FK5" s="8"/>
      <c r="FL5" s="289" t="s">
        <v>896</v>
      </c>
      <c r="FM5" s="289" t="s">
        <v>896</v>
      </c>
      <c r="FN5" s="289" t="s">
        <v>896</v>
      </c>
      <c r="FO5" s="289" t="s">
        <v>896</v>
      </c>
      <c r="FP5" s="289" t="s">
        <v>896</v>
      </c>
      <c r="FQ5" s="289" t="s">
        <v>896</v>
      </c>
      <c r="FR5" s="289" t="s">
        <v>896</v>
      </c>
      <c r="FS5" s="289" t="s">
        <v>896</v>
      </c>
      <c r="FT5" s="289" t="s">
        <v>896</v>
      </c>
      <c r="FU5" s="291" t="s">
        <v>895</v>
      </c>
      <c r="FV5" s="291" t="s">
        <v>895</v>
      </c>
      <c r="FW5" s="291" t="s">
        <v>895</v>
      </c>
      <c r="FX5" s="291" t="s">
        <v>895</v>
      </c>
      <c r="FY5" s="291" t="s">
        <v>895</v>
      </c>
      <c r="FZ5" s="291" t="s">
        <v>895</v>
      </c>
      <c r="GA5" s="291" t="s">
        <v>895</v>
      </c>
      <c r="GB5" s="320" t="s">
        <v>634</v>
      </c>
      <c r="GC5" s="320" t="s">
        <v>634</v>
      </c>
      <c r="GD5" s="320" t="s">
        <v>634</v>
      </c>
      <c r="GE5" s="320" t="s">
        <v>634</v>
      </c>
      <c r="GF5" s="320" t="s">
        <v>634</v>
      </c>
      <c r="GG5" s="311" t="s">
        <v>1012</v>
      </c>
      <c r="GH5" s="311" t="s">
        <v>1012</v>
      </c>
      <c r="GI5" s="311" t="s">
        <v>1012</v>
      </c>
      <c r="GJ5" s="311" t="s">
        <v>1012</v>
      </c>
      <c r="GK5" s="309" t="s">
        <v>715</v>
      </c>
      <c r="GL5" s="312" t="s">
        <v>733</v>
      </c>
      <c r="GM5" s="312" t="s">
        <v>733</v>
      </c>
      <c r="GN5" s="312" t="s">
        <v>733</v>
      </c>
      <c r="GO5" s="312" t="s">
        <v>733</v>
      </c>
      <c r="GP5" s="312" t="s">
        <v>733</v>
      </c>
      <c r="GQ5" s="312" t="s">
        <v>733</v>
      </c>
      <c r="GR5" s="312" t="s">
        <v>733</v>
      </c>
      <c r="GS5" s="312" t="s">
        <v>733</v>
      </c>
      <c r="GT5" s="312" t="s">
        <v>733</v>
      </c>
      <c r="GU5" s="312" t="s">
        <v>733</v>
      </c>
      <c r="GV5" s="312" t="s">
        <v>733</v>
      </c>
      <c r="GW5" s="312" t="s">
        <v>733</v>
      </c>
      <c r="GX5" s="312" t="s">
        <v>733</v>
      </c>
      <c r="GY5" s="312" t="s">
        <v>733</v>
      </c>
      <c r="GZ5" s="312"/>
      <c r="HA5" s="312" t="s">
        <v>733</v>
      </c>
      <c r="HB5" s="312" t="s">
        <v>733</v>
      </c>
      <c r="HC5" s="312" t="s">
        <v>733</v>
      </c>
      <c r="HD5" s="312" t="s">
        <v>733</v>
      </c>
      <c r="HE5" s="312" t="s">
        <v>733</v>
      </c>
      <c r="HF5" s="312" t="s">
        <v>733</v>
      </c>
      <c r="HG5" s="312" t="s">
        <v>733</v>
      </c>
      <c r="HH5" s="312" t="s">
        <v>733</v>
      </c>
      <c r="HI5" s="312" t="s">
        <v>733</v>
      </c>
      <c r="HJ5" s="312" t="s">
        <v>733</v>
      </c>
      <c r="HK5" s="312" t="s">
        <v>733</v>
      </c>
      <c r="HL5" s="312" t="s">
        <v>733</v>
      </c>
      <c r="HM5" s="312" t="s">
        <v>733</v>
      </c>
      <c r="HN5" s="312" t="s">
        <v>733</v>
      </c>
      <c r="HO5" s="312" t="s">
        <v>733</v>
      </c>
      <c r="HP5" s="312" t="s">
        <v>733</v>
      </c>
      <c r="HQ5" s="312" t="s">
        <v>733</v>
      </c>
      <c r="HR5" s="312" t="s">
        <v>733</v>
      </c>
      <c r="HS5" s="312" t="s">
        <v>733</v>
      </c>
      <c r="HT5" s="312" t="s">
        <v>733</v>
      </c>
      <c r="HU5" s="312" t="s">
        <v>733</v>
      </c>
      <c r="HV5" s="312" t="s">
        <v>733</v>
      </c>
      <c r="HW5" s="312" t="s">
        <v>733</v>
      </c>
      <c r="HX5" s="312" t="s">
        <v>733</v>
      </c>
      <c r="HY5" s="312" t="s">
        <v>733</v>
      </c>
      <c r="HZ5" s="312" t="s">
        <v>733</v>
      </c>
      <c r="IA5" s="312" t="s">
        <v>733</v>
      </c>
      <c r="IB5" s="312"/>
      <c r="IC5" s="134" t="s">
        <v>345</v>
      </c>
      <c r="ID5" s="134" t="s">
        <v>345</v>
      </c>
      <c r="IE5" s="134" t="s">
        <v>345</v>
      </c>
      <c r="IF5" s="134" t="s">
        <v>345</v>
      </c>
      <c r="IG5" s="313" t="s">
        <v>839</v>
      </c>
      <c r="IH5" s="313" t="s">
        <v>839</v>
      </c>
      <c r="II5" s="313" t="s">
        <v>839</v>
      </c>
      <c r="IJ5" s="313" t="s">
        <v>839</v>
      </c>
      <c r="IK5" s="136" t="s">
        <v>543</v>
      </c>
      <c r="IL5" s="314" t="s">
        <v>674</v>
      </c>
      <c r="IM5" s="137" t="s">
        <v>347</v>
      </c>
      <c r="IN5" s="137" t="s">
        <v>347</v>
      </c>
      <c r="IO5" s="137" t="s">
        <v>347</v>
      </c>
      <c r="IP5" s="137" t="s">
        <v>347</v>
      </c>
      <c r="IQ5" s="137"/>
      <c r="IR5" s="137" t="s">
        <v>347</v>
      </c>
      <c r="IS5" s="137"/>
      <c r="IT5" s="290" t="s">
        <v>894</v>
      </c>
      <c r="IU5" s="142" t="s">
        <v>633</v>
      </c>
      <c r="IV5" s="142" t="s">
        <v>633</v>
      </c>
      <c r="IW5" s="142" t="s">
        <v>633</v>
      </c>
      <c r="IX5" s="289" t="s">
        <v>896</v>
      </c>
      <c r="IY5" s="289" t="s">
        <v>896</v>
      </c>
      <c r="IZ5" s="289" t="s">
        <v>896</v>
      </c>
      <c r="JA5" s="289"/>
      <c r="JB5" s="289"/>
      <c r="JC5" s="289"/>
      <c r="JD5" s="289" t="s">
        <v>896</v>
      </c>
      <c r="JE5" s="289"/>
      <c r="JF5" s="291" t="s">
        <v>895</v>
      </c>
      <c r="JG5" s="291" t="s">
        <v>895</v>
      </c>
      <c r="JH5" s="291" t="s">
        <v>895</v>
      </c>
      <c r="JI5" s="291" t="s">
        <v>895</v>
      </c>
      <c r="JJ5" s="291" t="s">
        <v>895</v>
      </c>
      <c r="JK5" s="291"/>
      <c r="JL5" s="291"/>
      <c r="JM5" s="291"/>
      <c r="JN5" s="291"/>
      <c r="JO5" s="291"/>
      <c r="JP5" s="291" t="s">
        <v>895</v>
      </c>
      <c r="JQ5" s="291"/>
      <c r="JR5" s="133" t="s">
        <v>344</v>
      </c>
      <c r="JS5" s="406"/>
      <c r="JT5" s="133" t="s">
        <v>344</v>
      </c>
      <c r="JU5" s="311" t="s">
        <v>1012</v>
      </c>
      <c r="JV5" s="311" t="s">
        <v>1012</v>
      </c>
      <c r="JW5" s="312" t="s">
        <v>733</v>
      </c>
      <c r="JX5" s="312" t="s">
        <v>733</v>
      </c>
      <c r="JY5" s="312" t="s">
        <v>733</v>
      </c>
      <c r="JZ5" s="312" t="s">
        <v>733</v>
      </c>
      <c r="KA5" s="134" t="s">
        <v>345</v>
      </c>
      <c r="KB5" s="134" t="s">
        <v>345</v>
      </c>
      <c r="KC5" s="313" t="s">
        <v>839</v>
      </c>
      <c r="KD5" s="313" t="s">
        <v>839</v>
      </c>
      <c r="KE5" s="135" t="s">
        <v>132</v>
      </c>
      <c r="KF5" s="136"/>
      <c r="KG5" s="314" t="s">
        <v>674</v>
      </c>
      <c r="KH5" s="314" t="s">
        <v>674</v>
      </c>
      <c r="KI5" s="137" t="s">
        <v>347</v>
      </c>
      <c r="KJ5" s="137" t="s">
        <v>347</v>
      </c>
      <c r="KK5" s="290" t="s">
        <v>894</v>
      </c>
      <c r="KL5" s="142" t="s">
        <v>633</v>
      </c>
      <c r="KM5" s="142" t="s">
        <v>633</v>
      </c>
      <c r="KN5" s="142" t="s">
        <v>633</v>
      </c>
      <c r="KO5" s="289" t="s">
        <v>896</v>
      </c>
      <c r="KP5" s="289" t="s">
        <v>896</v>
      </c>
      <c r="KQ5" s="289"/>
      <c r="KR5" s="289"/>
      <c r="KS5" s="289" t="s">
        <v>896</v>
      </c>
      <c r="KT5" s="289"/>
      <c r="KU5" s="291" t="s">
        <v>895</v>
      </c>
      <c r="KV5" s="291" t="s">
        <v>895</v>
      </c>
      <c r="KW5" s="291" t="s">
        <v>895</v>
      </c>
      <c r="KX5" s="291" t="s">
        <v>895</v>
      </c>
      <c r="KY5" s="291"/>
      <c r="KZ5" s="291"/>
      <c r="LA5" s="291"/>
      <c r="LB5" s="291" t="s">
        <v>895</v>
      </c>
      <c r="LC5" s="291"/>
      <c r="LD5" s="315" t="s">
        <v>637</v>
      </c>
      <c r="LE5" s="315"/>
      <c r="LF5" s="315"/>
      <c r="LG5" s="128"/>
      <c r="LH5" s="128"/>
      <c r="LI5" s="142" t="s">
        <v>633</v>
      </c>
      <c r="LJ5" s="142" t="s">
        <v>633</v>
      </c>
      <c r="LK5" s="128"/>
      <c r="LL5" s="128"/>
      <c r="LM5" s="128"/>
      <c r="LN5" s="128"/>
      <c r="LO5" s="128"/>
      <c r="LP5" s="128"/>
      <c r="LQ5" s="128"/>
      <c r="LR5" s="128"/>
      <c r="LS5" s="128"/>
      <c r="LT5" s="128"/>
      <c r="LU5" s="130" t="s">
        <v>792</v>
      </c>
      <c r="LV5" s="130" t="s">
        <v>792</v>
      </c>
      <c r="LW5" s="130" t="s">
        <v>792</v>
      </c>
      <c r="LX5" s="130" t="s">
        <v>792</v>
      </c>
      <c r="LY5" s="130" t="s">
        <v>792</v>
      </c>
      <c r="LZ5" s="130" t="s">
        <v>792</v>
      </c>
      <c r="MA5" s="130" t="s">
        <v>792</v>
      </c>
      <c r="MB5" s="128"/>
      <c r="MC5" s="128"/>
      <c r="MD5" s="128"/>
      <c r="ME5" s="281" t="s">
        <v>792</v>
      </c>
      <c r="MF5" s="281" t="s">
        <v>792</v>
      </c>
      <c r="MG5" s="281" t="s">
        <v>792</v>
      </c>
      <c r="MH5" s="281" t="s">
        <v>792</v>
      </c>
      <c r="MI5" s="130" t="s">
        <v>792</v>
      </c>
      <c r="MJ5" s="130" t="s">
        <v>792</v>
      </c>
      <c r="MK5" s="130" t="s">
        <v>792</v>
      </c>
      <c r="ML5" s="130" t="s">
        <v>792</v>
      </c>
      <c r="MM5" s="130" t="s">
        <v>792</v>
      </c>
      <c r="MN5" s="130" t="s">
        <v>792</v>
      </c>
      <c r="MO5" s="130" t="s">
        <v>792</v>
      </c>
      <c r="MP5" s="130" t="s">
        <v>792</v>
      </c>
      <c r="MQ5" s="130" t="s">
        <v>792</v>
      </c>
      <c r="MR5" s="130" t="s">
        <v>792</v>
      </c>
      <c r="MS5" s="130" t="s">
        <v>792</v>
      </c>
      <c r="MT5" s="281" t="s">
        <v>792</v>
      </c>
      <c r="MU5" s="281" t="s">
        <v>792</v>
      </c>
      <c r="MV5" s="281"/>
      <c r="MW5" s="281" t="s">
        <v>792</v>
      </c>
      <c r="MX5" s="281" t="s">
        <v>792</v>
      </c>
      <c r="MY5" s="281" t="s">
        <v>792</v>
      </c>
      <c r="MZ5" s="281" t="s">
        <v>792</v>
      </c>
      <c r="NA5" s="281" t="s">
        <v>792</v>
      </c>
      <c r="NB5" s="281" t="s">
        <v>792</v>
      </c>
      <c r="NC5" s="281" t="s">
        <v>792</v>
      </c>
      <c r="ND5" s="281" t="s">
        <v>792</v>
      </c>
      <c r="NE5" s="281" t="s">
        <v>792</v>
      </c>
      <c r="NF5" s="281" t="s">
        <v>792</v>
      </c>
      <c r="NG5" s="281" t="s">
        <v>792</v>
      </c>
      <c r="NH5" s="130"/>
      <c r="NI5" s="130" t="s">
        <v>792</v>
      </c>
      <c r="NJ5" s="130" t="s">
        <v>792</v>
      </c>
      <c r="NK5" s="130" t="s">
        <v>792</v>
      </c>
      <c r="NN5" s="579"/>
      <c r="NO5" s="579"/>
      <c r="NT5" s="579"/>
      <c r="NU5" s="579"/>
    </row>
    <row r="6" spans="1:385" s="53" customFormat="1" ht="86.95" x14ac:dyDescent="0.2">
      <c r="A6" s="52" t="s">
        <v>18</v>
      </c>
      <c r="B6" s="146">
        <v>22386400</v>
      </c>
      <c r="C6" s="52"/>
      <c r="D6" s="52"/>
      <c r="E6" s="52"/>
      <c r="F6" s="52"/>
      <c r="G6" s="52"/>
      <c r="H6" s="52" t="s">
        <v>969</v>
      </c>
      <c r="I6" s="52" t="s">
        <v>968</v>
      </c>
      <c r="J6" s="52" t="s">
        <v>967</v>
      </c>
      <c r="K6" s="52"/>
      <c r="L6" s="52" t="s">
        <v>966</v>
      </c>
      <c r="M6" s="52" t="s">
        <v>965</v>
      </c>
      <c r="N6" s="52" t="s">
        <v>964</v>
      </c>
      <c r="O6" s="52" t="s">
        <v>963</v>
      </c>
      <c r="P6" s="52" t="s">
        <v>962</v>
      </c>
      <c r="Q6" s="52" t="s">
        <v>961</v>
      </c>
      <c r="R6" s="52" t="s">
        <v>960</v>
      </c>
      <c r="S6" s="52" t="s">
        <v>959</v>
      </c>
      <c r="T6" s="52" t="s">
        <v>958</v>
      </c>
      <c r="U6" s="52" t="s">
        <v>957</v>
      </c>
      <c r="V6" s="52" t="s">
        <v>956</v>
      </c>
      <c r="W6" s="52" t="s">
        <v>955</v>
      </c>
      <c r="X6" s="52" t="s">
        <v>954</v>
      </c>
      <c r="Y6" s="52" t="s">
        <v>952</v>
      </c>
      <c r="Z6" s="52" t="s">
        <v>1053</v>
      </c>
      <c r="AA6" s="52" t="s">
        <v>951</v>
      </c>
      <c r="AB6" s="52" t="s">
        <v>947</v>
      </c>
      <c r="AC6" s="52" t="s">
        <v>950</v>
      </c>
      <c r="AD6" s="52" t="s">
        <v>953</v>
      </c>
      <c r="AE6" s="52" t="s">
        <v>948</v>
      </c>
      <c r="AF6" s="52" t="s">
        <v>949</v>
      </c>
      <c r="AG6" s="52" t="s">
        <v>946</v>
      </c>
      <c r="AH6" s="52" t="s">
        <v>945</v>
      </c>
      <c r="AI6" s="52" t="s">
        <v>1123</v>
      </c>
      <c r="AJ6" s="52"/>
      <c r="AK6" s="52" t="s">
        <v>970</v>
      </c>
      <c r="AL6" s="52" t="s">
        <v>1028</v>
      </c>
      <c r="AM6" s="52" t="s">
        <v>887</v>
      </c>
      <c r="AN6" s="52" t="s">
        <v>885</v>
      </c>
      <c r="AO6" s="52" t="s">
        <v>886</v>
      </c>
      <c r="AP6" s="52" t="s">
        <v>944</v>
      </c>
      <c r="AQ6" s="52" t="s">
        <v>943</v>
      </c>
      <c r="AR6" s="52" t="s">
        <v>881</v>
      </c>
      <c r="AS6" s="52" t="s">
        <v>1023</v>
      </c>
      <c r="AT6" s="52" t="s">
        <v>882</v>
      </c>
      <c r="AU6" s="52" t="s">
        <v>941</v>
      </c>
      <c r="AV6" s="52" t="s">
        <v>942</v>
      </c>
      <c r="AW6" s="52" t="s">
        <v>939</v>
      </c>
      <c r="AX6" s="52" t="s">
        <v>940</v>
      </c>
      <c r="AY6" s="52" t="s">
        <v>937</v>
      </c>
      <c r="AZ6" s="52" t="s">
        <v>938</v>
      </c>
      <c r="BA6" s="52" t="s">
        <v>935</v>
      </c>
      <c r="BB6" s="52" t="s">
        <v>936</v>
      </c>
      <c r="BC6" s="52" t="s">
        <v>780</v>
      </c>
      <c r="BD6" s="52" t="s">
        <v>779</v>
      </c>
      <c r="BE6" s="52" t="s">
        <v>134</v>
      </c>
      <c r="BF6" s="52" t="s">
        <v>1052</v>
      </c>
      <c r="BG6" s="52" t="s">
        <v>971</v>
      </c>
      <c r="BH6" s="52" t="s">
        <v>974</v>
      </c>
      <c r="BI6" s="52" t="s">
        <v>975</v>
      </c>
      <c r="BJ6" s="52" t="s">
        <v>976</v>
      </c>
      <c r="BK6" s="52"/>
      <c r="BL6" s="52"/>
      <c r="BM6" s="52"/>
      <c r="BN6" s="52" t="s">
        <v>272</v>
      </c>
      <c r="BO6" s="52" t="s">
        <v>273</v>
      </c>
      <c r="BP6" s="52" t="s">
        <v>274</v>
      </c>
      <c r="BQ6" s="52"/>
      <c r="BR6" s="52"/>
      <c r="BS6" s="52"/>
      <c r="BT6" s="52"/>
      <c r="BU6" s="52"/>
      <c r="BV6" s="52" t="s">
        <v>977</v>
      </c>
      <c r="BW6" s="52" t="s">
        <v>978</v>
      </c>
      <c r="BX6" s="52" t="s">
        <v>979</v>
      </c>
      <c r="BY6" s="52" t="s">
        <v>1109</v>
      </c>
      <c r="BZ6" s="52"/>
      <c r="CA6" s="52" t="s">
        <v>1019</v>
      </c>
      <c r="CB6" s="52" t="s">
        <v>934</v>
      </c>
      <c r="CC6" s="52" t="s">
        <v>973</v>
      </c>
      <c r="CD6" s="52" t="s">
        <v>137</v>
      </c>
      <c r="CE6" s="52" t="s">
        <v>1016</v>
      </c>
      <c r="CF6" s="52" t="s">
        <v>1020</v>
      </c>
      <c r="CG6" s="52" t="s">
        <v>589</v>
      </c>
      <c r="CH6" s="52" t="s">
        <v>980</v>
      </c>
      <c r="CI6" s="52" t="s">
        <v>1054</v>
      </c>
      <c r="CJ6" s="52" t="s">
        <v>1002</v>
      </c>
      <c r="CK6" s="52" t="s">
        <v>981</v>
      </c>
      <c r="CL6" s="52" t="s">
        <v>1110</v>
      </c>
      <c r="CM6" s="52" t="s">
        <v>232</v>
      </c>
      <c r="CN6" s="52" t="s">
        <v>830</v>
      </c>
      <c r="CO6" s="52" t="s">
        <v>888</v>
      </c>
      <c r="CP6" s="52" t="s">
        <v>889</v>
      </c>
      <c r="CQ6" s="52" t="s">
        <v>890</v>
      </c>
      <c r="CR6" s="52" t="s">
        <v>891</v>
      </c>
      <c r="CS6" s="52" t="s">
        <v>892</v>
      </c>
      <c r="CT6" s="52" t="s">
        <v>219</v>
      </c>
      <c r="CU6" s="52" t="s">
        <v>992</v>
      </c>
      <c r="CV6" s="52" t="s">
        <v>995</v>
      </c>
      <c r="CW6" s="52" t="s">
        <v>982</v>
      </c>
      <c r="CX6" s="52" t="s">
        <v>233</v>
      </c>
      <c r="CY6" s="52" t="s">
        <v>983</v>
      </c>
      <c r="CZ6" s="52" t="s">
        <v>991</v>
      </c>
      <c r="DA6" s="52" t="s">
        <v>993</v>
      </c>
      <c r="DB6" s="52" t="s">
        <v>994</v>
      </c>
      <c r="DC6" s="52" t="s">
        <v>996</v>
      </c>
      <c r="DD6" s="52" t="s">
        <v>1003</v>
      </c>
      <c r="DE6" s="52" t="s">
        <v>999</v>
      </c>
      <c r="DF6" s="52" t="s">
        <v>865</v>
      </c>
      <c r="DG6" s="52" t="s">
        <v>844</v>
      </c>
      <c r="DH6" s="52" t="s">
        <v>1004</v>
      </c>
      <c r="DI6" s="52" t="s">
        <v>831</v>
      </c>
      <c r="DJ6" s="52" t="s">
        <v>659</v>
      </c>
      <c r="DK6" s="52" t="s">
        <v>1024</v>
      </c>
      <c r="DL6" s="52" t="s">
        <v>1025</v>
      </c>
      <c r="DM6" s="305" t="s">
        <v>258</v>
      </c>
      <c r="DN6" s="305" t="s">
        <v>660</v>
      </c>
      <c r="DO6" s="305" t="s">
        <v>833</v>
      </c>
      <c r="DP6" s="305" t="s">
        <v>256</v>
      </c>
      <c r="DQ6" s="52" t="s">
        <v>997</v>
      </c>
      <c r="DR6" s="52" t="s">
        <v>832</v>
      </c>
      <c r="DS6" s="52" t="s">
        <v>1029</v>
      </c>
      <c r="DT6" s="52" t="s">
        <v>186</v>
      </c>
      <c r="DU6" s="52" t="s">
        <v>661</v>
      </c>
      <c r="DV6" s="52" t="s">
        <v>193</v>
      </c>
      <c r="DW6" s="52" t="s">
        <v>824</v>
      </c>
      <c r="DX6" s="52" t="s">
        <v>834</v>
      </c>
      <c r="DY6" s="52" t="s">
        <v>231</v>
      </c>
      <c r="DZ6" s="52" t="s">
        <v>184</v>
      </c>
      <c r="EA6" s="52" t="s">
        <v>825</v>
      </c>
      <c r="EB6" s="52" t="s">
        <v>233</v>
      </c>
      <c r="EC6" s="52" t="s">
        <v>826</v>
      </c>
      <c r="ED6" s="52" t="s">
        <v>1030</v>
      </c>
      <c r="EE6" s="52" t="s">
        <v>1031</v>
      </c>
      <c r="EF6" s="52" t="s">
        <v>1026</v>
      </c>
      <c r="EG6" s="52" t="s">
        <v>998</v>
      </c>
      <c r="EH6" s="52" t="s">
        <v>180</v>
      </c>
      <c r="EI6" s="52" t="s">
        <v>1032</v>
      </c>
      <c r="EJ6" s="332" t="s">
        <v>1116</v>
      </c>
      <c r="EK6" s="332" t="s">
        <v>1115</v>
      </c>
      <c r="EL6" s="332" t="s">
        <v>1117</v>
      </c>
      <c r="EM6" s="52" t="s">
        <v>972</v>
      </c>
      <c r="EN6" s="52" t="s">
        <v>1113</v>
      </c>
      <c r="EO6" s="52" t="s">
        <v>292</v>
      </c>
      <c r="EP6" s="52" t="s">
        <v>293</v>
      </c>
      <c r="EQ6" s="52" t="s">
        <v>294</v>
      </c>
      <c r="ER6" s="52" t="s">
        <v>847</v>
      </c>
      <c r="ES6" s="52" t="s">
        <v>295</v>
      </c>
      <c r="ET6" s="52" t="s">
        <v>623</v>
      </c>
      <c r="EU6" s="52" t="s">
        <v>1120</v>
      </c>
      <c r="EV6" s="52"/>
      <c r="EW6" s="52"/>
      <c r="EX6" s="52" t="s">
        <v>677</v>
      </c>
      <c r="EY6" s="52" t="s">
        <v>1071</v>
      </c>
      <c r="EZ6" s="52" t="s">
        <v>835</v>
      </c>
      <c r="FA6" s="52" t="s">
        <v>1034</v>
      </c>
      <c r="FB6" s="52" t="s">
        <v>730</v>
      </c>
      <c r="FC6" s="52" t="s">
        <v>1035</v>
      </c>
      <c r="FD6" s="52" t="s">
        <v>903</v>
      </c>
      <c r="FE6" s="52" t="s">
        <v>919</v>
      </c>
      <c r="FF6" s="52" t="s">
        <v>920</v>
      </c>
      <c r="FG6" s="52" t="s">
        <v>911</v>
      </c>
      <c r="FH6" s="52" t="s">
        <v>915</v>
      </c>
      <c r="FI6" s="52" t="s">
        <v>915</v>
      </c>
      <c r="FJ6" s="52"/>
      <c r="FK6" s="52" t="s">
        <v>136</v>
      </c>
      <c r="FL6" s="52" t="s">
        <v>121</v>
      </c>
      <c r="FM6" s="52" t="s">
        <v>657</v>
      </c>
      <c r="FN6" s="52" t="s">
        <v>157</v>
      </c>
      <c r="FO6" s="52" t="s">
        <v>685</v>
      </c>
      <c r="FP6" s="52" t="s">
        <v>662</v>
      </c>
      <c r="FQ6" s="52" t="s">
        <v>322</v>
      </c>
      <c r="FR6" s="52" t="s">
        <v>209</v>
      </c>
      <c r="FS6" s="52" t="s">
        <v>212</v>
      </c>
      <c r="FT6" s="52"/>
      <c r="FU6" s="52" t="s">
        <v>318</v>
      </c>
      <c r="FV6" s="155" t="s">
        <v>319</v>
      </c>
      <c r="FW6" s="52" t="s">
        <v>321</v>
      </c>
      <c r="FX6" s="52" t="s">
        <v>324</v>
      </c>
      <c r="FY6" s="52" t="s">
        <v>323</v>
      </c>
      <c r="FZ6" s="52" t="s">
        <v>1051</v>
      </c>
      <c r="GA6" s="52" t="s">
        <v>1806</v>
      </c>
      <c r="GB6" s="52"/>
      <c r="GC6" s="52" t="s">
        <v>173</v>
      </c>
      <c r="GD6" s="52" t="s">
        <v>287</v>
      </c>
      <c r="GE6" s="52" t="s">
        <v>175</v>
      </c>
      <c r="GF6" s="52" t="s">
        <v>285</v>
      </c>
      <c r="GG6" s="52" t="s">
        <v>770</v>
      </c>
      <c r="GH6" s="52" t="s">
        <v>730</v>
      </c>
      <c r="GI6" s="52" t="s">
        <v>897</v>
      </c>
      <c r="GJ6" s="52" t="s">
        <v>898</v>
      </c>
      <c r="GK6" s="52" t="s">
        <v>781</v>
      </c>
      <c r="GL6" s="52" t="s">
        <v>1027</v>
      </c>
      <c r="GM6" s="52" t="s">
        <v>900</v>
      </c>
      <c r="GN6" s="52" t="s">
        <v>1043</v>
      </c>
      <c r="GO6" s="52" t="s">
        <v>1044</v>
      </c>
      <c r="GP6" s="52" t="s">
        <v>1045</v>
      </c>
      <c r="GQ6" s="52" t="s">
        <v>69</v>
      </c>
      <c r="GR6" s="52" t="s">
        <v>901</v>
      </c>
      <c r="GS6" s="52" t="s">
        <v>739</v>
      </c>
      <c r="GT6" s="52" t="s">
        <v>64</v>
      </c>
      <c r="GU6" s="52" t="s">
        <v>741</v>
      </c>
      <c r="GV6" s="52" t="s">
        <v>143</v>
      </c>
      <c r="GW6" s="52" t="s">
        <v>902</v>
      </c>
      <c r="GX6" s="52" t="s">
        <v>630</v>
      </c>
      <c r="GY6" s="52" t="s">
        <v>751</v>
      </c>
      <c r="GZ6" s="52" t="s">
        <v>631</v>
      </c>
      <c r="HA6" s="52" t="s">
        <v>631</v>
      </c>
      <c r="HB6" s="52" t="s">
        <v>782</v>
      </c>
      <c r="HC6" s="52" t="s">
        <v>632</v>
      </c>
      <c r="HD6" s="52" t="s">
        <v>783</v>
      </c>
      <c r="HE6" s="52" t="s">
        <v>255</v>
      </c>
      <c r="HF6" s="52" t="s">
        <v>186</v>
      </c>
      <c r="HG6" s="52" t="s">
        <v>785</v>
      </c>
      <c r="HH6" s="52" t="s">
        <v>630</v>
      </c>
      <c r="HI6" s="52" t="s">
        <v>1111</v>
      </c>
      <c r="HJ6" s="52" t="s">
        <v>631</v>
      </c>
      <c r="HK6" s="52" t="s">
        <v>140</v>
      </c>
      <c r="HL6" s="52" t="s">
        <v>632</v>
      </c>
      <c r="HM6" s="53" t="s">
        <v>808</v>
      </c>
      <c r="HN6" s="52" t="s">
        <v>786</v>
      </c>
      <c r="HO6" s="52" t="s">
        <v>904</v>
      </c>
      <c r="HP6" s="52" t="s">
        <v>903</v>
      </c>
      <c r="HQ6" s="52" t="s">
        <v>905</v>
      </c>
      <c r="HR6" s="52" t="s">
        <v>920</v>
      </c>
      <c r="HS6" s="52" t="s">
        <v>911</v>
      </c>
      <c r="HT6" s="52" t="s">
        <v>915</v>
      </c>
      <c r="HU6" s="52" t="s">
        <v>915</v>
      </c>
      <c r="HV6" s="52" t="s">
        <v>921</v>
      </c>
      <c r="HW6" s="52" t="s">
        <v>924</v>
      </c>
      <c r="HX6" s="52" t="s">
        <v>730</v>
      </c>
      <c r="HY6" s="52" t="s">
        <v>897</v>
      </c>
      <c r="HZ6" s="52" t="s">
        <v>898</v>
      </c>
      <c r="IA6" s="52" t="s">
        <v>987</v>
      </c>
      <c r="IB6" s="52" t="s">
        <v>837</v>
      </c>
      <c r="IC6" s="52" t="s">
        <v>1047</v>
      </c>
      <c r="ID6" s="52" t="s">
        <v>838</v>
      </c>
      <c r="IE6" s="52" t="s">
        <v>761</v>
      </c>
      <c r="IF6" s="52" t="s">
        <v>535</v>
      </c>
      <c r="IG6" s="52" t="s">
        <v>770</v>
      </c>
      <c r="IH6" s="52" t="s">
        <v>838</v>
      </c>
      <c r="II6" s="52" t="s">
        <v>761</v>
      </c>
      <c r="IJ6" s="52" t="s">
        <v>535</v>
      </c>
      <c r="IK6" s="52" t="s">
        <v>544</v>
      </c>
      <c r="IL6" s="52" t="s">
        <v>843</v>
      </c>
      <c r="IM6" s="52" t="s">
        <v>571</v>
      </c>
      <c r="IN6" s="52" t="s">
        <v>663</v>
      </c>
      <c r="IO6" s="52" t="s">
        <v>461</v>
      </c>
      <c r="IP6" s="52" t="s">
        <v>462</v>
      </c>
      <c r="IQ6" s="52"/>
      <c r="IR6" s="52" t="s">
        <v>572</v>
      </c>
      <c r="IS6" s="52"/>
      <c r="IT6" s="52" t="s">
        <v>1072</v>
      </c>
      <c r="IU6" s="52" t="s">
        <v>308</v>
      </c>
      <c r="IV6" s="52" t="s">
        <v>309</v>
      </c>
      <c r="IW6" s="52" t="s">
        <v>310</v>
      </c>
      <c r="IX6" s="52" t="s">
        <v>879</v>
      </c>
      <c r="IY6" s="52" t="s">
        <v>874</v>
      </c>
      <c r="IZ6" s="52" t="s">
        <v>875</v>
      </c>
      <c r="JA6" s="52" t="s">
        <v>2759</v>
      </c>
      <c r="JB6" s="52" t="s">
        <v>874</v>
      </c>
      <c r="JC6" s="52" t="s">
        <v>1042</v>
      </c>
      <c r="JD6" s="52" t="s">
        <v>1042</v>
      </c>
      <c r="JE6" s="52" t="s">
        <v>2758</v>
      </c>
      <c r="JF6" s="52" t="s">
        <v>306</v>
      </c>
      <c r="JG6" s="52" t="s">
        <v>642</v>
      </c>
      <c r="JH6" s="52" t="s">
        <v>307</v>
      </c>
      <c r="JI6" s="52" t="s">
        <v>643</v>
      </c>
      <c r="JJ6" s="52" t="s">
        <v>644</v>
      </c>
      <c r="JK6" s="52" t="s">
        <v>2761</v>
      </c>
      <c r="JL6" s="52" t="s">
        <v>2757</v>
      </c>
      <c r="JM6" s="52" t="s">
        <v>642</v>
      </c>
      <c r="JN6" s="52" t="s">
        <v>307</v>
      </c>
      <c r="JO6" s="52" t="s">
        <v>640</v>
      </c>
      <c r="JP6" s="52" t="s">
        <v>640</v>
      </c>
      <c r="JQ6" s="52" t="s">
        <v>2760</v>
      </c>
      <c r="JR6" s="52" t="s">
        <v>1010</v>
      </c>
      <c r="JS6" s="52" t="s">
        <v>331</v>
      </c>
      <c r="JT6" s="52" t="s">
        <v>1009</v>
      </c>
      <c r="JU6" s="52" t="s">
        <v>1010</v>
      </c>
      <c r="JV6" s="52" t="s">
        <v>1009</v>
      </c>
      <c r="JW6" s="52" t="s">
        <v>1010</v>
      </c>
      <c r="JX6" s="52" t="s">
        <v>787</v>
      </c>
      <c r="JY6" s="52" t="s">
        <v>1009</v>
      </c>
      <c r="JZ6" s="52" t="s">
        <v>1679</v>
      </c>
      <c r="KA6" s="52" t="s">
        <v>1010</v>
      </c>
      <c r="KB6" s="52" t="s">
        <v>1009</v>
      </c>
      <c r="KC6" s="52" t="s">
        <v>1010</v>
      </c>
      <c r="KD6" s="52" t="s">
        <v>1009</v>
      </c>
      <c r="KE6" s="52"/>
      <c r="KF6" s="52" t="s">
        <v>343</v>
      </c>
      <c r="KG6" s="52" t="s">
        <v>1010</v>
      </c>
      <c r="KH6" s="52" t="s">
        <v>1009</v>
      </c>
      <c r="KI6" s="52" t="s">
        <v>1010</v>
      </c>
      <c r="KJ6" s="52" t="s">
        <v>1009</v>
      </c>
      <c r="KK6" s="52" t="s">
        <v>352</v>
      </c>
      <c r="KL6" s="52" t="s">
        <v>308</v>
      </c>
      <c r="KM6" s="52" t="s">
        <v>309</v>
      </c>
      <c r="KN6" s="52" t="s">
        <v>650</v>
      </c>
      <c r="KO6" s="52" t="s">
        <v>929</v>
      </c>
      <c r="KP6" s="52" t="s">
        <v>930</v>
      </c>
      <c r="KQ6" s="52" t="s">
        <v>929</v>
      </c>
      <c r="KR6" s="52" t="s">
        <v>932</v>
      </c>
      <c r="KS6" s="52" t="s">
        <v>932</v>
      </c>
      <c r="KT6" s="52" t="s">
        <v>2762</v>
      </c>
      <c r="KU6" s="52" t="s">
        <v>646</v>
      </c>
      <c r="KV6" s="52" t="s">
        <v>647</v>
      </c>
      <c r="KW6" s="52" t="s">
        <v>648</v>
      </c>
      <c r="KX6" s="52" t="s">
        <v>649</v>
      </c>
      <c r="KY6" s="52" t="s">
        <v>646</v>
      </c>
      <c r="KZ6" s="52" t="s">
        <v>647</v>
      </c>
      <c r="LA6" s="52" t="s">
        <v>933</v>
      </c>
      <c r="LB6" s="52" t="s">
        <v>933</v>
      </c>
      <c r="LC6" s="52" t="s">
        <v>2762</v>
      </c>
      <c r="LD6" s="52"/>
      <c r="LE6" s="52"/>
      <c r="LF6" s="52"/>
      <c r="LG6" s="52" t="s">
        <v>988</v>
      </c>
      <c r="LH6" s="52" t="s">
        <v>989</v>
      </c>
      <c r="LI6" s="52"/>
      <c r="LJ6" s="52"/>
      <c r="LK6" s="52"/>
      <c r="LL6" s="52"/>
      <c r="LM6" s="52"/>
      <c r="LN6" s="52"/>
      <c r="LO6" s="52" t="s">
        <v>1036</v>
      </c>
      <c r="LP6" s="52" t="s">
        <v>1037</v>
      </c>
      <c r="LQ6" s="52" t="s">
        <v>1038</v>
      </c>
      <c r="LR6" s="52" t="s">
        <v>1039</v>
      </c>
      <c r="LS6" s="52" t="s">
        <v>1040</v>
      </c>
      <c r="LT6" s="52" t="s">
        <v>1041</v>
      </c>
      <c r="LU6" s="52"/>
      <c r="LV6" s="52"/>
      <c r="LW6" s="52" t="s">
        <v>1118</v>
      </c>
      <c r="LX6" s="52" t="s">
        <v>1119</v>
      </c>
      <c r="LY6" s="52" t="s">
        <v>1764</v>
      </c>
      <c r="LZ6" s="52"/>
      <c r="MA6" s="52" t="s">
        <v>1767</v>
      </c>
      <c r="MB6" s="52"/>
      <c r="MC6" s="52"/>
      <c r="MD6" s="52"/>
      <c r="ME6" s="50" t="s">
        <v>793</v>
      </c>
      <c r="MF6" s="50" t="s">
        <v>1056</v>
      </c>
      <c r="MG6" s="50" t="s">
        <v>1057</v>
      </c>
      <c r="MH6" s="50" t="s">
        <v>1063</v>
      </c>
      <c r="MI6" s="52" t="s">
        <v>1808</v>
      </c>
      <c r="MJ6" s="52" t="s">
        <v>1809</v>
      </c>
      <c r="MK6" s="52" t="s">
        <v>1810</v>
      </c>
      <c r="ML6" s="52" t="s">
        <v>1811</v>
      </c>
      <c r="MM6" s="52" t="s">
        <v>1809</v>
      </c>
      <c r="MN6" s="52" t="s">
        <v>1810</v>
      </c>
      <c r="MO6" s="52" t="s">
        <v>1811</v>
      </c>
      <c r="MP6" s="52" t="s">
        <v>1765</v>
      </c>
      <c r="MQ6" s="52" t="s">
        <v>1766</v>
      </c>
      <c r="MR6" s="52" t="s">
        <v>1765</v>
      </c>
      <c r="MS6" s="52" t="s">
        <v>1766</v>
      </c>
      <c r="MT6" s="50" t="s">
        <v>1067</v>
      </c>
      <c r="MU6" s="50" t="s">
        <v>1061</v>
      </c>
      <c r="MV6" s="50"/>
      <c r="MW6" s="50" t="s">
        <v>1058</v>
      </c>
      <c r="MX6" s="50" t="s">
        <v>1069</v>
      </c>
      <c r="MY6" s="50" t="s">
        <v>1068</v>
      </c>
      <c r="MZ6" s="50" t="s">
        <v>1060</v>
      </c>
      <c r="NA6" s="50" t="s">
        <v>1059</v>
      </c>
      <c r="NB6" s="50" t="s">
        <v>794</v>
      </c>
      <c r="NC6" s="50" t="s">
        <v>795</v>
      </c>
      <c r="ND6" s="50" t="s">
        <v>796</v>
      </c>
      <c r="NE6" s="50" t="s">
        <v>797</v>
      </c>
      <c r="NF6" s="50" t="s">
        <v>1819</v>
      </c>
      <c r="NG6" s="50" t="s">
        <v>1774</v>
      </c>
      <c r="NH6" s="52"/>
      <c r="NI6" s="52"/>
      <c r="NJ6" s="333" t="s">
        <v>1033</v>
      </c>
      <c r="NK6" s="52"/>
      <c r="NL6" s="53" t="s">
        <v>1796</v>
      </c>
      <c r="NM6" s="53" t="s">
        <v>1797</v>
      </c>
      <c r="NN6" s="580" t="s">
        <v>75</v>
      </c>
      <c r="NO6" s="580" t="s">
        <v>108</v>
      </c>
      <c r="NP6" s="53" t="s">
        <v>2789</v>
      </c>
      <c r="NQ6" s="53" t="s">
        <v>37</v>
      </c>
      <c r="NR6" s="53" t="s">
        <v>136</v>
      </c>
      <c r="NS6" s="53" t="s">
        <v>1808</v>
      </c>
      <c r="NT6" s="580" t="s">
        <v>2774</v>
      </c>
      <c r="NU6" s="580" t="s">
        <v>2775</v>
      </c>
    </row>
    <row r="7" spans="1:385" s="13" customFormat="1" ht="13.6" x14ac:dyDescent="0.25">
      <c r="A7" s="15" t="s">
        <v>15</v>
      </c>
      <c r="B7" s="22" t="s">
        <v>669</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7"/>
      <c r="AQ7" s="6"/>
      <c r="AR7" s="6"/>
      <c r="AS7" s="6"/>
      <c r="AT7" s="6"/>
      <c r="AU7" s="6"/>
      <c r="AV7" s="6"/>
      <c r="AW7" s="6"/>
      <c r="AX7" s="6"/>
      <c r="AY7" s="6"/>
      <c r="AZ7" s="6"/>
      <c r="BA7" s="6"/>
      <c r="BB7" s="11"/>
      <c r="BC7" s="11"/>
      <c r="BD7" s="11"/>
      <c r="BE7" s="6"/>
      <c r="BF7" s="6"/>
      <c r="BG7" s="6"/>
      <c r="BH7" s="6"/>
      <c r="BI7" s="6"/>
      <c r="BJ7" s="6"/>
      <c r="BN7" s="6"/>
      <c r="BO7" s="6"/>
      <c r="BP7" s="6"/>
      <c r="BQ7" s="6"/>
      <c r="BR7" s="6"/>
      <c r="BS7" s="6"/>
      <c r="BT7" s="6"/>
      <c r="BU7" s="6"/>
      <c r="BV7" s="6"/>
      <c r="BW7" s="6"/>
      <c r="BX7" s="6"/>
      <c r="BY7" s="6"/>
      <c r="BZ7" s="6"/>
      <c r="CA7" s="6"/>
      <c r="CB7" s="6"/>
      <c r="CC7" s="6"/>
      <c r="CD7" s="49"/>
      <c r="CE7" s="49"/>
      <c r="CF7" s="49"/>
      <c r="CG7" s="49"/>
      <c r="CH7" s="6"/>
      <c r="CI7" s="6"/>
      <c r="CJ7" s="6"/>
      <c r="CK7" s="79"/>
      <c r="CL7" s="79"/>
      <c r="CM7" s="6"/>
      <c r="CN7" s="6"/>
      <c r="CO7" s="6"/>
      <c r="CP7" s="84"/>
      <c r="CQ7" s="84"/>
      <c r="CR7" s="84"/>
      <c r="CS7" s="6"/>
      <c r="CT7" s="6"/>
      <c r="CU7" s="6"/>
      <c r="CV7" s="6"/>
      <c r="CW7" s="49"/>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98"/>
      <c r="EQ7" s="6"/>
      <c r="ER7" s="6"/>
      <c r="ES7" s="6"/>
      <c r="ET7" s="6"/>
      <c r="EU7" s="6"/>
      <c r="EV7" s="6"/>
      <c r="EW7" s="6"/>
      <c r="EX7" s="6"/>
      <c r="EY7" s="52"/>
      <c r="EZ7" s="6"/>
      <c r="FA7" s="52"/>
      <c r="FB7" s="6"/>
      <c r="FD7" s="6"/>
      <c r="FF7" s="77"/>
      <c r="FG7" s="6"/>
      <c r="FH7" s="6"/>
      <c r="FI7" s="6"/>
      <c r="FJ7" s="6"/>
      <c r="FK7" s="7"/>
      <c r="FL7" s="7"/>
      <c r="FM7" s="7"/>
      <c r="FN7" s="7"/>
      <c r="FO7" s="7"/>
      <c r="FP7" s="286" t="str">
        <f>IF(AND(FN2="Y",OR(FL2="",FL2="null")),IF(DAY(Y2)=1,DATE(YEAR(Y2)+65,MONTH(Y2)+1,1),[1]!NRD(Y2,65)),"null")</f>
        <v>null</v>
      </c>
      <c r="FQ7" s="77"/>
      <c r="FR7" s="6"/>
      <c r="FS7" s="6"/>
      <c r="FT7" s="6"/>
      <c r="FU7" s="7"/>
      <c r="FV7" s="269"/>
      <c r="FW7" s="77"/>
      <c r="FX7" s="77"/>
      <c r="FY7" s="77"/>
      <c r="FZ7" s="77"/>
      <c r="GA7" s="77"/>
      <c r="GB7" s="6"/>
      <c r="GC7" s="7"/>
      <c r="GD7" s="7"/>
      <c r="GE7" s="7"/>
      <c r="GF7" s="7"/>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77"/>
      <c r="IY7" s="4" t="s">
        <v>2751</v>
      </c>
      <c r="IZ7" s="4" t="s">
        <v>2751</v>
      </c>
      <c r="JA7" s="4" t="s">
        <v>2753</v>
      </c>
      <c r="JB7" s="4" t="s">
        <v>2753</v>
      </c>
      <c r="JC7" s="4" t="s">
        <v>2751</v>
      </c>
      <c r="JD7" s="4" t="s">
        <v>2753</v>
      </c>
      <c r="JE7" s="575"/>
      <c r="JF7" s="6"/>
      <c r="JG7" s="4" t="s">
        <v>2751</v>
      </c>
      <c r="JH7" s="4" t="s">
        <v>2751</v>
      </c>
      <c r="JI7" s="4" t="s">
        <v>2751</v>
      </c>
      <c r="JJ7" s="4" t="s">
        <v>2751</v>
      </c>
      <c r="JK7" s="4" t="s">
        <v>2753</v>
      </c>
      <c r="JL7" s="4" t="s">
        <v>2753</v>
      </c>
      <c r="JM7" s="4" t="s">
        <v>2753</v>
      </c>
      <c r="JN7" s="4" t="s">
        <v>2753</v>
      </c>
      <c r="JO7" s="4" t="s">
        <v>2751</v>
      </c>
      <c r="JP7" s="4" t="s">
        <v>2753</v>
      </c>
      <c r="JQ7" s="4"/>
      <c r="JR7" s="6"/>
      <c r="JS7" s="401"/>
      <c r="JT7" s="6"/>
      <c r="JU7" s="6"/>
      <c r="JV7" s="6"/>
      <c r="JW7" s="6"/>
      <c r="JX7" s="6"/>
      <c r="JY7" s="6"/>
      <c r="JZ7" s="6"/>
      <c r="KA7" s="6"/>
      <c r="KB7" s="6"/>
      <c r="KC7" s="6"/>
      <c r="KD7" s="6"/>
      <c r="KE7" s="98"/>
      <c r="KF7" s="6"/>
      <c r="KG7" s="6"/>
      <c r="KH7" s="6"/>
      <c r="KI7" s="6"/>
      <c r="KJ7" s="6"/>
      <c r="KK7" s="49"/>
      <c r="KL7" s="75"/>
      <c r="KM7" s="75"/>
      <c r="KN7" s="49"/>
      <c r="KO7" s="4" t="s">
        <v>2766</v>
      </c>
      <c r="KP7" s="4" t="s">
        <v>2766</v>
      </c>
      <c r="KQ7" s="4" t="s">
        <v>2767</v>
      </c>
      <c r="KR7" s="4" t="s">
        <v>2766</v>
      </c>
      <c r="KS7" s="4" t="s">
        <v>2767</v>
      </c>
      <c r="KT7" s="4"/>
      <c r="KU7" s="4" t="s">
        <v>2766</v>
      </c>
      <c r="KV7" s="4" t="s">
        <v>2766</v>
      </c>
      <c r="KW7" s="4" t="s">
        <v>2766</v>
      </c>
      <c r="KX7" s="4" t="s">
        <v>2766</v>
      </c>
      <c r="KY7" s="4" t="s">
        <v>2767</v>
      </c>
      <c r="KZ7" s="4" t="s">
        <v>2767</v>
      </c>
      <c r="LA7" s="4" t="s">
        <v>2766</v>
      </c>
      <c r="LB7" s="4" t="s">
        <v>2767</v>
      </c>
      <c r="LD7" s="6"/>
      <c r="LE7" s="6"/>
      <c r="LF7" s="6"/>
      <c r="LG7" s="6"/>
      <c r="LH7" s="6"/>
      <c r="LI7" s="6"/>
      <c r="LJ7" s="6"/>
      <c r="LK7" s="6"/>
      <c r="LL7" s="6"/>
      <c r="LM7" s="6"/>
      <c r="LN7" s="6"/>
      <c r="LO7" s="6"/>
      <c r="LP7" s="6"/>
      <c r="LQ7" s="6"/>
      <c r="LR7" s="6"/>
      <c r="LS7" s="6"/>
      <c r="LT7" s="6"/>
      <c r="LW7" s="6"/>
      <c r="LX7" s="6"/>
      <c r="LY7" s="6"/>
      <c r="LZ7" s="6"/>
      <c r="MA7" s="77"/>
      <c r="MB7" s="6"/>
      <c r="MC7" s="6"/>
      <c r="MD7" s="6"/>
      <c r="MM7" s="6"/>
      <c r="MN7" s="6"/>
      <c r="MO7" s="6"/>
      <c r="MP7" s="6"/>
      <c r="MQ7" s="6"/>
      <c r="MR7" s="77"/>
      <c r="MS7" s="77"/>
      <c r="NB7" s="47" t="s">
        <v>798</v>
      </c>
      <c r="NC7" s="47" t="s">
        <v>784</v>
      </c>
      <c r="NH7" s="77"/>
      <c r="NI7" s="6"/>
      <c r="NJ7" s="6"/>
      <c r="NK7" s="6"/>
      <c r="NN7" s="577"/>
      <c r="NO7" s="577"/>
      <c r="NT7" s="577"/>
      <c r="NU7" s="577"/>
    </row>
    <row r="8" spans="1:385" s="13" customFormat="1" x14ac:dyDescent="0.2">
      <c r="A8" s="15" t="s">
        <v>16</v>
      </c>
      <c r="B8" s="5" t="s">
        <v>616</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7"/>
      <c r="AQ8" s="6"/>
      <c r="AR8" s="6"/>
      <c r="AS8" s="6"/>
      <c r="AT8" s="6"/>
      <c r="AU8" s="6"/>
      <c r="AV8" s="6"/>
      <c r="AW8" s="6"/>
      <c r="AX8" s="6"/>
      <c r="AY8" s="6"/>
      <c r="AZ8" s="6"/>
      <c r="BA8" s="6"/>
      <c r="BB8" s="6"/>
      <c r="BC8" s="6"/>
      <c r="BD8" s="6"/>
      <c r="BE8" s="6"/>
      <c r="BF8" s="6"/>
      <c r="BG8" s="6"/>
      <c r="BH8" s="6"/>
      <c r="BI8" s="6"/>
      <c r="BJ8" s="6"/>
      <c r="BN8" s="6"/>
      <c r="BO8" s="6"/>
      <c r="BP8" s="6"/>
      <c r="BQ8" s="6"/>
      <c r="BR8" s="6"/>
      <c r="BS8" s="6"/>
      <c r="BT8" s="6"/>
      <c r="BU8" s="6"/>
      <c r="BV8" s="6"/>
      <c r="BW8" s="6"/>
      <c r="BX8" s="6"/>
      <c r="BY8" s="6"/>
      <c r="BZ8" s="6"/>
      <c r="CA8" s="6"/>
      <c r="CB8" s="6"/>
      <c r="CC8" s="6"/>
      <c r="CD8" s="49"/>
      <c r="CE8" s="49"/>
      <c r="CF8" s="49"/>
      <c r="CG8" s="49"/>
      <c r="CH8" s="6"/>
      <c r="CI8" s="6"/>
      <c r="CJ8" s="6"/>
      <c r="CK8" s="79"/>
      <c r="CL8" s="79"/>
      <c r="CM8" s="6"/>
      <c r="CN8" s="6"/>
      <c r="CO8" s="6"/>
      <c r="CP8" s="84"/>
      <c r="CQ8" s="84"/>
      <c r="CR8" s="84"/>
      <c r="CS8" s="6"/>
      <c r="CT8" s="6"/>
      <c r="CU8" s="6"/>
      <c r="CV8" s="6"/>
      <c r="CW8" s="49"/>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98"/>
      <c r="EQ8" s="6"/>
      <c r="ER8" s="6"/>
      <c r="ES8" s="6"/>
      <c r="ET8" s="6"/>
      <c r="EU8" s="6"/>
      <c r="EV8" s="6"/>
      <c r="EW8" s="6"/>
      <c r="EX8" s="6"/>
      <c r="EY8" s="6"/>
      <c r="EZ8" s="6"/>
      <c r="FA8" s="6"/>
      <c r="FB8" s="6"/>
      <c r="FC8" s="6"/>
      <c r="FD8" s="6"/>
      <c r="FE8" s="6"/>
      <c r="FF8" s="6"/>
      <c r="FG8" s="6"/>
      <c r="FH8" s="6"/>
      <c r="FI8" s="6"/>
      <c r="FJ8" s="6"/>
      <c r="FK8" s="7"/>
      <c r="FL8" s="7"/>
      <c r="FM8" s="9"/>
      <c r="FN8" s="7"/>
      <c r="FO8" s="7"/>
      <c r="FP8" s="6"/>
      <c r="FQ8" s="6"/>
      <c r="FR8" s="6"/>
      <c r="FS8" s="6"/>
      <c r="FT8" s="6"/>
      <c r="FU8" s="7"/>
      <c r="FV8" s="269"/>
      <c r="FW8" s="6"/>
      <c r="FX8" s="6"/>
      <c r="FY8" s="6"/>
      <c r="FZ8" s="6"/>
      <c r="GA8" s="6"/>
      <c r="GB8" s="6"/>
      <c r="GC8" s="7"/>
      <c r="GD8" s="7"/>
      <c r="GE8" s="7"/>
      <c r="GF8" s="7"/>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401"/>
      <c r="JT8" s="6"/>
      <c r="JU8" s="6"/>
      <c r="JV8" s="6"/>
      <c r="JW8" s="6"/>
      <c r="JX8" s="6"/>
      <c r="JY8" s="6"/>
      <c r="JZ8" s="6"/>
      <c r="KA8" s="6"/>
      <c r="KB8" s="6"/>
      <c r="KC8" s="6"/>
      <c r="KD8" s="6"/>
      <c r="KE8" s="98"/>
      <c r="KF8" s="6"/>
      <c r="KG8" s="6"/>
      <c r="KH8" s="6"/>
      <c r="KI8" s="6"/>
      <c r="KJ8" s="6"/>
      <c r="KK8" s="71"/>
      <c r="KL8" s="76"/>
      <c r="KM8" s="76"/>
      <c r="KN8" s="71"/>
      <c r="KO8" s="71"/>
      <c r="KP8" s="71"/>
      <c r="KQ8" s="71"/>
      <c r="KR8" s="71"/>
      <c r="KS8" s="73"/>
      <c r="KT8" s="73"/>
      <c r="KU8" s="78"/>
      <c r="KV8" s="78"/>
      <c r="KW8" s="76"/>
      <c r="KX8" s="76"/>
      <c r="KY8" s="76"/>
      <c r="KZ8" s="76"/>
      <c r="LA8" s="76"/>
      <c r="LB8" s="76"/>
      <c r="LC8" s="76"/>
      <c r="LD8" s="6"/>
      <c r="LE8" s="6"/>
      <c r="LF8" s="6"/>
      <c r="LG8" s="6"/>
      <c r="LH8" s="6"/>
      <c r="LI8" s="6"/>
      <c r="LJ8" s="6"/>
      <c r="LK8" s="6"/>
      <c r="LL8" s="6"/>
      <c r="LM8" s="6"/>
      <c r="LN8" s="6"/>
      <c r="LO8" s="6"/>
      <c r="LP8" s="6"/>
      <c r="LQ8" s="6"/>
      <c r="LR8" s="6"/>
      <c r="LS8" s="6"/>
      <c r="LT8" s="6"/>
      <c r="LU8" s="6"/>
      <c r="LV8" s="6"/>
      <c r="LW8" s="6"/>
      <c r="LX8" s="6"/>
      <c r="LY8" s="6"/>
      <c r="LZ8" s="6"/>
      <c r="MA8" s="6"/>
      <c r="MB8" s="6"/>
      <c r="MC8" s="6"/>
      <c r="MD8" s="6"/>
      <c r="ME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t="s">
        <v>1108</v>
      </c>
      <c r="NK8" s="6"/>
      <c r="NN8" s="577"/>
      <c r="NO8" s="577"/>
      <c r="NT8" s="577"/>
      <c r="NU8" s="577"/>
    </row>
    <row r="9" spans="1:385" s="13" customFormat="1" x14ac:dyDescent="0.2">
      <c r="A9" s="15" t="s">
        <v>11</v>
      </c>
      <c r="B9" s="23">
        <v>41639</v>
      </c>
      <c r="D9" s="6"/>
      <c r="E9" s="6">
        <f>COUNTIF(E13:E201,"=1")</f>
        <v>0</v>
      </c>
      <c r="F9" s="6"/>
      <c r="G9" s="6"/>
      <c r="H9" s="6"/>
      <c r="I9" s="6"/>
      <c r="J9" s="6"/>
      <c r="K9" s="6"/>
      <c r="L9" s="6"/>
      <c r="M9" s="6"/>
      <c r="N9" s="6"/>
      <c r="O9" s="6"/>
      <c r="P9" s="6"/>
      <c r="Q9" s="6"/>
      <c r="R9" s="6"/>
      <c r="S9" s="6"/>
      <c r="T9" s="9"/>
      <c r="U9" s="9"/>
      <c r="V9" s="9"/>
      <c r="W9" s="9"/>
      <c r="X9" s="9"/>
      <c r="Y9" s="9"/>
      <c r="Z9" s="9"/>
      <c r="AA9" s="9"/>
      <c r="AB9" s="9"/>
      <c r="AC9" s="9"/>
      <c r="AD9" s="6"/>
      <c r="AE9" s="6"/>
      <c r="AF9" s="6"/>
      <c r="AG9" s="9"/>
      <c r="AH9" s="6"/>
      <c r="AI9" s="6"/>
      <c r="AJ9" s="6"/>
      <c r="AK9" s="6"/>
      <c r="AL9" s="6"/>
      <c r="AM9" s="6"/>
      <c r="AN9" s="6"/>
      <c r="AO9" s="6"/>
      <c r="AP9" s="10"/>
      <c r="AQ9" s="6"/>
      <c r="AR9" s="6"/>
      <c r="AS9" s="6"/>
      <c r="AT9" s="6"/>
      <c r="AU9" s="6"/>
      <c r="AV9" s="6"/>
      <c r="AW9" s="9"/>
      <c r="AX9" s="9"/>
      <c r="AY9" s="6"/>
      <c r="AZ9" s="6"/>
      <c r="BA9" s="9"/>
      <c r="BB9" s="9"/>
      <c r="BC9" s="9"/>
      <c r="BD9" s="9"/>
      <c r="BE9" s="6"/>
      <c r="BF9" s="6"/>
      <c r="BG9" s="6"/>
      <c r="BH9" s="9"/>
      <c r="BI9" s="9"/>
      <c r="BJ9" s="9"/>
      <c r="BN9" s="9"/>
      <c r="BO9" s="9"/>
      <c r="BP9" s="9"/>
      <c r="BQ9" s="9"/>
      <c r="BR9" s="9"/>
      <c r="BS9" s="9"/>
      <c r="BT9" s="9"/>
      <c r="BU9" s="9"/>
      <c r="BV9" s="9"/>
      <c r="BW9" s="9"/>
      <c r="BX9" s="9"/>
      <c r="BY9" s="9"/>
      <c r="BZ9" s="9"/>
      <c r="CA9" s="9"/>
      <c r="CB9" s="6"/>
      <c r="CC9" s="6"/>
      <c r="CD9" s="9"/>
      <c r="CE9" s="9"/>
      <c r="CF9" s="9"/>
      <c r="CG9" s="9"/>
      <c r="CH9" s="9"/>
      <c r="CI9" s="9"/>
      <c r="CJ9" s="9"/>
      <c r="CK9" s="9"/>
      <c r="CL9" s="9"/>
      <c r="CM9" s="9"/>
      <c r="CN9" s="9"/>
      <c r="CO9" s="9"/>
      <c r="CP9" s="88"/>
      <c r="CQ9" s="88"/>
      <c r="CR9" s="88"/>
      <c r="CS9" s="9"/>
      <c r="CT9" s="9"/>
      <c r="CU9" s="9"/>
      <c r="CV9" s="9"/>
      <c r="CW9" s="9"/>
      <c r="CX9" s="9"/>
      <c r="CY9" s="9"/>
      <c r="CZ9" s="9"/>
      <c r="DA9" s="9"/>
      <c r="DB9" s="9"/>
      <c r="DC9" s="9"/>
      <c r="DD9" s="9"/>
      <c r="DE9" s="9"/>
      <c r="DF9" s="6"/>
      <c r="DG9" s="9"/>
      <c r="DH9" s="9"/>
      <c r="DI9" s="6"/>
      <c r="DJ9" s="9"/>
      <c r="DK9" s="9"/>
      <c r="DL9" s="9"/>
      <c r="DM9" s="9"/>
      <c r="DN9" s="9"/>
      <c r="DO9" s="9"/>
      <c r="DP9" s="9"/>
      <c r="DQ9" s="9"/>
      <c r="DR9" s="9"/>
      <c r="DS9" s="9"/>
      <c r="DT9" s="9"/>
      <c r="DU9" s="9"/>
      <c r="DV9" s="9"/>
      <c r="DW9" s="9"/>
      <c r="DX9" s="9"/>
      <c r="DY9" s="9"/>
      <c r="DZ9" s="9"/>
      <c r="EA9" s="9"/>
      <c r="EB9" s="9"/>
      <c r="EC9" s="9"/>
      <c r="ED9" s="9"/>
      <c r="EE9" s="9"/>
      <c r="EF9" s="9"/>
      <c r="EG9" s="9"/>
      <c r="EH9" s="9"/>
      <c r="EI9" s="9"/>
      <c r="EJ9" s="9"/>
      <c r="EK9" s="9"/>
      <c r="EL9" s="9"/>
      <c r="EM9" s="6"/>
      <c r="EN9" s="6"/>
      <c r="EO9" s="9"/>
      <c r="EP9" s="98"/>
      <c r="EQ9" s="9"/>
      <c r="ER9" s="9"/>
      <c r="ES9" s="9"/>
      <c r="ET9" s="9"/>
      <c r="EU9" s="9"/>
      <c r="EV9" s="9"/>
      <c r="EW9" s="9"/>
      <c r="EX9" s="9"/>
      <c r="EY9" s="9"/>
      <c r="EZ9" s="9"/>
      <c r="FA9" s="9"/>
      <c r="FB9" s="9"/>
      <c r="FC9" s="9"/>
      <c r="FD9" s="9"/>
      <c r="FE9" s="6"/>
      <c r="FF9" s="6"/>
      <c r="FG9" s="9"/>
      <c r="FH9" s="9"/>
      <c r="FI9" s="9"/>
      <c r="FJ9" s="9"/>
      <c r="FK9" s="9"/>
      <c r="FL9" s="9"/>
      <c r="FM9" s="9"/>
      <c r="FO9" s="9"/>
      <c r="FP9" s="9"/>
      <c r="FQ9" s="9"/>
      <c r="FR9" s="9"/>
      <c r="FS9" s="11"/>
      <c r="FT9" s="11"/>
      <c r="FU9" s="9"/>
      <c r="FV9" s="11"/>
      <c r="FW9" s="6"/>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6"/>
      <c r="IU9" s="6"/>
      <c r="IV9" s="6"/>
      <c r="IW9" s="6"/>
      <c r="IX9" s="9"/>
      <c r="IY9" s="9"/>
      <c r="IZ9" s="9"/>
      <c r="JA9" s="9"/>
      <c r="JB9" s="9"/>
      <c r="JC9" s="9"/>
      <c r="JD9" s="6"/>
      <c r="JE9" s="6"/>
      <c r="JF9" s="6"/>
      <c r="JG9" s="6"/>
      <c r="JH9" s="6"/>
      <c r="JJ9" s="6"/>
      <c r="JK9" s="6"/>
      <c r="JL9" s="6"/>
      <c r="JM9" s="6"/>
      <c r="JN9" s="6"/>
      <c r="JO9" s="6"/>
      <c r="JP9" s="6"/>
      <c r="JQ9" s="6"/>
      <c r="JR9" s="21">
        <f>SUM(JR13:JR201)</f>
        <v>0</v>
      </c>
      <c r="JS9" s="401"/>
      <c r="JT9" s="21">
        <f t="shared" ref="JT9:KD9" si="3">SUM(JT13:JT201)</f>
        <v>0</v>
      </c>
      <c r="JU9" s="21">
        <f t="shared" si="3"/>
        <v>0</v>
      </c>
      <c r="JV9" s="21">
        <f t="shared" si="3"/>
        <v>0</v>
      </c>
      <c r="JW9" s="21">
        <f t="shared" si="3"/>
        <v>0</v>
      </c>
      <c r="JX9" s="21">
        <f t="shared" si="3"/>
        <v>0</v>
      </c>
      <c r="JY9" s="21">
        <f t="shared" si="3"/>
        <v>0</v>
      </c>
      <c r="JZ9" s="21">
        <f t="shared" si="3"/>
        <v>0</v>
      </c>
      <c r="KA9" s="21">
        <f t="shared" si="3"/>
        <v>0</v>
      </c>
      <c r="KB9" s="21">
        <f t="shared" si="3"/>
        <v>0</v>
      </c>
      <c r="KC9" s="21">
        <f t="shared" si="3"/>
        <v>0</v>
      </c>
      <c r="KD9" s="21">
        <f t="shared" si="3"/>
        <v>0</v>
      </c>
      <c r="KE9" s="98"/>
      <c r="KF9" s="21">
        <f>SUM(KF13:KF201)</f>
        <v>0</v>
      </c>
      <c r="KG9" s="21">
        <f>SUM(KG13:KG201)</f>
        <v>0</v>
      </c>
      <c r="KH9" s="21">
        <f>SUM(KH13:KH201)</f>
        <v>0</v>
      </c>
      <c r="KI9" s="21">
        <f>SUM(KI13:KI201)</f>
        <v>0</v>
      </c>
      <c r="KJ9" s="21">
        <f>SUM(KJ13:KJ201)</f>
        <v>0</v>
      </c>
      <c r="KK9" s="71"/>
      <c r="KL9" s="76"/>
      <c r="KM9" s="76"/>
      <c r="KN9" s="71"/>
      <c r="KO9" s="71"/>
      <c r="KP9" s="71"/>
      <c r="KQ9" s="71"/>
      <c r="KR9" s="71"/>
      <c r="KS9" s="73"/>
      <c r="KT9" s="73"/>
      <c r="KU9" s="78"/>
      <c r="KV9" s="78"/>
      <c r="KW9" s="76"/>
      <c r="KX9" s="76"/>
      <c r="KY9" s="76"/>
      <c r="KZ9" s="76"/>
      <c r="LA9" s="76"/>
      <c r="LB9" s="76"/>
      <c r="LC9" s="76"/>
      <c r="LD9" s="21">
        <f>SUM(LD13:LD201)</f>
        <v>0</v>
      </c>
      <c r="LE9" s="21"/>
      <c r="LF9" s="21"/>
      <c r="LG9" s="21">
        <f>SUM(LG13:LG201)</f>
        <v>0</v>
      </c>
      <c r="LH9" s="21">
        <f>SUM(LH13:LH201)</f>
        <v>0</v>
      </c>
      <c r="LI9" s="9"/>
      <c r="LJ9" s="9"/>
      <c r="LK9" s="9"/>
      <c r="LL9" s="9"/>
      <c r="LM9" s="6"/>
      <c r="LN9" s="6"/>
      <c r="LO9" s="6"/>
      <c r="LP9" s="6"/>
      <c r="LQ9" s="6"/>
      <c r="LR9" s="6"/>
      <c r="LS9" s="6"/>
      <c r="LT9" s="6"/>
      <c r="LU9" s="6"/>
      <c r="LV9" s="6"/>
      <c r="LW9" s="6"/>
      <c r="LX9" s="6"/>
      <c r="LY9" s="6"/>
      <c r="LZ9" s="6"/>
      <c r="MA9" s="462"/>
      <c r="MB9" s="9"/>
      <c r="MC9" s="9"/>
      <c r="MD9" s="9"/>
      <c r="ME9" s="6"/>
      <c r="MF9" s="6"/>
      <c r="MG9" s="6"/>
      <c r="MH9" s="6"/>
      <c r="MI9" s="6"/>
      <c r="MJ9" s="6"/>
      <c r="MK9" s="6"/>
      <c r="ML9" s="6"/>
      <c r="MM9" s="6"/>
      <c r="MN9" s="6"/>
      <c r="MO9" s="6"/>
      <c r="MP9" s="6"/>
      <c r="MQ9" s="6"/>
      <c r="MR9" s="9"/>
      <c r="MS9" s="9"/>
      <c r="MT9" s="6"/>
      <c r="MU9" s="6"/>
      <c r="MV9" s="6"/>
      <c r="MW9" s="6"/>
      <c r="MX9" s="6"/>
      <c r="MY9" s="6"/>
      <c r="MZ9" s="6"/>
      <c r="NA9" s="6"/>
      <c r="NB9" s="6"/>
      <c r="NC9" s="6"/>
      <c r="ND9" s="6"/>
      <c r="NE9" s="6"/>
      <c r="NF9" s="6"/>
      <c r="NG9" s="6"/>
      <c r="NH9" s="9"/>
      <c r="NI9" s="9"/>
      <c r="NJ9" s="9"/>
      <c r="NK9" s="9"/>
      <c r="NL9" s="250">
        <f>SUM(NL13:NL201)</f>
        <v>0</v>
      </c>
      <c r="NM9" s="21">
        <f>SUM(NM13:NM201)</f>
        <v>0</v>
      </c>
      <c r="NN9" s="11"/>
      <c r="NO9" s="11"/>
      <c r="NP9" s="21"/>
      <c r="NQ9" s="21"/>
      <c r="NR9" s="21"/>
      <c r="NS9" s="21"/>
      <c r="NT9" s="11"/>
      <c r="NU9" s="11"/>
    </row>
    <row r="10" spans="1:385" s="13" customFormat="1" ht="13.6"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28"/>
      <c r="AL10" s="28"/>
      <c r="AM10" s="16"/>
      <c r="AN10" s="16"/>
      <c r="AO10" s="16"/>
      <c r="AP10" s="16"/>
      <c r="AQ10" s="16"/>
      <c r="AR10" s="16"/>
      <c r="AS10" s="16"/>
      <c r="AT10" s="16"/>
      <c r="AU10" s="16"/>
      <c r="AV10" s="16"/>
      <c r="AW10" s="16"/>
      <c r="AX10" s="16"/>
      <c r="AY10" s="16"/>
      <c r="AZ10" s="16"/>
      <c r="BA10" s="16"/>
      <c r="BB10" s="16"/>
      <c r="BC10" s="16"/>
      <c r="BD10" s="16"/>
      <c r="BE10" s="28"/>
      <c r="BF10" s="28"/>
      <c r="BG10" s="28"/>
      <c r="BH10" s="16"/>
      <c r="BI10" s="16"/>
      <c r="BJ10" s="16"/>
      <c r="BN10" s="16"/>
      <c r="BO10" s="16"/>
      <c r="BP10" s="16"/>
      <c r="BQ10" s="16"/>
      <c r="BR10" s="16"/>
      <c r="BS10" s="16"/>
      <c r="BT10" s="16"/>
      <c r="BU10" s="16"/>
      <c r="BV10" s="16"/>
      <c r="BW10" s="16"/>
      <c r="BX10" s="16"/>
      <c r="BY10" s="16"/>
      <c r="BZ10" s="16"/>
      <c r="CA10" s="16"/>
      <c r="CB10" s="28"/>
      <c r="CC10" s="28"/>
      <c r="CD10" s="17"/>
      <c r="CE10" s="17"/>
      <c r="CF10" s="17"/>
      <c r="CG10" s="17"/>
      <c r="CH10" s="16"/>
      <c r="CI10" s="16"/>
      <c r="CJ10" s="16"/>
      <c r="CK10" s="17"/>
      <c r="CL10" s="17"/>
      <c r="CM10" s="17"/>
      <c r="CN10" s="17"/>
      <c r="CO10" s="17"/>
      <c r="CP10" s="17"/>
      <c r="CQ10" s="17"/>
      <c r="CR10" s="17"/>
      <c r="CS10" s="17"/>
      <c r="CT10" s="16"/>
      <c r="CU10" s="16"/>
      <c r="CV10" s="16"/>
      <c r="CW10" s="16"/>
      <c r="CX10" s="16"/>
      <c r="CY10" s="16"/>
      <c r="CZ10" s="16"/>
      <c r="DA10" s="16"/>
      <c r="DB10" s="16"/>
      <c r="DC10" s="16"/>
      <c r="DD10" s="16"/>
      <c r="DE10" s="16"/>
      <c r="DF10" s="28"/>
      <c r="DG10" s="16"/>
      <c r="DH10" s="16"/>
      <c r="DI10" s="28"/>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28"/>
      <c r="EN10" s="28"/>
      <c r="EO10" s="16"/>
      <c r="EP10" s="100"/>
      <c r="EQ10" s="16"/>
      <c r="ER10" s="16"/>
      <c r="ES10" s="16"/>
      <c r="ET10" s="16"/>
      <c r="EU10" s="16"/>
      <c r="EV10" s="16"/>
      <c r="EW10" s="16"/>
      <c r="EX10" s="16"/>
      <c r="EY10" s="16"/>
      <c r="EZ10" s="16"/>
      <c r="FA10" s="16"/>
      <c r="FB10" s="16"/>
      <c r="FC10" s="16"/>
      <c r="FD10" s="16"/>
      <c r="FE10" s="16"/>
      <c r="FF10" s="16"/>
      <c r="FG10" s="16"/>
      <c r="FH10" s="16"/>
      <c r="FI10" s="16"/>
      <c r="FJ10" s="16"/>
      <c r="FK10" s="17"/>
      <c r="FL10" s="17"/>
      <c r="FN10" s="17"/>
      <c r="FO10" s="17"/>
      <c r="FP10" s="17"/>
      <c r="FQ10" s="17"/>
      <c r="FR10" s="17"/>
      <c r="FS10" s="17"/>
      <c r="FT10" s="17"/>
      <c r="FU10" s="16"/>
      <c r="FV10" s="124"/>
      <c r="FW10" s="16"/>
      <c r="FX10" s="17"/>
      <c r="FY10" s="17"/>
      <c r="FZ10" s="17"/>
      <c r="GA10" s="17"/>
      <c r="GB10" s="16"/>
      <c r="GC10" s="17"/>
      <c r="GD10" s="17"/>
      <c r="GE10" s="17"/>
      <c r="GF10" s="17"/>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7"/>
      <c r="IY10" s="17"/>
      <c r="IZ10" s="17"/>
      <c r="JA10" s="17"/>
      <c r="JB10" s="17"/>
      <c r="JC10" s="17"/>
      <c r="JD10" s="16"/>
      <c r="JE10" s="16"/>
      <c r="JF10" s="16"/>
      <c r="JG10" s="16"/>
      <c r="JH10" s="16"/>
      <c r="JI10" s="16"/>
      <c r="JJ10" s="16"/>
      <c r="JK10" s="16"/>
      <c r="JL10" s="16"/>
      <c r="JM10" s="16"/>
      <c r="JN10" s="16"/>
      <c r="JO10" s="16"/>
      <c r="JP10" s="16"/>
      <c r="JQ10" s="16"/>
      <c r="JR10" s="16"/>
      <c r="JS10" s="407"/>
      <c r="JT10" s="16"/>
      <c r="JU10" s="16"/>
      <c r="JV10" s="16"/>
      <c r="JW10" s="16"/>
      <c r="JX10" s="16"/>
      <c r="JY10" s="16"/>
      <c r="JZ10" s="16"/>
      <c r="KA10" s="16"/>
      <c r="KB10" s="16"/>
      <c r="KC10" s="16"/>
      <c r="KD10" s="16"/>
      <c r="KE10" s="100"/>
      <c r="KF10" s="16"/>
      <c r="KG10" s="16"/>
      <c r="KH10" s="16"/>
      <c r="KI10" s="16"/>
      <c r="KJ10" s="16"/>
      <c r="KK10" s="16"/>
      <c r="KL10" s="7"/>
      <c r="KM10" s="7"/>
      <c r="KN10" s="16"/>
      <c r="KO10" s="16"/>
      <c r="KP10" s="16"/>
      <c r="KQ10" s="16"/>
      <c r="KR10" s="16"/>
      <c r="KS10" s="16"/>
      <c r="KT10" s="16"/>
      <c r="KU10" s="16"/>
      <c r="KV10" s="16"/>
      <c r="KW10" s="16"/>
      <c r="KX10" s="7"/>
      <c r="KY10" s="7"/>
      <c r="KZ10" s="7"/>
      <c r="LA10" s="7"/>
      <c r="LB10" s="7"/>
      <c r="LC10" s="7"/>
      <c r="LD10" s="27"/>
      <c r="LE10" s="27"/>
      <c r="LF10" s="27"/>
      <c r="LG10" s="27"/>
      <c r="LH10" s="27"/>
      <c r="LI10" s="27"/>
      <c r="LJ10" s="27"/>
      <c r="LK10" s="27"/>
      <c r="LL10" s="27"/>
      <c r="LM10" s="27"/>
      <c r="LN10" s="27"/>
      <c r="LO10" s="27"/>
      <c r="LP10" s="27"/>
      <c r="LQ10" s="27"/>
      <c r="LR10" s="27"/>
      <c r="LS10" s="27"/>
      <c r="LT10" s="27"/>
      <c r="LU10" s="16"/>
      <c r="LV10" s="16"/>
      <c r="LW10" s="28"/>
      <c r="LX10" s="28"/>
      <c r="LY10" s="28"/>
      <c r="LZ10" s="28"/>
      <c r="MA10" s="17"/>
      <c r="MB10" s="16"/>
      <c r="MC10" s="16"/>
      <c r="MD10" s="16"/>
      <c r="ME10" s="27"/>
      <c r="MF10" s="27"/>
      <c r="MG10" s="27"/>
      <c r="MH10" s="27"/>
      <c r="MI10" s="16"/>
      <c r="MJ10" s="16"/>
      <c r="MK10" s="16"/>
      <c r="ML10" s="16"/>
      <c r="MM10" s="28"/>
      <c r="MN10" s="28"/>
      <c r="MO10" s="28"/>
      <c r="MP10" s="28"/>
      <c r="MQ10" s="28"/>
      <c r="MR10" s="17"/>
      <c r="MS10" s="17"/>
      <c r="MT10" s="27"/>
      <c r="MU10" s="27"/>
      <c r="MV10" s="27"/>
      <c r="MW10" s="27"/>
      <c r="MX10" s="27"/>
      <c r="MY10" s="27"/>
      <c r="MZ10" s="27"/>
      <c r="NA10" s="27"/>
      <c r="NB10" s="27"/>
      <c r="NC10" s="27"/>
      <c r="ND10" s="27"/>
      <c r="NE10" s="27"/>
      <c r="NF10" s="27"/>
      <c r="NG10" s="27"/>
      <c r="NH10" s="17"/>
      <c r="NI10" s="16"/>
      <c r="NJ10" s="7"/>
      <c r="NK10" s="16"/>
      <c r="NN10" s="577"/>
      <c r="NO10" s="577"/>
      <c r="NT10" s="577"/>
      <c r="NU10" s="577"/>
    </row>
    <row r="11" spans="1:385" s="94" customFormat="1" x14ac:dyDescent="0.2">
      <c r="A11" s="7" t="s">
        <v>12</v>
      </c>
      <c r="B11" s="49" t="s">
        <v>13</v>
      </c>
      <c r="C11" s="49" t="s">
        <v>13</v>
      </c>
      <c r="D11" s="49" t="s">
        <v>13</v>
      </c>
      <c r="E11" s="49" t="s">
        <v>13</v>
      </c>
      <c r="F11" s="49" t="s">
        <v>31</v>
      </c>
      <c r="G11" s="49" t="s">
        <v>13</v>
      </c>
      <c r="H11" s="49" t="s">
        <v>13</v>
      </c>
      <c r="I11" s="49" t="s">
        <v>13</v>
      </c>
      <c r="J11" s="49" t="s">
        <v>13</v>
      </c>
      <c r="K11" s="49" t="s">
        <v>59</v>
      </c>
      <c r="L11" s="49" t="s">
        <v>13</v>
      </c>
      <c r="M11" s="49" t="s">
        <v>13</v>
      </c>
      <c r="N11" s="49" t="s">
        <v>13</v>
      </c>
      <c r="O11" s="49" t="s">
        <v>13</v>
      </c>
      <c r="P11" s="49" t="s">
        <v>13</v>
      </c>
      <c r="Q11" s="49" t="s">
        <v>13</v>
      </c>
      <c r="R11" s="49" t="s">
        <v>13</v>
      </c>
      <c r="S11" s="49" t="s">
        <v>13</v>
      </c>
      <c r="T11" s="49" t="s">
        <v>13</v>
      </c>
      <c r="U11" s="49" t="s">
        <v>13</v>
      </c>
      <c r="V11" s="49" t="s">
        <v>13</v>
      </c>
      <c r="W11" s="49" t="s">
        <v>13</v>
      </c>
      <c r="X11" s="49" t="s">
        <v>13</v>
      </c>
      <c r="Y11" s="49" t="s">
        <v>13</v>
      </c>
      <c r="Z11" s="49" t="s">
        <v>59</v>
      </c>
      <c r="AA11" s="49" t="s">
        <v>13</v>
      </c>
      <c r="AB11" s="49" t="s">
        <v>13</v>
      </c>
      <c r="AC11" s="49" t="s">
        <v>20</v>
      </c>
      <c r="AD11" s="49" t="s">
        <v>13</v>
      </c>
      <c r="AE11" s="49" t="s">
        <v>13</v>
      </c>
      <c r="AF11" s="49" t="s">
        <v>13</v>
      </c>
      <c r="AG11" s="49" t="s">
        <v>13</v>
      </c>
      <c r="AH11" s="49" t="s">
        <v>13</v>
      </c>
      <c r="AI11" s="49" t="s">
        <v>13</v>
      </c>
      <c r="AJ11" s="49" t="s">
        <v>13</v>
      </c>
      <c r="AK11" s="49" t="s">
        <v>13</v>
      </c>
      <c r="AL11" s="49" t="s">
        <v>59</v>
      </c>
      <c r="AM11" s="49" t="s">
        <v>59</v>
      </c>
      <c r="AN11" s="49" t="s">
        <v>20</v>
      </c>
      <c r="AO11" s="49" t="s">
        <v>20</v>
      </c>
      <c r="AP11" s="49" t="s">
        <v>20</v>
      </c>
      <c r="AQ11" s="49" t="s">
        <v>20</v>
      </c>
      <c r="AR11" s="49" t="s">
        <v>13</v>
      </c>
      <c r="AS11" s="49" t="s">
        <v>13</v>
      </c>
      <c r="AT11" s="49" t="s">
        <v>13</v>
      </c>
      <c r="AU11" s="49" t="s">
        <v>13</v>
      </c>
      <c r="AV11" s="49" t="s">
        <v>20</v>
      </c>
      <c r="AW11" s="49" t="s">
        <v>20</v>
      </c>
      <c r="AX11" s="49" t="s">
        <v>20</v>
      </c>
      <c r="AY11" s="49" t="s">
        <v>20</v>
      </c>
      <c r="AZ11" s="49" t="s">
        <v>20</v>
      </c>
      <c r="BA11" s="49" t="s">
        <v>20</v>
      </c>
      <c r="BB11" s="49" t="s">
        <v>20</v>
      </c>
      <c r="BC11" s="49" t="s">
        <v>59</v>
      </c>
      <c r="BD11" s="49" t="s">
        <v>59</v>
      </c>
      <c r="BE11" s="49" t="s">
        <v>20</v>
      </c>
      <c r="BF11" s="49" t="s">
        <v>59</v>
      </c>
      <c r="BG11" s="49" t="s">
        <v>13</v>
      </c>
      <c r="BH11" s="49" t="s">
        <v>20</v>
      </c>
      <c r="BI11" s="49" t="s">
        <v>20</v>
      </c>
      <c r="BJ11" s="49" t="s">
        <v>20</v>
      </c>
      <c r="BK11" s="49" t="s">
        <v>13</v>
      </c>
      <c r="BL11" s="49" t="s">
        <v>13</v>
      </c>
      <c r="BM11" s="49" t="s">
        <v>13</v>
      </c>
      <c r="BN11" s="49" t="s">
        <v>20</v>
      </c>
      <c r="BO11" s="49" t="s">
        <v>59</v>
      </c>
      <c r="BP11" s="49" t="s">
        <v>20</v>
      </c>
      <c r="BQ11" s="49" t="s">
        <v>20</v>
      </c>
      <c r="BR11" s="49" t="s">
        <v>20</v>
      </c>
      <c r="BS11" s="49" t="s">
        <v>20</v>
      </c>
      <c r="BT11" s="49" t="s">
        <v>20</v>
      </c>
      <c r="BU11" s="49" t="s">
        <v>20</v>
      </c>
      <c r="BV11" s="49" t="s">
        <v>59</v>
      </c>
      <c r="BW11" s="49" t="s">
        <v>59</v>
      </c>
      <c r="BX11" s="49" t="s">
        <v>20</v>
      </c>
      <c r="BY11" s="49" t="s">
        <v>20</v>
      </c>
      <c r="BZ11" s="49" t="s">
        <v>20</v>
      </c>
      <c r="CA11" s="49" t="s">
        <v>13</v>
      </c>
      <c r="CB11" s="49" t="s">
        <v>20</v>
      </c>
      <c r="CC11" s="49" t="s">
        <v>13</v>
      </c>
      <c r="CD11" s="49" t="s">
        <v>13</v>
      </c>
      <c r="CE11" s="49" t="s">
        <v>13</v>
      </c>
      <c r="CF11" s="49" t="s">
        <v>20</v>
      </c>
      <c r="CG11" s="49" t="s">
        <v>20</v>
      </c>
      <c r="CH11" s="49" t="s">
        <v>13</v>
      </c>
      <c r="CI11" s="49" t="s">
        <v>20</v>
      </c>
      <c r="CJ11" s="49" t="s">
        <v>20</v>
      </c>
      <c r="CK11" s="49" t="s">
        <v>20</v>
      </c>
      <c r="CL11" s="49" t="s">
        <v>13</v>
      </c>
      <c r="CM11" s="49" t="s">
        <v>20</v>
      </c>
      <c r="CN11" s="49" t="s">
        <v>13</v>
      </c>
      <c r="CO11" s="49" t="s">
        <v>20</v>
      </c>
      <c r="CP11" s="49" t="s">
        <v>20</v>
      </c>
      <c r="CQ11" s="49" t="s">
        <v>20</v>
      </c>
      <c r="CR11" s="49" t="s">
        <v>20</v>
      </c>
      <c r="CS11" s="49" t="s">
        <v>20</v>
      </c>
      <c r="CT11" s="49" t="s">
        <v>20</v>
      </c>
      <c r="CU11" s="49" t="s">
        <v>13</v>
      </c>
      <c r="CV11" s="49" t="s">
        <v>59</v>
      </c>
      <c r="CW11" s="49" t="s">
        <v>20</v>
      </c>
      <c r="CX11" s="49" t="s">
        <v>20</v>
      </c>
      <c r="CY11" s="49" t="s">
        <v>13</v>
      </c>
      <c r="CZ11" s="49" t="s">
        <v>20</v>
      </c>
      <c r="DA11" s="49" t="s">
        <v>13</v>
      </c>
      <c r="DB11" s="49" t="s">
        <v>20</v>
      </c>
      <c r="DC11" s="49" t="s">
        <v>59</v>
      </c>
      <c r="DD11" s="49" t="s">
        <v>59</v>
      </c>
      <c r="DE11" s="49" t="s">
        <v>59</v>
      </c>
      <c r="DF11" s="49" t="s">
        <v>13</v>
      </c>
      <c r="DG11" s="49" t="s">
        <v>13</v>
      </c>
      <c r="DH11" s="49" t="s">
        <v>13</v>
      </c>
      <c r="DI11" s="49" t="s">
        <v>20</v>
      </c>
      <c r="DJ11" s="49" t="s">
        <v>20</v>
      </c>
      <c r="DK11" s="49" t="s">
        <v>13</v>
      </c>
      <c r="DL11" s="49" t="s">
        <v>59</v>
      </c>
      <c r="DM11" s="49" t="s">
        <v>59</v>
      </c>
      <c r="DN11" s="49" t="s">
        <v>59</v>
      </c>
      <c r="DO11" s="49" t="s">
        <v>59</v>
      </c>
      <c r="DP11" s="49" t="s">
        <v>59</v>
      </c>
      <c r="DQ11" s="49" t="s">
        <v>20</v>
      </c>
      <c r="DR11" s="49" t="s">
        <v>13</v>
      </c>
      <c r="DS11" s="49" t="s">
        <v>59</v>
      </c>
      <c r="DT11" s="49" t="s">
        <v>20</v>
      </c>
      <c r="DU11" s="49" t="s">
        <v>20</v>
      </c>
      <c r="DV11" s="49" t="s">
        <v>20</v>
      </c>
      <c r="DW11" s="49" t="s">
        <v>13</v>
      </c>
      <c r="DX11" s="49" t="s">
        <v>20</v>
      </c>
      <c r="DY11" s="49" t="s">
        <v>20</v>
      </c>
      <c r="DZ11" s="49" t="s">
        <v>20</v>
      </c>
      <c r="EA11" s="49" t="s">
        <v>13</v>
      </c>
      <c r="EB11" s="49" t="s">
        <v>59</v>
      </c>
      <c r="EC11" s="49" t="s">
        <v>13</v>
      </c>
      <c r="ED11" s="49" t="s">
        <v>20</v>
      </c>
      <c r="EE11" s="49" t="s">
        <v>13</v>
      </c>
      <c r="EF11" s="49" t="s">
        <v>59</v>
      </c>
      <c r="EG11" s="49" t="s">
        <v>59</v>
      </c>
      <c r="EH11" s="49" t="s">
        <v>20</v>
      </c>
      <c r="EI11" s="49" t="s">
        <v>20</v>
      </c>
      <c r="EJ11" s="49" t="s">
        <v>59</v>
      </c>
      <c r="EK11" s="49" t="s">
        <v>59</v>
      </c>
      <c r="EL11" s="49" t="s">
        <v>59</v>
      </c>
      <c r="EM11" s="49" t="s">
        <v>13</v>
      </c>
      <c r="EN11" s="49" t="s">
        <v>13</v>
      </c>
      <c r="EO11" s="49" t="s">
        <v>20</v>
      </c>
      <c r="EP11" s="101" t="s">
        <v>59</v>
      </c>
      <c r="EQ11" s="49" t="s">
        <v>20</v>
      </c>
      <c r="ER11" s="49" t="s">
        <v>13</v>
      </c>
      <c r="ES11" s="49" t="s">
        <v>20</v>
      </c>
      <c r="ET11" s="49" t="s">
        <v>20</v>
      </c>
      <c r="EU11" s="49" t="s">
        <v>59</v>
      </c>
      <c r="EV11" s="49" t="s">
        <v>59</v>
      </c>
      <c r="EW11" s="49" t="s">
        <v>59</v>
      </c>
      <c r="EX11" s="49" t="s">
        <v>59</v>
      </c>
      <c r="EY11" s="49" t="s">
        <v>20</v>
      </c>
      <c r="EZ11" s="49" t="s">
        <v>20</v>
      </c>
      <c r="FA11" s="49" t="s">
        <v>20</v>
      </c>
      <c r="FB11" s="49" t="s">
        <v>20</v>
      </c>
      <c r="FC11" s="49" t="s">
        <v>20</v>
      </c>
      <c r="FD11" s="49" t="s">
        <v>20</v>
      </c>
      <c r="FE11" s="49" t="s">
        <v>20</v>
      </c>
      <c r="FF11" s="49" t="s">
        <v>20</v>
      </c>
      <c r="FG11" s="49" t="s">
        <v>20</v>
      </c>
      <c r="FH11" s="49" t="s">
        <v>59</v>
      </c>
      <c r="FI11" s="49" t="s">
        <v>59</v>
      </c>
      <c r="FJ11" s="49" t="s">
        <v>20</v>
      </c>
      <c r="FK11" s="49" t="s">
        <v>59</v>
      </c>
      <c r="FL11" s="49" t="s">
        <v>13</v>
      </c>
      <c r="FM11" s="49" t="s">
        <v>13</v>
      </c>
      <c r="FN11" s="49" t="s">
        <v>20</v>
      </c>
      <c r="FO11" s="49" t="s">
        <v>20</v>
      </c>
      <c r="FP11" s="49" t="s">
        <v>20</v>
      </c>
      <c r="FQ11" s="49" t="s">
        <v>20</v>
      </c>
      <c r="FR11" s="49" t="s">
        <v>20</v>
      </c>
      <c r="FS11" s="49" t="s">
        <v>20</v>
      </c>
      <c r="FT11" s="49" t="s">
        <v>20</v>
      </c>
      <c r="FU11" s="49" t="s">
        <v>13</v>
      </c>
      <c r="FV11" s="49" t="s">
        <v>13</v>
      </c>
      <c r="FW11" s="49" t="s">
        <v>20</v>
      </c>
      <c r="FX11" s="49" t="s">
        <v>20</v>
      </c>
      <c r="FY11" s="49" t="s">
        <v>20</v>
      </c>
      <c r="FZ11" s="49" t="s">
        <v>20</v>
      </c>
      <c r="GA11" s="49" t="s">
        <v>20</v>
      </c>
      <c r="GB11" s="49" t="s">
        <v>13</v>
      </c>
      <c r="GC11" s="49" t="s">
        <v>13</v>
      </c>
      <c r="GD11" s="49" t="s">
        <v>13</v>
      </c>
      <c r="GE11" s="49" t="s">
        <v>13</v>
      </c>
      <c r="GF11" s="49" t="s">
        <v>20</v>
      </c>
      <c r="GG11" s="49" t="s">
        <v>20</v>
      </c>
      <c r="GH11" s="49" t="s">
        <v>20</v>
      </c>
      <c r="GI11" s="49" t="s">
        <v>20</v>
      </c>
      <c r="GJ11" s="49" t="s">
        <v>20</v>
      </c>
      <c r="GK11" s="49" t="s">
        <v>59</v>
      </c>
      <c r="GL11" s="49" t="s">
        <v>20</v>
      </c>
      <c r="GM11" s="49" t="s">
        <v>20</v>
      </c>
      <c r="GN11" s="49" t="s">
        <v>20</v>
      </c>
      <c r="GO11" s="49" t="s">
        <v>20</v>
      </c>
      <c r="GP11" s="49" t="s">
        <v>20</v>
      </c>
      <c r="GQ11" s="49" t="s">
        <v>20</v>
      </c>
      <c r="GR11" s="49" t="s">
        <v>20</v>
      </c>
      <c r="GS11" s="49" t="s">
        <v>20</v>
      </c>
      <c r="GT11" s="49" t="s">
        <v>20</v>
      </c>
      <c r="GU11" s="49" t="s">
        <v>20</v>
      </c>
      <c r="GV11" s="49" t="s">
        <v>20</v>
      </c>
      <c r="GW11" s="49" t="s">
        <v>20</v>
      </c>
      <c r="GX11" s="49" t="s">
        <v>20</v>
      </c>
      <c r="GY11" s="49" t="s">
        <v>20</v>
      </c>
      <c r="GZ11" s="49" t="s">
        <v>20</v>
      </c>
      <c r="HA11" s="49" t="s">
        <v>20</v>
      </c>
      <c r="HB11" s="49" t="s">
        <v>20</v>
      </c>
      <c r="HC11" s="49" t="s">
        <v>20</v>
      </c>
      <c r="HD11" s="49" t="s">
        <v>20</v>
      </c>
      <c r="HE11" s="49" t="s">
        <v>20</v>
      </c>
      <c r="HF11" s="49" t="s">
        <v>20</v>
      </c>
      <c r="HG11" s="49" t="s">
        <v>20</v>
      </c>
      <c r="HH11" s="49" t="s">
        <v>20</v>
      </c>
      <c r="HI11" s="49" t="s">
        <v>20</v>
      </c>
      <c r="HJ11" s="49" t="s">
        <v>20</v>
      </c>
      <c r="HK11" s="49" t="s">
        <v>20</v>
      </c>
      <c r="HL11" s="49" t="s">
        <v>20</v>
      </c>
      <c r="HM11" s="49" t="s">
        <v>20</v>
      </c>
      <c r="HN11" s="49" t="s">
        <v>20</v>
      </c>
      <c r="HO11" s="49" t="s">
        <v>20</v>
      </c>
      <c r="HP11" s="49" t="s">
        <v>20</v>
      </c>
      <c r="HQ11" s="49" t="s">
        <v>20</v>
      </c>
      <c r="HR11" s="49" t="s">
        <v>20</v>
      </c>
      <c r="HS11" s="49" t="s">
        <v>20</v>
      </c>
      <c r="HT11" s="49" t="s">
        <v>59</v>
      </c>
      <c r="HU11" s="49" t="s">
        <v>59</v>
      </c>
      <c r="HV11" s="49" t="s">
        <v>20</v>
      </c>
      <c r="HW11" s="49" t="s">
        <v>20</v>
      </c>
      <c r="HX11" s="49" t="s">
        <v>20</v>
      </c>
      <c r="HY11" s="49" t="s">
        <v>20</v>
      </c>
      <c r="HZ11" s="49" t="s">
        <v>20</v>
      </c>
      <c r="IA11" s="49" t="s">
        <v>20</v>
      </c>
      <c r="IB11" s="49" t="s">
        <v>59</v>
      </c>
      <c r="IC11" s="49" t="s">
        <v>20</v>
      </c>
      <c r="ID11" s="49" t="s">
        <v>20</v>
      </c>
      <c r="IE11" s="49" t="s">
        <v>20</v>
      </c>
      <c r="IF11" s="49" t="s">
        <v>20</v>
      </c>
      <c r="IG11" s="49" t="s">
        <v>20</v>
      </c>
      <c r="IH11" s="49" t="s">
        <v>20</v>
      </c>
      <c r="II11" s="49" t="s">
        <v>20</v>
      </c>
      <c r="IJ11" s="49" t="s">
        <v>20</v>
      </c>
      <c r="IK11" s="49" t="s">
        <v>20</v>
      </c>
      <c r="IL11" s="49" t="s">
        <v>20</v>
      </c>
      <c r="IM11" s="49" t="s">
        <v>20</v>
      </c>
      <c r="IN11" s="49" t="s">
        <v>20</v>
      </c>
      <c r="IO11" s="49" t="s">
        <v>20</v>
      </c>
      <c r="IP11" s="49" t="s">
        <v>20</v>
      </c>
      <c r="IQ11" s="49" t="s">
        <v>20</v>
      </c>
      <c r="IR11" s="49" t="s">
        <v>20</v>
      </c>
      <c r="IS11" s="49" t="s">
        <v>20</v>
      </c>
      <c r="IT11" s="49" t="s">
        <v>20</v>
      </c>
      <c r="IU11" s="49" t="s">
        <v>20</v>
      </c>
      <c r="IV11" s="49" t="s">
        <v>20</v>
      </c>
      <c r="IW11" s="49" t="s">
        <v>20</v>
      </c>
      <c r="IX11" s="49" t="s">
        <v>20</v>
      </c>
      <c r="IY11" s="49" t="s">
        <v>59</v>
      </c>
      <c r="IZ11" s="49" t="s">
        <v>20</v>
      </c>
      <c r="JA11" s="49" t="s">
        <v>59</v>
      </c>
      <c r="JB11" s="49" t="s">
        <v>20</v>
      </c>
      <c r="JC11" s="49" t="s">
        <v>59</v>
      </c>
      <c r="JD11" s="49" t="s">
        <v>20</v>
      </c>
      <c r="JE11" s="49" t="s">
        <v>59</v>
      </c>
      <c r="JF11" s="49" t="s">
        <v>20</v>
      </c>
      <c r="JG11" s="49" t="s">
        <v>59</v>
      </c>
      <c r="JH11" s="49" t="s">
        <v>59</v>
      </c>
      <c r="JI11" s="49" t="s">
        <v>20</v>
      </c>
      <c r="JJ11" s="49" t="s">
        <v>20</v>
      </c>
      <c r="JK11" s="49" t="s">
        <v>59</v>
      </c>
      <c r="JL11" s="49" t="s">
        <v>59</v>
      </c>
      <c r="JM11" s="49" t="s">
        <v>20</v>
      </c>
      <c r="JN11" s="49" t="s">
        <v>20</v>
      </c>
      <c r="JO11" s="49" t="s">
        <v>59</v>
      </c>
      <c r="JP11" s="49" t="s">
        <v>20</v>
      </c>
      <c r="JQ11" s="49" t="s">
        <v>59</v>
      </c>
      <c r="JR11" s="49" t="s">
        <v>20</v>
      </c>
      <c r="JS11" s="408" t="s">
        <v>20</v>
      </c>
      <c r="JT11" s="49" t="s">
        <v>20</v>
      </c>
      <c r="JU11" s="49" t="s">
        <v>20</v>
      </c>
      <c r="JV11" s="49" t="s">
        <v>20</v>
      </c>
      <c r="JW11" s="49" t="s">
        <v>20</v>
      </c>
      <c r="JX11" s="49" t="s">
        <v>20</v>
      </c>
      <c r="JY11" s="49" t="s">
        <v>20</v>
      </c>
      <c r="JZ11" s="49" t="s">
        <v>20</v>
      </c>
      <c r="KA11" s="49" t="s">
        <v>20</v>
      </c>
      <c r="KB11" s="49" t="s">
        <v>20</v>
      </c>
      <c r="KC11" s="49" t="s">
        <v>20</v>
      </c>
      <c r="KD11" s="49" t="s">
        <v>20</v>
      </c>
      <c r="KE11" s="101" t="s">
        <v>20</v>
      </c>
      <c r="KF11" s="49" t="s">
        <v>20</v>
      </c>
      <c r="KG11" s="49" t="s">
        <v>20</v>
      </c>
      <c r="KH11" s="49" t="s">
        <v>20</v>
      </c>
      <c r="KI11" s="49" t="s">
        <v>20</v>
      </c>
      <c r="KJ11" s="49" t="s">
        <v>20</v>
      </c>
      <c r="KK11" s="49" t="s">
        <v>20</v>
      </c>
      <c r="KL11" s="49" t="s">
        <v>20</v>
      </c>
      <c r="KM11" s="49" t="s">
        <v>20</v>
      </c>
      <c r="KN11" s="72" t="s">
        <v>20</v>
      </c>
      <c r="KO11" s="72" t="s">
        <v>59</v>
      </c>
      <c r="KP11" s="72" t="s">
        <v>20</v>
      </c>
      <c r="KQ11" s="72" t="s">
        <v>20</v>
      </c>
      <c r="KR11" s="94" t="s">
        <v>59</v>
      </c>
      <c r="KS11" s="49" t="s">
        <v>20</v>
      </c>
      <c r="KT11" s="49" t="s">
        <v>59</v>
      </c>
      <c r="KU11" s="49" t="s">
        <v>59</v>
      </c>
      <c r="KV11" s="49" t="s">
        <v>59</v>
      </c>
      <c r="KW11" s="93" t="s">
        <v>20</v>
      </c>
      <c r="KX11" s="49" t="s">
        <v>20</v>
      </c>
      <c r="KY11" s="93" t="s">
        <v>20</v>
      </c>
      <c r="KZ11" s="49" t="s">
        <v>20</v>
      </c>
      <c r="LA11" s="49" t="s">
        <v>59</v>
      </c>
      <c r="LB11" s="49" t="s">
        <v>20</v>
      </c>
      <c r="LC11" s="49" t="s">
        <v>59</v>
      </c>
      <c r="LD11" s="49" t="s">
        <v>31</v>
      </c>
      <c r="LE11" s="49"/>
      <c r="LF11" s="49"/>
      <c r="LG11" s="49" t="s">
        <v>20</v>
      </c>
      <c r="LH11" s="49" t="s">
        <v>20</v>
      </c>
      <c r="LI11" s="49" t="s">
        <v>20</v>
      </c>
      <c r="LJ11" s="49" t="s">
        <v>20</v>
      </c>
      <c r="LK11" s="49" t="s">
        <v>20</v>
      </c>
      <c r="LL11" s="49" t="s">
        <v>20</v>
      </c>
      <c r="LM11" s="49" t="s">
        <v>20</v>
      </c>
      <c r="LN11" s="49" t="s">
        <v>20</v>
      </c>
      <c r="LO11" s="49" t="s">
        <v>20</v>
      </c>
      <c r="LP11" s="49" t="s">
        <v>20</v>
      </c>
      <c r="LQ11" s="49" t="s">
        <v>20</v>
      </c>
      <c r="LR11" s="49" t="s">
        <v>20</v>
      </c>
      <c r="LS11" s="49" t="s">
        <v>20</v>
      </c>
      <c r="LT11" s="49" t="s">
        <v>20</v>
      </c>
      <c r="LU11" s="49" t="s">
        <v>20</v>
      </c>
      <c r="LV11" s="49" t="s">
        <v>20</v>
      </c>
      <c r="LW11" s="49" t="s">
        <v>59</v>
      </c>
      <c r="LX11" s="49" t="s">
        <v>59</v>
      </c>
      <c r="LY11" s="49" t="s">
        <v>59</v>
      </c>
      <c r="LZ11" s="49" t="s">
        <v>59</v>
      </c>
      <c r="MA11" s="49" t="s">
        <v>59</v>
      </c>
      <c r="MB11" s="49" t="s">
        <v>20</v>
      </c>
      <c r="MC11" s="49" t="s">
        <v>20</v>
      </c>
      <c r="MD11" s="49" t="s">
        <v>20</v>
      </c>
      <c r="ME11" s="49" t="s">
        <v>20</v>
      </c>
      <c r="MF11" s="49" t="s">
        <v>20</v>
      </c>
      <c r="MG11" s="49" t="s">
        <v>20</v>
      </c>
      <c r="MH11" s="49" t="s">
        <v>20</v>
      </c>
      <c r="MI11" s="49" t="s">
        <v>59</v>
      </c>
      <c r="MJ11" s="49" t="s">
        <v>59</v>
      </c>
      <c r="MK11" s="49" t="s">
        <v>59</v>
      </c>
      <c r="ML11" s="49" t="s">
        <v>59</v>
      </c>
      <c r="MM11" s="49" t="s">
        <v>59</v>
      </c>
      <c r="MN11" s="49" t="s">
        <v>59</v>
      </c>
      <c r="MO11" s="49" t="s">
        <v>59</v>
      </c>
      <c r="MP11" s="49" t="s">
        <v>59</v>
      </c>
      <c r="MQ11" s="49" t="s">
        <v>59</v>
      </c>
      <c r="MR11" s="49" t="s">
        <v>59</v>
      </c>
      <c r="MS11" s="49" t="s">
        <v>59</v>
      </c>
      <c r="MT11" s="49" t="s">
        <v>20</v>
      </c>
      <c r="MU11" s="49" t="s">
        <v>20</v>
      </c>
      <c r="MV11" s="49" t="s">
        <v>59</v>
      </c>
      <c r="MW11" s="49" t="s">
        <v>20</v>
      </c>
      <c r="MX11" s="49" t="s">
        <v>20</v>
      </c>
      <c r="MY11" s="49" t="s">
        <v>20</v>
      </c>
      <c r="MZ11" s="49" t="s">
        <v>20</v>
      </c>
      <c r="NA11" s="49" t="s">
        <v>20</v>
      </c>
      <c r="NB11" s="49" t="s">
        <v>20</v>
      </c>
      <c r="NC11" s="49" t="s">
        <v>20</v>
      </c>
      <c r="ND11" s="49" t="s">
        <v>20</v>
      </c>
      <c r="NE11" s="49" t="s">
        <v>20</v>
      </c>
      <c r="NF11" s="49" t="s">
        <v>20</v>
      </c>
      <c r="NG11" s="49" t="s">
        <v>20</v>
      </c>
      <c r="NH11" s="49"/>
      <c r="NI11" s="49" t="s">
        <v>59</v>
      </c>
      <c r="NJ11" s="49" t="s">
        <v>13</v>
      </c>
      <c r="NK11" s="49" t="s">
        <v>20</v>
      </c>
      <c r="NL11" s="94" t="s">
        <v>13</v>
      </c>
      <c r="NM11" s="94" t="s">
        <v>13</v>
      </c>
      <c r="NN11" s="123" t="s">
        <v>59</v>
      </c>
      <c r="NO11" s="123" t="s">
        <v>59</v>
      </c>
      <c r="NP11" s="94" t="s">
        <v>20</v>
      </c>
      <c r="NQ11" s="94" t="s">
        <v>59</v>
      </c>
      <c r="NR11" s="94" t="s">
        <v>59</v>
      </c>
      <c r="NS11" s="94" t="s">
        <v>20</v>
      </c>
      <c r="NT11" s="123" t="s">
        <v>20</v>
      </c>
      <c r="NU11" s="123" t="s">
        <v>20</v>
      </c>
    </row>
    <row r="12" spans="1:385" s="26" customFormat="1" ht="12.1" customHeight="1" x14ac:dyDescent="0.25">
      <c r="A12" s="4" t="s">
        <v>0</v>
      </c>
      <c r="B12" s="24" t="s">
        <v>263</v>
      </c>
      <c r="C12" s="24" t="s">
        <v>1</v>
      </c>
      <c r="D12" s="24" t="s">
        <v>2</v>
      </c>
      <c r="E12" s="25" t="s">
        <v>3</v>
      </c>
      <c r="F12" s="25" t="s">
        <v>122</v>
      </c>
      <c r="G12" s="25" t="s">
        <v>234</v>
      </c>
      <c r="H12" s="25" t="s">
        <v>77</v>
      </c>
      <c r="I12" s="4" t="s">
        <v>4</v>
      </c>
      <c r="J12" s="4" t="s">
        <v>5</v>
      </c>
      <c r="K12" s="4"/>
      <c r="L12" s="4" t="s">
        <v>71</v>
      </c>
      <c r="M12" s="4" t="s">
        <v>72</v>
      </c>
      <c r="N12" s="4" t="s">
        <v>73</v>
      </c>
      <c r="O12" s="4" t="s">
        <v>102</v>
      </c>
      <c r="P12" s="4" t="s">
        <v>103</v>
      </c>
      <c r="Q12" s="4" t="s">
        <v>104</v>
      </c>
      <c r="R12" s="4" t="s">
        <v>105</v>
      </c>
      <c r="S12" s="4" t="s">
        <v>110</v>
      </c>
      <c r="T12" s="4" t="s">
        <v>8</v>
      </c>
      <c r="U12" s="4" t="s">
        <v>9</v>
      </c>
      <c r="V12" s="4" t="s">
        <v>106</v>
      </c>
      <c r="W12" s="4" t="s">
        <v>21</v>
      </c>
      <c r="X12" s="4" t="s">
        <v>254</v>
      </c>
      <c r="Y12" s="4" t="s">
        <v>6</v>
      </c>
      <c r="Z12" s="4"/>
      <c r="AA12" s="4" t="s">
        <v>7</v>
      </c>
      <c r="AB12" s="4" t="s">
        <v>107</v>
      </c>
      <c r="AC12" s="4" t="s">
        <v>19</v>
      </c>
      <c r="AD12" s="4" t="s">
        <v>75</v>
      </c>
      <c r="AE12" s="4" t="s">
        <v>108</v>
      </c>
      <c r="AF12" s="4" t="s">
        <v>109</v>
      </c>
      <c r="AG12" s="4" t="s">
        <v>22</v>
      </c>
      <c r="AH12" s="4" t="s">
        <v>23</v>
      </c>
      <c r="AI12" s="4" t="s">
        <v>1122</v>
      </c>
      <c r="AJ12" s="4" t="s">
        <v>435</v>
      </c>
      <c r="AK12" s="4" t="s">
        <v>136</v>
      </c>
      <c r="AL12" s="4"/>
      <c r="AM12" s="4"/>
      <c r="AN12" s="4" t="s">
        <v>707</v>
      </c>
      <c r="AO12" s="4" t="s">
        <v>1075</v>
      </c>
      <c r="AP12" s="4" t="s">
        <v>126</v>
      </c>
      <c r="AQ12" s="4" t="s">
        <v>117</v>
      </c>
      <c r="AR12" s="4" t="s">
        <v>880</v>
      </c>
      <c r="AS12" s="4" t="s">
        <v>1022</v>
      </c>
      <c r="AT12" s="4" t="s">
        <v>260</v>
      </c>
      <c r="AU12" s="4" t="s">
        <v>259</v>
      </c>
      <c r="AV12" s="4" t="s">
        <v>883</v>
      </c>
      <c r="AW12" s="4" t="s">
        <v>34</v>
      </c>
      <c r="AX12" s="4" t="s">
        <v>35</v>
      </c>
      <c r="AY12" s="4" t="s">
        <v>142</v>
      </c>
      <c r="AZ12" s="4" t="s">
        <v>95</v>
      </c>
      <c r="BA12" s="4" t="s">
        <v>36</v>
      </c>
      <c r="BB12" s="4" t="s">
        <v>37</v>
      </c>
      <c r="BC12" s="4"/>
      <c r="BD12" s="4"/>
      <c r="BE12" s="4" t="s">
        <v>135</v>
      </c>
      <c r="BF12" s="4"/>
      <c r="BG12" s="4" t="s">
        <v>208</v>
      </c>
      <c r="BH12" s="4" t="s">
        <v>42</v>
      </c>
      <c r="BI12" s="4" t="s">
        <v>43</v>
      </c>
      <c r="BJ12" s="4" t="s">
        <v>44</v>
      </c>
      <c r="BK12" s="4" t="s">
        <v>268</v>
      </c>
      <c r="BL12" s="4" t="s">
        <v>101</v>
      </c>
      <c r="BM12" s="4" t="s">
        <v>269</v>
      </c>
      <c r="BN12" s="4" t="s">
        <v>270</v>
      </c>
      <c r="BO12" s="4"/>
      <c r="BP12" s="4" t="s">
        <v>271</v>
      </c>
      <c r="BQ12" s="4" t="s">
        <v>30</v>
      </c>
      <c r="BR12" s="4" t="s">
        <v>32</v>
      </c>
      <c r="BS12" s="4" t="s">
        <v>33</v>
      </c>
      <c r="BT12" s="4" t="s">
        <v>681</v>
      </c>
      <c r="BU12" s="4" t="s">
        <v>682</v>
      </c>
      <c r="BV12" s="4" t="s">
        <v>275</v>
      </c>
      <c r="BW12" s="4" t="s">
        <v>66</v>
      </c>
      <c r="BX12" s="4" t="s">
        <v>276</v>
      </c>
      <c r="BY12" s="4" t="s">
        <v>1112</v>
      </c>
      <c r="BZ12" s="4" t="s">
        <v>277</v>
      </c>
      <c r="CA12" s="4" t="s">
        <v>1018</v>
      </c>
      <c r="CB12" s="4" t="s">
        <v>115</v>
      </c>
      <c r="CC12" s="4" t="s">
        <v>848</v>
      </c>
      <c r="CD12" s="4" t="s">
        <v>93</v>
      </c>
      <c r="CE12" s="4" t="s">
        <v>1014</v>
      </c>
      <c r="CF12" s="4" t="s">
        <v>1021</v>
      </c>
      <c r="CG12" s="4" t="s">
        <v>64</v>
      </c>
      <c r="CH12" s="4" t="s">
        <v>815</v>
      </c>
      <c r="CI12" s="4" t="s">
        <v>1055</v>
      </c>
      <c r="CJ12" s="4" t="s">
        <v>1070</v>
      </c>
      <c r="CK12" s="4" t="s">
        <v>47</v>
      </c>
      <c r="CL12" s="4" t="s">
        <v>1017</v>
      </c>
      <c r="CM12" s="4" t="s">
        <v>48</v>
      </c>
      <c r="CN12" s="4" t="s">
        <v>814</v>
      </c>
      <c r="CO12" s="4" t="s">
        <v>284</v>
      </c>
      <c r="CP12" s="4" t="s">
        <v>216</v>
      </c>
      <c r="CQ12" s="4" t="s">
        <v>57</v>
      </c>
      <c r="CR12" s="4" t="s">
        <v>492</v>
      </c>
      <c r="CS12" s="4" t="s">
        <v>58</v>
      </c>
      <c r="CT12" s="4" t="s">
        <v>183</v>
      </c>
      <c r="CU12" s="4" t="s">
        <v>816</v>
      </c>
      <c r="CV12" s="4"/>
      <c r="CW12" s="4" t="s">
        <v>187</v>
      </c>
      <c r="CX12" s="4" t="s">
        <v>49</v>
      </c>
      <c r="CY12" s="4" t="s">
        <v>817</v>
      </c>
      <c r="CZ12" s="4" t="s">
        <v>190</v>
      </c>
      <c r="DA12" s="4" t="s">
        <v>818</v>
      </c>
      <c r="DB12" s="4" t="s">
        <v>1083</v>
      </c>
      <c r="DC12" s="4"/>
      <c r="DD12" s="4"/>
      <c r="DE12" s="4"/>
      <c r="DF12" s="4" t="s">
        <v>866</v>
      </c>
      <c r="DG12" s="4" t="s">
        <v>179</v>
      </c>
      <c r="DH12" s="4" t="s">
        <v>845</v>
      </c>
      <c r="DI12" s="4" t="s">
        <v>1076</v>
      </c>
      <c r="DJ12" s="4" t="s">
        <v>192</v>
      </c>
      <c r="DK12" s="4" t="s">
        <v>1005</v>
      </c>
      <c r="DL12" s="4"/>
      <c r="DM12" s="4"/>
      <c r="DN12" s="4"/>
      <c r="DO12" s="4"/>
      <c r="DP12" s="4"/>
      <c r="DQ12" s="4" t="s">
        <v>257</v>
      </c>
      <c r="DR12" s="4" t="s">
        <v>819</v>
      </c>
      <c r="DS12" s="4"/>
      <c r="DT12" s="4" t="s">
        <v>194</v>
      </c>
      <c r="DU12" s="4" t="s">
        <v>195</v>
      </c>
      <c r="DV12" s="4" t="s">
        <v>196</v>
      </c>
      <c r="DW12" s="4" t="s">
        <v>820</v>
      </c>
      <c r="DX12" s="4" t="s">
        <v>849</v>
      </c>
      <c r="DY12" s="4" t="s">
        <v>253</v>
      </c>
      <c r="DZ12" s="4" t="s">
        <v>197</v>
      </c>
      <c r="EA12" s="4" t="s">
        <v>821</v>
      </c>
      <c r="EB12" s="4"/>
      <c r="EC12" s="4" t="s">
        <v>822</v>
      </c>
      <c r="ED12" s="4" t="s">
        <v>474</v>
      </c>
      <c r="EE12" s="4" t="s">
        <v>823</v>
      </c>
      <c r="EF12" s="4"/>
      <c r="EG12" s="4"/>
      <c r="EH12" s="4" t="s">
        <v>97</v>
      </c>
      <c r="EI12" s="4" t="s">
        <v>1077</v>
      </c>
      <c r="EJ12" s="4"/>
      <c r="EK12" s="4"/>
      <c r="EL12" s="4"/>
      <c r="EM12" s="4" t="s">
        <v>301</v>
      </c>
      <c r="EN12" s="4" t="s">
        <v>676</v>
      </c>
      <c r="EO12" s="4" t="s">
        <v>298</v>
      </c>
      <c r="EP12" s="97"/>
      <c r="EQ12" s="4" t="s">
        <v>296</v>
      </c>
      <c r="ER12" s="4" t="s">
        <v>846</v>
      </c>
      <c r="ES12" s="4" t="s">
        <v>297</v>
      </c>
      <c r="ET12" s="4" t="s">
        <v>299</v>
      </c>
      <c r="EU12" s="4" t="s">
        <v>1121</v>
      </c>
      <c r="EV12" s="4"/>
      <c r="EW12" s="4"/>
      <c r="EX12" s="4"/>
      <c r="EY12" s="4" t="s">
        <v>850</v>
      </c>
      <c r="EZ12" s="4" t="s">
        <v>851</v>
      </c>
      <c r="FA12" s="4" t="s">
        <v>79</v>
      </c>
      <c r="FB12" s="4" t="s">
        <v>80</v>
      </c>
      <c r="FC12" s="4" t="s">
        <v>239</v>
      </c>
      <c r="FD12" s="4" t="s">
        <v>240</v>
      </c>
      <c r="FE12" s="4" t="s">
        <v>313</v>
      </c>
      <c r="FF12" s="4" t="s">
        <v>238</v>
      </c>
      <c r="FG12" s="4" t="s">
        <v>910</v>
      </c>
      <c r="FH12" s="4"/>
      <c r="FI12" s="4"/>
      <c r="FJ12" s="4" t="s">
        <v>235</v>
      </c>
      <c r="FK12" s="4"/>
      <c r="FL12" s="4" t="s">
        <v>289</v>
      </c>
      <c r="FM12" s="4" t="s">
        <v>290</v>
      </c>
      <c r="FN12" s="4" t="s">
        <v>2317</v>
      </c>
      <c r="FO12" s="4" t="s">
        <v>410</v>
      </c>
      <c r="FP12" s="4" t="s">
        <v>225</v>
      </c>
      <c r="FQ12" s="4" t="s">
        <v>314</v>
      </c>
      <c r="FR12" s="4" t="s">
        <v>211</v>
      </c>
      <c r="FS12" s="4" t="s">
        <v>213</v>
      </c>
      <c r="FT12" s="4" t="s">
        <v>1049</v>
      </c>
      <c r="FU12" s="4" t="s">
        <v>316</v>
      </c>
      <c r="FV12" s="121" t="s">
        <v>317</v>
      </c>
      <c r="FW12" s="4" t="s">
        <v>325</v>
      </c>
      <c r="FX12" s="4" t="s">
        <v>224</v>
      </c>
      <c r="FY12" s="4" t="s">
        <v>326</v>
      </c>
      <c r="FZ12" s="4" t="s">
        <v>1050</v>
      </c>
      <c r="GA12" s="4" t="s">
        <v>1807</v>
      </c>
      <c r="GB12" s="4" t="s">
        <v>1805</v>
      </c>
      <c r="GC12" s="4" t="s">
        <v>227</v>
      </c>
      <c r="GD12" s="4" t="s">
        <v>288</v>
      </c>
      <c r="GE12" s="4" t="s">
        <v>286</v>
      </c>
      <c r="GF12" s="4" t="s">
        <v>2316</v>
      </c>
      <c r="GG12" s="4" t="s">
        <v>1006</v>
      </c>
      <c r="GH12" s="4" t="s">
        <v>1073</v>
      </c>
      <c r="GI12" s="4" t="s">
        <v>899</v>
      </c>
      <c r="GJ12" s="4" t="s">
        <v>1011</v>
      </c>
      <c r="GK12" s="4"/>
      <c r="GL12" s="4" t="s">
        <v>864</v>
      </c>
      <c r="GM12" s="4" t="s">
        <v>714</v>
      </c>
      <c r="GN12" s="4" t="s">
        <v>1078</v>
      </c>
      <c r="GO12" s="4" t="s">
        <v>1079</v>
      </c>
      <c r="GP12" s="4" t="s">
        <v>926</v>
      </c>
      <c r="GQ12" s="4" t="s">
        <v>94</v>
      </c>
      <c r="GR12" s="4" t="s">
        <v>734</v>
      </c>
      <c r="GS12" s="4" t="s">
        <v>884</v>
      </c>
      <c r="GT12" s="4" t="s">
        <v>92</v>
      </c>
      <c r="GU12" s="4" t="s">
        <v>1080</v>
      </c>
      <c r="GV12" s="4" t="s">
        <v>743</v>
      </c>
      <c r="GW12" s="4" t="s">
        <v>745</v>
      </c>
      <c r="GX12" s="4" t="s">
        <v>746</v>
      </c>
      <c r="GY12" s="4" t="s">
        <v>749</v>
      </c>
      <c r="GZ12" s="4" t="s">
        <v>1081</v>
      </c>
      <c r="HA12" s="4" t="s">
        <v>750</v>
      </c>
      <c r="HB12" s="4" t="s">
        <v>862</v>
      </c>
      <c r="HC12" s="4" t="s">
        <v>753</v>
      </c>
      <c r="HD12" s="4" t="s">
        <v>863</v>
      </c>
      <c r="HE12" s="4" t="s">
        <v>852</v>
      </c>
      <c r="HF12" s="4" t="s">
        <v>853</v>
      </c>
      <c r="HG12" s="4" t="s">
        <v>854</v>
      </c>
      <c r="HH12" s="4" t="s">
        <v>855</v>
      </c>
      <c r="HI12" s="4" t="s">
        <v>860</v>
      </c>
      <c r="HJ12" s="4" t="s">
        <v>861</v>
      </c>
      <c r="HK12" s="4" t="s">
        <v>856</v>
      </c>
      <c r="HL12" s="4" t="s">
        <v>857</v>
      </c>
      <c r="HM12" s="4" t="s">
        <v>858</v>
      </c>
      <c r="HN12" s="4" t="s">
        <v>752</v>
      </c>
      <c r="HO12" s="4" t="s">
        <v>906</v>
      </c>
      <c r="HP12" s="4" t="s">
        <v>907</v>
      </c>
      <c r="HQ12" s="4" t="s">
        <v>908</v>
      </c>
      <c r="HR12" s="4" t="s">
        <v>909</v>
      </c>
      <c r="HS12" s="4" t="s">
        <v>918</v>
      </c>
      <c r="HT12" s="4"/>
      <c r="HU12" s="4"/>
      <c r="HV12" s="4" t="s">
        <v>922</v>
      </c>
      <c r="HW12" s="4" t="s">
        <v>923</v>
      </c>
      <c r="HX12" s="4" t="s">
        <v>925</v>
      </c>
      <c r="HY12" s="4" t="s">
        <v>760</v>
      </c>
      <c r="HZ12" s="4" t="s">
        <v>927</v>
      </c>
      <c r="IA12" s="4" t="s">
        <v>791</v>
      </c>
      <c r="IB12" s="4"/>
      <c r="IC12" s="4" t="s">
        <v>82</v>
      </c>
      <c r="ID12" s="4" t="s">
        <v>81</v>
      </c>
      <c r="IE12" s="4" t="s">
        <v>226</v>
      </c>
      <c r="IF12" s="4" t="s">
        <v>337</v>
      </c>
      <c r="IG12" s="4" t="s">
        <v>840</v>
      </c>
      <c r="IH12" s="4" t="s">
        <v>1082</v>
      </c>
      <c r="II12" s="4" t="s">
        <v>1048</v>
      </c>
      <c r="IJ12" s="4" t="s">
        <v>1013</v>
      </c>
      <c r="IK12" s="4" t="s">
        <v>1074</v>
      </c>
      <c r="IL12" s="4" t="s">
        <v>78</v>
      </c>
      <c r="IM12" s="4" t="s">
        <v>50</v>
      </c>
      <c r="IN12" s="4" t="s">
        <v>357</v>
      </c>
      <c r="IO12" s="4" t="s">
        <v>348</v>
      </c>
      <c r="IP12" s="4" t="s">
        <v>349</v>
      </c>
      <c r="IQ12" s="4" t="s">
        <v>61</v>
      </c>
      <c r="IR12" s="4" t="s">
        <v>111</v>
      </c>
      <c r="IS12" s="4" t="s">
        <v>112</v>
      </c>
      <c r="IT12" s="4" t="s">
        <v>159</v>
      </c>
      <c r="IU12" s="4" t="s">
        <v>346</v>
      </c>
      <c r="IV12" s="4" t="s">
        <v>312</v>
      </c>
      <c r="IW12" s="4" t="s">
        <v>150</v>
      </c>
      <c r="IX12" s="4" t="s">
        <v>878</v>
      </c>
      <c r="IY12" s="4"/>
      <c r="IZ12" s="4" t="s">
        <v>877</v>
      </c>
      <c r="JA12" s="4"/>
      <c r="JB12" s="4" t="s">
        <v>876</v>
      </c>
      <c r="JC12" s="4"/>
      <c r="JD12" s="4" t="s">
        <v>153</v>
      </c>
      <c r="JE12" s="4"/>
      <c r="JF12" s="4" t="s">
        <v>302</v>
      </c>
      <c r="JG12" s="4"/>
      <c r="JH12" s="4"/>
      <c r="JI12" s="4" t="s">
        <v>305</v>
      </c>
      <c r="JJ12" s="4" t="s">
        <v>311</v>
      </c>
      <c r="JK12" s="4"/>
      <c r="JL12" s="4"/>
      <c r="JM12" s="4" t="s">
        <v>303</v>
      </c>
      <c r="JN12" s="4" t="s">
        <v>304</v>
      </c>
      <c r="JO12" s="4"/>
      <c r="JP12" s="26" t="s">
        <v>154</v>
      </c>
      <c r="JR12" s="4" t="s">
        <v>99</v>
      </c>
      <c r="JS12" s="398" t="s">
        <v>330</v>
      </c>
      <c r="JT12" s="4" t="s">
        <v>332</v>
      </c>
      <c r="JU12" s="4" t="s">
        <v>1007</v>
      </c>
      <c r="JV12" s="4" t="s">
        <v>1008</v>
      </c>
      <c r="JW12" s="4" t="s">
        <v>788</v>
      </c>
      <c r="JX12" s="4" t="s">
        <v>789</v>
      </c>
      <c r="JY12" s="4" t="s">
        <v>790</v>
      </c>
      <c r="JZ12" s="4" t="s">
        <v>1135</v>
      </c>
      <c r="KA12" s="4" t="s">
        <v>333</v>
      </c>
      <c r="KB12" s="4" t="s">
        <v>334</v>
      </c>
      <c r="KC12" s="4" t="s">
        <v>841</v>
      </c>
      <c r="KD12" s="4" t="s">
        <v>842</v>
      </c>
      <c r="KE12" s="97" t="s">
        <v>335</v>
      </c>
      <c r="KF12" s="4" t="s">
        <v>336</v>
      </c>
      <c r="KG12" s="4" t="s">
        <v>551</v>
      </c>
      <c r="KH12" s="4" t="s">
        <v>550</v>
      </c>
      <c r="KI12" s="4" t="s">
        <v>350</v>
      </c>
      <c r="KJ12" s="4" t="s">
        <v>351</v>
      </c>
      <c r="KK12" s="4" t="s">
        <v>51</v>
      </c>
      <c r="KL12" s="4" t="s">
        <v>353</v>
      </c>
      <c r="KM12" s="4" t="s">
        <v>354</v>
      </c>
      <c r="KN12" s="4" t="s">
        <v>719</v>
      </c>
      <c r="KO12" s="4"/>
      <c r="KP12" s="4" t="s">
        <v>931</v>
      </c>
      <c r="KQ12" s="4" t="s">
        <v>928</v>
      </c>
      <c r="KS12" s="4" t="s">
        <v>199</v>
      </c>
      <c r="KT12" s="4"/>
      <c r="KU12" s="4"/>
      <c r="KV12" s="4"/>
      <c r="KW12" s="4" t="s">
        <v>202</v>
      </c>
      <c r="KX12" s="4" t="s">
        <v>203</v>
      </c>
      <c r="KY12" s="4" t="s">
        <v>200</v>
      </c>
      <c r="KZ12" s="4" t="s">
        <v>201</v>
      </c>
      <c r="LA12" s="4"/>
      <c r="LB12" s="4" t="s">
        <v>355</v>
      </c>
      <c r="LC12" s="4"/>
      <c r="LD12" s="4" t="s">
        <v>52</v>
      </c>
      <c r="LE12" s="4"/>
      <c r="LF12" s="4"/>
      <c r="LG12" s="4" t="s">
        <v>54</v>
      </c>
      <c r="LH12" s="4" t="s">
        <v>55</v>
      </c>
      <c r="LI12" s="4" t="s">
        <v>125</v>
      </c>
      <c r="LJ12" s="4" t="s">
        <v>358</v>
      </c>
      <c r="LK12" s="4" t="s">
        <v>359</v>
      </c>
      <c r="LL12" s="4" t="s">
        <v>76</v>
      </c>
      <c r="LM12" s="4" t="s">
        <v>45</v>
      </c>
      <c r="LN12" s="4" t="s">
        <v>360</v>
      </c>
      <c r="LO12" s="4" t="s">
        <v>361</v>
      </c>
      <c r="LP12" s="4" t="s">
        <v>362</v>
      </c>
      <c r="LQ12" s="4" t="s">
        <v>363</v>
      </c>
      <c r="LR12" s="4" t="s">
        <v>364</v>
      </c>
      <c r="LS12" s="4" t="s">
        <v>365</v>
      </c>
      <c r="LT12" s="4" t="s">
        <v>366</v>
      </c>
      <c r="LU12" s="4" t="s">
        <v>1775</v>
      </c>
      <c r="LV12" s="4" t="s">
        <v>1776</v>
      </c>
      <c r="LW12" s="4"/>
      <c r="LX12" s="4"/>
      <c r="LY12" s="4"/>
      <c r="LZ12" s="4"/>
      <c r="MA12" s="4"/>
      <c r="MB12" s="4" t="s">
        <v>204</v>
      </c>
      <c r="MC12" s="4" t="s">
        <v>205</v>
      </c>
      <c r="MD12" s="4" t="s">
        <v>63</v>
      </c>
      <c r="ME12" s="4" t="s">
        <v>802</v>
      </c>
      <c r="MF12" s="4" t="s">
        <v>801</v>
      </c>
      <c r="MG12" s="4" t="s">
        <v>1100</v>
      </c>
      <c r="MH12" s="4" t="s">
        <v>800</v>
      </c>
      <c r="MI12" s="4"/>
      <c r="MJ12" s="4"/>
      <c r="MK12" s="4"/>
      <c r="ML12" s="4"/>
      <c r="MM12" s="4"/>
      <c r="MN12" s="4"/>
      <c r="MO12" s="4"/>
      <c r="MP12" s="4"/>
      <c r="MQ12" s="4"/>
      <c r="MR12" s="4"/>
      <c r="MS12" s="4"/>
      <c r="MT12" s="4" t="s">
        <v>1101</v>
      </c>
      <c r="MU12" s="4" t="s">
        <v>1102</v>
      </c>
      <c r="MV12" s="4"/>
      <c r="MW12" s="4" t="s">
        <v>1103</v>
      </c>
      <c r="MX12" s="4" t="s">
        <v>1104</v>
      </c>
      <c r="MY12" s="4" t="s">
        <v>1105</v>
      </c>
      <c r="MZ12" s="4" t="s">
        <v>1106</v>
      </c>
      <c r="NA12" s="4" t="s">
        <v>1107</v>
      </c>
      <c r="NB12" s="4" t="s">
        <v>803</v>
      </c>
      <c r="NC12" s="4" t="s">
        <v>804</v>
      </c>
      <c r="ND12" s="4" t="s">
        <v>805</v>
      </c>
      <c r="NE12" s="4" t="s">
        <v>806</v>
      </c>
      <c r="NF12" s="4" t="s">
        <v>1818</v>
      </c>
      <c r="NG12" s="4" t="s">
        <v>807</v>
      </c>
      <c r="NH12" s="4"/>
      <c r="NI12" s="4"/>
      <c r="NJ12" s="4" t="s">
        <v>2793</v>
      </c>
      <c r="NK12" s="4" t="s">
        <v>114</v>
      </c>
      <c r="NL12" s="26" t="s">
        <v>1794</v>
      </c>
      <c r="NM12" s="26" t="s">
        <v>1795</v>
      </c>
      <c r="NN12" s="578"/>
      <c r="NO12" s="578"/>
      <c r="NP12" s="26" t="s">
        <v>2315</v>
      </c>
      <c r="NS12" s="26" t="s">
        <v>2791</v>
      </c>
      <c r="NT12" s="578" t="s">
        <v>2786</v>
      </c>
      <c r="NU12" s="578" t="s">
        <v>2785</v>
      </c>
    </row>
    <row r="13" spans="1:385" x14ac:dyDescent="0.2">
      <c r="NN13"/>
      <c r="NO13"/>
      <c r="NT13"/>
      <c r="NU13"/>
    </row>
    <row r="14" spans="1:385" x14ac:dyDescent="0.2">
      <c r="NN14"/>
      <c r="NO14"/>
      <c r="NT14"/>
      <c r="NU14"/>
    </row>
    <row r="15" spans="1:385" x14ac:dyDescent="0.2">
      <c r="NN15"/>
      <c r="NO15"/>
      <c r="NT15"/>
      <c r="NU15"/>
    </row>
    <row r="16" spans="1:385" x14ac:dyDescent="0.2">
      <c r="NN16"/>
      <c r="NO16"/>
      <c r="NT16"/>
      <c r="NU16"/>
    </row>
    <row r="17" customFormat="1" x14ac:dyDescent="0.2"/>
    <row r="18" customFormat="1" x14ac:dyDescent="0.2"/>
    <row r="19" customFormat="1" x14ac:dyDescent="0.2"/>
    <row r="20" customFormat="1" x14ac:dyDescent="0.2"/>
    <row r="21" customFormat="1" x14ac:dyDescent="0.2"/>
    <row r="22" customFormat="1" x14ac:dyDescent="0.2"/>
    <row r="23" customForma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row r="45" customFormat="1" x14ac:dyDescent="0.2"/>
    <row r="46" customFormat="1" x14ac:dyDescent="0.2"/>
    <row r="47" customFormat="1" x14ac:dyDescent="0.2"/>
    <row r="48" customFormat="1" x14ac:dyDescent="0.2"/>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sheetData>
  <autoFilter ref="A12:NU91" xr:uid="{6D155EDA-8804-4328-A5FD-6AD0412B9AFD}"/>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6EBA3-1EAB-4963-98B1-C65ECABAD224}">
  <sheetPr codeName="Sheet2"/>
  <dimension ref="A1:NT17"/>
  <sheetViews>
    <sheetView topLeftCell="ID1" zoomScale="90" zoomScaleNormal="90" workbookViewId="0"/>
  </sheetViews>
  <sheetFormatPr defaultRowHeight="12.9" x14ac:dyDescent="0.2"/>
  <cols>
    <col min="1" max="1" width="12.375" bestFit="1" customWidth="1"/>
    <col min="2" max="2" width="11.25" bestFit="1" customWidth="1"/>
    <col min="3" max="3" width="12.25" bestFit="1" customWidth="1"/>
    <col min="4" max="4" width="11.875" bestFit="1" customWidth="1"/>
    <col min="5" max="5" width="5.75" bestFit="1" customWidth="1"/>
    <col min="6" max="6" width="17.375" bestFit="1" customWidth="1"/>
    <col min="7" max="7" width="8" bestFit="1" customWidth="1"/>
    <col min="8" max="8" width="11.125" bestFit="1" customWidth="1"/>
    <col min="9" max="9" width="12.125" bestFit="1" customWidth="1"/>
    <col min="10" max="10" width="15.125" bestFit="1" customWidth="1"/>
    <col min="11" max="11" width="15.125" customWidth="1"/>
    <col min="12" max="12" width="10" bestFit="1" customWidth="1"/>
    <col min="13" max="13" width="12.25" bestFit="1" customWidth="1"/>
    <col min="14" max="14" width="15.125" bestFit="1" customWidth="1"/>
    <col min="15" max="15" width="9.375" customWidth="1"/>
    <col min="16" max="17" width="8.75" bestFit="1" customWidth="1"/>
    <col min="18" max="18" width="19.875" bestFit="1" customWidth="1"/>
    <col min="19" max="20" width="13.125" customWidth="1"/>
    <col min="21" max="21" width="8.75" customWidth="1"/>
    <col min="22" max="22" width="11" customWidth="1"/>
    <col min="23" max="23" width="9.375" customWidth="1"/>
    <col min="24" max="24" width="7.375" bestFit="1" customWidth="1"/>
    <col min="25" max="26" width="11" bestFit="1" customWidth="1"/>
    <col min="27" max="27" width="9.375" customWidth="1"/>
    <col min="28" max="28" width="11.375" bestFit="1" customWidth="1"/>
    <col min="29" max="29" width="10.125" bestFit="1" customWidth="1"/>
    <col min="30" max="31" width="11" bestFit="1" customWidth="1"/>
    <col min="32" max="33" width="11.375" bestFit="1" customWidth="1"/>
    <col min="34" max="34" width="11" bestFit="1" customWidth="1"/>
    <col min="35" max="35" width="11.125" bestFit="1" customWidth="1"/>
    <col min="36" max="38" width="11.125" customWidth="1"/>
    <col min="39" max="39" width="11.125" bestFit="1" customWidth="1"/>
    <col min="40" max="40" width="13.625" bestFit="1" customWidth="1"/>
    <col min="41" max="42" width="11.375" customWidth="1"/>
    <col min="43" max="44" width="11.25" bestFit="1" customWidth="1"/>
    <col min="45" max="45" width="11.25" customWidth="1"/>
    <col min="46" max="46" width="10" bestFit="1" customWidth="1"/>
    <col min="47" max="47" width="11.25" bestFit="1" customWidth="1"/>
    <col min="48" max="49" width="14.625" bestFit="1" customWidth="1"/>
    <col min="50" max="50" width="10" bestFit="1" customWidth="1"/>
    <col min="51" max="51" width="11" bestFit="1" customWidth="1"/>
    <col min="52" max="52" width="17.25" bestFit="1" customWidth="1"/>
    <col min="53" max="53" width="11" bestFit="1" customWidth="1"/>
    <col min="54" max="54" width="13.375" bestFit="1" customWidth="1"/>
    <col min="55" max="55" width="9.75" bestFit="1" customWidth="1"/>
    <col min="56" max="56" width="18.125" bestFit="1" customWidth="1"/>
    <col min="57" max="57" width="31.75" bestFit="1" customWidth="1"/>
    <col min="58" max="59" width="31.75" customWidth="1"/>
    <col min="60" max="60" width="11" bestFit="1" customWidth="1"/>
    <col min="61" max="61" width="13.375" bestFit="1" customWidth="1"/>
    <col min="62" max="62" width="17.75" bestFit="1" customWidth="1"/>
    <col min="63" max="63" width="9.75" bestFit="1" customWidth="1"/>
    <col min="64" max="64" width="11.125" bestFit="1" customWidth="1"/>
    <col min="65" max="65" width="20" bestFit="1" customWidth="1"/>
    <col min="66" max="66" width="17.75" bestFit="1" customWidth="1"/>
    <col min="67" max="67" width="12.625" customWidth="1"/>
    <col min="68" max="72" width="12.875" customWidth="1"/>
    <col min="73" max="73" width="8.875" customWidth="1"/>
    <col min="74" max="74" width="11" bestFit="1" customWidth="1"/>
    <col min="75" max="75" width="11" customWidth="1"/>
    <col min="76" max="76" width="9" customWidth="1"/>
    <col min="77" max="77" width="7.125" bestFit="1" customWidth="1"/>
    <col min="78" max="78" width="9.125" bestFit="1" customWidth="1"/>
    <col min="79" max="79" width="10.25" bestFit="1" customWidth="1"/>
    <col min="80" max="80" width="17.625" bestFit="1" customWidth="1"/>
    <col min="81" max="82" width="10.25" customWidth="1"/>
    <col min="83" max="83" width="17.875" bestFit="1" customWidth="1"/>
    <col min="84" max="85" width="10.25" customWidth="1"/>
    <col min="86" max="86" width="24.25" bestFit="1" customWidth="1"/>
    <col min="87" max="87" width="17.625" bestFit="1" customWidth="1"/>
    <col min="88" max="88" width="17.75" bestFit="1" customWidth="1"/>
    <col min="89" max="89" width="24" bestFit="1" customWidth="1"/>
    <col min="90" max="90" width="16" bestFit="1" customWidth="1"/>
    <col min="91" max="91" width="17.375" bestFit="1" customWidth="1"/>
    <col min="92" max="92" width="12.625" bestFit="1" customWidth="1"/>
    <col min="93" max="93" width="9.625" bestFit="1" customWidth="1"/>
    <col min="94" max="94" width="6.25" bestFit="1" customWidth="1"/>
    <col min="95" max="95" width="37.625" bestFit="1" customWidth="1"/>
    <col min="96" max="96" width="37.625" customWidth="1"/>
    <col min="97" max="97" width="12.375" bestFit="1" customWidth="1"/>
    <col min="98" max="98" width="12.375" customWidth="1"/>
    <col min="99" max="99" width="10.625" bestFit="1" customWidth="1"/>
    <col min="100" max="100" width="15.75" customWidth="1"/>
    <col min="101" max="101" width="13.25" bestFit="1" customWidth="1"/>
    <col min="102" max="103" width="13.25" customWidth="1"/>
    <col min="104" max="104" width="11.625" bestFit="1" customWidth="1"/>
    <col min="105" max="105" width="9.875" bestFit="1" customWidth="1"/>
    <col min="106" max="107" width="9.875" customWidth="1"/>
    <col min="108" max="108" width="20.125" bestFit="1" customWidth="1"/>
    <col min="109" max="109" width="8.625" customWidth="1"/>
    <col min="110" max="110" width="9.375" bestFit="1" customWidth="1"/>
    <col min="111" max="111" width="9.375" customWidth="1"/>
    <col min="112" max="112" width="9.75" bestFit="1" customWidth="1"/>
    <col min="113" max="113" width="10.625" bestFit="1" customWidth="1"/>
    <col min="114" max="114" width="8.625" bestFit="1" customWidth="1"/>
    <col min="115" max="115" width="8.375" bestFit="1" customWidth="1"/>
    <col min="116" max="116" width="9.375" bestFit="1" customWidth="1"/>
    <col min="117" max="117" width="11.625" customWidth="1"/>
    <col min="118" max="118" width="10.875" customWidth="1"/>
    <col min="119" max="119" width="14.625" customWidth="1"/>
    <col min="120" max="120" width="8.75" customWidth="1"/>
    <col min="121" max="121" width="10.75" customWidth="1"/>
    <col min="122" max="122" width="10.625" customWidth="1"/>
    <col min="123" max="127" width="11.625" customWidth="1"/>
    <col min="128" max="128" width="15.125" customWidth="1"/>
    <col min="129" max="130" width="9.25" customWidth="1"/>
    <col min="131" max="131" width="10" customWidth="1"/>
    <col min="132" max="132" width="10.125" customWidth="1"/>
    <col min="133" max="134" width="12.875" customWidth="1"/>
    <col min="135" max="136" width="12.125" customWidth="1"/>
    <col min="137" max="137" width="10" customWidth="1"/>
    <col min="138" max="138" width="12" customWidth="1"/>
    <col min="139" max="140" width="10" customWidth="1"/>
    <col min="141" max="141" width="9.75" customWidth="1"/>
    <col min="142" max="142" width="9.625" customWidth="1"/>
    <col min="143" max="146" width="9.125" customWidth="1"/>
    <col min="147" max="147" width="10.125" customWidth="1"/>
    <col min="148" max="148" width="10.875" customWidth="1"/>
    <col min="149" max="149" width="10.625" customWidth="1"/>
    <col min="150" max="150" width="11.375" customWidth="1"/>
    <col min="151" max="151" width="10.125" customWidth="1"/>
    <col min="152" max="152" width="11.75" customWidth="1"/>
    <col min="153" max="153" width="11.125" customWidth="1"/>
    <col min="154" max="155" width="10.125" customWidth="1"/>
    <col min="156" max="156" width="14.625" bestFit="1" customWidth="1"/>
    <col min="157" max="157" width="10.25" bestFit="1" customWidth="1"/>
    <col min="158" max="159" width="13.125" bestFit="1" customWidth="1"/>
    <col min="160" max="163" width="10.25" customWidth="1"/>
    <col min="164" max="164" width="13.125" bestFit="1" customWidth="1"/>
    <col min="165" max="166" width="10.25" customWidth="1"/>
    <col min="167" max="167" width="9.75" bestFit="1" customWidth="1"/>
    <col min="168" max="168" width="14.25" customWidth="1"/>
    <col min="169" max="169" width="15.25" bestFit="1" customWidth="1"/>
    <col min="170" max="170" width="13.125" customWidth="1"/>
    <col min="171" max="171" width="15.75" bestFit="1" customWidth="1"/>
    <col min="172" max="172" width="10" bestFit="1" customWidth="1"/>
    <col min="173" max="173" width="11.375" bestFit="1" customWidth="1"/>
    <col min="174" max="174" width="10" customWidth="1"/>
    <col min="175" max="175" width="11.75" bestFit="1" customWidth="1"/>
    <col min="176" max="178" width="13.125" customWidth="1"/>
    <col min="179" max="179" width="9.875" customWidth="1"/>
    <col min="180" max="180" width="11" bestFit="1" customWidth="1"/>
    <col min="181" max="181" width="9.875" customWidth="1"/>
    <col min="182" max="182" width="18.125" bestFit="1" customWidth="1"/>
    <col min="183" max="183" width="23.375" bestFit="1" customWidth="1"/>
    <col min="184" max="184" width="12.75" bestFit="1" customWidth="1"/>
    <col min="185" max="185" width="13.625" customWidth="1"/>
    <col min="186" max="186" width="13.375" bestFit="1" customWidth="1"/>
    <col min="187" max="187" width="12" customWidth="1"/>
    <col min="188" max="188" width="10.125" bestFit="1" customWidth="1"/>
    <col min="189" max="189" width="22.375" bestFit="1" customWidth="1"/>
    <col min="190" max="190" width="22.375" customWidth="1"/>
    <col min="191" max="191" width="15.875" bestFit="1" customWidth="1"/>
    <col min="192" max="192" width="19.625" bestFit="1" customWidth="1"/>
    <col min="193" max="193" width="10.875" bestFit="1" customWidth="1"/>
    <col min="194" max="194" width="19.625" bestFit="1" customWidth="1"/>
    <col min="195" max="195" width="19.375" bestFit="1" customWidth="1"/>
    <col min="196" max="196" width="19.375" customWidth="1"/>
    <col min="197" max="197" width="12" bestFit="1" customWidth="1"/>
    <col min="198" max="198" width="15.75" bestFit="1" customWidth="1"/>
    <col min="199" max="199" width="15.625" bestFit="1" customWidth="1"/>
    <col min="200" max="200" width="23.375" bestFit="1" customWidth="1"/>
    <col min="201" max="201" width="15" bestFit="1" customWidth="1"/>
    <col min="202" max="204" width="15" customWidth="1"/>
    <col min="205" max="205" width="11.25" customWidth="1"/>
    <col min="206" max="206" width="9.125" bestFit="1" customWidth="1"/>
    <col min="207" max="209" width="9.125" customWidth="1"/>
    <col min="210" max="210" width="9.75" customWidth="1"/>
    <col min="211" max="212" width="14.125" customWidth="1"/>
    <col min="213" max="213" width="14.25" bestFit="1" customWidth="1"/>
    <col min="214" max="215" width="10.625" customWidth="1"/>
    <col min="216" max="216" width="9.875" customWidth="1"/>
    <col min="217" max="220" width="9.25" customWidth="1"/>
    <col min="221" max="221" width="11.625" bestFit="1" customWidth="1"/>
    <col min="222" max="222" width="12.125" customWidth="1"/>
    <col min="223" max="223" width="11.25" bestFit="1" customWidth="1"/>
    <col min="224" max="232" width="11.25" customWidth="1"/>
    <col min="233" max="246" width="18.375" customWidth="1"/>
    <col min="247" max="247" width="18" bestFit="1" customWidth="1"/>
    <col min="248" max="248" width="9.375" bestFit="1" customWidth="1"/>
    <col min="249" max="249" width="19.125" bestFit="1" customWidth="1"/>
    <col min="250" max="250" width="25.125" bestFit="1" customWidth="1"/>
    <col min="251" max="251" width="20" bestFit="1" customWidth="1"/>
    <col min="252" max="254" width="20" customWidth="1"/>
    <col min="255" max="255" width="15.875" bestFit="1" customWidth="1"/>
    <col min="256" max="256" width="19.75" bestFit="1" customWidth="1"/>
    <col min="257" max="257" width="15" bestFit="1" customWidth="1"/>
    <col min="258" max="258" width="15" customWidth="1"/>
    <col min="259" max="259" width="13.125" bestFit="1" customWidth="1"/>
    <col min="260" max="260" width="16.125" bestFit="1" customWidth="1"/>
    <col min="261" max="261" width="22.25" bestFit="1" customWidth="1"/>
    <col min="262" max="262" width="16.125" customWidth="1"/>
    <col min="263" max="263" width="21.375" bestFit="1" customWidth="1"/>
    <col min="264" max="264" width="22.25" customWidth="1"/>
    <col min="265" max="265" width="14.25" bestFit="1" customWidth="1"/>
    <col min="266" max="266" width="14.375" bestFit="1" customWidth="1"/>
    <col min="267" max="267" width="15.75" bestFit="1" customWidth="1"/>
    <col min="268" max="268" width="13.125" bestFit="1" customWidth="1"/>
    <col min="269" max="269" width="13.375" customWidth="1"/>
    <col min="270" max="270" width="13" customWidth="1"/>
    <col min="271" max="274" width="13.375" customWidth="1"/>
    <col min="275" max="275" width="14.25" bestFit="1" customWidth="1"/>
    <col min="276" max="276" width="14.25" customWidth="1"/>
    <col min="277" max="277" width="9.625" bestFit="1" customWidth="1"/>
    <col min="278" max="278" width="15.75" bestFit="1" customWidth="1"/>
    <col min="279" max="279" width="12.875" customWidth="1"/>
    <col min="280" max="280" width="17.75" bestFit="1" customWidth="1"/>
    <col min="281" max="281" width="17.25" bestFit="1" customWidth="1"/>
    <col min="282" max="286" width="17.25" customWidth="1"/>
    <col min="287" max="287" width="15.75" bestFit="1" customWidth="1"/>
    <col min="288" max="288" width="15.75" customWidth="1"/>
    <col min="289" max="289" width="29.875" bestFit="1" customWidth="1"/>
    <col min="290" max="290" width="10.875" bestFit="1" customWidth="1"/>
    <col min="291" max="291" width="19.625" bestFit="1" customWidth="1"/>
    <col min="292" max="292" width="20.25" bestFit="1" customWidth="1"/>
    <col min="293" max="293" width="19.625" customWidth="1"/>
    <col min="294" max="294" width="26.75" customWidth="1"/>
    <col min="295" max="295" width="25.125" customWidth="1"/>
    <col min="296" max="297" width="18.375" customWidth="1"/>
    <col min="298" max="298" width="25.875" bestFit="1" customWidth="1"/>
    <col min="299" max="299" width="15.625" bestFit="1" customWidth="1"/>
    <col min="300" max="300" width="24.875" bestFit="1" customWidth="1"/>
    <col min="301" max="301" width="15.625" customWidth="1"/>
    <col min="302" max="302" width="7.875" customWidth="1"/>
    <col min="303" max="303" width="7.375" bestFit="1" customWidth="1"/>
    <col min="304" max="304" width="27.625" bestFit="1" customWidth="1"/>
    <col min="305" max="305" width="15.875" customWidth="1"/>
    <col min="306" max="306" width="22.875" bestFit="1" customWidth="1"/>
    <col min="307" max="307" width="14.25" bestFit="1" customWidth="1"/>
    <col min="308" max="308" width="14" bestFit="1" customWidth="1"/>
    <col min="309" max="309" width="11.875" bestFit="1" customWidth="1"/>
    <col min="310" max="310" width="10" bestFit="1" customWidth="1"/>
    <col min="311" max="311" width="11.875" bestFit="1" customWidth="1"/>
    <col min="312" max="315" width="14" customWidth="1"/>
    <col min="316" max="326" width="12" customWidth="1"/>
    <col min="327" max="327" width="9.625" bestFit="1" customWidth="1"/>
    <col min="328" max="329" width="9.625" customWidth="1"/>
    <col min="330" max="331" width="15.125" bestFit="1" customWidth="1"/>
    <col min="332" max="332" width="16.125" bestFit="1" customWidth="1"/>
    <col min="333" max="333" width="16.125" customWidth="1"/>
    <col min="334" max="334" width="14.875" bestFit="1" customWidth="1"/>
    <col min="335" max="335" width="16" bestFit="1" customWidth="1"/>
    <col min="336" max="336" width="15.875" bestFit="1" customWidth="1"/>
    <col min="337" max="338" width="16.875" bestFit="1" customWidth="1"/>
    <col min="339" max="339" width="11.75" bestFit="1" customWidth="1"/>
    <col min="340" max="341" width="16.625" bestFit="1" customWidth="1"/>
    <col min="342" max="342" width="17.75" bestFit="1" customWidth="1"/>
    <col min="343" max="343" width="21.375" bestFit="1" customWidth="1"/>
    <col min="344" max="344" width="22.375" bestFit="1" customWidth="1"/>
    <col min="345" max="345" width="12.875" bestFit="1" customWidth="1"/>
    <col min="346" max="346" width="7.375" bestFit="1" customWidth="1"/>
    <col min="347" max="347" width="7.75" bestFit="1" customWidth="1"/>
    <col min="348" max="348" width="9.75" bestFit="1" customWidth="1"/>
    <col min="349" max="349" width="9.625" customWidth="1"/>
    <col min="350" max="350" width="15.625" customWidth="1"/>
    <col min="351" max="351" width="11.75" customWidth="1"/>
    <col min="352" max="355" width="11.75" bestFit="1" customWidth="1"/>
    <col min="356" max="356" width="12.25" bestFit="1" customWidth="1"/>
    <col min="357" max="357" width="7.75" bestFit="1" customWidth="1"/>
    <col min="358" max="361" width="11.75" customWidth="1"/>
    <col min="362" max="362" width="27.625" bestFit="1" customWidth="1"/>
    <col min="363" max="363" width="27" bestFit="1" customWidth="1"/>
    <col min="364" max="364" width="26.75" bestFit="1" customWidth="1"/>
    <col min="365" max="366" width="11.75" customWidth="1"/>
    <col min="367" max="367" width="16.625" bestFit="1" customWidth="1"/>
    <col min="368" max="369" width="11.75" customWidth="1"/>
    <col min="370" max="370" width="14.875" bestFit="1" customWidth="1"/>
    <col min="371" max="373" width="11.75" customWidth="1"/>
    <col min="374" max="374" width="21" bestFit="1" customWidth="1"/>
    <col min="375" max="376" width="15" style="92" customWidth="1"/>
    <col min="377" max="377" width="15" customWidth="1"/>
    <col min="378" max="380" width="15" style="92" customWidth="1"/>
    <col min="381" max="382" width="21" customWidth="1"/>
    <col min="383" max="384" width="14.125" customWidth="1"/>
  </cols>
  <sheetData>
    <row r="1" spans="1:384" s="26" customFormat="1" ht="13.6" x14ac:dyDescent="0.25">
      <c r="A1" s="4" t="s">
        <v>0</v>
      </c>
      <c r="B1" s="24" t="s">
        <v>263</v>
      </c>
      <c r="C1" s="24" t="s">
        <v>1</v>
      </c>
      <c r="D1" s="24" t="s">
        <v>2</v>
      </c>
      <c r="E1" s="25" t="s">
        <v>3</v>
      </c>
      <c r="F1" s="25" t="s">
        <v>122</v>
      </c>
      <c r="G1" s="25" t="s">
        <v>234</v>
      </c>
      <c r="H1" s="25" t="s">
        <v>77</v>
      </c>
      <c r="I1" s="4" t="s">
        <v>4</v>
      </c>
      <c r="J1" s="4" t="s">
        <v>5</v>
      </c>
      <c r="K1" s="4"/>
      <c r="L1" s="4" t="s">
        <v>71</v>
      </c>
      <c r="M1" s="4" t="s">
        <v>72</v>
      </c>
      <c r="N1" s="4" t="s">
        <v>73</v>
      </c>
      <c r="O1" s="4" t="s">
        <v>102</v>
      </c>
      <c r="P1" s="4" t="s">
        <v>103</v>
      </c>
      <c r="Q1" s="4" t="s">
        <v>104</v>
      </c>
      <c r="R1" s="4" t="s">
        <v>105</v>
      </c>
      <c r="S1" s="4" t="s">
        <v>110</v>
      </c>
      <c r="T1" s="4" t="s">
        <v>63</v>
      </c>
      <c r="U1" s="4" t="s">
        <v>8</v>
      </c>
      <c r="V1" s="4" t="s">
        <v>9</v>
      </c>
      <c r="W1" s="4" t="s">
        <v>106</v>
      </c>
      <c r="X1" s="4" t="s">
        <v>21</v>
      </c>
      <c r="Y1" s="4" t="s">
        <v>254</v>
      </c>
      <c r="Z1" s="4" t="s">
        <v>6</v>
      </c>
      <c r="AA1" s="4"/>
      <c r="AB1" s="4" t="s">
        <v>7</v>
      </c>
      <c r="AC1" s="4" t="s">
        <v>107</v>
      </c>
      <c r="AD1" s="4" t="s">
        <v>19</v>
      </c>
      <c r="AE1" s="4" t="s">
        <v>75</v>
      </c>
      <c r="AF1" s="4" t="s">
        <v>108</v>
      </c>
      <c r="AG1" s="4" t="s">
        <v>109</v>
      </c>
      <c r="AH1" s="4" t="s">
        <v>22</v>
      </c>
      <c r="AI1" s="4" t="s">
        <v>23</v>
      </c>
      <c r="AJ1" s="4"/>
      <c r="AK1" s="4" t="s">
        <v>707</v>
      </c>
      <c r="AL1" s="4" t="s">
        <v>1075</v>
      </c>
      <c r="AM1" s="4" t="s">
        <v>126</v>
      </c>
      <c r="AN1" s="4" t="s">
        <v>117</v>
      </c>
      <c r="AO1" s="4" t="s">
        <v>880</v>
      </c>
      <c r="AP1" s="4" t="s">
        <v>1022</v>
      </c>
      <c r="AQ1" s="4" t="s">
        <v>260</v>
      </c>
      <c r="AR1" s="4" t="s">
        <v>259</v>
      </c>
      <c r="AS1" s="4" t="s">
        <v>883</v>
      </c>
      <c r="AT1" s="4" t="s">
        <v>34</v>
      </c>
      <c r="AU1" s="4" t="s">
        <v>35</v>
      </c>
      <c r="AV1" s="4" t="s">
        <v>142</v>
      </c>
      <c r="AW1" s="4" t="s">
        <v>95</v>
      </c>
      <c r="AX1" s="4" t="s">
        <v>36</v>
      </c>
      <c r="AY1" s="4" t="s">
        <v>37</v>
      </c>
      <c r="AZ1" s="4"/>
      <c r="BA1" s="4"/>
      <c r="BB1" s="4" t="s">
        <v>135</v>
      </c>
      <c r="BC1" s="4"/>
      <c r="BD1" s="4" t="s">
        <v>1122</v>
      </c>
      <c r="BE1" s="4" t="s">
        <v>435</v>
      </c>
      <c r="BF1" s="4" t="s">
        <v>1133</v>
      </c>
      <c r="BG1" s="4" t="s">
        <v>438</v>
      </c>
      <c r="BH1" s="4" t="s">
        <v>136</v>
      </c>
      <c r="BI1" s="4" t="s">
        <v>301</v>
      </c>
      <c r="BJ1" s="4" t="s">
        <v>268</v>
      </c>
      <c r="BK1" s="4" t="s">
        <v>101</v>
      </c>
      <c r="BL1" s="4" t="s">
        <v>269</v>
      </c>
      <c r="BM1" s="4" t="s">
        <v>681</v>
      </c>
      <c r="BN1" s="4" t="s">
        <v>682</v>
      </c>
      <c r="BO1" s="4" t="s">
        <v>208</v>
      </c>
      <c r="BP1" s="4" t="s">
        <v>1015</v>
      </c>
      <c r="BQ1" s="4" t="s">
        <v>1204</v>
      </c>
      <c r="BR1" s="4" t="s">
        <v>1206</v>
      </c>
      <c r="BS1" s="4" t="s">
        <v>1207</v>
      </c>
      <c r="BT1" s="4" t="s">
        <v>1205</v>
      </c>
      <c r="BU1" s="4" t="s">
        <v>42</v>
      </c>
      <c r="BV1" s="4" t="s">
        <v>43</v>
      </c>
      <c r="BW1" s="4"/>
      <c r="BX1" s="4" t="s">
        <v>44</v>
      </c>
      <c r="BY1" s="4" t="s">
        <v>270</v>
      </c>
      <c r="BZ1" s="4"/>
      <c r="CA1" s="4" t="s">
        <v>271</v>
      </c>
      <c r="CB1" s="4" t="s">
        <v>24</v>
      </c>
      <c r="CC1" s="4" t="s">
        <v>26</v>
      </c>
      <c r="CD1" s="4" t="s">
        <v>28</v>
      </c>
      <c r="CE1" s="4" t="s">
        <v>25</v>
      </c>
      <c r="CF1" s="4" t="s">
        <v>27</v>
      </c>
      <c r="CG1" s="4" t="s">
        <v>29</v>
      </c>
      <c r="CH1" s="4" t="s">
        <v>488</v>
      </c>
      <c r="CI1" s="4" t="s">
        <v>598</v>
      </c>
      <c r="CJ1" s="4" t="s">
        <v>489</v>
      </c>
      <c r="CK1" s="4" t="s">
        <v>506</v>
      </c>
      <c r="CL1" s="4" t="s">
        <v>507</v>
      </c>
      <c r="CM1" s="4" t="s">
        <v>508</v>
      </c>
      <c r="CN1" s="4" t="s">
        <v>30</v>
      </c>
      <c r="CO1" s="4" t="s">
        <v>32</v>
      </c>
      <c r="CP1" s="4" t="s">
        <v>33</v>
      </c>
      <c r="CQ1" s="4" t="s">
        <v>276</v>
      </c>
      <c r="CR1" s="4" t="s">
        <v>1112</v>
      </c>
      <c r="CS1" s="4" t="s">
        <v>277</v>
      </c>
      <c r="CT1" s="4" t="s">
        <v>1018</v>
      </c>
      <c r="CU1" s="4" t="s">
        <v>115</v>
      </c>
      <c r="CV1" s="4" t="s">
        <v>848</v>
      </c>
      <c r="CW1" s="4" t="s">
        <v>93</v>
      </c>
      <c r="CX1" s="4" t="s">
        <v>1014</v>
      </c>
      <c r="CY1" s="4" t="s">
        <v>1021</v>
      </c>
      <c r="CZ1" s="4" t="s">
        <v>64</v>
      </c>
      <c r="DA1" s="4" t="s">
        <v>815</v>
      </c>
      <c r="DB1" s="4" t="s">
        <v>1055</v>
      </c>
      <c r="DC1" s="4" t="s">
        <v>1070</v>
      </c>
      <c r="DD1" s="4" t="s">
        <v>47</v>
      </c>
      <c r="DE1" s="4" t="s">
        <v>1017</v>
      </c>
      <c r="DF1" s="4" t="s">
        <v>48</v>
      </c>
      <c r="DG1" s="4" t="s">
        <v>814</v>
      </c>
      <c r="DH1" s="4" t="s">
        <v>284</v>
      </c>
      <c r="DI1" s="4" t="s">
        <v>216</v>
      </c>
      <c r="DJ1" s="4" t="s">
        <v>57</v>
      </c>
      <c r="DK1" s="4" t="s">
        <v>492</v>
      </c>
      <c r="DL1" s="4" t="s">
        <v>58</v>
      </c>
      <c r="DM1" s="4" t="s">
        <v>183</v>
      </c>
      <c r="DN1" s="4" t="s">
        <v>816</v>
      </c>
      <c r="DO1" s="4"/>
      <c r="DP1" s="4" t="s">
        <v>187</v>
      </c>
      <c r="DQ1" s="4" t="s">
        <v>49</v>
      </c>
      <c r="DR1" s="4" t="s">
        <v>817</v>
      </c>
      <c r="DS1" s="4" t="s">
        <v>190</v>
      </c>
      <c r="DT1" s="4" t="s">
        <v>818</v>
      </c>
      <c r="DU1" s="4" t="s">
        <v>1083</v>
      </c>
      <c r="DV1" s="4"/>
      <c r="DW1" s="4"/>
      <c r="DX1" s="4" t="s">
        <v>866</v>
      </c>
      <c r="DY1" s="4" t="s">
        <v>179</v>
      </c>
      <c r="DZ1" s="4" t="s">
        <v>845</v>
      </c>
      <c r="EA1" s="4" t="s">
        <v>1076</v>
      </c>
      <c r="EB1" s="4" t="s">
        <v>192</v>
      </c>
      <c r="EC1" s="4" t="s">
        <v>1005</v>
      </c>
      <c r="ED1" s="4"/>
      <c r="EE1" s="4"/>
      <c r="EF1" s="4"/>
      <c r="EG1" s="4"/>
      <c r="EH1" s="4" t="s">
        <v>257</v>
      </c>
      <c r="EI1" s="4" t="s">
        <v>819</v>
      </c>
      <c r="EJ1" s="4"/>
      <c r="EK1" s="4" t="s">
        <v>194</v>
      </c>
      <c r="EL1" s="4" t="s">
        <v>195</v>
      </c>
      <c r="EM1" s="4" t="s">
        <v>196</v>
      </c>
      <c r="EN1" s="4" t="s">
        <v>820</v>
      </c>
      <c r="EO1" s="4" t="s">
        <v>849</v>
      </c>
      <c r="EP1" s="4" t="s">
        <v>253</v>
      </c>
      <c r="EQ1" s="4" t="s">
        <v>197</v>
      </c>
      <c r="ER1" s="4" t="s">
        <v>821</v>
      </c>
      <c r="ES1" s="4"/>
      <c r="ET1" s="4" t="s">
        <v>822</v>
      </c>
      <c r="EU1" s="4" t="s">
        <v>474</v>
      </c>
      <c r="EV1" s="4" t="s">
        <v>823</v>
      </c>
      <c r="EW1" s="4"/>
      <c r="EX1" s="4"/>
      <c r="EY1" s="4" t="s">
        <v>595</v>
      </c>
      <c r="EZ1" s="4" t="s">
        <v>97</v>
      </c>
      <c r="FA1" s="4" t="s">
        <v>1077</v>
      </c>
      <c r="FB1" s="4"/>
      <c r="FC1" s="4"/>
      <c r="FD1" s="4"/>
      <c r="FE1" s="4"/>
      <c r="FF1" s="4"/>
      <c r="FG1" s="4"/>
      <c r="FH1" s="4"/>
      <c r="FI1" s="4"/>
      <c r="FJ1" s="4"/>
      <c r="FK1" s="4"/>
      <c r="FL1" s="4" t="s">
        <v>850</v>
      </c>
      <c r="FM1" s="4" t="s">
        <v>851</v>
      </c>
      <c r="FN1" s="4" t="s">
        <v>79</v>
      </c>
      <c r="FO1" s="4" t="s">
        <v>80</v>
      </c>
      <c r="FP1" s="4" t="s">
        <v>239</v>
      </c>
      <c r="FQ1" s="4" t="s">
        <v>240</v>
      </c>
      <c r="FR1" s="4" t="s">
        <v>313</v>
      </c>
      <c r="FS1" s="4" t="s">
        <v>238</v>
      </c>
      <c r="FT1" s="4" t="s">
        <v>910</v>
      </c>
      <c r="FU1" s="4"/>
      <c r="FV1" s="4"/>
      <c r="FW1" s="4" t="s">
        <v>235</v>
      </c>
      <c r="FX1" s="4"/>
      <c r="FY1" s="4" t="s">
        <v>289</v>
      </c>
      <c r="FZ1" s="4" t="s">
        <v>290</v>
      </c>
      <c r="GA1" s="26" t="s">
        <v>2317</v>
      </c>
      <c r="GB1" s="4" t="s">
        <v>410</v>
      </c>
      <c r="GC1" s="4" t="s">
        <v>225</v>
      </c>
      <c r="GD1" s="4" t="s">
        <v>314</v>
      </c>
      <c r="GE1" s="4" t="s">
        <v>211</v>
      </c>
      <c r="GF1" s="4" t="s">
        <v>213</v>
      </c>
      <c r="GG1" s="4" t="s">
        <v>1049</v>
      </c>
      <c r="GH1" s="4" t="s">
        <v>1817</v>
      </c>
      <c r="GI1" s="4" t="s">
        <v>316</v>
      </c>
      <c r="GJ1" s="121" t="s">
        <v>317</v>
      </c>
      <c r="GK1" s="4" t="s">
        <v>325</v>
      </c>
      <c r="GL1" s="4" t="s">
        <v>224</v>
      </c>
      <c r="GM1" s="4" t="s">
        <v>326</v>
      </c>
      <c r="GN1" s="4" t="s">
        <v>1050</v>
      </c>
      <c r="GO1" s="4" t="s">
        <v>227</v>
      </c>
      <c r="GP1" s="4" t="s">
        <v>288</v>
      </c>
      <c r="GQ1" s="4" t="s">
        <v>286</v>
      </c>
      <c r="GR1" s="4" t="s">
        <v>2316</v>
      </c>
      <c r="GS1" s="4" t="s">
        <v>1006</v>
      </c>
      <c r="GT1" s="4" t="s">
        <v>1073</v>
      </c>
      <c r="GU1" s="4" t="s">
        <v>899</v>
      </c>
      <c r="GV1" s="4" t="s">
        <v>1011</v>
      </c>
      <c r="GW1" s="4" t="s">
        <v>864</v>
      </c>
      <c r="GX1" s="4" t="s">
        <v>714</v>
      </c>
      <c r="GY1" s="4" t="s">
        <v>1078</v>
      </c>
      <c r="GZ1" s="4" t="s">
        <v>1079</v>
      </c>
      <c r="HA1" s="4" t="s">
        <v>926</v>
      </c>
      <c r="HB1" s="4" t="s">
        <v>94</v>
      </c>
      <c r="HC1" s="4" t="s">
        <v>734</v>
      </c>
      <c r="HD1" s="4" t="s">
        <v>884</v>
      </c>
      <c r="HE1" s="4" t="s">
        <v>92</v>
      </c>
      <c r="HF1" s="4" t="s">
        <v>1080</v>
      </c>
      <c r="HG1" s="4" t="s">
        <v>743</v>
      </c>
      <c r="HH1" s="4" t="s">
        <v>745</v>
      </c>
      <c r="HI1" s="4" t="s">
        <v>746</v>
      </c>
      <c r="HJ1" s="4" t="s">
        <v>749</v>
      </c>
      <c r="HK1" s="4" t="s">
        <v>1081</v>
      </c>
      <c r="HL1" s="4" t="s">
        <v>750</v>
      </c>
      <c r="HM1" s="4" t="s">
        <v>862</v>
      </c>
      <c r="HN1" s="4" t="s">
        <v>753</v>
      </c>
      <c r="HO1" s="4" t="s">
        <v>863</v>
      </c>
      <c r="HP1" s="4" t="s">
        <v>852</v>
      </c>
      <c r="HQ1" s="4" t="s">
        <v>853</v>
      </c>
      <c r="HR1" s="4" t="s">
        <v>854</v>
      </c>
      <c r="HS1" s="4" t="s">
        <v>855</v>
      </c>
      <c r="HT1" s="4" t="s">
        <v>860</v>
      </c>
      <c r="HU1" s="4" t="s">
        <v>861</v>
      </c>
      <c r="HV1" s="4" t="s">
        <v>856</v>
      </c>
      <c r="HW1" s="4" t="s">
        <v>857</v>
      </c>
      <c r="HX1" s="4" t="s">
        <v>858</v>
      </c>
      <c r="HY1" s="4" t="s">
        <v>752</v>
      </c>
      <c r="HZ1" s="4" t="s">
        <v>906</v>
      </c>
      <c r="IA1" s="4" t="s">
        <v>907</v>
      </c>
      <c r="IB1" s="4" t="s">
        <v>908</v>
      </c>
      <c r="IC1" s="4" t="s">
        <v>909</v>
      </c>
      <c r="ID1" s="4" t="s">
        <v>918</v>
      </c>
      <c r="IE1" s="4"/>
      <c r="IF1" s="4"/>
      <c r="IG1" s="4" t="s">
        <v>922</v>
      </c>
      <c r="IH1" s="4" t="s">
        <v>923</v>
      </c>
      <c r="II1" s="4" t="s">
        <v>925</v>
      </c>
      <c r="IJ1" s="4" t="s">
        <v>760</v>
      </c>
      <c r="IK1" s="4" t="s">
        <v>927</v>
      </c>
      <c r="IL1" s="4" t="s">
        <v>791</v>
      </c>
      <c r="IM1" s="4" t="s">
        <v>82</v>
      </c>
      <c r="IN1" s="4" t="s">
        <v>81</v>
      </c>
      <c r="IO1" s="4" t="s">
        <v>226</v>
      </c>
      <c r="IP1" s="4" t="s">
        <v>337</v>
      </c>
      <c r="IQ1" s="4" t="s">
        <v>840</v>
      </c>
      <c r="IR1" s="4" t="s">
        <v>1082</v>
      </c>
      <c r="IS1" s="4" t="s">
        <v>1048</v>
      </c>
      <c r="IT1" s="4" t="s">
        <v>1013</v>
      </c>
      <c r="IU1" s="4" t="s">
        <v>1074</v>
      </c>
      <c r="IV1" s="4" t="s">
        <v>78</v>
      </c>
      <c r="IW1" s="4" t="s">
        <v>50</v>
      </c>
      <c r="IX1" s="4" t="s">
        <v>575</v>
      </c>
      <c r="IY1" s="4" t="s">
        <v>357</v>
      </c>
      <c r="IZ1" s="4" t="s">
        <v>348</v>
      </c>
      <c r="JA1" s="4" t="s">
        <v>349</v>
      </c>
      <c r="JB1" s="4" t="s">
        <v>61</v>
      </c>
      <c r="JC1" s="4" t="s">
        <v>111</v>
      </c>
      <c r="JD1" s="4" t="s">
        <v>112</v>
      </c>
      <c r="JE1" s="4" t="s">
        <v>159</v>
      </c>
      <c r="JF1" s="4" t="s">
        <v>346</v>
      </c>
      <c r="JG1" s="4" t="s">
        <v>312</v>
      </c>
      <c r="JH1" s="4" t="s">
        <v>150</v>
      </c>
      <c r="JI1" s="4" t="s">
        <v>878</v>
      </c>
      <c r="JK1" s="4" t="s">
        <v>877</v>
      </c>
      <c r="JL1" s="4"/>
      <c r="JM1" s="4" t="s">
        <v>876</v>
      </c>
      <c r="JN1" s="4"/>
      <c r="JO1" s="4" t="s">
        <v>153</v>
      </c>
      <c r="JP1" s="4"/>
      <c r="JQ1" s="4" t="s">
        <v>302</v>
      </c>
      <c r="JR1" s="4"/>
      <c r="JS1" s="4"/>
      <c r="JT1" s="4" t="s">
        <v>305</v>
      </c>
      <c r="JU1" s="4" t="s">
        <v>311</v>
      </c>
      <c r="JV1" s="4"/>
      <c r="JW1" s="4"/>
      <c r="JX1" s="4" t="s">
        <v>303</v>
      </c>
      <c r="JY1" s="4" t="s">
        <v>304</v>
      </c>
      <c r="JZ1" s="4"/>
      <c r="KA1" s="26" t="s">
        <v>154</v>
      </c>
      <c r="KC1" s="4" t="s">
        <v>99</v>
      </c>
      <c r="KD1" s="107" t="s">
        <v>330</v>
      </c>
      <c r="KE1" s="4" t="s">
        <v>332</v>
      </c>
      <c r="KF1" s="4" t="s">
        <v>1007</v>
      </c>
      <c r="KG1" s="4" t="s">
        <v>1008</v>
      </c>
      <c r="KH1" s="4" t="s">
        <v>788</v>
      </c>
      <c r="KI1" s="4" t="s">
        <v>789</v>
      </c>
      <c r="KJ1" s="4" t="s">
        <v>790</v>
      </c>
      <c r="KK1" s="4" t="s">
        <v>1135</v>
      </c>
      <c r="KL1" s="4" t="s">
        <v>333</v>
      </c>
      <c r="KM1" s="4" t="s">
        <v>334</v>
      </c>
      <c r="KN1" s="4" t="s">
        <v>841</v>
      </c>
      <c r="KO1" s="4" t="s">
        <v>842</v>
      </c>
      <c r="KP1" s="97" t="s">
        <v>335</v>
      </c>
      <c r="KQ1" s="4" t="s">
        <v>336</v>
      </c>
      <c r="KR1" s="4" t="s">
        <v>551</v>
      </c>
      <c r="KS1" s="4" t="s">
        <v>550</v>
      </c>
      <c r="KT1" s="4" t="s">
        <v>350</v>
      </c>
      <c r="KU1" s="4" t="s">
        <v>351</v>
      </c>
      <c r="KV1" s="4" t="s">
        <v>51</v>
      </c>
      <c r="KW1" s="4" t="s">
        <v>353</v>
      </c>
      <c r="KX1" s="4" t="s">
        <v>354</v>
      </c>
      <c r="KY1" s="4" t="s">
        <v>719</v>
      </c>
      <c r="KZ1" s="4"/>
      <c r="LA1" s="4" t="s">
        <v>931</v>
      </c>
      <c r="LB1" s="4" t="s">
        <v>928</v>
      </c>
      <c r="LC1" s="4"/>
      <c r="LD1" s="4" t="s">
        <v>199</v>
      </c>
      <c r="LE1" s="4"/>
      <c r="LF1" s="4"/>
      <c r="LG1" s="4"/>
      <c r="LH1" s="4" t="s">
        <v>202</v>
      </c>
      <c r="LI1" s="4" t="s">
        <v>203</v>
      </c>
      <c r="LJ1" s="4" t="s">
        <v>200</v>
      </c>
      <c r="LK1" s="4" t="s">
        <v>201</v>
      </c>
      <c r="LL1" s="4"/>
      <c r="LM1" s="4" t="s">
        <v>355</v>
      </c>
      <c r="LN1" s="4"/>
      <c r="LO1" s="4" t="s">
        <v>52</v>
      </c>
      <c r="LP1" s="4"/>
      <c r="LQ1" s="4"/>
      <c r="LR1" s="4" t="s">
        <v>54</v>
      </c>
      <c r="LS1" s="4" t="s">
        <v>55</v>
      </c>
      <c r="LT1" s="177" t="s">
        <v>452</v>
      </c>
      <c r="LU1" s="177" t="s">
        <v>113</v>
      </c>
      <c r="LV1" s="177" t="s">
        <v>116</v>
      </c>
      <c r="LW1" s="177" t="s">
        <v>83</v>
      </c>
      <c r="LX1" s="177" t="s">
        <v>84</v>
      </c>
      <c r="LY1" s="177" t="s">
        <v>85</v>
      </c>
      <c r="LZ1" s="177" t="s">
        <v>86</v>
      </c>
      <c r="MA1" s="177"/>
      <c r="MB1" s="177" t="s">
        <v>87</v>
      </c>
      <c r="MC1" s="177" t="s">
        <v>88</v>
      </c>
      <c r="MD1" s="177" t="s">
        <v>89</v>
      </c>
      <c r="ME1" s="177" t="s">
        <v>90</v>
      </c>
      <c r="MF1" s="4" t="s">
        <v>125</v>
      </c>
      <c r="MG1" s="4" t="s">
        <v>358</v>
      </c>
      <c r="MH1" s="4" t="s">
        <v>359</v>
      </c>
      <c r="MI1" s="4" t="s">
        <v>76</v>
      </c>
      <c r="MJ1" s="4" t="s">
        <v>45</v>
      </c>
      <c r="MK1" s="4" t="s">
        <v>360</v>
      </c>
      <c r="ML1" s="4" t="s">
        <v>361</v>
      </c>
      <c r="MM1" s="4" t="s">
        <v>362</v>
      </c>
      <c r="MN1" s="4" t="s">
        <v>363</v>
      </c>
      <c r="MO1" s="4" t="s">
        <v>364</v>
      </c>
      <c r="MP1" s="4" t="s">
        <v>365</v>
      </c>
      <c r="MQ1" s="4" t="s">
        <v>366</v>
      </c>
      <c r="MR1" s="4" t="s">
        <v>204</v>
      </c>
      <c r="MS1" s="4" t="s">
        <v>205</v>
      </c>
      <c r="MT1" s="4" t="s">
        <v>802</v>
      </c>
      <c r="MU1" s="4" t="s">
        <v>801</v>
      </c>
      <c r="MV1" s="4" t="s">
        <v>1100</v>
      </c>
      <c r="MW1" s="4" t="s">
        <v>800</v>
      </c>
      <c r="MX1" s="4" t="s">
        <v>1101</v>
      </c>
      <c r="MY1" s="4" t="s">
        <v>1102</v>
      </c>
      <c r="MZ1" s="4" t="s">
        <v>1103</v>
      </c>
      <c r="NA1" s="4" t="s">
        <v>1104</v>
      </c>
      <c r="NB1" s="4" t="s">
        <v>1105</v>
      </c>
      <c r="NC1" s="4" t="s">
        <v>1106</v>
      </c>
      <c r="ND1" s="4" t="s">
        <v>1107</v>
      </c>
      <c r="NE1" s="4" t="s">
        <v>803</v>
      </c>
      <c r="NF1" s="4" t="s">
        <v>804</v>
      </c>
      <c r="NG1" s="4" t="s">
        <v>805</v>
      </c>
      <c r="NH1" s="4" t="s">
        <v>806</v>
      </c>
      <c r="NI1" s="4" t="s">
        <v>1818</v>
      </c>
      <c r="NJ1" s="4" t="s">
        <v>807</v>
      </c>
      <c r="NK1" s="121"/>
      <c r="NL1" s="121"/>
      <c r="NM1" s="4" t="s">
        <v>2315</v>
      </c>
      <c r="NN1" s="121"/>
      <c r="NO1" s="121"/>
      <c r="NP1" s="121" t="s">
        <v>2791</v>
      </c>
      <c r="NQ1" s="4" t="s">
        <v>2786</v>
      </c>
      <c r="NR1" s="4" t="s">
        <v>2785</v>
      </c>
      <c r="NS1" s="26" t="s">
        <v>1794</v>
      </c>
      <c r="NT1" s="26" t="s">
        <v>1795</v>
      </c>
    </row>
    <row r="2" spans="1:384" s="13" customFormat="1" x14ac:dyDescent="0.2">
      <c r="A2" s="6" t="s">
        <v>10</v>
      </c>
      <c r="B2" s="3">
        <v>22386400</v>
      </c>
      <c r="C2" s="3">
        <v>1</v>
      </c>
      <c r="D2" s="3"/>
      <c r="E2" s="3" t="s">
        <v>17</v>
      </c>
      <c r="F2" t="s">
        <v>266</v>
      </c>
      <c r="G2"/>
      <c r="H2" s="3"/>
      <c r="I2" s="3"/>
      <c r="J2" s="3"/>
      <c r="K2" s="3" t="str">
        <f>PROPER(J2)&amp;", "&amp;PROPER(I2)</f>
        <v xml:space="preserve">, </v>
      </c>
      <c r="L2"/>
      <c r="M2"/>
      <c r="N2"/>
      <c r="O2"/>
      <c r="P2"/>
      <c r="Q2"/>
      <c r="R2"/>
      <c r="S2">
        <v>0</v>
      </c>
      <c r="T2" t="s">
        <v>1785</v>
      </c>
      <c r="U2" s="3" t="s">
        <v>74</v>
      </c>
      <c r="V2"/>
      <c r="W2"/>
      <c r="X2" s="89" t="s">
        <v>74</v>
      </c>
      <c r="Y2" s="90">
        <v>35987</v>
      </c>
      <c r="Z2" s="92">
        <v>18336</v>
      </c>
      <c r="AA2" s="92" t="str">
        <f>IF(DAY(Z2)=1,"Y","N")</f>
        <v>N</v>
      </c>
      <c r="AB2" s="92"/>
      <c r="AC2" s="92"/>
      <c r="AD2" s="269">
        <f>IF(F2="V",IF(OR(X2={"S","D","W"}),"null",IF(NOT(ISBLANK(AB2)),AB2,DATE(YEAR(Z2)+IF(X2="M",4,-4),MONTH(Z2),DAY(Z2)))),IF(R2="Y",AC2,IF(ISBLANK(AB2),"null",AB2)))</f>
        <v>19797</v>
      </c>
      <c r="AE2" s="92"/>
      <c r="AF2" s="92"/>
      <c r="AG2" s="92"/>
      <c r="AH2" s="92">
        <v>33750</v>
      </c>
      <c r="AI2" s="92">
        <v>35576</v>
      </c>
      <c r="AJ2">
        <f>IF(AR2&gt;0,INT(AR2)*12+VLOOKUP((AR2-INT(AR2)),monthsadd,2),INT(AQ2)*12+VLOOKUP((AQ2-INT(AQ2)),monthsadd,2))</f>
        <v>234</v>
      </c>
      <c r="AK2" s="92">
        <f>[1]!ADDMONTHS(AH2,AJ2)</f>
        <v>40873</v>
      </c>
      <c r="AL2" s="92">
        <f>IF(AI2&gt;0,AI2,MIN(BH2-1,AK2))</f>
        <v>35576</v>
      </c>
      <c r="AM2" s="269" t="str">
        <f>IF(AI2="","null",IF(AI2&gt;DOBF,DOBF,"null"))</f>
        <v>null</v>
      </c>
      <c r="AN2" s="270">
        <f>IF(AL2="null","null",[1]!ATT(Z2,AL2))</f>
        <v>47</v>
      </c>
      <c r="AO2" s="92"/>
      <c r="AP2" s="92"/>
      <c r="AQ2" s="91">
        <f>19.3</f>
        <v>19.3</v>
      </c>
      <c r="AR2" s="91">
        <f>19.5</f>
        <v>19.5</v>
      </c>
      <c r="AS2" s="91" t="str">
        <f>IF(AND(AN2&gt;=65,IF(AR2&gt;0,AR2,AQ2)&gt;=5),"NR",IF(AND(AN2&gt;=55,IF(AR2&gt;0,AR2,AQ2)&gt;=10),"ER","DV"))</f>
        <v>DV</v>
      </c>
      <c r="AT2" s="7">
        <f>[1]!anb(Z2,DOPT)</f>
        <v>64</v>
      </c>
      <c r="AU2" s="7">
        <f>IF(AD2="null","null",IF(AD2&gt;DOPT,0,[1]!anb(AD2,DOPT)))</f>
        <v>60</v>
      </c>
      <c r="AV2" s="270">
        <f>IF(AI2="","null",IF(AND(AH2&lt;=DATE(1989,4,10),AQ2&gt;=30,AN2&gt;=55),58,IF(AND(AH2&lt;=DATE(1989,4,10),IF(AR2="",AQ2,AR2)&gt;=10,AN2&gt;=55),62,IF(AND(AH2&gt;DATE(1989,4,10),IF(AR2="",AQ2,AR2)&gt;=10,AN2&gt;=62),62,65))))</f>
        <v>65</v>
      </c>
      <c r="AW2" s="272">
        <f>IF(AV2="null","null",[1]!NRD(Z2,AV2))</f>
        <v>42095</v>
      </c>
      <c r="AX2" s="7">
        <f>65</f>
        <v>65</v>
      </c>
      <c r="AY2" s="269">
        <f>[1]!NRD(Z2,65)</f>
        <v>42095</v>
      </c>
      <c r="AZ2" s="269">
        <f>DATE(YEAR(Z2)+70,MONTH(Z2)+6,DAY(Z2))</f>
        <v>44088</v>
      </c>
      <c r="BA2" s="269">
        <f>DATE(YEAR(AZ2)+1,4,1)</f>
        <v>44287</v>
      </c>
      <c r="BB2" s="272">
        <f>[1]!RBD(C2,DOPT,"P",Z2,AI2)</f>
        <v>45017</v>
      </c>
      <c r="BC2" s="272" t="str">
        <f>IF(AI2&lt;&gt;"",IF(AI2&gt;BA2,"Y","N"),"null")</f>
        <v>N</v>
      </c>
      <c r="BD2" s="92"/>
      <c r="BE2" s="92"/>
      <c r="BF2" s="92"/>
      <c r="BG2" s="92">
        <v>42095</v>
      </c>
      <c r="BH2" s="272">
        <v>41518</v>
      </c>
      <c r="BI2" s="272"/>
      <c r="BJ2" s="95" t="s">
        <v>158</v>
      </c>
      <c r="BK2" s="275">
        <v>0</v>
      </c>
      <c r="BL2" s="276">
        <v>0</v>
      </c>
      <c r="BM2" s="276"/>
      <c r="BN2" s="276"/>
      <c r="BO2" s="272"/>
      <c r="BP2" s="272"/>
      <c r="BQ2" s="272"/>
      <c r="BR2" s="272"/>
      <c r="BS2" s="272"/>
      <c r="BT2" s="272"/>
      <c r="BU2" s="7">
        <f>AT2</f>
        <v>64</v>
      </c>
      <c r="BV2" s="269">
        <f>DOPT2</f>
        <v>41640</v>
      </c>
      <c r="BW2" s="269">
        <f>IF(F2="V",BG2,BG2)</f>
        <v>42095</v>
      </c>
      <c r="BX2" s="7">
        <f>AU2</f>
        <v>60</v>
      </c>
      <c r="BY2" s="7" t="str">
        <f>IF(BL2=0,"null",DATE(YEAR(BH2)+BL2/12,MONTH(BH2)-1,1))</f>
        <v>null</v>
      </c>
      <c r="BZ2" s="7" t="str">
        <f>IF(BY2="null","null",DATE(YEAR(BY2),MONTH(BY2)+1,1))</f>
        <v>null</v>
      </c>
      <c r="CA2" s="7" t="str">
        <f>IF(BY2="null","null",IF(BY2&lt;DOPT2,0,[1]!COMPM(DOPT2,BZ2)))</f>
        <v>null</v>
      </c>
      <c r="CB2" s="95" t="s">
        <v>158</v>
      </c>
      <c r="CC2" s="7">
        <v>0</v>
      </c>
      <c r="CD2" s="7">
        <v>0</v>
      </c>
      <c r="CE2" s="95" t="s">
        <v>684</v>
      </c>
      <c r="CF2" s="275">
        <f>IF(AL2&lt;DATE(2001,4,15),0.55,0.6)</f>
        <v>0.55000000000000004</v>
      </c>
      <c r="CG2" s="7">
        <v>0</v>
      </c>
      <c r="CH2" s="7" t="str">
        <f>CB2</f>
        <v>2</v>
      </c>
      <c r="CI2" s="7">
        <f>0</f>
        <v>0</v>
      </c>
      <c r="CJ2" s="7">
        <f>0</f>
        <v>0</v>
      </c>
      <c r="CK2" s="7" t="str">
        <f>CE2</f>
        <v>0</v>
      </c>
      <c r="CL2" s="7">
        <f>CF2</f>
        <v>0.55000000000000004</v>
      </c>
      <c r="CM2" s="7">
        <f>CG2</f>
        <v>0</v>
      </c>
      <c r="CN2" s="7" t="str">
        <f>IF(OR(X2={"S","D","W"}),CB2,CE2)</f>
        <v>0</v>
      </c>
      <c r="CO2" s="7">
        <f>IF(OR(X2={"S","D","W"}),CC2,CF2)</f>
        <v>0.55000000000000004</v>
      </c>
      <c r="CP2" s="7">
        <f>IF(OR(X2={"S","D","W"}),CD2,CG2)</f>
        <v>0</v>
      </c>
      <c r="CQ2" s="7" t="str">
        <f>IF(CN2="2","Straight Life Annuity",IF(CO2&gt;0,"Joint-and-"&amp;CO2*100&amp;"% Survivor "&amp;IF(CN2="0","'Pop-up'","")&amp; " Annuity",CP2/12&amp;"-year Certain-and-Continuous Annuity"))</f>
        <v>Joint-and-55% Survivor 'Pop-up' Annuity</v>
      </c>
      <c r="CR2" s="7" t="str">
        <f>IF(CN2="2","SLA",IF(CN2=9,"J&amp;"&amp;CO2*100&amp;"%S",IF(CN2="0","J&amp;"&amp;CO2*100&amp;"%P",CP2/12&amp;"-year Certain-and-Continuous Annuity")))</f>
        <v>J&amp;55%P</v>
      </c>
      <c r="CS2" s="7" t="str">
        <f>IF(OR(CN2="2",CN2="5"),"SLA","JSC")</f>
        <v>JSC</v>
      </c>
      <c r="CT2" s="7"/>
      <c r="CU2" s="272" t="str">
        <f>IF(OR(AI2&lt;&gt;"",CT2="Yes"),"Yes","No")</f>
        <v>Yes</v>
      </c>
      <c r="CV2" s="272"/>
      <c r="CW2">
        <f>958.74</f>
        <v>958.74</v>
      </c>
      <c r="CX2"/>
      <c r="CY2" t="str">
        <f>IF(CT2="Yes",IF(AND(AI2&gt;=DATE(2001,9,1),AI2&lt;DATE(2005,4,15)),28.75,"null"),"null")</f>
        <v>null</v>
      </c>
      <c r="CZ2" s="273">
        <f>IF(CU2="No","null",IF(CY2&lt;&gt;"null",ROUND(AQ2*CY2,2),IF(CV2&lt;&gt;"",ROUND(CV2/12,2),IF(CX2&lt;&gt;"",CX2,ROUND(CW2/12,2)))))</f>
        <v>79.900000000000006</v>
      </c>
      <c r="DA2" s="7"/>
      <c r="DB2" s="284">
        <f>IF(CU2="No","null",IF(AI2&lt;DATE(1989,4,10),EH2,1))</f>
        <v>1</v>
      </c>
      <c r="DC2" s="8">
        <f>IF(CU2="No","null",ROUND(CZ2*DB2,2))</f>
        <v>79.900000000000006</v>
      </c>
      <c r="DD2" s="7">
        <f>IF(CU2="No","null",IF(BW2&lt;AW2,[1]!COMPM(BW2,AW2),0))</f>
        <v>0</v>
      </c>
      <c r="DE2" s="7"/>
      <c r="DF2" s="277">
        <f>IF(CU2="No","null",IF(OR(AV2=58,AND(AH2&lt;=DATE(1989,4,10),AV2=62)),VLOOKUP(DD2,erftable2,2),VLOOKUP(DD2,erftable1,2)))</f>
        <v>1</v>
      </c>
      <c r="DG2" s="277"/>
      <c r="DH2" s="276">
        <f>IF(CU2="No","null",IF(AI2="",IF(BW2&lt;AY2,0,[1]!COMPM(AY2,BW2)),IF(AI2&lt;AY2,0,[1]!COMPM(AY2,[1]!NRD(AI2,0)))))</f>
        <v>0</v>
      </c>
      <c r="DI2" s="277">
        <f>IF(CU2="No","null",ROUND([1]!LRFAEQ(0.045,"M",65,DH2,0,MMORT,FMORT,"MP","Y"),4))</f>
        <v>1</v>
      </c>
      <c r="DJ2" s="7">
        <f>IF(CU2="No","null",IF(AY2&gt;BW2,0,[1]!COMPM(AY2,BW2)))</f>
        <v>0</v>
      </c>
      <c r="DK2" s="277">
        <f>IF(CU2="No","null",ROUND([1]!LRFAEQ(0.045,"M",65,DJ2,0,"AA06","AA06","MP","Y"),4))</f>
        <v>1</v>
      </c>
      <c r="DL2" s="278">
        <f>IF(CU2="No","null",ROUND(DK2/DI2,4))</f>
        <v>1</v>
      </c>
      <c r="DM2" s="12">
        <f>IF(CU2="No","null",ROUND(DC2*DF2*DL2,2))</f>
        <v>79.900000000000006</v>
      </c>
      <c r="DN2" s="12"/>
      <c r="DO2" s="12">
        <f>IF(DM2="null","",DM2-DN2)</f>
        <v>79.900000000000006</v>
      </c>
      <c r="DP2" s="274">
        <f>IF(CN2="2","null",IF(AD2&lt;Z2,(YEAR(Z2)-YEAR(AD2))-IF(Z2&gt;=DATE(YEAR(Z2),MONTH(AD2),DAY(AD2)),0,1),-(YEAR(AD2)-YEAR(Z2))+IF(AD2&gt;=DATE(YEAR(AD2),MONTH(Z2),DAY(Z2)),0,1)))</f>
        <v>-4</v>
      </c>
      <c r="DQ2" s="277">
        <f>IF(CN2="2",1,IF(ABS(DP2)&lt;=5,0.95,IF(DP2&gt;0,MIN(1,0.95+0.005*(ABS(DP2)-5)),0.95-0.005*(ABS(DP2)-5))))</f>
        <v>0.95</v>
      </c>
      <c r="DR2" s="277"/>
      <c r="DS2" s="273">
        <f>IF(CU2="No","null",ROUND(DM2*DQ2,2))</f>
        <v>75.91</v>
      </c>
      <c r="DT2" s="273"/>
      <c r="DU2">
        <f>IF(CU2="Yes",DS2,IF(AND(DS2="null",DT2=""),"null",DT2))</f>
        <v>75.91</v>
      </c>
      <c r="DV2">
        <f>IF(DU2="null","",DU2-IF(CN2="0",DT2,DN2))</f>
        <v>75.91</v>
      </c>
      <c r="DW2" t="str">
        <f>IF(AH2&lt;DATE(1986,10,1),"Y","N")</f>
        <v>N</v>
      </c>
      <c r="DX2" s="272"/>
      <c r="DY2" s="273">
        <v>0</v>
      </c>
      <c r="DZ2" s="273"/>
      <c r="EA2" s="272" t="str">
        <f>IF(AND(OR(DY2&gt;0,DZ2&gt;0),DT2&gt;0),"Yes","No")</f>
        <v>No</v>
      </c>
      <c r="EB2" s="273" t="str">
        <f>IF(EA2="No","null",IF(DZ2&gt;0,ROUND(DZ2,2),ROUND(DY2,2)))</f>
        <v>null</v>
      </c>
      <c r="EC2" s="273"/>
      <c r="ED2" s="273" t="str">
        <f>IF(EC2="","",IF(EC2=BW2,"Yes","No"))</f>
        <v/>
      </c>
      <c r="EE2" s="269" t="str">
        <f>IF(EA2="No","null",MAX([1]!NRD(Z2,45),DATE(1986,10,1)))</f>
        <v>null</v>
      </c>
      <c r="EF2" s="269" t="str">
        <f>IF(EA2="No","null",BW2)</f>
        <v>null</v>
      </c>
      <c r="EG2" s="276" t="str">
        <f>IF(EA2="No","null",IF(OR(DAY(EE2)=1,DAY(EE2)=2),[1]!COMPM(EE2,EF2),[1]!COMPM(EE2,EF2)+1))</f>
        <v>null</v>
      </c>
      <c r="EH2" s="277" t="str">
        <f>IF(EA2="No","null",ROUND(1-ROUND(EG2*1/24*0.01,4),4))</f>
        <v>null</v>
      </c>
      <c r="EI2" s="277"/>
      <c r="EJ2" s="276" t="str">
        <f>IF(EI2="","",EH2=EI2)</f>
        <v/>
      </c>
      <c r="EK2" s="273" t="str">
        <f>IF(EA2="No","null",IF(OR(EB2={"",0,"null"}),"null",ROUND(EB2*IF(EH2="null",1,EH2),2)))</f>
        <v>null</v>
      </c>
      <c r="EL2" s="276" t="str">
        <f>IF(EA2="No","null",IF(BW2&gt;=AY2,0,[1]!COMPM(BW2,AY2)))</f>
        <v>null</v>
      </c>
      <c r="EM2" s="277" t="str">
        <f>IF(EL2="null","null",VLOOKUP(EL2,erftable1,2))</f>
        <v>null</v>
      </c>
      <c r="EN2"/>
      <c r="EO2" s="7" t="str">
        <f>IF(EA2="No","null",IF(AY2&gt;BW2,0,[1]!COMPM(AY2,BW2)))</f>
        <v>null</v>
      </c>
      <c r="EP2" s="277" t="str">
        <f>IF(EO2="null","null",ROUND([1]!LRFAEQ(0.04,"M",65,EO2,0,"AA06","AA06","MP","Y"),4))</f>
        <v>null</v>
      </c>
      <c r="EQ2" s="273" t="str">
        <f>IF(EK2="null","null",ROUND(EK2*EM2*EP2,2))</f>
        <v>null</v>
      </c>
      <c r="ER2" s="273"/>
      <c r="ES2" s="277" t="str">
        <f>IF(EA2="No","null",DQ2)</f>
        <v>null</v>
      </c>
      <c r="ET2" s="273"/>
      <c r="EU2" s="273" t="str">
        <f>IF(EA2="No","null",ROUND(EQ2*ES2,2))</f>
        <v>null</v>
      </c>
      <c r="EV2" s="273"/>
      <c r="EW2" s="273" t="str">
        <f>IF(OR(EU2="null",EV2=""),"",EU2-EV2)</f>
        <v/>
      </c>
      <c r="EX2" s="273" t="str">
        <f>IF(EA2="No","null",EU2)</f>
        <v>null</v>
      </c>
      <c r="EY2" s="273">
        <f>IF(AND(CU2="No",EA2="No"),"null",ROUND(DM2,2)-ROUND(IF(EQ2="null",0,EQ2),2))</f>
        <v>79.900000000000006</v>
      </c>
      <c r="EZ2" s="12">
        <f>IF(AND(CU2="No",EA2="No"),"null",ROUND(DU2,2)-ROUND(IF(EU2="null",0,EU2),2))</f>
        <v>75.91</v>
      </c>
      <c r="FA2" s="12" t="str">
        <f>IF(AND(AF2&gt;0,AF2&lt;=DOPT,CO2&gt;0),IF(AND(CU2="Yes",EA2="Yes"),ROUND(DM2-EQ2,2),IF(AND(CU2="No",EA2="Yes"),IF(DN2&gt;0,ROUND(DN2-EQ2,2),ROUND(EZ2/DQ2,2)))),"null")</f>
        <v>null</v>
      </c>
      <c r="FB2" s="12">
        <f>DC2</f>
        <v>79.900000000000006</v>
      </c>
      <c r="FC2" s="12">
        <f>ROUND(FB2*DQ2,2)</f>
        <v>75.91</v>
      </c>
      <c r="FD2" s="12" t="str">
        <f>EK2</f>
        <v>null</v>
      </c>
      <c r="FE2" s="12" t="str">
        <f>IF(FD2="null","null",ROUND(FD2*DQ2,2))</f>
        <v>null</v>
      </c>
      <c r="FF2" s="12">
        <f>ROUND(FB2-IF(FD2="null",0,FD2),2)</f>
        <v>79.900000000000006</v>
      </c>
      <c r="FG2" s="12">
        <f>ROUND(FC2-IF(FE2="null",0,FE2),2)</f>
        <v>75.91</v>
      </c>
      <c r="FH2" s="12">
        <f>ROUND(FF2*CO2,2)</f>
        <v>43.95</v>
      </c>
      <c r="FI2" s="12">
        <f>ROUND(FG2*CO2,2)</f>
        <v>41.75</v>
      </c>
      <c r="FJ2" s="12">
        <f>ROUND(FH2-FI2,2)</f>
        <v>2.2000000000000002</v>
      </c>
      <c r="FK2" s="277">
        <f>DQ2</f>
        <v>0.95</v>
      </c>
      <c r="FL2" s="8">
        <f>IF(CN2="2","null",IF(AND(AF2&gt;0,AF2&lt;=DOPT,CO2&gt;0),"null",IF(CU2="No",DN2,DM2)))</f>
        <v>79.900000000000006</v>
      </c>
      <c r="FM2" s="8" t="str">
        <f>IF(FL2="null","null",IF(DW2="N","null",EQ2))</f>
        <v>null</v>
      </c>
      <c r="FN2" s="8">
        <f>IF(CN2="2","null",ROUND(FL2-IF(FM2="null",0,FM2),2))</f>
        <v>79.900000000000006</v>
      </c>
      <c r="FO2" s="8">
        <f>IF(CN2="2","null",ROUND(FN2-EZ2,2))</f>
        <v>3.99</v>
      </c>
      <c r="FP2" s="273">
        <f>IF(CN2="2","null",IF(AND(CU2="No",EA2="No"),"null",ROUND(CO2*DU2,2)))</f>
        <v>41.75</v>
      </c>
      <c r="FQ2" s="273" t="str">
        <f>IF(CN2="2","null",IF(DW2="N","null",IF(AND(CU2="No",EA2="No"),"null",IF(CO2&gt;0,ROUND(0.55*EU2,2),0))))</f>
        <v>null</v>
      </c>
      <c r="FR2" s="8">
        <f>IF(CN2="2","null",ROUND(FP2-IF(FQ2="null",0,FQ2),2))</f>
        <v>41.75</v>
      </c>
      <c r="FS2" s="7">
        <f>IF(FR2="null",0,ROUND(FR2/EZ2,4))</f>
        <v>0.55000000000000004</v>
      </c>
      <c r="FT2" s="292">
        <f>IF(FS2=0,1,ROUND([1]!PBGCBFCF2("SLA",0,0,"JSP",FS2,0,+AT2,AU2),4))</f>
        <v>0.84079999999999999</v>
      </c>
      <c r="FU2" s="292">
        <f>ROUND(IF(FS2=0,VLOOKUP(CP2,bfcfpbgc,2,FALSE),IF(FS2&lt;=0.5,((0.5-FS2)*0.02+FS2*0.018*VLOOKUP(AT2-AU2,AgeDiffFactor,2,FALSE))*100,((1-FS2)*0.018+(FS2-0.5)*0.016)*100*VLOOKUP(AT2-AU2,AgeDiffFactor,2,FALSE))*(1*(120-CP2)+IF(FS2&lt;=0.25,0.037*(25-FS2*100)+0.0378*FS2*100,0.0126*(100-FS2*100)+0.0132*(FS2*100-25))*CP2)/120)*IF(CN2="0",1-0.04*FS2*IF((AT2-AU2)&lt;=0,1-0.1*(AT2-AU2),(0.6667^(0.2*(AT2-AU2)))),1),4)</f>
        <v>0.84079999999999999</v>
      </c>
      <c r="FV2" s="292">
        <f>ABS(FT2-FU2)</f>
        <v>0</v>
      </c>
      <c r="FW2" s="67">
        <f>[1]!ATT(Z2,DOPT)</f>
        <v>63</v>
      </c>
      <c r="FX2" s="269">
        <f>BW2</f>
        <v>42095</v>
      </c>
      <c r="FY2" s="8"/>
      <c r="FZ2" s="8"/>
      <c r="GA2" s="8" t="str">
        <f>IF(AS2="DV","N","Y")</f>
        <v>N</v>
      </c>
      <c r="GB2" s="8" t="str">
        <f>IF(GA2="Y",IF(FY2&gt;0,FY2,VLOOKUP(AL2,Medicare,2)),"null")</f>
        <v>null</v>
      </c>
      <c r="GC2" s="269" t="str">
        <f>IF(GA2="N","null",IF(F2="R",AY2,MAX(BV2,AY2)))</f>
        <v>null</v>
      </c>
      <c r="GD2" s="269" t="str">
        <f>IF(GA2="N","null",DATE(2099,12,1))</f>
        <v>null</v>
      </c>
      <c r="GE2" s="277" t="str">
        <f>IF(GA2="Y",IF(BV2&gt;=GC2,0,[1]!LLF(DOPT,Z2,MAX(GC2,BV2),MAX(BV2,DATE(YEAR(GC2),MONTH(GC2)+1,1)))),"null")</f>
        <v>null</v>
      </c>
      <c r="GF2" s="277" t="str">
        <f>IF(GE2="null","null",1-GE2)</f>
        <v>null</v>
      </c>
      <c r="GG2" s="277" t="str">
        <f>IF(GA2="N","null","0")</f>
        <v>null</v>
      </c>
      <c r="GH2" s="269" t="str">
        <f>IF(AB2="","NULL",DATE(YEAR(AB2)+65,MONTH(AB2)+1,1))</f>
        <v>NULL</v>
      </c>
      <c r="GI2" s="8"/>
      <c r="GJ2" s="269"/>
      <c r="GK2" s="7" t="str">
        <f>IF(AND(GA2="Y",CN2&lt;&gt;"2"),IF(LU2="Y","null",GB2),"null")</f>
        <v>null</v>
      </c>
      <c r="GL2" s="269" t="str">
        <f>IF(GK2="null","null",IF(F2="R",MAX(AY2,DATE(YEAR(AB2)+65,MONTH(AB2)+1,1)),MAX(DOPT2,DATE(YEAR(AB2)+65,MONTH(AB2)+1,1))))</f>
        <v>null</v>
      </c>
      <c r="GM2" s="269" t="str">
        <f>IF(GK2="null","null",DATE(2099,12,1))</f>
        <v>null</v>
      </c>
      <c r="GN2" s="269" t="str">
        <f>GM2</f>
        <v>null</v>
      </c>
      <c r="GO2" s="273"/>
      <c r="GP2" s="273"/>
      <c r="GQ2" s="269"/>
      <c r="GR2" s="8" t="str">
        <f>IF(AND(GQ2&gt;=DOPT,GO2&gt;0),"Y","N")</f>
        <v>N</v>
      </c>
      <c r="GS2" s="12">
        <f>EZ2</f>
        <v>75.91</v>
      </c>
      <c r="GT2" s="12">
        <f>FO2</f>
        <v>3.99</v>
      </c>
      <c r="GU2" s="12" t="str">
        <f>GB2</f>
        <v>null</v>
      </c>
      <c r="GV2" s="12" t="str">
        <f>GK2</f>
        <v>null</v>
      </c>
      <c r="GW2" s="6" t="str">
        <f>IF(BE2&lt;DOPT3,"Yes","No")</f>
        <v>Yes</v>
      </c>
      <c r="GX2" s="6" t="str">
        <f>IF(GW2="Yes","null",[1]!ATT(Z2,DOPT3))</f>
        <v>null</v>
      </c>
      <c r="GY2" s="6" t="str">
        <f>IF(GW2="Yes","null",IF(AL2&lt;DATE(2011,1,1),0,VLOOKUP(IF(AL2&gt;=DATE(2012,1,1),12*190,MONTH(AL2)*190),VS,2)))</f>
        <v>null</v>
      </c>
      <c r="GZ2" s="6" t="str">
        <f>IF(GW2="Yes","null",IF(AL2&lt;DATE(2012,1,1),0,VLOOKUP(IF(AL2&gt;=DATE(2013,1,1),12*190,MONTH(AL2)*190),VS,2)))</f>
        <v>null</v>
      </c>
      <c r="HA2" s="6" t="str">
        <f>IF(GW2="Yes","null",IF(AL2&lt;DATE(2013,1,1),0,VLOOKUP(IF(AL2&gt;=DATE(2014,1,1),12*190,MONTH(AL2)*190),VS,2)))</f>
        <v>null</v>
      </c>
      <c r="HB2" s="6" t="str">
        <f>IF(GW2="Yes","null",IF(AI2&lt;&gt;"",IF(AI2&lt;=DOPT3,IF(AR2="","null",AR2),AR2-GY2-GZ2-HA2),"null"))</f>
        <v>null</v>
      </c>
      <c r="HC2" s="6" t="str">
        <f>IF(GW2="Yes","Y",IF(AND(GX2&gt;=55,HB2&gt;=5),"Y","N"))</f>
        <v>Y</v>
      </c>
      <c r="HD2" s="6" t="str">
        <f>IF(GW2="Yes","null",IF(HC2="N","null",IF(AND(MIN(AN2,GX2)&gt;=65,HB2&gt;=5),"NR",IF(AND(MIN(AN2,GX2)&gt;=55,HB2&gt;=10),"ER","DV"))))</f>
        <v>null</v>
      </c>
      <c r="HE2" s="12" t="str">
        <f>IF(GW2="Yes","null",IF(HC2="Y",CZ2,"null"))</f>
        <v>null</v>
      </c>
      <c r="HF2" s="6" t="str">
        <f>IF(GW2="Yes","null",IF(HC2="N","null",IF(AND(AH2&lt;=DATE(1989,4,10),AQ2&gt;=30,MIN(GX2,AN2)&gt;=55),58,IF(AND(AH2&lt;=DATE(1989,4,10),HB2&gt;=10,MIN(GX2,AN2)&gt;=55),62,IF(AND(AH2&gt;DATE(1989,4,10),HB2&gt;=10,MIN(GX2,AN2)&gt;=62),62,65)))))</f>
        <v>null</v>
      </c>
      <c r="HG2" s="11" t="str">
        <f>IF(GW2="Yes","null",IF(HC2="N","null",[1]!NRD(Z2,HF2)))</f>
        <v>null</v>
      </c>
      <c r="HH2" s="6" t="str">
        <f>IF(GW2="Yes","null",IF(HC2="N","null",IF(DOPT4&lt;HG2,[1]!COMPM(DOPT4,HG2),0)))</f>
        <v>null</v>
      </c>
      <c r="HI2" s="249" t="str">
        <f>IF(GW2="Yes","null",IF(HC2="N","null",VLOOKUP(HH2,IF(HF2=65,erftable1,erftable2),2,FALSE)))</f>
        <v>null</v>
      </c>
      <c r="HJ2" s="6" t="str">
        <f>IF(GW2="Yes","null",IF(HC2="N","null",IF(DOPT4&gt;AY2,[1]!COMPM(AY2,DOPT4),0)))</f>
        <v>null</v>
      </c>
      <c r="HK2" s="249" t="str">
        <f>IF(GW2="Yes","null",IF(HC2="N","null",ROUND([1]!LRFAEQ(0.045,"M",65,HJ2,0,"AA06","AA06","MP","Y"),4)))</f>
        <v>null</v>
      </c>
      <c r="HL2" s="249" t="str">
        <f>IF(GW2="Yes","null",IF(HC2="N","null",ROUND(MAX(1,HK2/DI2),4)))</f>
        <v>null</v>
      </c>
      <c r="HM2" s="12" t="str">
        <f>IF(GW2="Yes","null",IF(HC2="N","null",ROUND(HE2*HI2*HL2,2)))</f>
        <v>null</v>
      </c>
      <c r="HN2" s="249" t="str">
        <f>IF(GW2="Yes","null",IF(HC2="N","null",DQ2))</f>
        <v>null</v>
      </c>
      <c r="HO2" s="12" t="str">
        <f>IF(GW2="Yes","null",IF(HC2="N","null",ROUND(HM2*HN2,2)))</f>
        <v>null</v>
      </c>
      <c r="HP2" s="283" t="str">
        <f>IF(GW2="Yes","null",IF(OR(EB2={"",0,"null"}),"null",EH2))</f>
        <v>null</v>
      </c>
      <c r="HQ2" s="8" t="str">
        <f>IF(GW2="Yes","null",IF(OR(EB2={"",0,"null"}),"null",ROUND(EB2*HP2,2)))</f>
        <v>null</v>
      </c>
      <c r="HR2" t="str">
        <f>IF(OR(GW2="Yes",EB2="null",EA2="No"),"null",IF(DOPT4&lt;AY2,[1]!COMPM(DOPT4,AY2),0))</f>
        <v>null</v>
      </c>
      <c r="HS2" s="277" t="str">
        <f>IF(HR2="null","null",VLOOKUP(HR2,erftable1,2,FALSE))</f>
        <v>null</v>
      </c>
      <c r="HT2" s="276" t="str">
        <f>IF(GW2="Yes","null",IF(HC2="N","null", IF(EA2="No","null",IF(AY2&gt;DOPT4,0,[1]!COMPM(AY2,DOPT4)))))</f>
        <v>null</v>
      </c>
      <c r="HU2" s="277" t="str">
        <f>IF(HT2="null","null",ROUND([1]!LRFAEQ(0.04,"M",65,HT2,0,"AA06","AA06","MP","Y"),4))</f>
        <v>null</v>
      </c>
      <c r="HV2" s="12" t="str">
        <f>IF(OR(GW2="Yes",OR(EB2={0,"null"})),"null",ROUND(HQ2*HS2*HU2,2))</f>
        <v>null</v>
      </c>
      <c r="HW2" s="277" t="str">
        <f>IF(HV2="null","null",IF(HC2="N","null",HN2))</f>
        <v>null</v>
      </c>
      <c r="HX2" s="12" t="str">
        <f>IF(HV2="null","null",ROUND(HV2*HW2,2))</f>
        <v>null</v>
      </c>
      <c r="HY2" s="12">
        <f>IF(GW2="Yes",EZ2,IF(HC2="N","null",MIN(EZ2,ROUND(HO2-IF(HX2="null",0,HX2),2))))</f>
        <v>75.91</v>
      </c>
      <c r="HZ2" s="12" t="str">
        <f>IF(GW2="Yes","null",IF(HC2="N","null",IF(CN2="2","null",IF(EZ2=HY2,"null",ROUND(HO2*CO2,2)))))</f>
        <v>null</v>
      </c>
      <c r="IA2" s="12" t="str">
        <f>IF(HX2="null","null",IF(CN2="2","null",IF(EZ2=HY2,"null",ROUND(HX2*IF(CO2=0,0,0.55),2))))</f>
        <v>null</v>
      </c>
      <c r="IB2" s="12">
        <f>IF(CN2="2","null",IF(EZ2=HY2,FR2,IF(HZ2="null","null",ROUND(HZ2,2)-ROUND(IF(IA2="null",0,IA2),2))))</f>
        <v>41.75</v>
      </c>
      <c r="IC2" s="98" t="str">
        <f>IF(GW2="Yes","null",IF(IB2="null",0,ROUND(IB2/HY2,4)))</f>
        <v>null</v>
      </c>
      <c r="ID2" s="292" t="str">
        <f>IF(IC2="null","null",IF(IC2=0,1,ROUND([1]!PBGCBFCF2("SLA",0,0,"JSP",IC2,0,AT2,AU2),4)))</f>
        <v>null</v>
      </c>
      <c r="IE2" s="292" t="str">
        <f>IF(IC2="null","null",ROUND(IF(IC2=0,VLOOKUP(CP2,bfcfpbgc,2,FALSE),IF(IC2&lt;=0.5,((0.5-IC2)*0.02+IC2*0.018*VLOOKUP(AT2-AU2,AgeDiffFactor,2,FALSE))*100,((1-IC2)*0.018+(IC2-0.5)*0.016)*100*VLOOKUP(AT2-AU2,AgeDiffFactor,2,FALSE))*(1*(120-CP2)+IF(IC2&lt;=0.25,0.037*(25-IC2*100)+0.0378*IC2*100,0.0126*(100-IC2*100)+0.0132*(IC2*100-25))*CP2)/120)*IF(CN2="0",1-0.04*IC2*IF((AT2-AU2)&lt;=0,1-0.1*(AT2-AU2),(0.6667^(0.2*(AT2-AU2)))),1),4))</f>
        <v>null</v>
      </c>
      <c r="IF2" s="292" t="str">
        <f>IF(ID2="null","null",ABS(ID2-IE2))</f>
        <v>null</v>
      </c>
      <c r="IG2" s="292" t="str">
        <f>IF(GW2="Yes","null",IF(HC2="N","null",ROUND(FT2/ID2,4)))</f>
        <v>null</v>
      </c>
      <c r="IH2" s="12">
        <f>IF(HC2="N","null",IF(GW2="Yes",HY2,ROUND(HY2*IG2,2)))</f>
        <v>75.91</v>
      </c>
      <c r="II2" s="12">
        <f>IF(HC2="N","null",IF(GW2="Yes",FO2,IF(CN2="2","null",IF(EZ2=HY2,FO2,ROUND((HM2-IF(HV2="null",0,HV2))*IG2,2)-IH2))))</f>
        <v>3.99</v>
      </c>
      <c r="IJ2" s="12" t="str">
        <f>IF(HC2="N","null",IF(HD2="DV","null",GB2))</f>
        <v>null</v>
      </c>
      <c r="IK2" s="12" t="str">
        <f>IF(HC2="N","null",IF(HD2="DV","null",GK2))</f>
        <v>null</v>
      </c>
      <c r="IL2" s="98">
        <f>IF(HC2="N","null",PC34044AR)</f>
        <v>1</v>
      </c>
      <c r="IM2" s="12">
        <f>MAX(GS2,ROUND(IH2*IL2,2))</f>
        <v>75.91</v>
      </c>
      <c r="IN2" s="12">
        <f>IF(GT2="null","null",MAX(GT2,IF(GW2="Yes",ROUND(II2*IL2,2),IF(II2="null",0,ROUND(II2*IL2*IG2,2)))))</f>
        <v>3.99</v>
      </c>
      <c r="IO2" s="12" t="str">
        <f>IF(GU2="null","null",GU2)</f>
        <v>null</v>
      </c>
      <c r="IP2" s="12" t="str">
        <f>IF(GV2="null","null",GV2)</f>
        <v>null</v>
      </c>
      <c r="IQ2" s="12">
        <f>ROUND(MAX(0,EZ2-IM2),2)</f>
        <v>0</v>
      </c>
      <c r="IR2" s="12">
        <f>IF(FO2="null","null",MAX(0,FO2-IN2))</f>
        <v>0</v>
      </c>
      <c r="IS2" s="12" t="str">
        <f>IF(GB2="null","null",MAX(0,GB2-IO2))</f>
        <v>null</v>
      </c>
      <c r="IT2" s="12" t="str">
        <f>IF(GK2="null","null",MAX(0,GK2-IP2))</f>
        <v>null</v>
      </c>
      <c r="IU2" s="303">
        <f>PC5AAR</f>
        <v>0.232181</v>
      </c>
      <c r="IV2" s="304">
        <v>0</v>
      </c>
      <c r="IW2" s="12">
        <f>IM2+IV2</f>
        <v>75.91</v>
      </c>
      <c r="IX2" s="12">
        <f>0</f>
        <v>0</v>
      </c>
      <c r="IY2" s="12">
        <f>IN2</f>
        <v>3.99</v>
      </c>
      <c r="IZ2" s="12" t="str">
        <f>IO2</f>
        <v>null</v>
      </c>
      <c r="JA2" s="12" t="str">
        <f>IP2</f>
        <v>null</v>
      </c>
      <c r="JB2" s="12">
        <f>IW2</f>
        <v>75.91</v>
      </c>
      <c r="JC2" s="12">
        <f>FR2</f>
        <v>41.75</v>
      </c>
      <c r="JD2" s="12">
        <f>JC2</f>
        <v>41.75</v>
      </c>
      <c r="JE2" s="6">
        <f>ROUND([1]!NPVF2("MP",IF(OR(CN2={"0","9"}),"JSC","SLA"),"N",DOPT,U2,AT2,BU2,IF(BX2="null",0,BX2),FS2,0,0,DOPT,DOPT,"P","","",IF(S2="",0,S2)),4)</f>
        <v>17.160399999999999</v>
      </c>
      <c r="JF2" s="6">
        <f>IF(CN2="2","null",ROUND([1]!NPVF2("MP","SLA","N",DOPT,U2,AT2,AT2,0,0,0,0,DOPT,DOPT,"P","","",IF(S2="",0,S2)),4))</f>
        <v>14.726800000000001</v>
      </c>
      <c r="JG2" s="6">
        <f>IF(CN2="2","null",ROUND([1]!NPVF2("MP","JSJ","N",DOPT,U2,AT2,BU2,BX2,0,0,0,DOPT,DOPT,"P","","",IF(S2="",0,S2)),4))</f>
        <v>13.1402</v>
      </c>
      <c r="JH2" s="6">
        <f>IF(CN2="0",JF2-JG2,"null")</f>
        <v>1.5866000000000007</v>
      </c>
      <c r="JI2" s="7" t="str">
        <f>IF(GC2="null","null",IF(GC2&lt;BV2,0,[1]!COMPM(BV2,GC2)))</f>
        <v>null</v>
      </c>
      <c r="JJ2" s="284" t="str">
        <f>IF(GB2="null","null",ROUND([1]!NPVF2("MP","SLA","N",DOPT,U2,AT2,BU2,0,0,0,0,DOPT,DOPT,"P","","",IF(S2="",0,S2)),4))</f>
        <v>null</v>
      </c>
      <c r="JK2" s="284" t="str">
        <f>IF(GB2="null","null",IF(JI2=0,0,ROUND([1]!NPVF2("MP","SLA","N",DOPT,U2,AT2,BU2,0,0,0,JI2,DOPT,DOPT,"P","","",IF(S2="",0,S2)),4)))</f>
        <v>null</v>
      </c>
      <c r="JL2" s="284" t="e">
        <f>[1]!anb(Z2,GC2)</f>
        <v>#VALUE!</v>
      </c>
      <c r="JM2" s="284" t="str">
        <f>IF(GB2="null","null",ROUND([1]!NPVF2("MP","SLA","N",DOPT,U2,AT2,MAX(AT2,JL2),0,0,0,0,DOPT,DOPT,"P","","",IF(S2="",0,S2)),4))</f>
        <v>null</v>
      </c>
      <c r="JN2" s="284" t="str">
        <f>IF(GB2="null","null",ROUND(JJ2-JK2,4))</f>
        <v>null</v>
      </c>
      <c r="JO2" s="249" t="str">
        <f>JM2</f>
        <v>null</v>
      </c>
      <c r="JP2" s="249" t="e">
        <f>JO2-JN2</f>
        <v>#VALUE!</v>
      </c>
      <c r="JQ2" s="6" t="str">
        <f>IF(GK2="null","null",IF(IF(GL2="null",GJ2,GL2)&lt;BV2,0,[1]!COMPM(BV2,IF(GL2="null",GJ2,GL2))))</f>
        <v>null</v>
      </c>
      <c r="JR2" s="249" t="str">
        <f>IF(GK2="null","null",ROUND([1]!NPVF2("MP","SLA","N",DOPT,IF(AND(F2="R",X2="M",V2=""),"F",V2),AU2,BX2,0,0,0,0,DOPT,DOPT,"P","","",0),4))</f>
        <v>null</v>
      </c>
      <c r="JS2" s="6" t="str">
        <f>IF(GK2="null","null",ROUND([1]!NPVF2("MP","JSJ","N",DOPT,IF(AND(F2="R",X2="M",V2=""),"F",V2),AU2,BX2,BU2,0,0,0,DOPT,DOPT,"N","","",IF(S2="",0,S2)),4))</f>
        <v>null</v>
      </c>
      <c r="JT2" s="6" t="str">
        <f>IF(GK2="null","null",IF(JQ2=0,0,ROUND([1]!NPVF2("MP","SLA","N",DOPT,IF(AND(F2="R",X2="M",V2=""),"F",V2),AU2,BX2,0,0,0,JQ2,DOPT,DOPT,"P","","",0),4)))</f>
        <v>null</v>
      </c>
      <c r="JU2" s="6" t="str">
        <f>IF(GK2="null","null",IF(JQ2=0,0,ROUND([1]!NPVF2("MP","JSJ","N",DOPT,IF(AND(F2="R",X2="M",V2=""),"F",V2),AU2,BX2,BU2,0,0,JQ2,DOPT,DOPT,"N","","",IF(S2="",0,S2)),4)))</f>
        <v>null</v>
      </c>
      <c r="JV2" s="6" t="str">
        <f>IF(GL2="null","null",[1]!anb(AD2,GL2))</f>
        <v>null</v>
      </c>
      <c r="JW2" s="6" t="str">
        <f>IF(GL2="null","null",[1]!anb(Z2,GL2))</f>
        <v>null</v>
      </c>
      <c r="JX2" s="6" t="str">
        <f>IF(OR(GK2="null",R2="Y"),"null",ROUND([1]!NPVF2("MP","SLA","N",DOPT,IF(AND(F2="R",X2="M",V2=""),"F",V2),AU2,MAX(AU2,JW2),0,0,0,0,DOPT,DOPT,"P","","",0),4))</f>
        <v>null</v>
      </c>
      <c r="JY2" s="6" t="str">
        <f>IF(OR(R2="Y",GK2="null"),"null",ROUND([1]!NPVF2("MP","JSJ","N",DOPT,IF(AND(F2="R",X2="M",V2=""),"F",V2),AU2,MAX(AU2,JV2),MAX(AT2,JW2),0,0,0,DOPT,DOPT,"B","","",IF(S2="",0,S2)),4))</f>
        <v>null</v>
      </c>
      <c r="JZ2" s="6" t="str">
        <f>IF(GK2="null","null",(JR2-JT2)-(JS2-JU2))</f>
        <v>null</v>
      </c>
      <c r="KA2" s="6" t="str">
        <f>IF(OR(R2="Y",GK2="null"),"null",JX2-JY2)</f>
        <v>null</v>
      </c>
      <c r="KB2" s="6" t="e">
        <f>KA2-JZ2</f>
        <v>#VALUE!</v>
      </c>
      <c r="KC2" s="271">
        <f>ROUND((EZ2*JE2*12),0)+IF(GB2="null",0,ROUND(GB2*JO2*12,0))+IF(OR(KA2="null",GK2="null"),0,ROUND(GK2*KA2*12,0))+ROUND(IF(CN2="2",0,FO2*JH2*12),0)</f>
        <v>15708</v>
      </c>
      <c r="KD2" s="557">
        <f>LOADING</f>
        <v>8.0999999999999996E-3</v>
      </c>
      <c r="KE2" s="271">
        <f>ROUND(KC2*(1+KD2),0)</f>
        <v>15835</v>
      </c>
      <c r="KF2" s="271">
        <f>ROUND((GS2*JE2*12),0)+IF(GU2="null",0,ROUND(GU2*JO2*12,0))+IF(OR(KA2="null",GV2="null"),0,ROUND(GV2*KA2*12,0))+ROUND(IF(CN2="2",0,GT2*JH2*12),0)</f>
        <v>15708</v>
      </c>
      <c r="KG2" s="271">
        <f>ROUND(KF2*(1+KD2),0)</f>
        <v>15835</v>
      </c>
      <c r="KH2" s="271">
        <f>IF(HC2="N","null",ROUND(IH2*JE2*12,0)+ROUND(IF(II2="null",0,II2*JH2*12),0)+ROUND(IF(IJ2="null",0,IJ2*JO2*12),0)+ROUND(IF(OR(KA2="null",IK2="null"),0,IK2*KA2*12),0))</f>
        <v>15708</v>
      </c>
      <c r="KI2" s="12">
        <f>IF(HC2="N","null",ROUND(KH2*KD2,0))</f>
        <v>127</v>
      </c>
      <c r="KJ2" s="271">
        <f>IF(HC2="N","null",ROUND(KH2+KI2,0))</f>
        <v>15835</v>
      </c>
      <c r="KK2" s="12">
        <f>IF(HC2="N","null",KE2)</f>
        <v>15835</v>
      </c>
      <c r="KL2" s="68">
        <f>ROUND(IM2*JE2*12,0)+IF(IN2="null",0,ROUND(IN2*JH2*12,0))+IF(IO2="null",0,ROUND(IO2*JO2*12,0))+IF(OR(KA2="null",IP2="null"),0,ROUND(IP2*KA2*12,0))</f>
        <v>15708</v>
      </c>
      <c r="KM2" s="271">
        <f>ROUND(KL2*(1+LOADING),0)</f>
        <v>15835</v>
      </c>
      <c r="KN2" s="271">
        <f>ROUND(KC2-KL2,2)</f>
        <v>0</v>
      </c>
      <c r="KO2" s="271">
        <f>ROUND(KE2-KM2,0)</f>
        <v>0</v>
      </c>
      <c r="KP2" s="98">
        <f>SPARR</f>
        <v>4.9299999999999997E-2</v>
      </c>
      <c r="KQ2" s="12">
        <f>ROUND(KO2*KP2,2)</f>
        <v>0</v>
      </c>
      <c r="KR2" s="322">
        <v>0</v>
      </c>
      <c r="KS2" s="322">
        <v>0</v>
      </c>
      <c r="KT2" s="271">
        <f>KR2+KL2</f>
        <v>15708</v>
      </c>
      <c r="KU2" s="12">
        <f>KS2+KM2</f>
        <v>15835</v>
      </c>
      <c r="KV2" s="279">
        <f>ROUND([1]!NPVF2("MP",CS2,"O",DOPT,U2,AT2,BU2,IF(BX2="null",0,BX2),FS2,0,0,DOPT,DOPT,"P","",""),4)</f>
        <v>16.264399999999998</v>
      </c>
      <c r="KW2" s="279">
        <f>IF(CN2&lt;&gt;"0","null",ROUND([1]!NPVF2("MP","SLA","O",DOPT,U2,AT2,AT2,0,0,0,0,DOPT,DOPT,"P","",""),4))</f>
        <v>13.549300000000001</v>
      </c>
      <c r="KX2" s="279">
        <f>IF(CN2&lt;&gt;"0","null",ROUND([1]!NPVF2("MP","JSJ","O",DOPT,U2,AT2,AT2,IF(AU2="null",0,AU2),0,0,0,DOPT,DOPT,"P","",""),4))</f>
        <v>10.651999999999999</v>
      </c>
      <c r="KY2" s="279">
        <f>IF(CN2&lt;&gt;"0","null",KW2-KX2)</f>
        <v>2.8973000000000013</v>
      </c>
      <c r="KZ2" s="279" t="str">
        <f>IF(GA2="Y",ROUND([1]!NPVF2("MP","SLA","O",DOPT,U2,AT2,AT2,0,0,0,0,DOPT,DOPT,"P","",""),4),"null")</f>
        <v>null</v>
      </c>
      <c r="LA2" s="279" t="str">
        <f>IF(GA2="Y",IF(JI2=0,0,ROUND([1]!NPVF2("MP","SLA","O",DOPT,U2,AT2,AT2,0,0,0,JI2,DOPT,DOPT,"P","",""),4)),"null")</f>
        <v>null</v>
      </c>
      <c r="LB2" s="279" t="str">
        <f>IF(GA2="Y",ROUND([1]!NPVF2("MP","SLA","O",DOPT,U2,AT2,MAX(JL2,AT2),0,0,0,0,DOPT,DOPT,"P","",""),4),"null")</f>
        <v>null</v>
      </c>
      <c r="LC2" s="279" t="str">
        <f>IF(GA2="Y",ROUND(KZ2-LA2,4),"null")</f>
        <v>null</v>
      </c>
      <c r="LD2" s="7" t="str">
        <f>IF(GA2="Y",LB2,"null")</f>
        <v>null</v>
      </c>
      <c r="LE2" s="284" t="e">
        <f>LD2-LC2</f>
        <v>#VALUE!</v>
      </c>
      <c r="LF2" s="284" t="str">
        <f>IF(GK2="null","null",ROUND([1]!NPVF2("MP","SLA","O",DOPT,IF(AND(F2="R",X2="M",V2=""),"F",V2),AU2,AU2,0,0,0,0,DOPT,DOPT,"P","",""),4))</f>
        <v>null</v>
      </c>
      <c r="LG2" s="279" t="str">
        <f>IF(GK2="null","null",ROUND([1]!NPVF2("MP","JSJ","O",DOPT,U2,AU2,BX2,BU2,0,0,0,DOPT,DOPT,"P","",""),4))</f>
        <v>null</v>
      </c>
      <c r="LH2" s="284" t="str">
        <f>IF(GK2="null","null",IF(JQ2=0,0,ROUND([1]!NPVF2("MP","SLA","O",DOPT,IF(AND(F2="R",X2="M",V2=""),"F",V2),AU2,AU2,0,0,0,JQ2,DOPT,DOPT,"P","",""),4)))</f>
        <v>null</v>
      </c>
      <c r="LI2" s="279" t="str">
        <f>IF(GK2="null","null",IF(JQ2=0,0,ROUND([1]!NPVF2("MP","JSJ","O",DOPT,IF(AND(F2="R",X2="M",V2=""),"F",V2),AU2,BX2,BU2,0,0,JQ2,DOPT,DOPT,"P","",""),4)))</f>
        <v>null</v>
      </c>
      <c r="LJ2" s="1" t="str">
        <f>IF(OR(KA2="null",GK2="null"),"null",ROUND([1]!NPVF2("MP","SLA","O",DOPT,IF(AND(F2="R",X2="M",V2=""),"F",V2),AU2,MAX(JV2,AU2),0,0,0,0,DOPT,DOPT,"P","",""),4))</f>
        <v>null</v>
      </c>
      <c r="LK2" s="279" t="str">
        <f>IF(GK2="null","null",ROUND([1]!NPVF2("MP","JSJ","O",DOPT,U2,AU2,MAX(JV2,BX2),MAX(JW2,BU2),0,0,0,DOPT,DOPT,"B","",""),4))</f>
        <v>null</v>
      </c>
      <c r="LL2" s="279" t="str">
        <f>IF(GK2="null","null",(LF2-LH2)-(LG2-LI2))</f>
        <v>null</v>
      </c>
      <c r="LM2" s="1" t="str">
        <f>IF(OR(KA2="null",GK2="null"),"null",LJ2-LK2)</f>
        <v>null</v>
      </c>
      <c r="LN2" s="279" t="str">
        <f>IF(GK2="null","null",LM2-LL2)</f>
        <v>null</v>
      </c>
      <c r="LO2" s="271">
        <f>ROUND(IW2*KV2*12,0)+ROUND(IF(IY2="null",0,IY2*KY2*12),0)+ROUND(IF(IZ2="null",0,IZ2*LD2*12),0)+ROUND(IF(JA2="null",0,JA2*LM2*12),0)</f>
        <v>14955</v>
      </c>
      <c r="LP2" s="271"/>
      <c r="LQ2" s="271"/>
      <c r="LR2" s="271">
        <f>ROUND(AT2*KT2,0)</f>
        <v>1005312</v>
      </c>
      <c r="LS2" s="271">
        <f>LR2</f>
        <v>1005312</v>
      </c>
      <c r="LT2" s="276" t="str">
        <f>IF(F2="V","N","Y")</f>
        <v>N</v>
      </c>
      <c r="LU2" s="276"/>
      <c r="LV2" s="70" t="str">
        <f>IF(LT2="N","null",IW2)</f>
        <v>null</v>
      </c>
      <c r="LW2" s="70" t="str">
        <f>IF(LT2="N","null",[1]!PBGCOFA(DOPT,Z2,0,0,"N",BW2,"MP","SLA",0,0,0,IW2,0,0,"SLA",0,0,0,0,0,0,0,0,IF(GC2="null",0,GC2),IF(GB2="Null",0,GB2),0,0,1))</f>
        <v>null</v>
      </c>
      <c r="LX2" s="70" t="str">
        <f>IF(LT2="N","null",[1]!PBGCOFA(DOPT,Z2,0,0,"N",BW2,"MP","SLA",0,0,0,IW2,0,LW2,"5CC",0,0,0,0,0,0,0,0,IF(GC2="null",0,GC2),IF(GB2="Null",0,GB2),0,0,1))</f>
        <v>null</v>
      </c>
      <c r="LY2" s="70" t="str">
        <f>IF(LT2="N","null",[1]!PBGCOFA(DOPT,Z2,0,0,"N",BW2,"MP","SLA",0,0,0,IW2,0,LW2,"10CC",0,0,0,0,0,0,0,0,IF(GC2="null",0,GC2),IF(GB2="Null",0,GB2),0,0,1))</f>
        <v>null</v>
      </c>
      <c r="LZ2" s="70" t="str">
        <f>IF(LT2="N","null",[1]!PBGCOFA(DOPT,Z2,0,0,"N",BW2,"MP","SLA",0,0,0,IW2,0,LW2,"15CC",0,0,0,0,0,0,0,0,IF(GC2="null",0,GC2),IF(GB2="Null",0,GB2),0,0,1))</f>
        <v>null</v>
      </c>
      <c r="MA2" s="70" t="str">
        <f>IF(OR(CN2="2",LU2="Y",F2="V"),"null",IW2)</f>
        <v>null</v>
      </c>
      <c r="MB2" s="70" t="str">
        <f>IF(MA2="null","null",[1]!PBGCOFA(DOPT,Z2,AD2,AC2,IF(R2="Y",R2,"N"),BW2,"MP","JSP",FS2,0,0,MA2,LV2,LW2,"JS50",0,0,0,0,0,0,0,0,IF(GC2="null",0,GC2),IF(GB2="Null",0,GB2),IF(GL2="null",0,GL2),IF(GK2="Null",0,GK2),1))</f>
        <v>null</v>
      </c>
      <c r="MC2" s="70" t="str">
        <f>IF(MA2="null","null",[1]!PBGCOFA(DOPT,Z2,AD2,AC2,IF(R2="Y",R2,"N"),BW2,"MP","JSP",FS2,0,0,MA2,LV2,LW2,"JS75",0,0,0,0,0,0,0,0,IF(GC2="null",0,GC2),IF(GB2="Null",0,GB2),IF(GL2="null",0,GL2),IF(GK2="Null",0,GK2),1))</f>
        <v>null</v>
      </c>
      <c r="MD2" s="70" t="str">
        <f>IF(MA2="null","null",[1]!PBGCOFA(DOPT,Z2,AD2,AC2,IF(R2="Y",R2,"N"),BW2,"MP","JSP",FS2,0,0,MA2,LV2,LW2,"JS100",0,0,0,0,0,0,0,0,IF(GC2="null",0,GC2),IF(GB2="Null",0,GB2),IF(GL2="null",0,GL2),IF(GK2="Null",0,GK2),1))</f>
        <v>null</v>
      </c>
      <c r="ME2" s="70" t="str">
        <f>IF(MA2="null","null",[1]!PBGCOFA(DOPT,Z2,AD2,AC2,IF(R2="Y",R2,"N"),BW2,"MP","JSP",FS2,0,0,MA2,LV2,LW2,"JSPOP",0,0,0,0,0,0,0,0,IF(GC2="null",0,GC2),IF(GB2="Null",0,GB2),IF(GL2="null",0,GL2),IF(GK2="Null",0,GK2),1))</f>
        <v>null</v>
      </c>
      <c r="MF2" s="12">
        <f>IF(CN2="2","null",IW2+IF(IY2="null",0,IY2))</f>
        <v>79.899999999999991</v>
      </c>
      <c r="MG2" s="12" t="str">
        <f>"null"</f>
        <v>null</v>
      </c>
      <c r="MH2" s="271" t="str">
        <f>"U"</f>
        <v>U</v>
      </c>
      <c r="MI2" s="271" t="str">
        <f>"U"</f>
        <v>U</v>
      </c>
      <c r="MJ2" s="6">
        <f>BU2</f>
        <v>64</v>
      </c>
      <c r="MK2" s="6">
        <v>999</v>
      </c>
      <c r="ML2" s="6" t="str">
        <f t="shared" ref="ML2:MQ2" si="0">"N"</f>
        <v>N</v>
      </c>
      <c r="MM2" s="6" t="str">
        <f t="shared" si="0"/>
        <v>N</v>
      </c>
      <c r="MN2" s="6" t="str">
        <f t="shared" si="0"/>
        <v>N</v>
      </c>
      <c r="MO2" s="6" t="str">
        <f t="shared" si="0"/>
        <v>N</v>
      </c>
      <c r="MP2" s="6" t="str">
        <f t="shared" si="0"/>
        <v>N</v>
      </c>
      <c r="MQ2" s="6" t="str">
        <f t="shared" si="0"/>
        <v>N</v>
      </c>
      <c r="MR2" s="8" t="s">
        <v>683</v>
      </c>
      <c r="MS2" s="8" t="str">
        <f>IF(BO2&gt;0,"N","Y")</f>
        <v>Y</v>
      </c>
      <c r="MT2" s="6" t="str">
        <f>IF(MR2="N","null","Entitled")</f>
        <v>Entitled</v>
      </c>
      <c r="MU2" s="6" t="str">
        <f>IF(MR2="N","null",IF(AE2="","Participant",IF(CN2="2","Estate",IF(AF2&lt;&gt;"","Estate","Beneficiary"))))</f>
        <v>Participant</v>
      </c>
      <c r="MV2" s="6" t="str">
        <f>IF(MU2&lt;&gt;"Estate","null",IF(CN2="2","Participant",IF(AF2&lt;AE2,"Participant","Beneficiary")))</f>
        <v>null</v>
      </c>
      <c r="MW2" s="6" t="str">
        <f>"ARD"</f>
        <v>ARD</v>
      </c>
      <c r="MX2" s="6" t="str">
        <f>IF(MR2="N","null","Normal Retirement Date" &amp;IF(BH2=""," (NRD)","")&amp;":")</f>
        <v>Normal Retirement Date:</v>
      </c>
      <c r="MY2" s="6" t="str">
        <f>IF(MR2="N","null",IF(OR(MU2="Participant",MV2="Participant"),"Actual Retirement Date (ARD):","Benefit Starting Date (BSD):"))</f>
        <v>Actual Retirement Date (ARD):</v>
      </c>
      <c r="MZ2" s="6" t="str">
        <f>IF(MR2="N","null",IF(BH2&gt;0,"ARD","DOPT"))</f>
        <v>ARD</v>
      </c>
      <c r="NA2" s="6" t="str">
        <f>IF(MR2="N","null",IF(BW2=AY2,"ARD",IF(AI2&gt;AY2,"DOTE","NRD")))</f>
        <v>ARD</v>
      </c>
      <c r="NB2" s="6" t="str">
        <f>IF(MR2="N","null","ARD")</f>
        <v>ARD</v>
      </c>
      <c r="NC2" s="6" t="str">
        <f>IF(MR2="N","null",IF(DW2="Y","after Barnes Offset",IF(ISNUMBER(SEARCH("BFCF",NE2,1)),"after BFCF",IF(ISNUMBER(SEARCH("ERF",NE2,1)),"after ERF",IF(ISNUMBER(SEARCH("LRF",NE2,1)),"after LRF",IF(ISNUMBER(SEARCH("PRSA",NE2,1)),"after PRSA","after AMB"))))))</f>
        <v>after AMB</v>
      </c>
      <c r="ND2" s="6" t="str">
        <f>IF(MR2="N","null",IF(BH2&gt;0,"ARD","DOPT"))</f>
        <v>ARD</v>
      </c>
      <c r="NE2" s="6" t="str">
        <f>IF(CU2="No","",IF(DB2="null","",IF(DB2&lt;1,"PRSA",""))&amp;IF(DF2="null","",IF(DF2&lt;1,"ERF",""))&amp;IF(DL2="null","",IF(DL2&gt;1,"LRF",""))&amp;IF(DQ2="null","",IF(OR(DQ2&lt;1,DQ2&gt;1),IF(F2="V",IF(AE2&lt;&gt;"","BFCF",""),"BFCF"),"")))</f>
        <v/>
      </c>
      <c r="NF2" s="6" t="str">
        <f>IF(OR(MR2="N",EA2="No"),"",IF(EH2="null","",IF(EH2&lt;1,"PRSA",""))&amp;IF(EM2="null","",IF(EM2&lt;1,"ERF",""))&amp;IF(EP2="null","",IF(EP2&gt;1,"LRF",""))&amp;IF(ES2="null","",IF(OR(ES2&lt;1,ES2&gt;1),IF(F2="V",IF(AE2&lt;&gt;"","BFCF",""),"BFCF"),"")))</f>
        <v/>
      </c>
      <c r="NG2" s="6" t="s">
        <v>1001</v>
      </c>
      <c r="NH2" s="6" t="str">
        <f>"null"</f>
        <v>null</v>
      </c>
      <c r="NI2" s="6" t="str">
        <f>IF(AND(F2="V",AE2&gt;0,OR(M2&lt;&gt;"",P2&lt;&gt;"")),"Yes",IF(AND(F2="R",CN2="0",OR(M2&lt;&gt;"",P2&lt;&gt;"")),"Yes","No"))</f>
        <v>No</v>
      </c>
      <c r="NJ2" s="6" t="str">
        <f>IF(MR2="N","null",IF(AND(F2="V",AE2&gt;0),"Disabled No Election1","Disabled No Election"))</f>
        <v>Disabled No Election</v>
      </c>
      <c r="NK2" s="11" t="str">
        <f>IF(AE2&gt;0,AE2,"null")</f>
        <v>null</v>
      </c>
      <c r="NL2" s="11" t="str">
        <f>IF(AF2&gt;0,AF2,"null")</f>
        <v>null</v>
      </c>
      <c r="NM2" t="str">
        <f>IF(BH2&gt;0,IF(BI2&gt;0,IF(OR(BJ2="0",BJ2="2"),"MS2",IF(NK2&lt;&gt;"null","MS4","MS3")),IF(AE2&gt;0,"MS10","MS9")),"MS6")</f>
        <v>MS9</v>
      </c>
      <c r="NN2" s="11">
        <f>AY2</f>
        <v>42095</v>
      </c>
      <c r="NO2" s="11">
        <f>IF(BH2&gt;0,BH2,"null")</f>
        <v>41518</v>
      </c>
      <c r="NP2" s="11">
        <f ca="1">TODAY()</f>
        <v>46219</v>
      </c>
      <c r="NQ2" s="92" t="str">
        <f>IF(GA2="Y",NN2,"null")</f>
        <v>null</v>
      </c>
      <c r="NR2" s="11" t="str">
        <f>IF(GI2&gt;0,GI2,GL2)</f>
        <v>null</v>
      </c>
    </row>
    <row r="3" spans="1:384" s="13" customFormat="1" x14ac:dyDescent="0.2">
      <c r="A3" s="6"/>
      <c r="B3" s="3"/>
      <c r="C3" s="3"/>
      <c r="D3" s="3"/>
      <c r="E3" s="3"/>
      <c r="F3"/>
      <c r="G3"/>
      <c r="H3" s="3"/>
      <c r="I3" s="3"/>
      <c r="J3" s="3"/>
      <c r="K3" s="3"/>
      <c r="L3"/>
      <c r="M3"/>
      <c r="N3"/>
      <c r="O3"/>
      <c r="P3"/>
      <c r="Q3"/>
      <c r="R3"/>
      <c r="S3"/>
      <c r="T3"/>
      <c r="U3" s="3"/>
      <c r="V3"/>
      <c r="W3"/>
      <c r="X3" s="89"/>
      <c r="Y3" s="90"/>
      <c r="Z3" s="92"/>
      <c r="AA3" s="92"/>
      <c r="AB3" s="92"/>
      <c r="AC3" s="92"/>
      <c r="AD3" s="269"/>
      <c r="AE3" s="92"/>
      <c r="AF3" s="92"/>
      <c r="AG3" s="92"/>
      <c r="AH3" s="92"/>
      <c r="AI3" s="92"/>
      <c r="AJ3"/>
      <c r="AK3" s="92"/>
      <c r="AL3" s="92"/>
      <c r="AM3" s="269"/>
      <c r="AN3" s="270"/>
      <c r="AO3" s="92"/>
      <c r="AP3" s="92"/>
      <c r="AQ3" s="91"/>
      <c r="AR3" s="91"/>
      <c r="AS3" s="91"/>
      <c r="AT3" s="7"/>
      <c r="AU3" s="7"/>
      <c r="AV3" s="270"/>
      <c r="AW3" s="272"/>
      <c r="AX3" s="7"/>
      <c r="AY3" s="269"/>
      <c r="AZ3" s="269"/>
      <c r="BA3" s="269"/>
      <c r="BB3" s="272"/>
      <c r="BC3" s="272"/>
      <c r="BD3" s="92"/>
      <c r="BE3" s="92"/>
      <c r="BF3" s="92"/>
      <c r="BG3" s="92"/>
      <c r="BH3" s="272"/>
      <c r="BI3" s="272"/>
      <c r="BJ3" s="95"/>
      <c r="BK3" s="275"/>
      <c r="BL3" s="276"/>
      <c r="BM3" s="276"/>
      <c r="BN3" s="276"/>
      <c r="BO3" s="272"/>
      <c r="BP3" s="272"/>
      <c r="BQ3" s="272"/>
      <c r="BR3" s="272"/>
      <c r="BS3" s="272"/>
      <c r="BT3" s="272"/>
      <c r="BU3" s="7"/>
      <c r="BV3" s="269"/>
      <c r="BW3" s="269"/>
      <c r="BX3" s="7"/>
      <c r="BY3" s="7"/>
      <c r="BZ3" s="7"/>
      <c r="CA3" s="7"/>
      <c r="CB3" s="7"/>
      <c r="CC3" s="7"/>
      <c r="CD3" s="7"/>
      <c r="CE3" s="7"/>
      <c r="CF3" s="7"/>
      <c r="CG3" s="7"/>
      <c r="CH3" s="7"/>
      <c r="CI3" s="7"/>
      <c r="CJ3" s="7"/>
      <c r="CK3" s="7"/>
      <c r="CL3" s="7"/>
      <c r="CM3" s="7"/>
      <c r="CN3" s="7"/>
      <c r="CO3" s="275"/>
      <c r="CP3" s="276"/>
      <c r="CQ3" s="7"/>
      <c r="CR3" s="7"/>
      <c r="CS3" s="7"/>
      <c r="CT3" s="7"/>
      <c r="CU3" s="272"/>
      <c r="CV3" s="272"/>
      <c r="CW3"/>
      <c r="CX3"/>
      <c r="CY3"/>
      <c r="CZ3" s="273"/>
      <c r="DA3" s="7"/>
      <c r="DB3" s="7"/>
      <c r="DC3" s="7"/>
      <c r="DD3" s="7"/>
      <c r="DE3" s="7"/>
      <c r="DF3" s="277"/>
      <c r="DG3" s="277"/>
      <c r="DH3" s="276"/>
      <c r="DI3" s="277"/>
      <c r="DJ3" s="7"/>
      <c r="DK3" s="277"/>
      <c r="DL3" s="278"/>
      <c r="DM3" s="12"/>
      <c r="DN3" s="12"/>
      <c r="DO3" s="12"/>
      <c r="DP3" s="274"/>
      <c r="DQ3" s="277"/>
      <c r="DR3" s="277"/>
      <c r="DS3" s="273"/>
      <c r="DT3" s="273"/>
      <c r="DU3"/>
      <c r="DV3"/>
      <c r="DW3"/>
      <c r="DX3" s="272"/>
      <c r="DY3" s="273"/>
      <c r="DZ3" s="273"/>
      <c r="EA3" s="272"/>
      <c r="EB3" s="273"/>
      <c r="EC3" s="273"/>
      <c r="ED3" s="273"/>
      <c r="EE3" s="269"/>
      <c r="EF3" s="269"/>
      <c r="EG3" s="276"/>
      <c r="EH3" s="283"/>
      <c r="EI3" s="277"/>
      <c r="EJ3" s="276"/>
      <c r="EK3" s="273"/>
      <c r="EL3" s="276"/>
      <c r="EM3" s="277"/>
      <c r="EN3"/>
      <c r="EO3" s="277"/>
      <c r="EP3" s="277"/>
      <c r="EQ3" s="273"/>
      <c r="ER3" s="273"/>
      <c r="ES3" s="277"/>
      <c r="ET3" s="273"/>
      <c r="EU3" s="273"/>
      <c r="EV3" s="273"/>
      <c r="EW3" s="273"/>
      <c r="EX3" s="273"/>
      <c r="EY3" s="273"/>
      <c r="EZ3" s="12"/>
      <c r="FA3" s="12"/>
      <c r="FB3" s="12"/>
      <c r="FC3" s="12"/>
      <c r="FD3" s="12"/>
      <c r="FE3" s="12"/>
      <c r="FF3" s="12"/>
      <c r="FG3" s="12"/>
      <c r="FH3" s="12"/>
      <c r="FI3" s="12"/>
      <c r="FJ3" s="12"/>
      <c r="FK3" s="277"/>
      <c r="FL3" s="7"/>
      <c r="FM3" s="8"/>
      <c r="FN3" s="7"/>
      <c r="FO3" s="8"/>
      <c r="FP3" s="273"/>
      <c r="FQ3" s="273"/>
      <c r="FR3" s="8"/>
      <c r="FS3" s="7"/>
      <c r="FT3" s="292"/>
      <c r="FU3" s="292"/>
      <c r="FV3" s="292"/>
      <c r="FW3" s="67"/>
      <c r="FX3" s="269"/>
      <c r="FY3" s="8"/>
      <c r="FZ3" s="8"/>
      <c r="GA3" s="8"/>
      <c r="GB3" s="8"/>
      <c r="GC3" s="269"/>
      <c r="GD3" s="269"/>
      <c r="GE3" s="277"/>
      <c r="GF3" s="277"/>
      <c r="GG3" s="277"/>
      <c r="GH3" s="277"/>
      <c r="GI3" s="8"/>
      <c r="GJ3" s="269"/>
      <c r="GK3" s="7"/>
      <c r="GL3" s="269"/>
      <c r="GM3" s="269"/>
      <c r="GN3" s="269"/>
      <c r="GO3" s="273"/>
      <c r="GP3" s="273"/>
      <c r="GQ3" s="269"/>
      <c r="GR3" s="8"/>
      <c r="GS3" s="12"/>
      <c r="GT3" s="12"/>
      <c r="GU3" s="12"/>
      <c r="GV3" s="12"/>
      <c r="GW3" s="6"/>
      <c r="GX3" s="6"/>
      <c r="GY3" s="6"/>
      <c r="GZ3" s="6"/>
      <c r="HA3" s="6"/>
      <c r="HB3" s="6"/>
      <c r="HC3" s="6"/>
      <c r="HD3" s="6"/>
      <c r="HE3" s="12"/>
      <c r="HF3" s="6"/>
      <c r="HG3" s="12"/>
      <c r="HH3" s="6"/>
      <c r="HI3" s="249"/>
      <c r="HJ3" s="249"/>
      <c r="HK3" s="249"/>
      <c r="HL3" s="249"/>
      <c r="HM3" s="12"/>
      <c r="HN3" s="249"/>
      <c r="HO3" s="12"/>
      <c r="HP3" s="277"/>
      <c r="HQ3" s="8"/>
      <c r="HR3"/>
      <c r="HS3" s="277"/>
      <c r="HT3" s="276"/>
      <c r="HU3" s="277"/>
      <c r="HV3" s="12"/>
      <c r="HW3" s="277"/>
      <c r="HX3" s="12"/>
      <c r="HY3" s="12"/>
      <c r="HZ3" s="12"/>
      <c r="IA3" s="12"/>
      <c r="IB3" s="12"/>
      <c r="IC3" s="98"/>
      <c r="ID3" s="292"/>
      <c r="IE3" s="292"/>
      <c r="IF3" s="292"/>
      <c r="IG3" s="292"/>
      <c r="IH3" s="12"/>
      <c r="II3" s="12"/>
      <c r="IJ3" s="12"/>
      <c r="IK3" s="12"/>
      <c r="IL3" s="98"/>
      <c r="IM3" s="12"/>
      <c r="IN3" s="12"/>
      <c r="IO3" s="12"/>
      <c r="IP3" s="12"/>
      <c r="IQ3" s="12"/>
      <c r="IR3" s="12"/>
      <c r="IS3" s="12"/>
      <c r="IT3" s="12"/>
      <c r="IU3" s="102"/>
      <c r="IV3" s="117"/>
      <c r="IW3" s="12"/>
      <c r="IX3" s="12"/>
      <c r="IY3" s="12"/>
      <c r="IZ3" s="12"/>
      <c r="JA3" s="12"/>
      <c r="JB3" s="12"/>
      <c r="JC3" s="12"/>
      <c r="JD3" s="12"/>
      <c r="JE3" s="6"/>
      <c r="JF3" s="6"/>
      <c r="JG3" s="6"/>
      <c r="JH3" s="6"/>
      <c r="JI3" s="7"/>
      <c r="JJ3" s="284"/>
      <c r="JK3" s="284"/>
      <c r="JL3" s="284"/>
      <c r="JM3" s="284"/>
      <c r="JN3" s="284"/>
      <c r="JO3" s="6"/>
      <c r="JP3" s="6"/>
      <c r="JQ3" s="6"/>
      <c r="JR3" s="6"/>
      <c r="JS3" s="6"/>
      <c r="JT3" s="6"/>
      <c r="JU3" s="6"/>
      <c r="JV3" s="6"/>
      <c r="JW3" s="6"/>
      <c r="JX3" s="6"/>
      <c r="JY3" s="6"/>
      <c r="JZ3" s="6"/>
      <c r="KA3" s="6"/>
      <c r="KB3" s="6"/>
      <c r="KC3" s="12"/>
      <c r="KD3" s="282"/>
      <c r="KE3" s="12"/>
      <c r="KF3" s="271"/>
      <c r="KG3" s="271"/>
      <c r="KH3" s="12"/>
      <c r="KI3" s="12"/>
      <c r="KJ3" s="12"/>
      <c r="KK3" s="12"/>
      <c r="KL3" s="273"/>
      <c r="KM3" s="12"/>
      <c r="KN3" s="12"/>
      <c r="KO3" s="12"/>
      <c r="KP3" s="98"/>
      <c r="KQ3" s="12"/>
      <c r="KR3" s="117"/>
      <c r="KS3" s="102"/>
      <c r="KT3" s="12"/>
      <c r="KU3" s="12"/>
      <c r="KV3" s="279"/>
      <c r="KW3" s="279"/>
      <c r="KX3" s="279"/>
      <c r="KY3" s="279"/>
      <c r="KZ3" s="279"/>
      <c r="LA3" s="279"/>
      <c r="LB3" s="279"/>
      <c r="LC3" s="279"/>
      <c r="LD3" s="7"/>
      <c r="LE3" s="7"/>
      <c r="LF3" s="284"/>
      <c r="LG3" s="279"/>
      <c r="LH3" s="284"/>
      <c r="LI3" s="279"/>
      <c r="LJ3" s="279"/>
      <c r="LK3" s="279"/>
      <c r="LL3" s="279"/>
      <c r="LM3" s="279"/>
      <c r="LN3" s="279"/>
      <c r="LO3" s="271"/>
      <c r="LP3" s="271"/>
      <c r="LQ3" s="271"/>
      <c r="LR3" s="271"/>
      <c r="LS3" s="271"/>
      <c r="LT3" s="276"/>
      <c r="LU3" s="276"/>
      <c r="LV3" s="70"/>
      <c r="LW3" s="70"/>
      <c r="LX3" s="70"/>
      <c r="LY3" s="70"/>
      <c r="LZ3" s="70"/>
      <c r="MA3" s="70"/>
      <c r="MB3" s="70"/>
      <c r="MC3" s="70"/>
      <c r="MD3" s="70"/>
      <c r="ME3" s="70"/>
      <c r="MF3" s="271"/>
      <c r="MG3" s="271">
        <f>IW2+IF(IZ2="null",0,IZ2)</f>
        <v>75.91</v>
      </c>
      <c r="MH3" s="271"/>
      <c r="MI3" s="271"/>
      <c r="MJ3" s="6"/>
      <c r="MK3" s="6"/>
      <c r="ML3" s="6"/>
      <c r="MM3" s="6"/>
      <c r="MN3" s="6"/>
      <c r="MO3" s="6"/>
      <c r="MP3" s="6"/>
      <c r="MQ3" s="6"/>
      <c r="MR3" s="8"/>
      <c r="MS3" s="8"/>
      <c r="MT3" s="6"/>
      <c r="MU3" s="6"/>
      <c r="MV3" s="6"/>
      <c r="MW3" s="6"/>
      <c r="MX3" s="6"/>
      <c r="MY3" s="337"/>
      <c r="MZ3" s="6"/>
      <c r="NA3" s="6"/>
      <c r="NB3" s="6"/>
      <c r="NC3" s="6"/>
      <c r="ND3" s="6"/>
      <c r="NE3" s="6"/>
      <c r="NF3" s="6"/>
      <c r="NG3" s="6"/>
      <c r="NH3" s="6"/>
      <c r="NI3" s="6"/>
      <c r="NJ3" s="6"/>
      <c r="NK3" s="11"/>
      <c r="NL3" s="11"/>
      <c r="NM3" s="6"/>
      <c r="NN3" s="11"/>
      <c r="NO3" s="11"/>
      <c r="NP3" s="11"/>
      <c r="NQ3" s="6"/>
      <c r="NR3" s="6"/>
    </row>
    <row r="4" spans="1:384" s="13" customFormat="1" ht="13.6" x14ac:dyDescent="0.25">
      <c r="A4" s="6"/>
      <c r="B4" s="18"/>
      <c r="C4" s="18"/>
      <c r="D4" s="18"/>
      <c r="E4" s="18"/>
      <c r="F4" s="18"/>
      <c r="G4" s="18"/>
      <c r="H4" s="18"/>
      <c r="I4" s="5"/>
      <c r="J4" s="5"/>
      <c r="K4" s="5"/>
      <c r="L4" s="5"/>
      <c r="M4" s="5"/>
      <c r="N4" s="5"/>
      <c r="O4" s="5"/>
      <c r="P4" s="5"/>
      <c r="Q4" s="5"/>
      <c r="R4" s="5"/>
      <c r="S4" s="5"/>
      <c r="T4" s="5"/>
      <c r="U4" s="5"/>
      <c r="V4" s="6"/>
      <c r="W4" s="6"/>
      <c r="X4" s="6"/>
      <c r="Y4" s="6"/>
      <c r="Z4" s="11"/>
      <c r="AA4" s="11"/>
      <c r="AB4" s="11"/>
      <c r="AC4" s="11"/>
      <c r="AD4" s="269"/>
      <c r="AE4" s="19"/>
      <c r="AF4" s="19"/>
      <c r="AG4" s="19"/>
      <c r="AH4" s="11"/>
      <c r="AI4" s="19"/>
      <c r="AJ4" s="19"/>
      <c r="AK4" s="19"/>
      <c r="AL4" s="19"/>
      <c r="AM4" s="7"/>
      <c r="AN4" s="18"/>
      <c r="AO4" s="19"/>
      <c r="AP4" s="19"/>
      <c r="AQ4" s="19"/>
      <c r="AR4" s="19"/>
      <c r="AS4" s="19"/>
      <c r="AT4" s="6"/>
      <c r="AU4" s="6"/>
      <c r="AV4" s="18"/>
      <c r="AW4" s="19"/>
      <c r="AX4" s="6"/>
      <c r="AY4" s="11"/>
      <c r="AZ4" s="274"/>
      <c r="BA4" s="274"/>
      <c r="BB4" s="19"/>
      <c r="BC4" s="19"/>
      <c r="BD4" s="19"/>
      <c r="BE4" s="19"/>
      <c r="BF4" s="19"/>
      <c r="BG4" s="19"/>
      <c r="BH4" s="19"/>
      <c r="BI4" s="19"/>
      <c r="BJ4" s="271"/>
      <c r="BK4" s="12"/>
      <c r="BL4" s="12"/>
      <c r="BM4" s="12"/>
      <c r="BN4" s="12"/>
      <c r="BO4" s="19"/>
      <c r="BP4" s="19"/>
      <c r="BQ4" s="19"/>
      <c r="BR4" s="19"/>
      <c r="BS4" s="19"/>
      <c r="BT4" s="19"/>
      <c r="BU4" s="7"/>
      <c r="BV4" s="269"/>
      <c r="BW4" s="269"/>
      <c r="BX4" s="7"/>
      <c r="BY4" s="6"/>
      <c r="BZ4" s="6"/>
      <c r="CA4" s="6"/>
      <c r="CB4" s="6"/>
      <c r="CC4" s="6"/>
      <c r="CD4" s="6"/>
      <c r="CE4" s="6"/>
      <c r="CF4" s="6"/>
      <c r="CG4" s="6"/>
      <c r="CH4" s="6"/>
      <c r="CI4" s="6"/>
      <c r="CJ4" s="6"/>
      <c r="CK4" s="6"/>
      <c r="CL4" s="6"/>
      <c r="CM4" s="6"/>
      <c r="CN4" s="6"/>
      <c r="CO4" s="20"/>
      <c r="CP4" s="6"/>
      <c r="CQ4" s="6"/>
      <c r="CR4" s="6"/>
      <c r="CS4" s="6"/>
      <c r="CT4" s="6"/>
      <c r="CU4" s="19"/>
      <c r="CV4" s="19"/>
      <c r="CW4" s="12"/>
      <c r="CX4" s="12"/>
      <c r="CY4" s="12"/>
      <c r="CZ4" s="12"/>
      <c r="DA4" s="6"/>
      <c r="DB4" s="6"/>
      <c r="DC4" s="6"/>
      <c r="DD4" s="12"/>
      <c r="DE4" s="12"/>
      <c r="DF4" s="12"/>
      <c r="DG4" s="12"/>
      <c r="DH4" s="276"/>
      <c r="DI4" s="277"/>
      <c r="DJ4" s="7"/>
      <c r="DK4" s="277"/>
      <c r="DL4" s="278"/>
      <c r="DM4" s="140" t="s">
        <v>984</v>
      </c>
      <c r="DN4" s="140" t="s">
        <v>984</v>
      </c>
      <c r="DO4" s="140" t="s">
        <v>984</v>
      </c>
      <c r="DP4" s="12"/>
      <c r="DQ4" s="12"/>
      <c r="DR4" s="12"/>
      <c r="DS4" s="140" t="s">
        <v>984</v>
      </c>
      <c r="DT4" s="140" t="s">
        <v>984</v>
      </c>
      <c r="DU4" s="140" t="s">
        <v>984</v>
      </c>
      <c r="DV4" s="140" t="s">
        <v>984</v>
      </c>
      <c r="DW4" s="140"/>
      <c r="DX4" s="19"/>
      <c r="DY4" s="12"/>
      <c r="DZ4" s="12"/>
      <c r="EA4" s="19"/>
      <c r="EB4" s="12"/>
      <c r="EC4" s="12"/>
      <c r="ED4" s="12"/>
      <c r="EE4" s="12"/>
      <c r="EF4" s="12"/>
      <c r="EG4" s="12"/>
      <c r="EH4" s="12"/>
      <c r="EI4" s="12"/>
      <c r="EJ4" s="12"/>
      <c r="EK4" s="12"/>
      <c r="EL4" s="12"/>
      <c r="EM4" s="12"/>
      <c r="EN4" s="12"/>
      <c r="EO4" s="12"/>
      <c r="EP4" s="12"/>
      <c r="EQ4" s="308" t="s">
        <v>140</v>
      </c>
      <c r="ER4" s="308" t="s">
        <v>140</v>
      </c>
      <c r="ES4" s="12"/>
      <c r="ET4" s="12"/>
      <c r="EU4" s="310" t="s">
        <v>985</v>
      </c>
      <c r="EV4" s="310" t="s">
        <v>985</v>
      </c>
      <c r="EW4" s="310" t="s">
        <v>985</v>
      </c>
      <c r="EX4" s="310" t="s">
        <v>985</v>
      </c>
      <c r="EY4" s="308" t="s">
        <v>140</v>
      </c>
      <c r="EZ4" s="310" t="s">
        <v>985</v>
      </c>
      <c r="FA4" s="310" t="s">
        <v>985</v>
      </c>
      <c r="FB4" s="140" t="s">
        <v>984</v>
      </c>
      <c r="FC4" s="140" t="s">
        <v>984</v>
      </c>
      <c r="FD4" s="306" t="s">
        <v>635</v>
      </c>
      <c r="FE4" s="306" t="s">
        <v>635</v>
      </c>
      <c r="FF4" s="301" t="s">
        <v>986</v>
      </c>
      <c r="FG4" s="301" t="s">
        <v>986</v>
      </c>
      <c r="FH4" s="140" t="s">
        <v>984</v>
      </c>
      <c r="FI4" s="306" t="s">
        <v>635</v>
      </c>
      <c r="FJ4" s="301" t="s">
        <v>986</v>
      </c>
      <c r="FK4" s="6"/>
      <c r="FL4" s="6"/>
      <c r="FM4" s="6"/>
      <c r="FN4" s="6"/>
      <c r="FO4" s="6"/>
      <c r="FP4" s="6"/>
      <c r="FQ4" s="6"/>
      <c r="FR4" s="12"/>
      <c r="FS4" s="6"/>
      <c r="FT4" s="12"/>
      <c r="FU4" s="12"/>
      <c r="FV4" s="12"/>
      <c r="FW4" s="12"/>
      <c r="FX4" s="8"/>
      <c r="FY4" s="8"/>
      <c r="FZ4" s="8"/>
      <c r="GA4" s="8"/>
      <c r="GB4" s="8"/>
      <c r="GC4" s="11"/>
      <c r="GD4" s="11"/>
      <c r="GE4" s="277"/>
      <c r="GF4" s="277"/>
      <c r="GG4" s="277"/>
      <c r="GH4" s="277"/>
      <c r="GI4" s="8"/>
      <c r="GJ4" s="269"/>
      <c r="GK4" s="6"/>
      <c r="GL4" s="12"/>
      <c r="GM4" s="12"/>
      <c r="GN4" s="12"/>
      <c r="GO4" s="12"/>
      <c r="GP4" s="12"/>
      <c r="GQ4" s="12"/>
      <c r="GR4" s="12"/>
      <c r="GS4" s="290" t="s">
        <v>894</v>
      </c>
      <c r="GT4" s="142" t="s">
        <v>633</v>
      </c>
      <c r="GU4" s="289" t="s">
        <v>896</v>
      </c>
      <c r="GV4" s="291" t="s">
        <v>895</v>
      </c>
      <c r="HE4" s="140" t="s">
        <v>984</v>
      </c>
      <c r="HM4" s="140" t="s">
        <v>984</v>
      </c>
      <c r="HO4" s="140" t="s">
        <v>984</v>
      </c>
      <c r="HP4" s="280" t="s">
        <v>784</v>
      </c>
      <c r="HQ4" s="280" t="s">
        <v>784</v>
      </c>
      <c r="HR4" s="280" t="s">
        <v>784</v>
      </c>
      <c r="HS4" s="280" t="s">
        <v>784</v>
      </c>
      <c r="HT4" s="280" t="s">
        <v>784</v>
      </c>
      <c r="HU4" s="280" t="s">
        <v>784</v>
      </c>
      <c r="HV4" s="280" t="s">
        <v>784</v>
      </c>
      <c r="HW4" s="280" t="s">
        <v>784</v>
      </c>
      <c r="HX4" s="280" t="s">
        <v>784</v>
      </c>
      <c r="HY4" s="302" t="s">
        <v>986</v>
      </c>
      <c r="HZ4" s="140" t="s">
        <v>984</v>
      </c>
      <c r="IA4" s="306" t="s">
        <v>635</v>
      </c>
      <c r="IB4" s="302" t="s">
        <v>986</v>
      </c>
      <c r="ID4" s="12"/>
      <c r="IE4" s="12"/>
      <c r="IF4" s="12"/>
      <c r="II4" s="142" t="s">
        <v>633</v>
      </c>
      <c r="IJ4" s="289" t="s">
        <v>896</v>
      </c>
      <c r="IK4" s="291" t="s">
        <v>895</v>
      </c>
      <c r="IM4" s="307" t="s">
        <v>770</v>
      </c>
      <c r="IN4" s="142" t="s">
        <v>633</v>
      </c>
      <c r="IO4" s="289" t="s">
        <v>896</v>
      </c>
      <c r="IP4" s="291" t="s">
        <v>895</v>
      </c>
      <c r="IQ4" s="307" t="s">
        <v>770</v>
      </c>
      <c r="IR4" s="142" t="s">
        <v>633</v>
      </c>
      <c r="IS4" s="289" t="s">
        <v>896</v>
      </c>
      <c r="IT4" s="291" t="s">
        <v>895</v>
      </c>
      <c r="IU4" s="12"/>
      <c r="IV4" s="12"/>
      <c r="IW4" s="12"/>
      <c r="IX4" s="12"/>
      <c r="IY4" s="142" t="s">
        <v>633</v>
      </c>
      <c r="IZ4" s="289" t="s">
        <v>896</v>
      </c>
      <c r="JA4" s="291" t="s">
        <v>895</v>
      </c>
      <c r="JB4" s="12"/>
      <c r="JC4" s="12"/>
      <c r="JD4" s="12"/>
      <c r="JE4" s="319" t="s">
        <v>771</v>
      </c>
      <c r="JF4" s="319" t="s">
        <v>771</v>
      </c>
      <c r="JG4" s="319" t="s">
        <v>771</v>
      </c>
      <c r="JH4" s="319" t="s">
        <v>771</v>
      </c>
      <c r="JI4" s="7"/>
      <c r="JJ4" s="319" t="s">
        <v>771</v>
      </c>
      <c r="JK4" s="319" t="s">
        <v>771</v>
      </c>
      <c r="JL4" s="319"/>
      <c r="JM4" s="319"/>
      <c r="JN4" s="319"/>
      <c r="JO4" s="319" t="s">
        <v>771</v>
      </c>
      <c r="JP4" s="319"/>
      <c r="JQ4" s="6"/>
      <c r="JR4" s="319" t="s">
        <v>771</v>
      </c>
      <c r="JS4" s="319" t="s">
        <v>771</v>
      </c>
      <c r="JT4" s="319" t="s">
        <v>771</v>
      </c>
      <c r="JU4" s="319" t="s">
        <v>771</v>
      </c>
      <c r="JV4" s="319"/>
      <c r="JW4" s="319"/>
      <c r="JX4" s="319"/>
      <c r="JY4" s="319"/>
      <c r="JZ4" s="319"/>
      <c r="KA4" s="319" t="s">
        <v>771</v>
      </c>
      <c r="KB4" s="319"/>
      <c r="KD4" s="108"/>
      <c r="KL4" s="12"/>
      <c r="KM4" s="12"/>
      <c r="KN4" s="12"/>
      <c r="KO4" s="12"/>
      <c r="KP4" s="98"/>
      <c r="KQ4" s="12"/>
      <c r="KR4" s="12"/>
      <c r="KS4" s="12"/>
      <c r="KT4" s="12"/>
      <c r="KU4" s="12"/>
      <c r="KV4" s="315" t="s">
        <v>637</v>
      </c>
      <c r="KW4" s="315" t="s">
        <v>637</v>
      </c>
      <c r="KX4" s="315" t="s">
        <v>637</v>
      </c>
      <c r="KY4" s="315" t="s">
        <v>637</v>
      </c>
      <c r="KZ4" s="315" t="s">
        <v>637</v>
      </c>
      <c r="LA4" s="315" t="s">
        <v>637</v>
      </c>
      <c r="LB4" s="315"/>
      <c r="LC4" s="315"/>
      <c r="LD4" s="315" t="s">
        <v>637</v>
      </c>
      <c r="LE4" s="315"/>
      <c r="LF4" s="315" t="s">
        <v>637</v>
      </c>
      <c r="LG4" s="315" t="s">
        <v>637</v>
      </c>
      <c r="LH4" s="315" t="s">
        <v>637</v>
      </c>
      <c r="LI4" s="315" t="s">
        <v>637</v>
      </c>
      <c r="LJ4" s="315"/>
      <c r="LK4" s="315"/>
      <c r="LL4" s="315"/>
      <c r="LM4" s="315" t="s">
        <v>637</v>
      </c>
      <c r="LN4" s="315"/>
      <c r="LO4" s="271"/>
      <c r="LP4" s="271"/>
      <c r="LQ4" s="271"/>
      <c r="LR4" s="271"/>
      <c r="LS4" s="271"/>
      <c r="LT4" s="276"/>
      <c r="LU4" s="276"/>
      <c r="LV4" s="12"/>
      <c r="LW4" s="14"/>
      <c r="LX4" s="12"/>
      <c r="LY4" s="12"/>
      <c r="LZ4" s="12"/>
      <c r="MA4" s="12"/>
      <c r="MB4" s="12"/>
      <c r="MC4" s="12"/>
      <c r="MD4" s="12"/>
      <c r="ME4" s="12"/>
      <c r="MF4" s="271"/>
      <c r="MG4" s="271"/>
      <c r="MH4" s="271"/>
      <c r="MI4" s="271"/>
      <c r="MJ4" s="6"/>
      <c r="MK4" s="6"/>
      <c r="ML4" s="6"/>
      <c r="MM4" s="6"/>
      <c r="MN4" s="6"/>
      <c r="MO4" s="6"/>
      <c r="MP4" s="6"/>
      <c r="MQ4" s="6"/>
      <c r="MR4" s="12"/>
      <c r="MS4" s="12"/>
      <c r="MT4" s="6"/>
      <c r="MU4" s="6"/>
      <c r="MV4" s="6"/>
      <c r="MW4" s="6"/>
      <c r="MX4" s="318" t="s">
        <v>1066</v>
      </c>
      <c r="MY4" s="316" t="s">
        <v>1062</v>
      </c>
      <c r="MZ4" s="247" t="s">
        <v>1065</v>
      </c>
      <c r="NA4" s="317" t="s">
        <v>1064</v>
      </c>
      <c r="NB4" s="317" t="s">
        <v>1064</v>
      </c>
      <c r="NC4" s="317" t="s">
        <v>1064</v>
      </c>
      <c r="ND4" s="317" t="s">
        <v>1064</v>
      </c>
      <c r="NE4" s="317" t="s">
        <v>1064</v>
      </c>
      <c r="NF4" s="317" t="s">
        <v>1064</v>
      </c>
      <c r="NG4" s="317" t="s">
        <v>1064</v>
      </c>
      <c r="NH4" s="317" t="s">
        <v>1064</v>
      </c>
      <c r="NI4" s="6"/>
      <c r="NJ4" s="6"/>
      <c r="NK4" s="11"/>
      <c r="NL4" s="11"/>
      <c r="NM4" s="6"/>
      <c r="NN4" s="11"/>
      <c r="NO4" s="11"/>
      <c r="NP4" s="11"/>
      <c r="NQ4" s="6"/>
      <c r="NR4" s="6"/>
    </row>
    <row r="5" spans="1:384" s="138" customFormat="1" x14ac:dyDescent="0.2">
      <c r="A5" s="128"/>
      <c r="B5" s="128"/>
      <c r="C5" s="128"/>
      <c r="D5" s="128"/>
      <c r="E5" s="128"/>
      <c r="F5" s="128"/>
      <c r="G5" s="128"/>
      <c r="H5" s="128"/>
      <c r="I5" s="128"/>
      <c r="J5" s="128"/>
      <c r="K5" s="128"/>
      <c r="L5" s="128"/>
      <c r="M5" s="128"/>
      <c r="N5" s="128"/>
      <c r="O5" s="128"/>
      <c r="P5" s="128"/>
      <c r="Q5" s="128"/>
      <c r="R5" s="128"/>
      <c r="S5" s="128"/>
      <c r="T5" s="128"/>
      <c r="U5" s="128"/>
      <c r="V5" s="128"/>
      <c r="W5" s="128"/>
      <c r="X5" s="128"/>
      <c r="Y5" s="128"/>
      <c r="Z5" s="128"/>
      <c r="AA5" s="128"/>
      <c r="AB5" s="128"/>
      <c r="AC5" s="128"/>
      <c r="AD5" s="128"/>
      <c r="AE5" s="128"/>
      <c r="AF5" s="128"/>
      <c r="AG5" s="28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271"/>
      <c r="BK5" s="12"/>
      <c r="BL5" s="12"/>
      <c r="BM5" s="12"/>
      <c r="BN5" s="12"/>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6"/>
      <c r="CO5" s="20"/>
      <c r="CP5" s="6"/>
      <c r="CQ5" s="128"/>
      <c r="CR5" s="128"/>
      <c r="CS5" s="128"/>
      <c r="CT5" s="128"/>
      <c r="CU5" s="128"/>
      <c r="CV5" s="140" t="s">
        <v>984</v>
      </c>
      <c r="CW5" s="140" t="s">
        <v>984</v>
      </c>
      <c r="CX5" s="140" t="s">
        <v>984</v>
      </c>
      <c r="CY5" s="140" t="s">
        <v>984</v>
      </c>
      <c r="CZ5" s="140" t="s">
        <v>984</v>
      </c>
      <c r="DA5" s="128"/>
      <c r="DB5" s="128"/>
      <c r="DC5" s="128"/>
      <c r="DD5" s="129" t="s">
        <v>630</v>
      </c>
      <c r="DE5" s="129" t="s">
        <v>630</v>
      </c>
      <c r="DF5" s="129" t="s">
        <v>630</v>
      </c>
      <c r="DG5" s="129" t="s">
        <v>630</v>
      </c>
      <c r="DH5" s="139" t="s">
        <v>631</v>
      </c>
      <c r="DI5" s="139" t="s">
        <v>631</v>
      </c>
      <c r="DJ5" s="139" t="s">
        <v>631</v>
      </c>
      <c r="DK5" s="139" t="s">
        <v>631</v>
      </c>
      <c r="DL5" s="139" t="s">
        <v>631</v>
      </c>
      <c r="DM5" s="308" t="s">
        <v>140</v>
      </c>
      <c r="DN5" s="309" t="s">
        <v>140</v>
      </c>
      <c r="DO5" s="308" t="s">
        <v>140</v>
      </c>
      <c r="DP5" s="141" t="s">
        <v>632</v>
      </c>
      <c r="DQ5" s="141" t="s">
        <v>632</v>
      </c>
      <c r="DR5" s="141" t="s">
        <v>632</v>
      </c>
      <c r="DS5" s="310" t="s">
        <v>985</v>
      </c>
      <c r="DT5" s="309" t="s">
        <v>985</v>
      </c>
      <c r="DU5" s="310" t="s">
        <v>985</v>
      </c>
      <c r="DV5" s="310" t="s">
        <v>985</v>
      </c>
      <c r="DW5" s="310"/>
      <c r="DX5" s="128"/>
      <c r="DY5" s="306" t="s">
        <v>635</v>
      </c>
      <c r="DZ5" s="306" t="s">
        <v>635</v>
      </c>
      <c r="EA5" s="306" t="s">
        <v>635</v>
      </c>
      <c r="EB5" s="306" t="s">
        <v>635</v>
      </c>
      <c r="EC5" s="306" t="s">
        <v>635</v>
      </c>
      <c r="ED5" s="306" t="s">
        <v>635</v>
      </c>
      <c r="EE5" s="306" t="s">
        <v>635</v>
      </c>
      <c r="EF5" s="306" t="s">
        <v>635</v>
      </c>
      <c r="EG5" s="306" t="s">
        <v>635</v>
      </c>
      <c r="EH5" s="306" t="s">
        <v>635</v>
      </c>
      <c r="EI5" s="306" t="s">
        <v>635</v>
      </c>
      <c r="EJ5" s="306" t="s">
        <v>635</v>
      </c>
      <c r="EK5" s="306" t="s">
        <v>635</v>
      </c>
      <c r="EL5" s="306" t="s">
        <v>635</v>
      </c>
      <c r="EM5" s="306" t="s">
        <v>635</v>
      </c>
      <c r="EN5" s="306" t="s">
        <v>635</v>
      </c>
      <c r="EO5" s="306" t="s">
        <v>635</v>
      </c>
      <c r="EP5" s="306" t="s">
        <v>635</v>
      </c>
      <c r="EQ5" s="306" t="s">
        <v>635</v>
      </c>
      <c r="ER5" s="306" t="s">
        <v>635</v>
      </c>
      <c r="ES5" s="141" t="s">
        <v>632</v>
      </c>
      <c r="ET5" s="306" t="s">
        <v>635</v>
      </c>
      <c r="EU5" s="306" t="s">
        <v>635</v>
      </c>
      <c r="EV5" s="306" t="s">
        <v>635</v>
      </c>
      <c r="EW5" s="306" t="s">
        <v>635</v>
      </c>
      <c r="EX5" s="306" t="s">
        <v>635</v>
      </c>
      <c r="EY5" s="301" t="s">
        <v>986</v>
      </c>
      <c r="EZ5" s="301" t="s">
        <v>986</v>
      </c>
      <c r="FA5" s="301" t="s">
        <v>986</v>
      </c>
      <c r="FB5" s="565" t="s">
        <v>1822</v>
      </c>
      <c r="FC5" s="565" t="s">
        <v>1822</v>
      </c>
      <c r="FD5" s="565" t="s">
        <v>1822</v>
      </c>
      <c r="FE5" s="565" t="s">
        <v>1822</v>
      </c>
      <c r="FF5" s="565" t="s">
        <v>1822</v>
      </c>
      <c r="FG5" s="565" t="s">
        <v>1822</v>
      </c>
      <c r="FH5" s="565" t="s">
        <v>1822</v>
      </c>
      <c r="FI5" s="565" t="s">
        <v>1822</v>
      </c>
      <c r="FJ5" s="565" t="s">
        <v>1822</v>
      </c>
      <c r="FK5" s="140" t="s">
        <v>633</v>
      </c>
      <c r="FL5" s="140" t="s">
        <v>633</v>
      </c>
      <c r="FM5" s="140" t="s">
        <v>633</v>
      </c>
      <c r="FN5" s="140" t="s">
        <v>633</v>
      </c>
      <c r="FO5" s="140" t="s">
        <v>633</v>
      </c>
      <c r="FP5" s="128"/>
      <c r="FQ5" s="128"/>
      <c r="FR5" s="128"/>
      <c r="FS5" s="128"/>
      <c r="FT5" s="12"/>
      <c r="FU5" s="12"/>
      <c r="FV5" s="12"/>
      <c r="FW5" s="128"/>
      <c r="FX5" s="8"/>
      <c r="FY5" s="289" t="s">
        <v>896</v>
      </c>
      <c r="FZ5" s="289" t="s">
        <v>896</v>
      </c>
      <c r="GA5" s="289" t="s">
        <v>896</v>
      </c>
      <c r="GB5" s="289" t="s">
        <v>896</v>
      </c>
      <c r="GC5" s="289" t="s">
        <v>896</v>
      </c>
      <c r="GD5" s="289" t="s">
        <v>896</v>
      </c>
      <c r="GE5" s="289" t="s">
        <v>896</v>
      </c>
      <c r="GF5" s="289" t="s">
        <v>896</v>
      </c>
      <c r="GG5" s="289" t="s">
        <v>896</v>
      </c>
      <c r="GH5" s="291" t="s">
        <v>895</v>
      </c>
      <c r="GI5" s="291" t="s">
        <v>895</v>
      </c>
      <c r="GJ5" s="291" t="s">
        <v>895</v>
      </c>
      <c r="GK5" s="291" t="s">
        <v>895</v>
      </c>
      <c r="GL5" s="291" t="s">
        <v>895</v>
      </c>
      <c r="GM5" s="291" t="s">
        <v>895</v>
      </c>
      <c r="GN5" s="291" t="s">
        <v>895</v>
      </c>
      <c r="GO5" s="320" t="s">
        <v>634</v>
      </c>
      <c r="GP5" s="320" t="s">
        <v>634</v>
      </c>
      <c r="GQ5" s="320" t="s">
        <v>634</v>
      </c>
      <c r="GR5" s="320" t="s">
        <v>634</v>
      </c>
      <c r="GS5" s="311" t="s">
        <v>1012</v>
      </c>
      <c r="GT5" s="311" t="s">
        <v>1012</v>
      </c>
      <c r="GU5" s="311" t="s">
        <v>1012</v>
      </c>
      <c r="GV5" s="311" t="s">
        <v>1012</v>
      </c>
      <c r="GW5" s="312" t="s">
        <v>733</v>
      </c>
      <c r="GX5" s="312" t="s">
        <v>733</v>
      </c>
      <c r="GY5" s="312" t="s">
        <v>733</v>
      </c>
      <c r="GZ5" s="312" t="s">
        <v>733</v>
      </c>
      <c r="HA5" s="312" t="s">
        <v>733</v>
      </c>
      <c r="HB5" s="312" t="s">
        <v>733</v>
      </c>
      <c r="HC5" s="312" t="s">
        <v>733</v>
      </c>
      <c r="HD5" s="312" t="s">
        <v>733</v>
      </c>
      <c r="HE5" s="312" t="s">
        <v>733</v>
      </c>
      <c r="HF5" s="312" t="s">
        <v>733</v>
      </c>
      <c r="HG5" s="312" t="s">
        <v>733</v>
      </c>
      <c r="HH5" s="312" t="s">
        <v>733</v>
      </c>
      <c r="HI5" s="312" t="s">
        <v>733</v>
      </c>
      <c r="HJ5" s="312" t="s">
        <v>733</v>
      </c>
      <c r="HK5" s="312"/>
      <c r="HL5" s="312" t="s">
        <v>733</v>
      </c>
      <c r="HM5" s="312" t="s">
        <v>733</v>
      </c>
      <c r="HN5" s="312" t="s">
        <v>733</v>
      </c>
      <c r="HO5" s="312" t="s">
        <v>733</v>
      </c>
      <c r="HP5" s="312" t="s">
        <v>733</v>
      </c>
      <c r="HQ5" s="312" t="s">
        <v>733</v>
      </c>
      <c r="HR5" s="312" t="s">
        <v>733</v>
      </c>
      <c r="HS5" s="312" t="s">
        <v>733</v>
      </c>
      <c r="HT5" s="312" t="s">
        <v>733</v>
      </c>
      <c r="HU5" s="312" t="s">
        <v>733</v>
      </c>
      <c r="HV5" s="312" t="s">
        <v>733</v>
      </c>
      <c r="HW5" s="312" t="s">
        <v>733</v>
      </c>
      <c r="HX5" s="312" t="s">
        <v>733</v>
      </c>
      <c r="HY5" s="312" t="s">
        <v>733</v>
      </c>
      <c r="HZ5" s="312" t="s">
        <v>733</v>
      </c>
      <c r="IA5" s="312" t="s">
        <v>733</v>
      </c>
      <c r="IB5" s="312" t="s">
        <v>733</v>
      </c>
      <c r="IC5" s="312" t="s">
        <v>733</v>
      </c>
      <c r="ID5" s="312" t="s">
        <v>733</v>
      </c>
      <c r="IE5" s="312" t="s">
        <v>733</v>
      </c>
      <c r="IF5" s="312" t="s">
        <v>733</v>
      </c>
      <c r="IG5" s="312" t="s">
        <v>733</v>
      </c>
      <c r="IH5" s="312" t="s">
        <v>733</v>
      </c>
      <c r="II5" s="312" t="s">
        <v>733</v>
      </c>
      <c r="IJ5" s="312" t="s">
        <v>733</v>
      </c>
      <c r="IK5" s="312" t="s">
        <v>733</v>
      </c>
      <c r="IL5" s="312" t="s">
        <v>733</v>
      </c>
      <c r="IM5" s="134" t="s">
        <v>345</v>
      </c>
      <c r="IN5" s="134" t="s">
        <v>345</v>
      </c>
      <c r="IO5" s="134" t="s">
        <v>345</v>
      </c>
      <c r="IP5" s="134" t="s">
        <v>345</v>
      </c>
      <c r="IQ5" s="313" t="s">
        <v>839</v>
      </c>
      <c r="IR5" s="313" t="s">
        <v>839</v>
      </c>
      <c r="IS5" s="313" t="s">
        <v>839</v>
      </c>
      <c r="IT5" s="313" t="s">
        <v>839</v>
      </c>
      <c r="IU5" s="136" t="s">
        <v>543</v>
      </c>
      <c r="IV5" s="314" t="s">
        <v>674</v>
      </c>
      <c r="IW5" s="137" t="s">
        <v>347</v>
      </c>
      <c r="IX5" s="137"/>
      <c r="IY5" s="137" t="s">
        <v>347</v>
      </c>
      <c r="IZ5" s="137" t="s">
        <v>347</v>
      </c>
      <c r="JA5" s="137" t="s">
        <v>347</v>
      </c>
      <c r="JB5" s="137"/>
      <c r="JC5" s="137" t="s">
        <v>347</v>
      </c>
      <c r="JD5" s="137"/>
      <c r="JE5" s="290" t="s">
        <v>894</v>
      </c>
      <c r="JF5" s="142" t="s">
        <v>633</v>
      </c>
      <c r="JG5" s="142" t="s">
        <v>633</v>
      </c>
      <c r="JH5" s="142" t="s">
        <v>633</v>
      </c>
      <c r="JI5" s="289" t="s">
        <v>896</v>
      </c>
      <c r="JJ5" s="289" t="s">
        <v>896</v>
      </c>
      <c r="JK5" s="289" t="s">
        <v>896</v>
      </c>
      <c r="JL5" s="289"/>
      <c r="JM5" s="289"/>
      <c r="JN5" s="289"/>
      <c r="JO5" s="289" t="s">
        <v>896</v>
      </c>
      <c r="JP5" s="289"/>
      <c r="JQ5" s="291" t="s">
        <v>895</v>
      </c>
      <c r="JR5" s="291" t="s">
        <v>895</v>
      </c>
      <c r="JS5" s="291" t="s">
        <v>895</v>
      </c>
      <c r="JT5" s="291" t="s">
        <v>895</v>
      </c>
      <c r="JU5" s="291" t="s">
        <v>895</v>
      </c>
      <c r="JV5" s="291"/>
      <c r="JW5" s="291"/>
      <c r="JX5" s="291"/>
      <c r="JY5" s="291"/>
      <c r="JZ5" s="291"/>
      <c r="KA5" s="291" t="s">
        <v>895</v>
      </c>
      <c r="KB5" s="291"/>
      <c r="KC5" s="133" t="s">
        <v>344</v>
      </c>
      <c r="KD5" s="132"/>
      <c r="KE5" s="133" t="s">
        <v>344</v>
      </c>
      <c r="KF5" s="311" t="s">
        <v>1012</v>
      </c>
      <c r="KG5" s="311" t="s">
        <v>1012</v>
      </c>
      <c r="KH5" s="312" t="s">
        <v>733</v>
      </c>
      <c r="KI5" s="312" t="s">
        <v>733</v>
      </c>
      <c r="KJ5" s="312" t="s">
        <v>733</v>
      </c>
      <c r="KK5" s="312" t="s">
        <v>733</v>
      </c>
      <c r="KL5" s="134" t="s">
        <v>345</v>
      </c>
      <c r="KM5" s="134" t="s">
        <v>345</v>
      </c>
      <c r="KN5" s="313" t="s">
        <v>839</v>
      </c>
      <c r="KO5" s="313" t="s">
        <v>839</v>
      </c>
      <c r="KP5" s="135" t="s">
        <v>132</v>
      </c>
      <c r="KQ5" s="136"/>
      <c r="KR5" s="314" t="s">
        <v>674</v>
      </c>
      <c r="KS5" s="314" t="s">
        <v>674</v>
      </c>
      <c r="KT5" s="137" t="s">
        <v>347</v>
      </c>
      <c r="KU5" s="137" t="s">
        <v>347</v>
      </c>
      <c r="KV5" s="290" t="s">
        <v>894</v>
      </c>
      <c r="KW5" s="142" t="s">
        <v>633</v>
      </c>
      <c r="KX5" s="142" t="s">
        <v>633</v>
      </c>
      <c r="KY5" s="142" t="s">
        <v>633</v>
      </c>
      <c r="KZ5" s="289" t="s">
        <v>896</v>
      </c>
      <c r="LA5" s="289" t="s">
        <v>896</v>
      </c>
      <c r="LB5" s="289"/>
      <c r="LC5" s="289"/>
      <c r="LD5" s="289" t="s">
        <v>896</v>
      </c>
      <c r="LE5" s="289"/>
      <c r="LF5" s="291" t="s">
        <v>895</v>
      </c>
      <c r="LG5" s="291" t="s">
        <v>895</v>
      </c>
      <c r="LH5" s="291" t="s">
        <v>895</v>
      </c>
      <c r="LI5" s="291" t="s">
        <v>895</v>
      </c>
      <c r="LJ5" s="291"/>
      <c r="LK5" s="291"/>
      <c r="LL5" s="291"/>
      <c r="LM5" s="291" t="s">
        <v>895</v>
      </c>
      <c r="LN5" s="291"/>
      <c r="LO5" s="315" t="s">
        <v>637</v>
      </c>
      <c r="LP5" s="315"/>
      <c r="LQ5" s="315"/>
      <c r="LR5" s="128"/>
      <c r="LS5" s="128"/>
      <c r="LT5" s="263" t="s">
        <v>638</v>
      </c>
      <c r="LU5" s="263"/>
      <c r="LV5" s="263" t="s">
        <v>638</v>
      </c>
      <c r="LW5" s="264" t="s">
        <v>161</v>
      </c>
      <c r="LX5" s="264" t="s">
        <v>162</v>
      </c>
      <c r="LY5" s="264" t="s">
        <v>163</v>
      </c>
      <c r="LZ5" s="264" t="s">
        <v>164</v>
      </c>
      <c r="MA5" s="263" t="s">
        <v>638</v>
      </c>
      <c r="MB5" s="264" t="s">
        <v>166</v>
      </c>
      <c r="MC5" s="264" t="s">
        <v>167</v>
      </c>
      <c r="MD5" s="264" t="s">
        <v>168</v>
      </c>
      <c r="ME5" s="264" t="s">
        <v>169</v>
      </c>
      <c r="MF5" s="142" t="s">
        <v>633</v>
      </c>
      <c r="MG5" s="142" t="s">
        <v>633</v>
      </c>
      <c r="MH5" s="128"/>
      <c r="MI5" s="128"/>
      <c r="MJ5" s="128"/>
      <c r="MK5" s="128"/>
      <c r="ML5" s="128"/>
      <c r="MM5" s="128"/>
      <c r="MN5" s="128"/>
      <c r="MO5" s="128"/>
      <c r="MP5" s="128"/>
      <c r="MQ5" s="128"/>
      <c r="MR5" s="128"/>
      <c r="MS5" s="128"/>
      <c r="MT5" s="281" t="s">
        <v>792</v>
      </c>
      <c r="MU5" s="281" t="s">
        <v>792</v>
      </c>
      <c r="MV5" s="281" t="s">
        <v>792</v>
      </c>
      <c r="MW5" s="281" t="s">
        <v>792</v>
      </c>
      <c r="MX5" s="281" t="s">
        <v>792</v>
      </c>
      <c r="MY5" s="281" t="s">
        <v>792</v>
      </c>
      <c r="MZ5" s="281" t="s">
        <v>792</v>
      </c>
      <c r="NA5" s="281" t="s">
        <v>792</v>
      </c>
      <c r="NB5" s="281" t="s">
        <v>792</v>
      </c>
      <c r="NC5" s="281" t="s">
        <v>792</v>
      </c>
      <c r="ND5" s="281" t="s">
        <v>792</v>
      </c>
      <c r="NE5" s="281" t="s">
        <v>792</v>
      </c>
      <c r="NF5" s="281" t="s">
        <v>792</v>
      </c>
      <c r="NG5" s="281" t="s">
        <v>792</v>
      </c>
      <c r="NH5" s="281" t="s">
        <v>792</v>
      </c>
      <c r="NI5" s="281" t="s">
        <v>792</v>
      </c>
      <c r="NJ5" s="281" t="s">
        <v>792</v>
      </c>
      <c r="NK5" s="581"/>
      <c r="NL5" s="581"/>
      <c r="NM5" s="281"/>
      <c r="NN5" s="581"/>
      <c r="NO5" s="581"/>
      <c r="NP5" s="581"/>
      <c r="NQ5" s="281"/>
      <c r="NR5" s="281"/>
    </row>
    <row r="6" spans="1:384" s="53" customFormat="1" ht="97.85" x14ac:dyDescent="0.2">
      <c r="A6" s="52" t="s">
        <v>18</v>
      </c>
      <c r="B6" s="146">
        <v>22386400</v>
      </c>
      <c r="C6" s="52"/>
      <c r="D6" s="52"/>
      <c r="E6" s="52"/>
      <c r="F6" s="52"/>
      <c r="G6" s="52"/>
      <c r="H6" s="52" t="s">
        <v>969</v>
      </c>
      <c r="I6" s="52" t="s">
        <v>968</v>
      </c>
      <c r="J6" s="52" t="s">
        <v>967</v>
      </c>
      <c r="K6" s="52"/>
      <c r="L6" s="52" t="s">
        <v>966</v>
      </c>
      <c r="M6" s="52" t="s">
        <v>965</v>
      </c>
      <c r="N6" s="52" t="s">
        <v>964</v>
      </c>
      <c r="O6" s="52" t="s">
        <v>963</v>
      </c>
      <c r="P6" s="52" t="s">
        <v>962</v>
      </c>
      <c r="Q6" s="52" t="s">
        <v>961</v>
      </c>
      <c r="R6" s="52" t="s">
        <v>960</v>
      </c>
      <c r="S6" s="52" t="s">
        <v>959</v>
      </c>
      <c r="T6" s="52"/>
      <c r="U6" s="52" t="s">
        <v>958</v>
      </c>
      <c r="V6" s="52" t="s">
        <v>957</v>
      </c>
      <c r="W6" s="52" t="s">
        <v>956</v>
      </c>
      <c r="X6" s="52" t="s">
        <v>955</v>
      </c>
      <c r="Y6" s="52" t="s">
        <v>954</v>
      </c>
      <c r="Z6" s="52" t="s">
        <v>952</v>
      </c>
      <c r="AA6" s="52" t="s">
        <v>1053</v>
      </c>
      <c r="AB6" s="52" t="s">
        <v>951</v>
      </c>
      <c r="AC6" s="52" t="s">
        <v>947</v>
      </c>
      <c r="AD6" s="52" t="s">
        <v>950</v>
      </c>
      <c r="AE6" s="52" t="s">
        <v>953</v>
      </c>
      <c r="AF6" s="52" t="s">
        <v>948</v>
      </c>
      <c r="AG6" s="52" t="s">
        <v>949</v>
      </c>
      <c r="AH6" s="52" t="s">
        <v>946</v>
      </c>
      <c r="AI6" s="52" t="s">
        <v>945</v>
      </c>
      <c r="AJ6" s="52" t="s">
        <v>887</v>
      </c>
      <c r="AK6" s="52" t="s">
        <v>885</v>
      </c>
      <c r="AL6" s="52" t="s">
        <v>886</v>
      </c>
      <c r="AM6" s="52" t="s">
        <v>944</v>
      </c>
      <c r="AN6" s="52" t="s">
        <v>943</v>
      </c>
      <c r="AO6" s="52" t="s">
        <v>881</v>
      </c>
      <c r="AP6" s="52" t="s">
        <v>1023</v>
      </c>
      <c r="AQ6" s="52" t="s">
        <v>882</v>
      </c>
      <c r="AR6" s="52" t="s">
        <v>941</v>
      </c>
      <c r="AS6" s="52" t="s">
        <v>942</v>
      </c>
      <c r="AT6" s="52" t="s">
        <v>939</v>
      </c>
      <c r="AU6" s="52" t="s">
        <v>940</v>
      </c>
      <c r="AV6" s="52" t="s">
        <v>937</v>
      </c>
      <c r="AW6" s="52" t="s">
        <v>938</v>
      </c>
      <c r="AX6" s="52" t="s">
        <v>935</v>
      </c>
      <c r="AY6" s="52" t="s">
        <v>936</v>
      </c>
      <c r="AZ6" s="52" t="s">
        <v>780</v>
      </c>
      <c r="BA6" s="52" t="s">
        <v>779</v>
      </c>
      <c r="BB6" s="52" t="s">
        <v>134</v>
      </c>
      <c r="BC6" s="52" t="s">
        <v>1052</v>
      </c>
      <c r="BD6" s="52" t="s">
        <v>1123</v>
      </c>
      <c r="BE6" s="52" t="s">
        <v>1129</v>
      </c>
      <c r="BF6" s="52" t="s">
        <v>1130</v>
      </c>
      <c r="BG6" s="52" t="s">
        <v>1131</v>
      </c>
      <c r="BH6" s="52" t="s">
        <v>970</v>
      </c>
      <c r="BI6" s="52" t="s">
        <v>972</v>
      </c>
      <c r="BJ6" s="52"/>
      <c r="BK6" s="52"/>
      <c r="BL6" s="52"/>
      <c r="BM6" s="52"/>
      <c r="BN6" s="52"/>
      <c r="BO6" s="52" t="s">
        <v>971</v>
      </c>
      <c r="BP6" s="52" t="s">
        <v>1208</v>
      </c>
      <c r="BQ6" s="52" t="s">
        <v>1209</v>
      </c>
      <c r="BR6" s="52" t="s">
        <v>1210</v>
      </c>
      <c r="BS6" s="52" t="s">
        <v>1211</v>
      </c>
      <c r="BT6" s="52" t="s">
        <v>1212</v>
      </c>
      <c r="BU6" s="52" t="s">
        <v>974</v>
      </c>
      <c r="BV6" s="52" t="s">
        <v>975</v>
      </c>
      <c r="BW6" s="52" t="s">
        <v>1132</v>
      </c>
      <c r="BX6" s="52" t="s">
        <v>976</v>
      </c>
      <c r="BY6" s="52" t="s">
        <v>272</v>
      </c>
      <c r="BZ6" s="52" t="s">
        <v>273</v>
      </c>
      <c r="CA6" s="52" t="s">
        <v>274</v>
      </c>
      <c r="CB6" s="52"/>
      <c r="CC6" s="52"/>
      <c r="CD6" s="52"/>
      <c r="CE6" s="52"/>
      <c r="CF6" s="52"/>
      <c r="CG6" s="52"/>
      <c r="CH6" s="52"/>
      <c r="CI6" s="52"/>
      <c r="CJ6" s="52"/>
      <c r="CK6" s="52"/>
      <c r="CL6" s="52"/>
      <c r="CM6" s="52"/>
      <c r="CN6" s="52"/>
      <c r="CO6" s="52"/>
      <c r="CP6" s="52"/>
      <c r="CQ6" s="52" t="s">
        <v>979</v>
      </c>
      <c r="CR6" s="52" t="s">
        <v>1109</v>
      </c>
      <c r="CS6" s="52"/>
      <c r="CT6" s="52" t="s">
        <v>1019</v>
      </c>
      <c r="CU6" s="52" t="s">
        <v>934</v>
      </c>
      <c r="CV6" s="52" t="s">
        <v>973</v>
      </c>
      <c r="CW6" s="52" t="s">
        <v>137</v>
      </c>
      <c r="CX6" s="52" t="s">
        <v>1016</v>
      </c>
      <c r="CY6" s="52" t="s">
        <v>1020</v>
      </c>
      <c r="CZ6" s="52" t="s">
        <v>589</v>
      </c>
      <c r="DA6" s="52" t="s">
        <v>980</v>
      </c>
      <c r="DB6" s="52" t="s">
        <v>1054</v>
      </c>
      <c r="DC6" s="52" t="s">
        <v>1002</v>
      </c>
      <c r="DD6" s="52" t="s">
        <v>981</v>
      </c>
      <c r="DE6" s="52" t="s">
        <v>1110</v>
      </c>
      <c r="DF6" s="52" t="s">
        <v>232</v>
      </c>
      <c r="DG6" s="52" t="s">
        <v>830</v>
      </c>
      <c r="DH6" s="52" t="s">
        <v>888</v>
      </c>
      <c r="DI6" s="52" t="s">
        <v>889</v>
      </c>
      <c r="DJ6" s="52" t="s">
        <v>890</v>
      </c>
      <c r="DK6" s="52" t="s">
        <v>891</v>
      </c>
      <c r="DL6" s="52" t="s">
        <v>892</v>
      </c>
      <c r="DM6" s="52" t="s">
        <v>219</v>
      </c>
      <c r="DN6" s="52" t="s">
        <v>992</v>
      </c>
      <c r="DO6" s="52" t="s">
        <v>995</v>
      </c>
      <c r="DP6" s="52" t="s">
        <v>982</v>
      </c>
      <c r="DQ6" s="52" t="s">
        <v>233</v>
      </c>
      <c r="DR6" s="52" t="s">
        <v>983</v>
      </c>
      <c r="DS6" s="52" t="s">
        <v>991</v>
      </c>
      <c r="DT6" s="52" t="s">
        <v>993</v>
      </c>
      <c r="DU6" s="52" t="s">
        <v>994</v>
      </c>
      <c r="DV6" s="52" t="s">
        <v>996</v>
      </c>
      <c r="DW6" s="52" t="s">
        <v>999</v>
      </c>
      <c r="DX6" s="52" t="s">
        <v>865</v>
      </c>
      <c r="DY6" s="52" t="s">
        <v>844</v>
      </c>
      <c r="DZ6" s="52" t="s">
        <v>1004</v>
      </c>
      <c r="EA6" s="52" t="s">
        <v>831</v>
      </c>
      <c r="EB6" s="52" t="s">
        <v>659</v>
      </c>
      <c r="EC6" s="52" t="s">
        <v>1024</v>
      </c>
      <c r="ED6" s="52" t="s">
        <v>1025</v>
      </c>
      <c r="EE6" s="305" t="s">
        <v>1126</v>
      </c>
      <c r="EF6" s="305" t="s">
        <v>1127</v>
      </c>
      <c r="EG6" s="51" t="s">
        <v>1146</v>
      </c>
      <c r="EH6" s="52" t="s">
        <v>997</v>
      </c>
      <c r="EI6" s="52" t="s">
        <v>832</v>
      </c>
      <c r="EJ6" s="52" t="s">
        <v>1029</v>
      </c>
      <c r="EK6" s="52" t="s">
        <v>186</v>
      </c>
      <c r="EL6" s="52" t="s">
        <v>661</v>
      </c>
      <c r="EM6" s="52" t="s">
        <v>193</v>
      </c>
      <c r="EN6" s="52" t="s">
        <v>824</v>
      </c>
      <c r="EO6" s="52" t="s">
        <v>834</v>
      </c>
      <c r="EP6" s="52" t="s">
        <v>231</v>
      </c>
      <c r="EQ6" s="52" t="s">
        <v>184</v>
      </c>
      <c r="ER6" s="52" t="s">
        <v>825</v>
      </c>
      <c r="ES6" s="52" t="s">
        <v>233</v>
      </c>
      <c r="ET6" s="52" t="s">
        <v>826</v>
      </c>
      <c r="EU6" s="52" t="s">
        <v>1030</v>
      </c>
      <c r="EV6" s="52" t="s">
        <v>1031</v>
      </c>
      <c r="EW6" s="52" t="s">
        <v>1026</v>
      </c>
      <c r="EX6" s="52" t="s">
        <v>998</v>
      </c>
      <c r="EY6" s="51" t="s">
        <v>215</v>
      </c>
      <c r="EZ6" s="52" t="s">
        <v>180</v>
      </c>
      <c r="FA6" s="52" t="s">
        <v>1032</v>
      </c>
      <c r="FB6" s="52" t="s">
        <v>1823</v>
      </c>
      <c r="FC6" s="52" t="s">
        <v>1824</v>
      </c>
      <c r="FD6" s="52" t="s">
        <v>1825</v>
      </c>
      <c r="FE6" s="52" t="s">
        <v>1826</v>
      </c>
      <c r="FF6" s="52" t="s">
        <v>1827</v>
      </c>
      <c r="FG6" s="52" t="s">
        <v>1828</v>
      </c>
      <c r="FH6" s="52" t="s">
        <v>1829</v>
      </c>
      <c r="FI6" s="52" t="s">
        <v>1830</v>
      </c>
      <c r="FJ6" s="52" t="s">
        <v>1831</v>
      </c>
      <c r="FK6" s="52" t="s">
        <v>677</v>
      </c>
      <c r="FL6" s="52" t="s">
        <v>1071</v>
      </c>
      <c r="FM6" s="52" t="s">
        <v>835</v>
      </c>
      <c r="FN6" s="52" t="s">
        <v>1034</v>
      </c>
      <c r="FO6" s="52" t="s">
        <v>730</v>
      </c>
      <c r="FP6" s="52" t="s">
        <v>1035</v>
      </c>
      <c r="FQ6" s="52" t="s">
        <v>903</v>
      </c>
      <c r="FR6" s="52" t="s">
        <v>919</v>
      </c>
      <c r="FS6" s="52" t="s">
        <v>920</v>
      </c>
      <c r="FT6" s="52" t="s">
        <v>911</v>
      </c>
      <c r="FU6" s="52" t="s">
        <v>915</v>
      </c>
      <c r="FV6" s="52" t="s">
        <v>915</v>
      </c>
      <c r="FW6" s="52"/>
      <c r="FX6" s="52" t="s">
        <v>136</v>
      </c>
      <c r="FY6" s="52" t="s">
        <v>121</v>
      </c>
      <c r="FZ6" s="52" t="s">
        <v>657</v>
      </c>
      <c r="GA6" s="52" t="s">
        <v>157</v>
      </c>
      <c r="GB6" s="52" t="s">
        <v>685</v>
      </c>
      <c r="GC6" s="52" t="s">
        <v>662</v>
      </c>
      <c r="GD6" s="52" t="s">
        <v>322</v>
      </c>
      <c r="GE6" s="52" t="s">
        <v>209</v>
      </c>
      <c r="GF6" s="52" t="s">
        <v>212</v>
      </c>
      <c r="GG6" s="52"/>
      <c r="GH6" s="52" t="s">
        <v>1816</v>
      </c>
      <c r="GI6" s="52" t="s">
        <v>318</v>
      </c>
      <c r="GJ6" s="155" t="s">
        <v>319</v>
      </c>
      <c r="GK6" s="52" t="s">
        <v>321</v>
      </c>
      <c r="GL6" s="52" t="s">
        <v>324</v>
      </c>
      <c r="GM6" s="52" t="s">
        <v>323</v>
      </c>
      <c r="GN6" s="52" t="s">
        <v>1051</v>
      </c>
      <c r="GO6" s="52" t="s">
        <v>173</v>
      </c>
      <c r="GP6" s="52" t="s">
        <v>287</v>
      </c>
      <c r="GQ6" s="52" t="s">
        <v>175</v>
      </c>
      <c r="GR6" s="52" t="s">
        <v>285</v>
      </c>
      <c r="GS6" s="52" t="s">
        <v>770</v>
      </c>
      <c r="GT6" s="52" t="s">
        <v>730</v>
      </c>
      <c r="GU6" s="52" t="s">
        <v>897</v>
      </c>
      <c r="GV6" s="52" t="s">
        <v>898</v>
      </c>
      <c r="GW6" s="52" t="s">
        <v>1027</v>
      </c>
      <c r="GX6" s="52" t="s">
        <v>900</v>
      </c>
      <c r="GY6" s="52" t="s">
        <v>1043</v>
      </c>
      <c r="GZ6" s="52" t="s">
        <v>1044</v>
      </c>
      <c r="HA6" s="52" t="s">
        <v>1045</v>
      </c>
      <c r="HB6" s="52" t="s">
        <v>69</v>
      </c>
      <c r="HC6" s="52" t="s">
        <v>901</v>
      </c>
      <c r="HD6" s="52" t="s">
        <v>739</v>
      </c>
      <c r="HE6" s="52" t="s">
        <v>64</v>
      </c>
      <c r="HF6" s="52" t="s">
        <v>741</v>
      </c>
      <c r="HG6" s="52" t="s">
        <v>143</v>
      </c>
      <c r="HH6" s="52" t="s">
        <v>902</v>
      </c>
      <c r="HI6" s="52" t="s">
        <v>630</v>
      </c>
      <c r="HJ6" s="52" t="s">
        <v>751</v>
      </c>
      <c r="HK6" s="52" t="s">
        <v>631</v>
      </c>
      <c r="HL6" s="52" t="s">
        <v>631</v>
      </c>
      <c r="HM6" s="52" t="s">
        <v>782</v>
      </c>
      <c r="HN6" s="52" t="s">
        <v>632</v>
      </c>
      <c r="HO6" s="52" t="s">
        <v>783</v>
      </c>
      <c r="HP6" s="52" t="s">
        <v>255</v>
      </c>
      <c r="HQ6" s="52" t="s">
        <v>186</v>
      </c>
      <c r="HR6" s="52" t="s">
        <v>785</v>
      </c>
      <c r="HS6" s="52" t="s">
        <v>630</v>
      </c>
      <c r="HT6" s="52" t="s">
        <v>1111</v>
      </c>
      <c r="HU6" s="52" t="s">
        <v>631</v>
      </c>
      <c r="HV6" s="52" t="s">
        <v>140</v>
      </c>
      <c r="HW6" s="52" t="s">
        <v>632</v>
      </c>
      <c r="HX6" s="53" t="s">
        <v>808</v>
      </c>
      <c r="HY6" s="52" t="s">
        <v>786</v>
      </c>
      <c r="HZ6" s="52" t="s">
        <v>904</v>
      </c>
      <c r="IA6" s="52" t="s">
        <v>903</v>
      </c>
      <c r="IB6" s="52" t="s">
        <v>905</v>
      </c>
      <c r="IC6" s="52" t="s">
        <v>920</v>
      </c>
      <c r="ID6" s="52" t="s">
        <v>911</v>
      </c>
      <c r="IE6" s="52" t="s">
        <v>915</v>
      </c>
      <c r="IF6" s="52" t="s">
        <v>915</v>
      </c>
      <c r="IG6" s="52" t="s">
        <v>921</v>
      </c>
      <c r="IH6" s="52" t="s">
        <v>924</v>
      </c>
      <c r="II6" s="52" t="s">
        <v>730</v>
      </c>
      <c r="IJ6" s="52" t="s">
        <v>897</v>
      </c>
      <c r="IK6" s="52" t="s">
        <v>898</v>
      </c>
      <c r="IL6" s="52" t="s">
        <v>987</v>
      </c>
      <c r="IM6" s="52" t="s">
        <v>1047</v>
      </c>
      <c r="IN6" s="52" t="s">
        <v>838</v>
      </c>
      <c r="IO6" s="52" t="s">
        <v>761</v>
      </c>
      <c r="IP6" s="52" t="s">
        <v>535</v>
      </c>
      <c r="IQ6" s="52" t="s">
        <v>770</v>
      </c>
      <c r="IR6" s="52" t="s">
        <v>838</v>
      </c>
      <c r="IS6" s="52" t="s">
        <v>761</v>
      </c>
      <c r="IT6" s="52" t="s">
        <v>535</v>
      </c>
      <c r="IU6" s="52" t="s">
        <v>544</v>
      </c>
      <c r="IV6" s="52" t="s">
        <v>843</v>
      </c>
      <c r="IW6" s="52" t="s">
        <v>571</v>
      </c>
      <c r="IX6" s="52"/>
      <c r="IY6" s="52" t="s">
        <v>663</v>
      </c>
      <c r="IZ6" s="52" t="s">
        <v>461</v>
      </c>
      <c r="JA6" s="52" t="s">
        <v>462</v>
      </c>
      <c r="JB6" s="52"/>
      <c r="JC6" s="52" t="s">
        <v>572</v>
      </c>
      <c r="JD6" s="52"/>
      <c r="JE6" s="52" t="s">
        <v>1072</v>
      </c>
      <c r="JF6" s="52" t="s">
        <v>308</v>
      </c>
      <c r="JG6" s="52" t="s">
        <v>309</v>
      </c>
      <c r="JH6" s="52" t="s">
        <v>310</v>
      </c>
      <c r="JI6" s="52" t="s">
        <v>879</v>
      </c>
      <c r="JJ6" s="52" t="s">
        <v>874</v>
      </c>
      <c r="JK6" s="52" t="s">
        <v>875</v>
      </c>
      <c r="JL6" s="52" t="s">
        <v>2759</v>
      </c>
      <c r="JM6" s="52" t="s">
        <v>874</v>
      </c>
      <c r="JN6" s="52" t="s">
        <v>1042</v>
      </c>
      <c r="JO6" s="52" t="s">
        <v>1042</v>
      </c>
      <c r="JP6" s="52" t="s">
        <v>2760</v>
      </c>
      <c r="JQ6" s="52" t="s">
        <v>306</v>
      </c>
      <c r="JR6" s="52" t="s">
        <v>642</v>
      </c>
      <c r="JS6" s="52" t="s">
        <v>307</v>
      </c>
      <c r="JT6" s="52" t="s">
        <v>643</v>
      </c>
      <c r="JU6" s="52" t="s">
        <v>644</v>
      </c>
      <c r="JV6" s="52" t="s">
        <v>2761</v>
      </c>
      <c r="JW6" s="52" t="s">
        <v>2757</v>
      </c>
      <c r="JX6" s="52" t="s">
        <v>642</v>
      </c>
      <c r="JY6" s="52" t="s">
        <v>307</v>
      </c>
      <c r="JZ6" s="52" t="s">
        <v>640</v>
      </c>
      <c r="KA6" s="52" t="s">
        <v>640</v>
      </c>
      <c r="KB6" s="52" t="s">
        <v>2760</v>
      </c>
      <c r="KC6" s="52" t="s">
        <v>1010</v>
      </c>
      <c r="KD6" s="52" t="s">
        <v>331</v>
      </c>
      <c r="KE6" s="52" t="s">
        <v>1009</v>
      </c>
      <c r="KF6" s="52" t="s">
        <v>1010</v>
      </c>
      <c r="KG6" s="52" t="s">
        <v>1009</v>
      </c>
      <c r="KH6" s="52" t="s">
        <v>1010</v>
      </c>
      <c r="KI6" s="52" t="s">
        <v>787</v>
      </c>
      <c r="KJ6" s="52" t="s">
        <v>1009</v>
      </c>
      <c r="KK6" s="52" t="s">
        <v>1134</v>
      </c>
      <c r="KL6" s="52" t="s">
        <v>1010</v>
      </c>
      <c r="KM6" s="52" t="s">
        <v>1009</v>
      </c>
      <c r="KN6" s="52" t="s">
        <v>1010</v>
      </c>
      <c r="KO6" s="52" t="s">
        <v>1009</v>
      </c>
      <c r="KP6" s="52"/>
      <c r="KQ6" s="52" t="s">
        <v>343</v>
      </c>
      <c r="KR6" s="52" t="s">
        <v>1010</v>
      </c>
      <c r="KS6" s="52" t="s">
        <v>1009</v>
      </c>
      <c r="KT6" s="52" t="s">
        <v>1010</v>
      </c>
      <c r="KU6" s="52" t="s">
        <v>1009</v>
      </c>
      <c r="KV6" s="52" t="s">
        <v>352</v>
      </c>
      <c r="KW6" s="52" t="s">
        <v>308</v>
      </c>
      <c r="KX6" s="52" t="s">
        <v>309</v>
      </c>
      <c r="KY6" s="52" t="s">
        <v>650</v>
      </c>
      <c r="KZ6" s="52" t="s">
        <v>929</v>
      </c>
      <c r="LA6" s="52" t="s">
        <v>930</v>
      </c>
      <c r="LB6" s="52" t="s">
        <v>929</v>
      </c>
      <c r="LC6" s="52" t="s">
        <v>932</v>
      </c>
      <c r="LD6" s="52" t="s">
        <v>932</v>
      </c>
      <c r="LE6" s="52" t="s">
        <v>2768</v>
      </c>
      <c r="LF6" s="52" t="s">
        <v>646</v>
      </c>
      <c r="LG6" s="52" t="s">
        <v>647</v>
      </c>
      <c r="LH6" s="52" t="s">
        <v>648</v>
      </c>
      <c r="LI6" s="52" t="s">
        <v>649</v>
      </c>
      <c r="LJ6" s="52" t="s">
        <v>646</v>
      </c>
      <c r="LK6" s="52" t="s">
        <v>647</v>
      </c>
      <c r="LL6" s="52" t="s">
        <v>933</v>
      </c>
      <c r="LM6" s="52" t="s">
        <v>933</v>
      </c>
      <c r="LN6" s="52" t="s">
        <v>2762</v>
      </c>
      <c r="LO6" s="52"/>
      <c r="LP6" s="52"/>
      <c r="LQ6" s="52"/>
      <c r="LR6" s="52" t="s">
        <v>988</v>
      </c>
      <c r="LS6" s="52" t="s">
        <v>989</v>
      </c>
      <c r="LT6" s="263" t="s">
        <v>217</v>
      </c>
      <c r="LU6" s="263"/>
      <c r="LV6" s="263" t="s">
        <v>116</v>
      </c>
      <c r="LW6" s="263" t="s">
        <v>165</v>
      </c>
      <c r="LX6" s="263" t="s">
        <v>165</v>
      </c>
      <c r="LY6" s="263" t="s">
        <v>165</v>
      </c>
      <c r="LZ6" s="263" t="s">
        <v>165</v>
      </c>
      <c r="MA6" s="263" t="s">
        <v>581</v>
      </c>
      <c r="MB6" s="263" t="s">
        <v>165</v>
      </c>
      <c r="MC6" s="263" t="s">
        <v>165</v>
      </c>
      <c r="MD6" s="263" t="s">
        <v>165</v>
      </c>
      <c r="ME6" s="263" t="s">
        <v>165</v>
      </c>
      <c r="MF6" s="52"/>
      <c r="MG6" s="52"/>
      <c r="MH6" s="52"/>
      <c r="MI6" s="52"/>
      <c r="MJ6" s="52"/>
      <c r="MK6" s="52"/>
      <c r="ML6" s="52" t="s">
        <v>1036</v>
      </c>
      <c r="MM6" s="52" t="s">
        <v>1037</v>
      </c>
      <c r="MN6" s="52" t="s">
        <v>1038</v>
      </c>
      <c r="MO6" s="52" t="s">
        <v>1039</v>
      </c>
      <c r="MP6" s="52" t="s">
        <v>1040</v>
      </c>
      <c r="MQ6" s="52" t="s">
        <v>1041</v>
      </c>
      <c r="MR6" s="52"/>
      <c r="MS6" s="52"/>
      <c r="MT6" s="50" t="s">
        <v>793</v>
      </c>
      <c r="MU6" s="50" t="s">
        <v>1056</v>
      </c>
      <c r="MV6" s="50" t="s">
        <v>1057</v>
      </c>
      <c r="MW6" s="50" t="s">
        <v>1063</v>
      </c>
      <c r="MX6" s="50" t="s">
        <v>1067</v>
      </c>
      <c r="MY6" s="50" t="s">
        <v>1061</v>
      </c>
      <c r="MZ6" s="50" t="s">
        <v>1058</v>
      </c>
      <c r="NA6" s="50" t="s">
        <v>1069</v>
      </c>
      <c r="NB6" s="50" t="s">
        <v>1068</v>
      </c>
      <c r="NC6" s="50" t="s">
        <v>1060</v>
      </c>
      <c r="ND6" s="50" t="s">
        <v>1059</v>
      </c>
      <c r="NE6" s="50" t="s">
        <v>794</v>
      </c>
      <c r="NF6" s="50" t="s">
        <v>795</v>
      </c>
      <c r="NG6" s="50" t="s">
        <v>796</v>
      </c>
      <c r="NH6" s="50" t="s">
        <v>797</v>
      </c>
      <c r="NI6" s="50"/>
      <c r="NJ6" s="50" t="s">
        <v>799</v>
      </c>
      <c r="NK6" s="155" t="s">
        <v>75</v>
      </c>
      <c r="NL6" s="155" t="s">
        <v>108</v>
      </c>
      <c r="NM6" s="50" t="s">
        <v>2789</v>
      </c>
      <c r="NN6" s="155" t="s">
        <v>37</v>
      </c>
      <c r="NO6" s="155" t="s">
        <v>136</v>
      </c>
      <c r="NP6" s="155" t="s">
        <v>1808</v>
      </c>
      <c r="NQ6" s="50" t="s">
        <v>2776</v>
      </c>
      <c r="NR6" s="50" t="s">
        <v>2777</v>
      </c>
      <c r="NS6" s="53" t="s">
        <v>1796</v>
      </c>
      <c r="NT6" s="53" t="s">
        <v>1797</v>
      </c>
    </row>
    <row r="7" spans="1:384" s="13" customFormat="1" ht="13.6" x14ac:dyDescent="0.25">
      <c r="A7" s="15" t="s">
        <v>15</v>
      </c>
      <c r="B7" s="22" t="s">
        <v>669</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7"/>
      <c r="AN7" s="6"/>
      <c r="AO7" s="6"/>
      <c r="AP7" s="6"/>
      <c r="AQ7" s="6"/>
      <c r="AR7" s="6"/>
      <c r="AS7" s="6"/>
      <c r="AT7" s="6"/>
      <c r="AU7" s="6"/>
      <c r="AV7" s="6"/>
      <c r="AW7" s="6"/>
      <c r="AX7" s="6"/>
      <c r="AY7" s="11"/>
      <c r="AZ7" s="11"/>
      <c r="BA7" s="11"/>
      <c r="BB7" s="6"/>
      <c r="BC7" s="6"/>
      <c r="BD7" s="6"/>
      <c r="BE7" s="6"/>
      <c r="BF7" s="6"/>
      <c r="BG7" s="6"/>
      <c r="BH7" s="6"/>
      <c r="BI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49"/>
      <c r="CX7" s="49"/>
      <c r="CY7" s="49"/>
      <c r="CZ7" s="49"/>
      <c r="DA7" s="6"/>
      <c r="DB7" s="6"/>
      <c r="DC7" s="6"/>
      <c r="DD7" s="79"/>
      <c r="DE7" s="79"/>
      <c r="DF7" s="6"/>
      <c r="DG7" s="6"/>
      <c r="DH7" s="6"/>
      <c r="DI7" s="84"/>
      <c r="DJ7" s="84"/>
      <c r="DK7" s="84"/>
      <c r="DL7" s="6"/>
      <c r="DM7" s="6"/>
      <c r="DN7" s="6"/>
      <c r="DO7" s="6"/>
      <c r="DP7" s="49"/>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52"/>
      <c r="FM7" s="6"/>
      <c r="FN7" s="52"/>
      <c r="FO7" s="6"/>
      <c r="FQ7" s="6"/>
      <c r="FS7" s="77"/>
      <c r="FT7" s="6"/>
      <c r="FU7" s="6"/>
      <c r="FV7" s="6"/>
      <c r="FW7" s="6"/>
      <c r="FX7" s="7"/>
      <c r="FY7" s="7"/>
      <c r="FZ7" s="7"/>
      <c r="GA7" s="7"/>
      <c r="GB7" s="7"/>
      <c r="GC7" s="286" t="str">
        <f>IF(AND(GA2="Y",OR(FY2="",FY2="null")),IF(DAY(Z2)=1,DATE(YEAR(Z2)+65,MONTH(Z2)+1,1),[1]!NRD(Z2,65)),"null")</f>
        <v>null</v>
      </c>
      <c r="GD7" s="77"/>
      <c r="GE7" s="6"/>
      <c r="GF7" s="6"/>
      <c r="GG7" s="6"/>
      <c r="GH7" s="6"/>
      <c r="GI7" s="7"/>
      <c r="GJ7" s="269"/>
      <c r="GK7" s="77"/>
      <c r="GL7" s="77"/>
      <c r="GM7" s="77"/>
      <c r="GN7" s="77"/>
      <c r="GO7" s="7"/>
      <c r="GP7" s="7"/>
      <c r="GQ7" s="7"/>
      <c r="GR7" s="7"/>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77"/>
      <c r="JJ7" s="4" t="s">
        <v>2751</v>
      </c>
      <c r="JK7" s="4" t="s">
        <v>2751</v>
      </c>
      <c r="JL7" s="4" t="s">
        <v>2753</v>
      </c>
      <c r="JM7" s="4" t="s">
        <v>2753</v>
      </c>
      <c r="JN7" s="4" t="s">
        <v>2751</v>
      </c>
      <c r="JO7" s="575" t="s">
        <v>2753</v>
      </c>
      <c r="JP7" s="6"/>
      <c r="JQ7" s="6"/>
      <c r="JR7" s="575" t="s">
        <v>2751</v>
      </c>
      <c r="JS7" s="575" t="s">
        <v>2751</v>
      </c>
      <c r="JT7" s="575" t="s">
        <v>2751</v>
      </c>
      <c r="JU7" s="575" t="s">
        <v>2751</v>
      </c>
      <c r="JV7" s="575" t="s">
        <v>2753</v>
      </c>
      <c r="JW7" s="575" t="s">
        <v>2753</v>
      </c>
      <c r="JX7" s="575" t="s">
        <v>2753</v>
      </c>
      <c r="JY7" s="575" t="s">
        <v>2753</v>
      </c>
      <c r="JZ7" s="575" t="s">
        <v>2751</v>
      </c>
      <c r="KA7" s="575" t="s">
        <v>2753</v>
      </c>
      <c r="KB7" s="6"/>
      <c r="KC7" s="6"/>
      <c r="KD7" s="102"/>
      <c r="KE7" s="6"/>
      <c r="KF7" s="6"/>
      <c r="KG7" s="6"/>
      <c r="KH7" s="6"/>
      <c r="KI7" s="6"/>
      <c r="KJ7" s="6"/>
      <c r="KK7" s="6"/>
      <c r="KL7" s="6"/>
      <c r="KM7" s="6"/>
      <c r="KN7" s="6"/>
      <c r="KO7" s="6"/>
      <c r="KP7" s="98"/>
      <c r="KQ7" s="6"/>
      <c r="KR7" s="6"/>
      <c r="KS7" s="6"/>
      <c r="KT7" s="6"/>
      <c r="KU7" s="6"/>
      <c r="KV7" s="49"/>
      <c r="KW7" s="75"/>
      <c r="KX7" s="75"/>
      <c r="KY7" s="49"/>
      <c r="KZ7" s="4" t="s">
        <v>2766</v>
      </c>
      <c r="LA7" s="4" t="s">
        <v>2766</v>
      </c>
      <c r="LB7" s="4" t="s">
        <v>2767</v>
      </c>
      <c r="LC7" s="4" t="s">
        <v>2766</v>
      </c>
      <c r="LD7" s="4" t="s">
        <v>2767</v>
      </c>
      <c r="LE7" s="4"/>
      <c r="LF7" s="4" t="s">
        <v>2751</v>
      </c>
      <c r="LG7" s="4" t="s">
        <v>2751</v>
      </c>
      <c r="LH7" s="4" t="s">
        <v>2751</v>
      </c>
      <c r="LI7" s="4" t="s">
        <v>2751</v>
      </c>
      <c r="LJ7" s="4" t="s">
        <v>2753</v>
      </c>
      <c r="LK7" s="4" t="s">
        <v>2753</v>
      </c>
      <c r="LL7" s="4" t="s">
        <v>2751</v>
      </c>
      <c r="LM7" s="4" t="s">
        <v>2753</v>
      </c>
      <c r="LN7" s="4"/>
      <c r="LO7" s="575"/>
      <c r="LP7" s="6"/>
      <c r="LQ7" s="6"/>
      <c r="LR7" s="6"/>
      <c r="LS7" s="6"/>
      <c r="LT7" s="6"/>
      <c r="LU7" s="6"/>
      <c r="MF7" s="6"/>
      <c r="MG7" s="6"/>
      <c r="MH7" s="6"/>
      <c r="MI7" s="6"/>
      <c r="MJ7" s="6"/>
      <c r="MK7" s="6"/>
      <c r="ML7" s="6"/>
      <c r="MM7" s="6"/>
      <c r="MN7" s="6"/>
      <c r="MO7" s="6"/>
      <c r="MP7" s="6"/>
      <c r="MQ7" s="6"/>
      <c r="MR7" s="6"/>
      <c r="MS7" s="6"/>
      <c r="NE7" s="47" t="s">
        <v>798</v>
      </c>
      <c r="NF7" s="47" t="s">
        <v>784</v>
      </c>
      <c r="NK7" s="577"/>
      <c r="NL7" s="577"/>
      <c r="NN7" s="577"/>
      <c r="NO7" s="577"/>
      <c r="NP7" s="577"/>
    </row>
    <row r="8" spans="1:384" s="13" customFormat="1" x14ac:dyDescent="0.2">
      <c r="A8" s="15" t="s">
        <v>16</v>
      </c>
      <c r="B8" s="5" t="s">
        <v>616</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7"/>
      <c r="AN8" s="6"/>
      <c r="AO8" s="6"/>
      <c r="AP8" s="6"/>
      <c r="AQ8" s="6"/>
      <c r="AR8" s="6"/>
      <c r="AS8" s="6"/>
      <c r="AT8" s="6"/>
      <c r="AU8" s="6"/>
      <c r="AV8" s="6"/>
      <c r="AW8" s="6"/>
      <c r="AX8" s="6"/>
      <c r="AY8" s="6"/>
      <c r="AZ8" s="6"/>
      <c r="BA8" s="6"/>
      <c r="BB8" s="6"/>
      <c r="BC8" s="6"/>
      <c r="BD8" s="6"/>
      <c r="BE8" s="6"/>
      <c r="BF8" s="6"/>
      <c r="BG8" s="6"/>
      <c r="BH8" s="6"/>
      <c r="BI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49"/>
      <c r="CX8" s="49"/>
      <c r="CY8" s="49"/>
      <c r="CZ8" s="49"/>
      <c r="DA8" s="6"/>
      <c r="DB8" s="6"/>
      <c r="DC8" s="6"/>
      <c r="DD8" s="79"/>
      <c r="DE8" s="79"/>
      <c r="DF8" s="6"/>
      <c r="DG8" s="6"/>
      <c r="DH8" s="6"/>
      <c r="DI8" s="84"/>
      <c r="DJ8" s="84"/>
      <c r="DK8" s="84"/>
      <c r="DL8" s="6"/>
      <c r="DM8" s="6"/>
      <c r="DN8" s="6"/>
      <c r="DO8" s="6"/>
      <c r="DP8" s="49"/>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7"/>
      <c r="FY8" s="7"/>
      <c r="FZ8" s="9"/>
      <c r="GA8" s="7"/>
      <c r="GB8" s="7"/>
      <c r="GC8" s="6"/>
      <c r="GD8" s="6"/>
      <c r="GE8" s="6"/>
      <c r="GF8" s="6"/>
      <c r="GG8" s="6"/>
      <c r="GH8" s="6"/>
      <c r="GI8" s="7"/>
      <c r="GJ8" s="269"/>
      <c r="GK8" s="6"/>
      <c r="GL8" s="6"/>
      <c r="GM8" s="6"/>
      <c r="GN8" s="6"/>
      <c r="GO8" s="7"/>
      <c r="GP8" s="7"/>
      <c r="GQ8" s="7"/>
      <c r="GR8" s="7"/>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c r="JQ8" s="6"/>
      <c r="JR8" s="6"/>
      <c r="JS8" s="6"/>
      <c r="JT8" s="6"/>
      <c r="JU8" s="6"/>
      <c r="JV8" s="6"/>
      <c r="JW8" s="6"/>
      <c r="JX8" s="6"/>
      <c r="JY8" s="6"/>
      <c r="JZ8" s="6"/>
      <c r="KA8" s="6"/>
      <c r="KB8" s="6"/>
      <c r="KC8" s="6"/>
      <c r="KD8" s="102"/>
      <c r="KE8" s="6"/>
      <c r="KF8" s="6"/>
      <c r="KG8" s="6"/>
      <c r="KH8" s="6"/>
      <c r="KI8" s="6"/>
      <c r="KJ8" s="6"/>
      <c r="KK8" s="6"/>
      <c r="KL8" s="6"/>
      <c r="KM8" s="6"/>
      <c r="KN8" s="6"/>
      <c r="KO8" s="6"/>
      <c r="KP8" s="98"/>
      <c r="KQ8" s="6"/>
      <c r="KR8" s="6"/>
      <c r="KS8" s="6"/>
      <c r="KT8" s="6"/>
      <c r="KU8" s="6"/>
      <c r="KV8" s="71"/>
      <c r="KW8" s="76"/>
      <c r="KX8" s="76"/>
      <c r="KY8" s="71"/>
      <c r="KZ8" s="71"/>
      <c r="LA8" s="71"/>
      <c r="LB8" s="71"/>
      <c r="LC8" s="71"/>
      <c r="LD8" s="73"/>
      <c r="LE8" s="73"/>
      <c r="LF8" s="78"/>
      <c r="LG8" s="78"/>
      <c r="LH8" s="76"/>
      <c r="LI8" s="76"/>
      <c r="LJ8" s="76"/>
      <c r="LK8" s="76"/>
      <c r="LL8" s="76"/>
      <c r="LM8" s="76"/>
      <c r="LN8" s="76"/>
      <c r="LO8" s="6"/>
      <c r="LP8" s="6"/>
      <c r="LQ8" s="6"/>
      <c r="LR8" s="6"/>
      <c r="LS8" s="6"/>
      <c r="LT8" s="6"/>
      <c r="LU8" s="6"/>
      <c r="MF8" s="6"/>
      <c r="MG8" s="6"/>
      <c r="MH8" s="6"/>
      <c r="MI8" s="6"/>
      <c r="MJ8" s="6"/>
      <c r="MK8" s="6"/>
      <c r="ML8" s="6"/>
      <c r="MM8" s="6"/>
      <c r="MN8" s="6"/>
      <c r="MO8" s="6"/>
      <c r="MP8" s="6"/>
      <c r="MQ8" s="6"/>
      <c r="MR8" s="6"/>
      <c r="MS8" s="6"/>
      <c r="MT8" s="6"/>
      <c r="MU8" s="6"/>
      <c r="MV8" s="6"/>
      <c r="MW8" s="6"/>
      <c r="MX8" s="6"/>
      <c r="MY8" s="6"/>
      <c r="MZ8" s="6"/>
      <c r="NA8" s="6"/>
      <c r="NB8" s="6"/>
      <c r="NC8" s="6"/>
      <c r="ND8" s="6"/>
      <c r="NE8" s="6"/>
      <c r="NF8" s="6"/>
      <c r="NG8" s="6"/>
      <c r="NH8" s="6"/>
      <c r="NI8" s="6"/>
      <c r="NJ8" s="6"/>
      <c r="NK8" s="11"/>
      <c r="NL8" s="11"/>
      <c r="NM8" s="6"/>
      <c r="NN8" s="11"/>
      <c r="NO8" s="11"/>
      <c r="NP8" s="11"/>
      <c r="NQ8" s="6"/>
      <c r="NR8" s="6"/>
    </row>
    <row r="9" spans="1:384" s="13" customFormat="1" x14ac:dyDescent="0.2">
      <c r="A9" s="15" t="s">
        <v>11</v>
      </c>
      <c r="B9" s="23">
        <v>41639</v>
      </c>
      <c r="D9" s="6"/>
      <c r="E9" s="6">
        <f>COUNTIF(E13:E201,"=1")</f>
        <v>0</v>
      </c>
      <c r="F9" s="6"/>
      <c r="G9" s="6"/>
      <c r="H9" s="6"/>
      <c r="I9" s="6"/>
      <c r="J9" s="6"/>
      <c r="K9" s="6"/>
      <c r="L9" s="6"/>
      <c r="M9" s="6"/>
      <c r="N9" s="6"/>
      <c r="O9" s="6"/>
      <c r="P9" s="6"/>
      <c r="Q9" s="6"/>
      <c r="R9" s="6"/>
      <c r="S9" s="6"/>
      <c r="T9" s="6"/>
      <c r="U9" s="9"/>
      <c r="V9" s="9"/>
      <c r="W9" s="9"/>
      <c r="X9" s="9"/>
      <c r="Y9" s="9"/>
      <c r="Z9" s="9"/>
      <c r="AA9" s="9"/>
      <c r="AB9" s="9"/>
      <c r="AC9" s="9"/>
      <c r="AD9" s="9"/>
      <c r="AE9" s="6"/>
      <c r="AF9" s="6"/>
      <c r="AG9" s="6"/>
      <c r="AH9" s="9"/>
      <c r="AI9" s="6"/>
      <c r="AJ9" s="6"/>
      <c r="AK9" s="6"/>
      <c r="AL9" s="6"/>
      <c r="AM9" s="10"/>
      <c r="AN9" s="6"/>
      <c r="AO9" s="6"/>
      <c r="AP9" s="6"/>
      <c r="AQ9" s="6"/>
      <c r="AR9" s="6"/>
      <c r="AS9" s="6"/>
      <c r="AT9" s="9"/>
      <c r="AU9" s="9"/>
      <c r="AV9" s="6"/>
      <c r="AW9" s="6"/>
      <c r="AX9" s="9"/>
      <c r="AY9" s="9"/>
      <c r="AZ9" s="9"/>
      <c r="BA9" s="9"/>
      <c r="BB9" s="6"/>
      <c r="BC9" s="6"/>
      <c r="BD9" s="6"/>
      <c r="BE9" s="6"/>
      <c r="BF9" s="6"/>
      <c r="BG9" s="6"/>
      <c r="BH9" s="6"/>
      <c r="BI9" s="6"/>
      <c r="BO9" s="6"/>
      <c r="BP9" s="6"/>
      <c r="BQ9" s="6"/>
      <c r="BR9" s="6"/>
      <c r="BS9" s="6"/>
      <c r="BT9" s="6"/>
      <c r="BU9" s="9"/>
      <c r="BV9" s="9"/>
      <c r="BW9" s="9"/>
      <c r="BX9" s="9"/>
      <c r="BY9" s="9"/>
      <c r="BZ9" s="9"/>
      <c r="CA9" s="9"/>
      <c r="CB9" s="9"/>
      <c r="CC9" s="9"/>
      <c r="CD9" s="9"/>
      <c r="CE9" s="9"/>
      <c r="CF9" s="9"/>
      <c r="CG9" s="9"/>
      <c r="CH9" s="9"/>
      <c r="CI9" s="9"/>
      <c r="CJ9" s="9"/>
      <c r="CK9" s="9"/>
      <c r="CL9" s="9"/>
      <c r="CM9" s="9"/>
      <c r="CN9" s="9"/>
      <c r="CO9" s="9"/>
      <c r="CP9" s="9"/>
      <c r="CQ9" s="9"/>
      <c r="CR9" s="9"/>
      <c r="CS9" s="9"/>
      <c r="CT9" s="9"/>
      <c r="CU9" s="6"/>
      <c r="CV9" s="6"/>
      <c r="CW9" s="9"/>
      <c r="CX9" s="9"/>
      <c r="CY9" s="9"/>
      <c r="CZ9" s="9"/>
      <c r="DA9" s="9"/>
      <c r="DB9" s="9"/>
      <c r="DC9" s="9"/>
      <c r="DD9" s="9"/>
      <c r="DE9" s="9"/>
      <c r="DF9" s="9"/>
      <c r="DG9" s="9"/>
      <c r="DH9" s="9"/>
      <c r="DI9" s="88"/>
      <c r="DJ9" s="88"/>
      <c r="DK9" s="88"/>
      <c r="DL9" s="9"/>
      <c r="DM9" s="9"/>
      <c r="DN9" s="9"/>
      <c r="DO9" s="9"/>
      <c r="DP9" s="9"/>
      <c r="DQ9" s="9"/>
      <c r="DR9" s="9"/>
      <c r="DS9" s="9"/>
      <c r="DT9" s="9"/>
      <c r="DU9" s="9"/>
      <c r="DV9" s="9"/>
      <c r="DW9" s="9"/>
      <c r="DX9" s="6"/>
      <c r="DY9" s="9"/>
      <c r="DZ9" s="9"/>
      <c r="EA9" s="6"/>
      <c r="EB9" s="9"/>
      <c r="EC9" s="9"/>
      <c r="ED9" s="9"/>
      <c r="EE9" s="9"/>
      <c r="EF9" s="9"/>
      <c r="EG9" s="9"/>
      <c r="EH9" s="9"/>
      <c r="EI9" s="9"/>
      <c r="EJ9" s="9"/>
      <c r="EK9" s="9"/>
      <c r="EL9" s="9"/>
      <c r="EM9" s="9"/>
      <c r="EN9" s="9"/>
      <c r="EO9" s="9"/>
      <c r="EP9" s="9"/>
      <c r="EQ9" s="9"/>
      <c r="ER9" s="9"/>
      <c r="ES9" s="9"/>
      <c r="ET9" s="9"/>
      <c r="EU9" s="9"/>
      <c r="EV9" s="9"/>
      <c r="EW9" s="9"/>
      <c r="EX9" s="9"/>
      <c r="EY9" s="9"/>
      <c r="EZ9" s="9"/>
      <c r="FA9" s="9"/>
      <c r="FB9" s="9"/>
      <c r="FC9" s="9"/>
      <c r="FD9" s="9"/>
      <c r="FE9" s="9"/>
      <c r="FF9" s="9"/>
      <c r="FG9" s="9"/>
      <c r="FH9" s="9"/>
      <c r="FI9" s="9"/>
      <c r="FJ9" s="9"/>
      <c r="FK9" s="9"/>
      <c r="FL9" s="9"/>
      <c r="FM9" s="9"/>
      <c r="FN9" s="9"/>
      <c r="FO9" s="9"/>
      <c r="FP9" s="9"/>
      <c r="FQ9" s="9"/>
      <c r="FR9" s="6"/>
      <c r="FS9" s="6"/>
      <c r="FT9" s="9"/>
      <c r="FU9" s="9"/>
      <c r="FV9" s="9"/>
      <c r="FW9" s="9"/>
      <c r="FX9" s="9"/>
      <c r="FY9" s="9"/>
      <c r="FZ9" s="9"/>
      <c r="GB9" s="9"/>
      <c r="GC9" s="9"/>
      <c r="GD9" s="9"/>
      <c r="GE9" s="9"/>
      <c r="GF9" s="11"/>
      <c r="GG9" s="11"/>
      <c r="GH9" s="11"/>
      <c r="GI9" s="9"/>
      <c r="GJ9" s="11"/>
      <c r="GK9" s="6"/>
      <c r="GL9" s="9"/>
      <c r="GM9" s="9"/>
      <c r="GN9" s="9"/>
      <c r="GO9" s="9"/>
      <c r="GP9" s="9"/>
      <c r="GQ9" s="9"/>
      <c r="GR9" s="9"/>
      <c r="GS9" s="9"/>
      <c r="GT9" s="9"/>
      <c r="GU9" s="9"/>
      <c r="GV9" s="9"/>
      <c r="GW9" s="9"/>
      <c r="GX9" s="9"/>
      <c r="GY9" s="9"/>
      <c r="GZ9" s="9"/>
      <c r="HA9" s="9"/>
      <c r="HB9" s="9"/>
      <c r="HC9" s="9"/>
      <c r="HD9" s="9"/>
      <c r="HE9" s="9"/>
      <c r="HF9" s="9"/>
      <c r="HG9" s="9"/>
      <c r="HH9" s="9"/>
      <c r="HI9" s="9"/>
      <c r="HJ9" s="9"/>
      <c r="HK9" s="9"/>
      <c r="HL9" s="9"/>
      <c r="HM9" s="9"/>
      <c r="HN9" s="9"/>
      <c r="HO9" s="9"/>
      <c r="HP9" s="9"/>
      <c r="HQ9" s="9"/>
      <c r="HR9" s="9"/>
      <c r="HS9" s="9"/>
      <c r="HT9" s="9"/>
      <c r="HU9" s="9"/>
      <c r="HV9" s="9"/>
      <c r="HW9" s="9"/>
      <c r="HX9" s="9"/>
      <c r="HY9" s="9"/>
      <c r="HZ9" s="9"/>
      <c r="IA9" s="9"/>
      <c r="IB9" s="9"/>
      <c r="IC9" s="9"/>
      <c r="ID9" s="9"/>
      <c r="IE9" s="9"/>
      <c r="IF9" s="9"/>
      <c r="IG9" s="9"/>
      <c r="IH9" s="9"/>
      <c r="II9" s="9"/>
      <c r="IJ9" s="9"/>
      <c r="IK9" s="9"/>
      <c r="IL9" s="9"/>
      <c r="IM9" s="9"/>
      <c r="IN9" s="9"/>
      <c r="IO9" s="9"/>
      <c r="IP9" s="9"/>
      <c r="IQ9" s="9"/>
      <c r="IR9" s="9"/>
      <c r="IS9" s="9"/>
      <c r="IT9" s="9"/>
      <c r="IU9" s="9"/>
      <c r="IV9" s="9"/>
      <c r="IW9" s="9"/>
      <c r="IX9" s="9"/>
      <c r="IY9" s="9"/>
      <c r="IZ9" s="9"/>
      <c r="JA9" s="9"/>
      <c r="JB9" s="9"/>
      <c r="JC9" s="9"/>
      <c r="JD9" s="9"/>
      <c r="JE9" s="6"/>
      <c r="JF9" s="6"/>
      <c r="JG9" s="6"/>
      <c r="JH9" s="6"/>
      <c r="JI9" s="9"/>
      <c r="JJ9" s="9"/>
      <c r="JK9" s="9"/>
      <c r="JL9" s="9"/>
      <c r="JM9" s="9"/>
      <c r="JN9" s="9"/>
      <c r="JO9" s="6"/>
      <c r="JP9" s="6"/>
      <c r="JQ9" s="6"/>
      <c r="JR9" s="6"/>
      <c r="JS9" s="6"/>
      <c r="JU9" s="6"/>
      <c r="JV9" s="6"/>
      <c r="JW9" s="6"/>
      <c r="JX9" s="6"/>
      <c r="JY9" s="6"/>
      <c r="JZ9" s="6"/>
      <c r="KA9" s="6"/>
      <c r="KB9" s="6"/>
      <c r="KC9" s="21">
        <f>SUM(KC13:KC201)</f>
        <v>0</v>
      </c>
      <c r="KD9" s="102"/>
      <c r="KE9" s="21">
        <f t="shared" ref="KE9:KO9" si="1">SUM(KE13:KE201)</f>
        <v>0</v>
      </c>
      <c r="KF9" s="21">
        <f t="shared" si="1"/>
        <v>0</v>
      </c>
      <c r="KG9" s="21">
        <f t="shared" si="1"/>
        <v>0</v>
      </c>
      <c r="KH9" s="21">
        <f t="shared" si="1"/>
        <v>0</v>
      </c>
      <c r="KI9" s="21">
        <f t="shared" si="1"/>
        <v>0</v>
      </c>
      <c r="KJ9" s="21">
        <f t="shared" si="1"/>
        <v>0</v>
      </c>
      <c r="KK9" s="21">
        <f t="shared" si="1"/>
        <v>0</v>
      </c>
      <c r="KL9" s="21">
        <f t="shared" si="1"/>
        <v>0</v>
      </c>
      <c r="KM9" s="21">
        <f t="shared" si="1"/>
        <v>0</v>
      </c>
      <c r="KN9" s="21">
        <f t="shared" si="1"/>
        <v>0</v>
      </c>
      <c r="KO9" s="21">
        <f t="shared" si="1"/>
        <v>0</v>
      </c>
      <c r="KP9" s="98"/>
      <c r="KQ9" s="21">
        <f>SUM(KQ13:KQ201)</f>
        <v>0</v>
      </c>
      <c r="KR9" s="21">
        <f>SUM(KR13:KR201)</f>
        <v>0</v>
      </c>
      <c r="KS9" s="21">
        <f>SUM(KS13:KS201)</f>
        <v>0</v>
      </c>
      <c r="KT9" s="21">
        <f>SUM(KT13:KT201)</f>
        <v>0</v>
      </c>
      <c r="KU9" s="21">
        <f>SUM(KU13:KU201)</f>
        <v>0</v>
      </c>
      <c r="KV9" s="71"/>
      <c r="KW9" s="76"/>
      <c r="KX9" s="76"/>
      <c r="KY9" s="71"/>
      <c r="KZ9" s="71"/>
      <c r="LA9" s="71"/>
      <c r="LB9" s="71"/>
      <c r="LC9" s="71"/>
      <c r="LD9" s="73"/>
      <c r="LE9" s="73"/>
      <c r="LF9" s="78"/>
      <c r="LG9" s="78"/>
      <c r="LH9" s="76"/>
      <c r="LI9" s="76"/>
      <c r="LJ9" s="76"/>
      <c r="LK9" s="76"/>
      <c r="LL9" s="76"/>
      <c r="LM9" s="76"/>
      <c r="LN9" s="76"/>
      <c r="LO9" s="21">
        <f>SUM(LO13:LO201)</f>
        <v>0</v>
      </c>
      <c r="LP9" s="21"/>
      <c r="LQ9" s="21"/>
      <c r="LR9" s="21">
        <f>SUM(LR13:LR201)</f>
        <v>0</v>
      </c>
      <c r="LS9" s="21">
        <f>SUM(LS13:LS201)</f>
        <v>0</v>
      </c>
      <c r="LT9" s="9"/>
      <c r="LU9" s="9"/>
      <c r="MF9" s="9"/>
      <c r="MG9" s="9"/>
      <c r="MH9" s="9"/>
      <c r="MI9" s="9"/>
      <c r="MJ9" s="6"/>
      <c r="MK9" s="6"/>
      <c r="ML9" s="6"/>
      <c r="MM9" s="6"/>
      <c r="MN9" s="6"/>
      <c r="MO9" s="6"/>
      <c r="MP9" s="6"/>
      <c r="MQ9" s="6"/>
      <c r="MR9" s="9"/>
      <c r="MS9" s="9"/>
      <c r="MT9" s="6"/>
      <c r="MU9" s="6"/>
      <c r="MV9" s="6"/>
      <c r="MW9" s="6"/>
      <c r="MX9" s="6"/>
      <c r="MY9" s="6"/>
      <c r="MZ9" s="6"/>
      <c r="NA9" s="6"/>
      <c r="NB9" s="6"/>
      <c r="NC9" s="6"/>
      <c r="ND9" s="6"/>
      <c r="NE9" s="6"/>
      <c r="NF9" s="6"/>
      <c r="NG9" s="6"/>
      <c r="NH9" s="6"/>
      <c r="NI9" s="6"/>
      <c r="NJ9" s="6"/>
      <c r="NK9" s="11"/>
      <c r="NL9" s="11"/>
      <c r="NM9" s="6"/>
      <c r="NN9" s="11"/>
      <c r="NO9" s="11"/>
      <c r="NP9" s="11"/>
      <c r="NQ9" s="6"/>
      <c r="NR9" s="6"/>
      <c r="NS9" s="250">
        <f>SUM(NS13:NS201)</f>
        <v>0</v>
      </c>
      <c r="NT9" s="21">
        <f>SUM(NT13:NT201)</f>
        <v>0</v>
      </c>
    </row>
    <row r="10" spans="1:384" s="13" customFormat="1" ht="13.6"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28"/>
      <c r="BC10" s="28"/>
      <c r="BD10" s="16"/>
      <c r="BE10" s="16"/>
      <c r="BF10" s="16"/>
      <c r="BG10" s="16"/>
      <c r="BH10" s="28"/>
      <c r="BI10" s="28"/>
      <c r="BO10" s="28"/>
      <c r="BP10" s="28"/>
      <c r="BQ10" s="28"/>
      <c r="BR10" s="28"/>
      <c r="BS10" s="28"/>
      <c r="BT10" s="28"/>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28"/>
      <c r="CV10" s="28"/>
      <c r="CW10" s="17"/>
      <c r="CX10" s="17"/>
      <c r="CY10" s="17"/>
      <c r="CZ10" s="17"/>
      <c r="DA10" s="16"/>
      <c r="DB10" s="16"/>
      <c r="DC10" s="16"/>
      <c r="DD10" s="17"/>
      <c r="DE10" s="17"/>
      <c r="DF10" s="17"/>
      <c r="DG10" s="17"/>
      <c r="DH10" s="17"/>
      <c r="DI10" s="17"/>
      <c r="DJ10" s="17"/>
      <c r="DK10" s="17"/>
      <c r="DL10" s="17"/>
      <c r="DM10" s="16"/>
      <c r="DN10" s="16"/>
      <c r="DO10" s="16"/>
      <c r="DP10" s="16"/>
      <c r="DQ10" s="16"/>
      <c r="DR10" s="16"/>
      <c r="DS10" s="16"/>
      <c r="DT10" s="16"/>
      <c r="DU10" s="16"/>
      <c r="DV10" s="16"/>
      <c r="DW10" s="16"/>
      <c r="DX10" s="28"/>
      <c r="DY10" s="16"/>
      <c r="DZ10" s="16"/>
      <c r="EA10" s="28"/>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7"/>
      <c r="FY10" s="17"/>
      <c r="GA10" s="17"/>
      <c r="GB10" s="17"/>
      <c r="GC10" s="17"/>
      <c r="GD10" s="17"/>
      <c r="GE10" s="17"/>
      <c r="GF10" s="17"/>
      <c r="GG10" s="17"/>
      <c r="GH10" s="17"/>
      <c r="GI10" s="16"/>
      <c r="GJ10" s="124"/>
      <c r="GK10" s="16"/>
      <c r="GL10" s="17"/>
      <c r="GM10" s="17"/>
      <c r="GN10" s="17"/>
      <c r="GO10" s="17"/>
      <c r="GP10" s="17"/>
      <c r="GQ10" s="17"/>
      <c r="GR10" s="17"/>
      <c r="GS10" s="16"/>
      <c r="GT10" s="16"/>
      <c r="GU10" s="16"/>
      <c r="GV10" s="16"/>
      <c r="GW10" s="16"/>
      <c r="GX10" s="16"/>
      <c r="GY10" s="16"/>
      <c r="GZ10" s="16"/>
      <c r="HA10" s="16"/>
      <c r="HB10" s="16"/>
      <c r="HC10" s="16"/>
      <c r="HD10" s="16"/>
      <c r="HE10" s="16"/>
      <c r="HF10" s="16"/>
      <c r="HG10" s="16"/>
      <c r="HH10" s="16"/>
      <c r="HI10" s="16"/>
      <c r="HJ10" s="16"/>
      <c r="HK10" s="16"/>
      <c r="HL10" s="16"/>
      <c r="HM10" s="16"/>
      <c r="HN10" s="16"/>
      <c r="HO10" s="16"/>
      <c r="HP10" s="16"/>
      <c r="HQ10" s="16"/>
      <c r="HR10" s="16"/>
      <c r="HS10" s="16"/>
      <c r="HT10" s="16"/>
      <c r="HU10" s="16"/>
      <c r="HV10" s="16"/>
      <c r="HW10" s="16"/>
      <c r="HX10" s="16"/>
      <c r="HY10" s="16"/>
      <c r="HZ10" s="16"/>
      <c r="IA10" s="16"/>
      <c r="IB10" s="16"/>
      <c r="IC10" s="16"/>
      <c r="ID10" s="16"/>
      <c r="IE10" s="16"/>
      <c r="IF10" s="16"/>
      <c r="IG10" s="16"/>
      <c r="IH10" s="16"/>
      <c r="II10" s="16"/>
      <c r="IJ10" s="16"/>
      <c r="IK10" s="16"/>
      <c r="IL10" s="16"/>
      <c r="IM10" s="16"/>
      <c r="IN10" s="16"/>
      <c r="IO10" s="16"/>
      <c r="IP10" s="16"/>
      <c r="IQ10" s="16"/>
      <c r="IR10" s="16"/>
      <c r="IS10" s="16"/>
      <c r="IT10" s="16"/>
      <c r="IU10" s="16"/>
      <c r="IV10" s="16"/>
      <c r="IW10" s="16"/>
      <c r="IX10" s="16"/>
      <c r="IY10" s="16"/>
      <c r="IZ10" s="16"/>
      <c r="JA10" s="16"/>
      <c r="JB10" s="16"/>
      <c r="JC10" s="16"/>
      <c r="JD10" s="16"/>
      <c r="JE10" s="16"/>
      <c r="JF10" s="16"/>
      <c r="JG10" s="16"/>
      <c r="JH10" s="16"/>
      <c r="JI10" s="17"/>
      <c r="JJ10" s="17"/>
      <c r="JK10" s="17"/>
      <c r="JL10" s="17"/>
      <c r="JM10" s="17"/>
      <c r="JN10" s="17"/>
      <c r="JO10" s="16"/>
      <c r="JP10" s="16"/>
      <c r="JQ10" s="16"/>
      <c r="JR10" s="16"/>
      <c r="JS10" s="16"/>
      <c r="JT10" s="16"/>
      <c r="JU10" s="16"/>
      <c r="JV10" s="16"/>
      <c r="JW10" s="16"/>
      <c r="JX10" s="16"/>
      <c r="JY10" s="16"/>
      <c r="JZ10" s="16"/>
      <c r="KA10" s="16"/>
      <c r="KB10" s="16"/>
      <c r="KC10" s="16"/>
      <c r="KD10" s="110"/>
      <c r="KE10" s="16"/>
      <c r="KF10" s="16"/>
      <c r="KG10" s="16"/>
      <c r="KH10" s="16"/>
      <c r="KI10" s="16"/>
      <c r="KJ10" s="16"/>
      <c r="KK10" s="16"/>
      <c r="KL10" s="16"/>
      <c r="KM10" s="16"/>
      <c r="KN10" s="16"/>
      <c r="KO10" s="16"/>
      <c r="KP10" s="100"/>
      <c r="KQ10" s="16"/>
      <c r="KR10" s="16"/>
      <c r="KS10" s="16"/>
      <c r="KT10" s="16"/>
      <c r="KU10" s="16"/>
      <c r="KV10" s="16"/>
      <c r="KW10" s="7"/>
      <c r="KX10" s="7"/>
      <c r="KY10" s="16"/>
      <c r="KZ10" s="16"/>
      <c r="LA10" s="16"/>
      <c r="LB10" s="16"/>
      <c r="LC10" s="16"/>
      <c r="LD10" s="16"/>
      <c r="LE10" s="16"/>
      <c r="LF10" s="16"/>
      <c r="LG10" s="16"/>
      <c r="LH10" s="16"/>
      <c r="LI10" s="7"/>
      <c r="LJ10" s="7"/>
      <c r="LK10" s="7"/>
      <c r="LL10" s="7"/>
      <c r="LM10" s="7"/>
      <c r="LN10" s="7"/>
      <c r="LO10" s="27"/>
      <c r="LP10" s="27"/>
      <c r="LQ10" s="27"/>
      <c r="LR10" s="27"/>
      <c r="LS10" s="27"/>
      <c r="LT10" s="49"/>
      <c r="LU10" s="49"/>
      <c r="LV10" s="49"/>
      <c r="LW10" s="49"/>
      <c r="LX10" s="49"/>
      <c r="LY10" s="49"/>
      <c r="LZ10" s="49"/>
      <c r="MA10" s="49"/>
      <c r="MB10" s="49"/>
      <c r="MC10" s="49"/>
      <c r="MD10" s="49"/>
      <c r="ME10" s="49"/>
      <c r="MF10" s="27"/>
      <c r="MG10" s="27"/>
      <c r="MH10" s="27"/>
      <c r="MI10" s="27"/>
      <c r="MJ10" s="27"/>
      <c r="MK10" s="27"/>
      <c r="ML10" s="27"/>
      <c r="MM10" s="27"/>
      <c r="MN10" s="27"/>
      <c r="MO10" s="27"/>
      <c r="MP10" s="27"/>
      <c r="MQ10" s="27"/>
      <c r="MR10" s="16"/>
      <c r="MS10" s="16"/>
      <c r="MT10" s="27"/>
      <c r="MU10" s="27"/>
      <c r="MV10" s="27"/>
      <c r="MW10" s="27"/>
      <c r="MX10" s="27"/>
      <c r="MY10" s="27"/>
      <c r="MZ10" s="27"/>
      <c r="NA10" s="27"/>
      <c r="NB10" s="27"/>
      <c r="NC10" s="27"/>
      <c r="ND10" s="27"/>
      <c r="NE10" s="27"/>
      <c r="NF10" s="27"/>
      <c r="NG10" s="27"/>
      <c r="NH10" s="27"/>
      <c r="NI10" s="27"/>
      <c r="NJ10" s="27"/>
      <c r="NK10" s="583"/>
      <c r="NL10" s="583"/>
      <c r="NM10" s="27"/>
      <c r="NN10" s="583"/>
      <c r="NO10" s="583"/>
      <c r="NP10" s="583"/>
      <c r="NQ10" s="27"/>
      <c r="NR10" s="27"/>
    </row>
    <row r="11" spans="1:384" s="94" customFormat="1" ht="13.6" x14ac:dyDescent="0.25">
      <c r="A11" s="7" t="s">
        <v>12</v>
      </c>
      <c r="B11" s="49" t="s">
        <v>13</v>
      </c>
      <c r="C11" s="49" t="s">
        <v>13</v>
      </c>
      <c r="D11" s="49" t="s">
        <v>13</v>
      </c>
      <c r="E11" s="49" t="s">
        <v>13</v>
      </c>
      <c r="F11" s="49" t="s">
        <v>31</v>
      </c>
      <c r="G11" s="49" t="s">
        <v>13</v>
      </c>
      <c r="H11" s="49" t="s">
        <v>13</v>
      </c>
      <c r="I11" s="49" t="s">
        <v>13</v>
      </c>
      <c r="J11" s="49" t="s">
        <v>13</v>
      </c>
      <c r="K11" s="49" t="s">
        <v>59</v>
      </c>
      <c r="L11" s="49" t="s">
        <v>13</v>
      </c>
      <c r="M11" s="49" t="s">
        <v>13</v>
      </c>
      <c r="N11" s="49" t="s">
        <v>13</v>
      </c>
      <c r="O11" s="49" t="s">
        <v>13</v>
      </c>
      <c r="P11" s="49" t="s">
        <v>13</v>
      </c>
      <c r="Q11" s="49" t="s">
        <v>13</v>
      </c>
      <c r="R11" s="49" t="s">
        <v>13</v>
      </c>
      <c r="S11" s="49" t="s">
        <v>13</v>
      </c>
      <c r="T11" s="49" t="s">
        <v>20</v>
      </c>
      <c r="U11" s="49" t="s">
        <v>13</v>
      </c>
      <c r="V11" s="49" t="s">
        <v>13</v>
      </c>
      <c r="W11" s="49" t="s">
        <v>13</v>
      </c>
      <c r="X11" s="49" t="s">
        <v>13</v>
      </c>
      <c r="Y11" s="49" t="s">
        <v>13</v>
      </c>
      <c r="Z11" s="49" t="s">
        <v>13</v>
      </c>
      <c r="AA11" s="49" t="s">
        <v>59</v>
      </c>
      <c r="AB11" s="49" t="s">
        <v>13</v>
      </c>
      <c r="AC11" s="49" t="s">
        <v>13</v>
      </c>
      <c r="AD11" s="49" t="s">
        <v>20</v>
      </c>
      <c r="AE11" s="49" t="s">
        <v>13</v>
      </c>
      <c r="AF11" s="49" t="s">
        <v>13</v>
      </c>
      <c r="AG11" s="49" t="s">
        <v>13</v>
      </c>
      <c r="AH11" s="49" t="s">
        <v>13</v>
      </c>
      <c r="AI11" s="49" t="s">
        <v>13</v>
      </c>
      <c r="AJ11" s="49" t="s">
        <v>59</v>
      </c>
      <c r="AK11" s="49" t="s">
        <v>20</v>
      </c>
      <c r="AL11" s="49" t="s">
        <v>20</v>
      </c>
      <c r="AM11" s="49" t="s">
        <v>20</v>
      </c>
      <c r="AN11" s="49" t="s">
        <v>20</v>
      </c>
      <c r="AO11" s="49" t="s">
        <v>13</v>
      </c>
      <c r="AP11" s="49" t="s">
        <v>13</v>
      </c>
      <c r="AQ11" s="49" t="s">
        <v>13</v>
      </c>
      <c r="AR11" s="49" t="s">
        <v>13</v>
      </c>
      <c r="AS11" s="49" t="s">
        <v>20</v>
      </c>
      <c r="AT11" s="49" t="s">
        <v>20</v>
      </c>
      <c r="AU11" s="49" t="s">
        <v>20</v>
      </c>
      <c r="AV11" s="49" t="s">
        <v>20</v>
      </c>
      <c r="AW11" s="49" t="s">
        <v>20</v>
      </c>
      <c r="AX11" s="49" t="s">
        <v>20</v>
      </c>
      <c r="AY11" s="49" t="s">
        <v>20</v>
      </c>
      <c r="AZ11" s="49" t="s">
        <v>59</v>
      </c>
      <c r="BA11" s="49" t="s">
        <v>59</v>
      </c>
      <c r="BB11" s="49" t="s">
        <v>20</v>
      </c>
      <c r="BC11" s="49" t="s">
        <v>59</v>
      </c>
      <c r="BD11" s="49" t="s">
        <v>13</v>
      </c>
      <c r="BE11" s="49" t="s">
        <v>13</v>
      </c>
      <c r="BF11" s="49" t="s">
        <v>13</v>
      </c>
      <c r="BG11" s="49" t="s">
        <v>13</v>
      </c>
      <c r="BH11" s="49" t="s">
        <v>13</v>
      </c>
      <c r="BI11" s="49" t="s">
        <v>13</v>
      </c>
      <c r="BJ11" s="49" t="s">
        <v>13</v>
      </c>
      <c r="BK11" s="49" t="s">
        <v>13</v>
      </c>
      <c r="BL11" s="49" t="s">
        <v>13</v>
      </c>
      <c r="BM11" s="49" t="s">
        <v>13</v>
      </c>
      <c r="BN11" s="49" t="s">
        <v>13</v>
      </c>
      <c r="BO11" s="49" t="s">
        <v>13</v>
      </c>
      <c r="BP11" s="49" t="s">
        <v>13</v>
      </c>
      <c r="BQ11" s="49" t="s">
        <v>13</v>
      </c>
      <c r="BR11" s="49" t="s">
        <v>13</v>
      </c>
      <c r="BS11" s="49" t="s">
        <v>13</v>
      </c>
      <c r="BT11" s="49" t="s">
        <v>13</v>
      </c>
      <c r="BU11" s="49" t="s">
        <v>20</v>
      </c>
      <c r="BV11" s="49" t="s">
        <v>31</v>
      </c>
      <c r="BW11" s="49" t="s">
        <v>59</v>
      </c>
      <c r="BX11" s="49" t="s">
        <v>20</v>
      </c>
      <c r="BY11" s="49" t="s">
        <v>20</v>
      </c>
      <c r="BZ11" s="49" t="s">
        <v>59</v>
      </c>
      <c r="CA11" s="49" t="s">
        <v>20</v>
      </c>
      <c r="CB11" s="49" t="s">
        <v>20</v>
      </c>
      <c r="CC11" s="49" t="s">
        <v>20</v>
      </c>
      <c r="CD11" s="49" t="s">
        <v>20</v>
      </c>
      <c r="CE11" s="49" t="s">
        <v>20</v>
      </c>
      <c r="CF11" s="49" t="s">
        <v>20</v>
      </c>
      <c r="CG11" s="49" t="s">
        <v>20</v>
      </c>
      <c r="CH11" s="49" t="s">
        <v>20</v>
      </c>
      <c r="CI11" s="49" t="s">
        <v>20</v>
      </c>
      <c r="CJ11" s="49" t="s">
        <v>20</v>
      </c>
      <c r="CK11" s="49" t="s">
        <v>20</v>
      </c>
      <c r="CL11" s="49" t="s">
        <v>20</v>
      </c>
      <c r="CM11" s="49" t="s">
        <v>20</v>
      </c>
      <c r="CN11" s="49" t="s">
        <v>31</v>
      </c>
      <c r="CO11" s="49" t="s">
        <v>31</v>
      </c>
      <c r="CP11" s="49" t="s">
        <v>31</v>
      </c>
      <c r="CQ11" s="49" t="s">
        <v>20</v>
      </c>
      <c r="CR11" s="49" t="s">
        <v>20</v>
      </c>
      <c r="CS11" s="49" t="s">
        <v>20</v>
      </c>
      <c r="CT11" s="49" t="s">
        <v>13</v>
      </c>
      <c r="CU11" s="49" t="s">
        <v>20</v>
      </c>
      <c r="CV11" s="49" t="s">
        <v>13</v>
      </c>
      <c r="CW11" s="49" t="s">
        <v>13</v>
      </c>
      <c r="CX11" s="49" t="s">
        <v>13</v>
      </c>
      <c r="CY11" s="49" t="s">
        <v>20</v>
      </c>
      <c r="CZ11" s="49" t="s">
        <v>20</v>
      </c>
      <c r="DA11" s="49" t="s">
        <v>13</v>
      </c>
      <c r="DB11" s="49" t="s">
        <v>20</v>
      </c>
      <c r="DC11" s="49" t="s">
        <v>20</v>
      </c>
      <c r="DD11" s="49" t="s">
        <v>20</v>
      </c>
      <c r="DE11" s="49" t="s">
        <v>13</v>
      </c>
      <c r="DF11" s="49" t="s">
        <v>20</v>
      </c>
      <c r="DG11" s="49" t="s">
        <v>13</v>
      </c>
      <c r="DH11" s="49" t="s">
        <v>20</v>
      </c>
      <c r="DI11" s="49" t="s">
        <v>20</v>
      </c>
      <c r="DJ11" s="49" t="s">
        <v>20</v>
      </c>
      <c r="DK11" s="49" t="s">
        <v>20</v>
      </c>
      <c r="DL11" s="49" t="s">
        <v>20</v>
      </c>
      <c r="DM11" s="49" t="s">
        <v>20</v>
      </c>
      <c r="DN11" s="49" t="s">
        <v>13</v>
      </c>
      <c r="DO11" s="49" t="s">
        <v>59</v>
      </c>
      <c r="DP11" s="49" t="s">
        <v>20</v>
      </c>
      <c r="DQ11" s="49" t="s">
        <v>20</v>
      </c>
      <c r="DR11" s="49" t="s">
        <v>13</v>
      </c>
      <c r="DS11" s="49" t="s">
        <v>20</v>
      </c>
      <c r="DT11" s="49" t="s">
        <v>13</v>
      </c>
      <c r="DU11" s="49" t="s">
        <v>20</v>
      </c>
      <c r="DV11" s="49" t="s">
        <v>59</v>
      </c>
      <c r="DW11" s="49" t="s">
        <v>59</v>
      </c>
      <c r="DX11" s="49" t="s">
        <v>13</v>
      </c>
      <c r="DY11" s="49" t="s">
        <v>13</v>
      </c>
      <c r="DZ11" s="49" t="s">
        <v>13</v>
      </c>
      <c r="EA11" s="49" t="s">
        <v>20</v>
      </c>
      <c r="EB11" s="49" t="s">
        <v>20</v>
      </c>
      <c r="EC11" s="49" t="s">
        <v>13</v>
      </c>
      <c r="ED11" s="49" t="s">
        <v>59</v>
      </c>
      <c r="EE11" s="49" t="s">
        <v>59</v>
      </c>
      <c r="EF11" s="49" t="s">
        <v>59</v>
      </c>
      <c r="EG11" s="49" t="s">
        <v>59</v>
      </c>
      <c r="EH11" s="49" t="s">
        <v>20</v>
      </c>
      <c r="EI11" s="49" t="s">
        <v>13</v>
      </c>
      <c r="EJ11" s="49" t="s">
        <v>59</v>
      </c>
      <c r="EK11" s="49" t="s">
        <v>20</v>
      </c>
      <c r="EL11" s="49" t="s">
        <v>20</v>
      </c>
      <c r="EM11" s="49" t="s">
        <v>20</v>
      </c>
      <c r="EN11" s="49" t="s">
        <v>13</v>
      </c>
      <c r="EO11" s="49" t="s">
        <v>20</v>
      </c>
      <c r="EP11" s="49" t="s">
        <v>20</v>
      </c>
      <c r="EQ11" s="49" t="s">
        <v>20</v>
      </c>
      <c r="ER11" s="49" t="s">
        <v>13</v>
      </c>
      <c r="ES11" s="49" t="s">
        <v>59</v>
      </c>
      <c r="ET11" s="49" t="s">
        <v>13</v>
      </c>
      <c r="EU11" s="49" t="s">
        <v>20</v>
      </c>
      <c r="EV11" s="49" t="s">
        <v>13</v>
      </c>
      <c r="EW11" s="49" t="s">
        <v>59</v>
      </c>
      <c r="EX11" s="49" t="s">
        <v>59</v>
      </c>
      <c r="EY11" s="49" t="s">
        <v>20</v>
      </c>
      <c r="EZ11" s="49" t="s">
        <v>20</v>
      </c>
      <c r="FA11" s="49" t="s">
        <v>20</v>
      </c>
      <c r="FB11" s="49" t="s">
        <v>59</v>
      </c>
      <c r="FC11" s="49" t="s">
        <v>59</v>
      </c>
      <c r="FD11" s="49" t="s">
        <v>59</v>
      </c>
      <c r="FE11" s="49" t="s">
        <v>59</v>
      </c>
      <c r="FF11" s="49" t="s">
        <v>59</v>
      </c>
      <c r="FG11" s="49" t="s">
        <v>59</v>
      </c>
      <c r="FH11" s="49" t="s">
        <v>59</v>
      </c>
      <c r="FI11" s="49" t="s">
        <v>59</v>
      </c>
      <c r="FJ11" s="49" t="s">
        <v>59</v>
      </c>
      <c r="FK11" s="49" t="s">
        <v>59</v>
      </c>
      <c r="FL11" s="49" t="s">
        <v>20</v>
      </c>
      <c r="FM11" s="49" t="s">
        <v>20</v>
      </c>
      <c r="FN11" s="49" t="s">
        <v>20</v>
      </c>
      <c r="FO11" s="49" t="s">
        <v>20</v>
      </c>
      <c r="FP11" s="49" t="s">
        <v>20</v>
      </c>
      <c r="FQ11" s="49" t="s">
        <v>20</v>
      </c>
      <c r="FR11" s="49" t="s">
        <v>20</v>
      </c>
      <c r="FS11" s="49" t="s">
        <v>20</v>
      </c>
      <c r="FT11" s="49" t="s">
        <v>20</v>
      </c>
      <c r="FU11" s="49" t="s">
        <v>59</v>
      </c>
      <c r="FV11" s="49" t="s">
        <v>59</v>
      </c>
      <c r="FW11" s="49" t="s">
        <v>20</v>
      </c>
      <c r="FX11" s="49" t="s">
        <v>59</v>
      </c>
      <c r="FY11" s="49" t="s">
        <v>13</v>
      </c>
      <c r="FZ11" s="49" t="s">
        <v>13</v>
      </c>
      <c r="GA11" s="49" t="s">
        <v>20</v>
      </c>
      <c r="GB11" s="49" t="s">
        <v>20</v>
      </c>
      <c r="GC11" s="49" t="s">
        <v>20</v>
      </c>
      <c r="GD11" s="49" t="s">
        <v>20</v>
      </c>
      <c r="GE11" s="49" t="s">
        <v>20</v>
      </c>
      <c r="GF11" s="49" t="s">
        <v>20</v>
      </c>
      <c r="GG11" s="49" t="s">
        <v>20</v>
      </c>
      <c r="GH11" s="49" t="s">
        <v>20</v>
      </c>
      <c r="GI11" s="49" t="s">
        <v>13</v>
      </c>
      <c r="GJ11" s="49" t="s">
        <v>13</v>
      </c>
      <c r="GK11" s="49" t="s">
        <v>20</v>
      </c>
      <c r="GL11" s="49" t="s">
        <v>20</v>
      </c>
      <c r="GM11" s="49" t="s">
        <v>20</v>
      </c>
      <c r="GN11" s="49" t="s">
        <v>20</v>
      </c>
      <c r="GO11" s="49" t="s">
        <v>13</v>
      </c>
      <c r="GP11" s="49" t="s">
        <v>13</v>
      </c>
      <c r="GQ11" s="49" t="s">
        <v>13</v>
      </c>
      <c r="GR11" s="49" t="s">
        <v>20</v>
      </c>
      <c r="GS11" s="49" t="s">
        <v>20</v>
      </c>
      <c r="GT11" s="49" t="s">
        <v>20</v>
      </c>
      <c r="GU11" s="49" t="s">
        <v>20</v>
      </c>
      <c r="GV11" s="49" t="s">
        <v>20</v>
      </c>
      <c r="GW11" s="49" t="s">
        <v>20</v>
      </c>
      <c r="GX11" s="49" t="s">
        <v>20</v>
      </c>
      <c r="GY11" s="49" t="s">
        <v>20</v>
      </c>
      <c r="GZ11" s="49" t="s">
        <v>20</v>
      </c>
      <c r="HA11" s="49" t="s">
        <v>20</v>
      </c>
      <c r="HB11" s="49" t="s">
        <v>20</v>
      </c>
      <c r="HC11" s="49" t="s">
        <v>20</v>
      </c>
      <c r="HD11" s="49" t="s">
        <v>20</v>
      </c>
      <c r="HE11" s="49" t="s">
        <v>20</v>
      </c>
      <c r="HF11" s="49" t="s">
        <v>20</v>
      </c>
      <c r="HG11" s="49" t="s">
        <v>20</v>
      </c>
      <c r="HH11" s="49" t="s">
        <v>20</v>
      </c>
      <c r="HI11" s="49" t="s">
        <v>20</v>
      </c>
      <c r="HJ11" s="49" t="s">
        <v>20</v>
      </c>
      <c r="HK11" s="49" t="s">
        <v>20</v>
      </c>
      <c r="HL11" s="49" t="s">
        <v>20</v>
      </c>
      <c r="HM11" s="49" t="s">
        <v>20</v>
      </c>
      <c r="HN11" s="49" t="s">
        <v>20</v>
      </c>
      <c r="HO11" s="49" t="s">
        <v>20</v>
      </c>
      <c r="HP11" s="49" t="s">
        <v>20</v>
      </c>
      <c r="HQ11" s="49" t="s">
        <v>20</v>
      </c>
      <c r="HR11" s="49" t="s">
        <v>20</v>
      </c>
      <c r="HS11" s="49" t="s">
        <v>20</v>
      </c>
      <c r="HT11" s="49" t="s">
        <v>20</v>
      </c>
      <c r="HU11" s="49" t="s">
        <v>20</v>
      </c>
      <c r="HV11" s="49" t="s">
        <v>20</v>
      </c>
      <c r="HW11" s="49" t="s">
        <v>20</v>
      </c>
      <c r="HX11" s="49" t="s">
        <v>20</v>
      </c>
      <c r="HY11" s="49" t="s">
        <v>20</v>
      </c>
      <c r="HZ11" s="49" t="s">
        <v>20</v>
      </c>
      <c r="IA11" s="49" t="s">
        <v>20</v>
      </c>
      <c r="IB11" s="49" t="s">
        <v>20</v>
      </c>
      <c r="IC11" s="49" t="s">
        <v>20</v>
      </c>
      <c r="ID11" s="49" t="s">
        <v>20</v>
      </c>
      <c r="IE11" s="49" t="s">
        <v>59</v>
      </c>
      <c r="IF11" s="49" t="s">
        <v>59</v>
      </c>
      <c r="IG11" s="49" t="s">
        <v>20</v>
      </c>
      <c r="IH11" s="49" t="s">
        <v>20</v>
      </c>
      <c r="II11" s="49" t="s">
        <v>20</v>
      </c>
      <c r="IJ11" s="49" t="s">
        <v>20</v>
      </c>
      <c r="IK11" s="49" t="s">
        <v>20</v>
      </c>
      <c r="IL11" s="49" t="s">
        <v>20</v>
      </c>
      <c r="IM11" s="49" t="s">
        <v>20</v>
      </c>
      <c r="IN11" s="49" t="s">
        <v>20</v>
      </c>
      <c r="IO11" s="49" t="s">
        <v>20</v>
      </c>
      <c r="IP11" s="49" t="s">
        <v>20</v>
      </c>
      <c r="IQ11" s="49" t="s">
        <v>20</v>
      </c>
      <c r="IR11" s="49" t="s">
        <v>20</v>
      </c>
      <c r="IS11" s="49" t="s">
        <v>20</v>
      </c>
      <c r="IT11" s="49" t="s">
        <v>20</v>
      </c>
      <c r="IU11" s="49" t="s">
        <v>20</v>
      </c>
      <c r="IV11" s="49" t="s">
        <v>20</v>
      </c>
      <c r="IW11" s="49" t="s">
        <v>20</v>
      </c>
      <c r="IX11" s="49" t="s">
        <v>20</v>
      </c>
      <c r="IY11" s="49" t="s">
        <v>20</v>
      </c>
      <c r="IZ11" s="49" t="s">
        <v>20</v>
      </c>
      <c r="JA11" s="49" t="s">
        <v>20</v>
      </c>
      <c r="JB11" s="49" t="s">
        <v>20</v>
      </c>
      <c r="JC11" s="49" t="s">
        <v>20</v>
      </c>
      <c r="JD11" s="49" t="s">
        <v>20</v>
      </c>
      <c r="JE11" s="49" t="s">
        <v>20</v>
      </c>
      <c r="JF11" s="49" t="s">
        <v>20</v>
      </c>
      <c r="JG11" s="49" t="s">
        <v>20</v>
      </c>
      <c r="JH11" s="49" t="s">
        <v>20</v>
      </c>
      <c r="JI11" s="49" t="s">
        <v>20</v>
      </c>
      <c r="JJ11" s="49" t="s">
        <v>59</v>
      </c>
      <c r="JK11" s="49" t="s">
        <v>20</v>
      </c>
      <c r="JL11" s="49" t="s">
        <v>59</v>
      </c>
      <c r="JM11" s="49" t="s">
        <v>20</v>
      </c>
      <c r="JN11" s="49" t="s">
        <v>59</v>
      </c>
      <c r="JO11" s="49" t="s">
        <v>20</v>
      </c>
      <c r="JP11" s="49" t="s">
        <v>59</v>
      </c>
      <c r="JQ11" s="49" t="s">
        <v>20</v>
      </c>
      <c r="JR11" s="49" t="s">
        <v>59</v>
      </c>
      <c r="JS11" s="49" t="s">
        <v>59</v>
      </c>
      <c r="JT11" s="49" t="s">
        <v>20</v>
      </c>
      <c r="JU11" s="49" t="s">
        <v>20</v>
      </c>
      <c r="JV11" s="49" t="s">
        <v>59</v>
      </c>
      <c r="JW11" s="49" t="s">
        <v>59</v>
      </c>
      <c r="JX11" s="49" t="s">
        <v>20</v>
      </c>
      <c r="JY11" s="49" t="s">
        <v>20</v>
      </c>
      <c r="JZ11" s="49" t="s">
        <v>59</v>
      </c>
      <c r="KA11" s="49" t="s">
        <v>20</v>
      </c>
      <c r="KB11" s="49" t="s">
        <v>59</v>
      </c>
      <c r="KC11" s="49" t="s">
        <v>20</v>
      </c>
      <c r="KD11" s="111" t="s">
        <v>20</v>
      </c>
      <c r="KE11" s="49" t="s">
        <v>20</v>
      </c>
      <c r="KF11" s="49" t="s">
        <v>20</v>
      </c>
      <c r="KG11" s="49" t="s">
        <v>20</v>
      </c>
      <c r="KH11" s="49" t="s">
        <v>20</v>
      </c>
      <c r="KI11" s="49" t="s">
        <v>20</v>
      </c>
      <c r="KJ11" s="49" t="s">
        <v>20</v>
      </c>
      <c r="KK11" s="49" t="s">
        <v>20</v>
      </c>
      <c r="KL11" s="49" t="s">
        <v>20</v>
      </c>
      <c r="KM11" s="49" t="s">
        <v>20</v>
      </c>
      <c r="KN11" s="49" t="s">
        <v>20</v>
      </c>
      <c r="KO11" s="49" t="s">
        <v>20</v>
      </c>
      <c r="KP11" s="101" t="s">
        <v>20</v>
      </c>
      <c r="KQ11" s="49" t="s">
        <v>20</v>
      </c>
      <c r="KR11" s="49" t="s">
        <v>20</v>
      </c>
      <c r="KS11" s="49" t="s">
        <v>20</v>
      </c>
      <c r="KT11" s="49" t="s">
        <v>20</v>
      </c>
      <c r="KU11" s="49" t="s">
        <v>20</v>
      </c>
      <c r="KV11" s="49" t="s">
        <v>20</v>
      </c>
      <c r="KW11" s="49" t="s">
        <v>20</v>
      </c>
      <c r="KX11" s="49" t="s">
        <v>20</v>
      </c>
      <c r="KY11" s="72" t="s">
        <v>20</v>
      </c>
      <c r="KZ11" s="72" t="s">
        <v>59</v>
      </c>
      <c r="LA11" s="72" t="s">
        <v>20</v>
      </c>
      <c r="LB11" s="72" t="s">
        <v>20</v>
      </c>
      <c r="LC11" s="72" t="s">
        <v>59</v>
      </c>
      <c r="LD11" s="49" t="s">
        <v>20</v>
      </c>
      <c r="LE11" s="49" t="s">
        <v>59</v>
      </c>
      <c r="LF11" s="49" t="s">
        <v>59</v>
      </c>
      <c r="LG11" s="49" t="s">
        <v>59</v>
      </c>
      <c r="LH11" s="93" t="s">
        <v>20</v>
      </c>
      <c r="LI11" s="49" t="s">
        <v>20</v>
      </c>
      <c r="LJ11" s="93" t="s">
        <v>20</v>
      </c>
      <c r="LK11" s="49" t="s">
        <v>20</v>
      </c>
      <c r="LL11" s="49" t="s">
        <v>59</v>
      </c>
      <c r="LM11" s="49" t="s">
        <v>20</v>
      </c>
      <c r="LN11" s="49" t="s">
        <v>59</v>
      </c>
      <c r="LO11" s="49" t="s">
        <v>31</v>
      </c>
      <c r="LP11" s="49"/>
      <c r="LQ11" s="49"/>
      <c r="LR11" s="49" t="s">
        <v>20</v>
      </c>
      <c r="LS11" s="49" t="s">
        <v>20</v>
      </c>
      <c r="LT11" s="49" t="s">
        <v>20</v>
      </c>
      <c r="LU11" s="49" t="s">
        <v>13</v>
      </c>
      <c r="LV11" s="49" t="s">
        <v>214</v>
      </c>
      <c r="LW11" s="49" t="s">
        <v>214</v>
      </c>
      <c r="LX11" s="49" t="s">
        <v>214</v>
      </c>
      <c r="LY11" s="49" t="s">
        <v>214</v>
      </c>
      <c r="LZ11" s="49" t="s">
        <v>214</v>
      </c>
      <c r="MA11" s="49" t="s">
        <v>59</v>
      </c>
      <c r="MB11" s="49" t="s">
        <v>20</v>
      </c>
      <c r="MC11" s="49" t="s">
        <v>20</v>
      </c>
      <c r="MD11" s="49" t="s">
        <v>20</v>
      </c>
      <c r="ME11" s="49" t="s">
        <v>20</v>
      </c>
      <c r="MF11" s="49" t="s">
        <v>20</v>
      </c>
      <c r="MG11" s="49" t="s">
        <v>20</v>
      </c>
      <c r="MH11" s="49" t="s">
        <v>20</v>
      </c>
      <c r="MI11" s="49" t="s">
        <v>20</v>
      </c>
      <c r="MJ11" s="49" t="s">
        <v>20</v>
      </c>
      <c r="MK11" s="49" t="s">
        <v>20</v>
      </c>
      <c r="ML11" s="49" t="s">
        <v>20</v>
      </c>
      <c r="MM11" s="49" t="s">
        <v>20</v>
      </c>
      <c r="MN11" s="49" t="s">
        <v>20</v>
      </c>
      <c r="MO11" s="49" t="s">
        <v>20</v>
      </c>
      <c r="MP11" s="49" t="s">
        <v>20</v>
      </c>
      <c r="MQ11" s="49" t="s">
        <v>20</v>
      </c>
      <c r="MR11" s="49" t="s">
        <v>20</v>
      </c>
      <c r="MS11" s="49" t="s">
        <v>20</v>
      </c>
      <c r="MT11" s="49" t="s">
        <v>20</v>
      </c>
      <c r="MU11" s="49" t="s">
        <v>20</v>
      </c>
      <c r="MV11" s="49" t="s">
        <v>20</v>
      </c>
      <c r="MW11" s="49" t="s">
        <v>20</v>
      </c>
      <c r="MX11" s="49" t="s">
        <v>20</v>
      </c>
      <c r="MY11" s="49" t="s">
        <v>20</v>
      </c>
      <c r="MZ11" s="49" t="s">
        <v>20</v>
      </c>
      <c r="NA11" s="49" t="s">
        <v>20</v>
      </c>
      <c r="NB11" s="49" t="s">
        <v>20</v>
      </c>
      <c r="NC11" s="49" t="s">
        <v>20</v>
      </c>
      <c r="ND11" s="49" t="s">
        <v>20</v>
      </c>
      <c r="NE11" s="49" t="s">
        <v>20</v>
      </c>
      <c r="NF11" s="49" t="s">
        <v>20</v>
      </c>
      <c r="NG11" s="49" t="s">
        <v>20</v>
      </c>
      <c r="NH11" s="49" t="s">
        <v>20</v>
      </c>
      <c r="NI11" s="49" t="s">
        <v>20</v>
      </c>
      <c r="NJ11" s="49" t="s">
        <v>20</v>
      </c>
      <c r="NK11" s="122" t="s">
        <v>59</v>
      </c>
      <c r="NL11" s="122" t="s">
        <v>59</v>
      </c>
      <c r="NM11" s="49" t="s">
        <v>20</v>
      </c>
      <c r="NN11" s="122" t="s">
        <v>59</v>
      </c>
      <c r="NO11" s="122" t="s">
        <v>59</v>
      </c>
      <c r="NP11" s="583" t="s">
        <v>20</v>
      </c>
      <c r="NQ11" s="49" t="s">
        <v>20</v>
      </c>
      <c r="NR11" s="49" t="s">
        <v>20</v>
      </c>
      <c r="NS11" s="94" t="s">
        <v>13</v>
      </c>
      <c r="NT11" s="94" t="s">
        <v>13</v>
      </c>
    </row>
    <row r="12" spans="1:384" s="26" customFormat="1" ht="12.1" customHeight="1" x14ac:dyDescent="0.25">
      <c r="A12" s="4" t="s">
        <v>0</v>
      </c>
      <c r="B12" s="24" t="s">
        <v>263</v>
      </c>
      <c r="C12" s="24" t="s">
        <v>1</v>
      </c>
      <c r="D12" s="24" t="s">
        <v>2</v>
      </c>
      <c r="E12" s="25" t="s">
        <v>3</v>
      </c>
      <c r="F12" s="25" t="s">
        <v>122</v>
      </c>
      <c r="G12" s="25" t="s">
        <v>234</v>
      </c>
      <c r="H12" s="25" t="s">
        <v>77</v>
      </c>
      <c r="I12" s="4" t="s">
        <v>4</v>
      </c>
      <c r="J12" s="4" t="s">
        <v>5</v>
      </c>
      <c r="K12" s="4"/>
      <c r="L12" s="4" t="s">
        <v>71</v>
      </c>
      <c r="M12" s="4" t="s">
        <v>72</v>
      </c>
      <c r="N12" s="4" t="s">
        <v>73</v>
      </c>
      <c r="O12" s="4" t="s">
        <v>102</v>
      </c>
      <c r="P12" s="4" t="s">
        <v>103</v>
      </c>
      <c r="Q12" s="4" t="s">
        <v>104</v>
      </c>
      <c r="R12" s="4" t="s">
        <v>105</v>
      </c>
      <c r="S12" s="4" t="s">
        <v>110</v>
      </c>
      <c r="T12" s="4" t="s">
        <v>63</v>
      </c>
      <c r="U12" s="4" t="s">
        <v>8</v>
      </c>
      <c r="V12" s="4" t="s">
        <v>9</v>
      </c>
      <c r="W12" s="4" t="s">
        <v>106</v>
      </c>
      <c r="X12" s="4" t="s">
        <v>21</v>
      </c>
      <c r="Y12" s="4" t="s">
        <v>254</v>
      </c>
      <c r="Z12" s="4" t="s">
        <v>6</v>
      </c>
      <c r="AA12" s="4"/>
      <c r="AB12" s="4" t="s">
        <v>7</v>
      </c>
      <c r="AC12" s="4" t="s">
        <v>107</v>
      </c>
      <c r="AD12" s="4" t="s">
        <v>19</v>
      </c>
      <c r="AE12" s="4" t="s">
        <v>75</v>
      </c>
      <c r="AF12" s="4" t="s">
        <v>108</v>
      </c>
      <c r="AG12" s="4" t="s">
        <v>109</v>
      </c>
      <c r="AH12" s="4" t="s">
        <v>22</v>
      </c>
      <c r="AI12" s="4" t="s">
        <v>23</v>
      </c>
      <c r="AJ12" s="4"/>
      <c r="AK12" s="4" t="s">
        <v>707</v>
      </c>
      <c r="AL12" s="4" t="s">
        <v>1075</v>
      </c>
      <c r="AM12" s="4" t="s">
        <v>126</v>
      </c>
      <c r="AN12" s="4" t="s">
        <v>117</v>
      </c>
      <c r="AO12" s="4" t="s">
        <v>880</v>
      </c>
      <c r="AP12" s="4" t="s">
        <v>1022</v>
      </c>
      <c r="AQ12" s="4" t="s">
        <v>260</v>
      </c>
      <c r="AR12" s="4" t="s">
        <v>259</v>
      </c>
      <c r="AS12" s="4" t="s">
        <v>883</v>
      </c>
      <c r="AT12" s="4" t="s">
        <v>34</v>
      </c>
      <c r="AU12" s="4" t="s">
        <v>35</v>
      </c>
      <c r="AV12" s="4" t="s">
        <v>142</v>
      </c>
      <c r="AW12" s="4" t="s">
        <v>95</v>
      </c>
      <c r="AX12" s="4" t="s">
        <v>36</v>
      </c>
      <c r="AY12" s="4" t="s">
        <v>37</v>
      </c>
      <c r="AZ12" s="4"/>
      <c r="BA12" s="4"/>
      <c r="BB12" s="4" t="s">
        <v>135</v>
      </c>
      <c r="BC12" s="4"/>
      <c r="BD12" s="4" t="s">
        <v>1122</v>
      </c>
      <c r="BE12" s="4" t="s">
        <v>435</v>
      </c>
      <c r="BF12" s="4" t="s">
        <v>1133</v>
      </c>
      <c r="BG12" s="4" t="s">
        <v>438</v>
      </c>
      <c r="BH12" s="4" t="s">
        <v>136</v>
      </c>
      <c r="BI12" s="4" t="s">
        <v>301</v>
      </c>
      <c r="BJ12" s="4" t="s">
        <v>268</v>
      </c>
      <c r="BK12" s="4" t="s">
        <v>101</v>
      </c>
      <c r="BL12" s="4" t="s">
        <v>269</v>
      </c>
      <c r="BM12" s="4" t="s">
        <v>681</v>
      </c>
      <c r="BN12" s="4" t="s">
        <v>682</v>
      </c>
      <c r="BO12" s="4" t="s">
        <v>208</v>
      </c>
      <c r="BP12" s="4" t="s">
        <v>1015</v>
      </c>
      <c r="BQ12" s="4" t="s">
        <v>1204</v>
      </c>
      <c r="BR12" s="4" t="s">
        <v>1206</v>
      </c>
      <c r="BS12" s="4" t="s">
        <v>1207</v>
      </c>
      <c r="BT12" s="4" t="s">
        <v>1205</v>
      </c>
      <c r="BU12" s="4" t="s">
        <v>42</v>
      </c>
      <c r="BV12" s="4" t="s">
        <v>43</v>
      </c>
      <c r="BW12" s="4"/>
      <c r="BX12" s="4" t="s">
        <v>44</v>
      </c>
      <c r="BY12" s="4" t="s">
        <v>270</v>
      </c>
      <c r="BZ12" s="4"/>
      <c r="CA12" s="4" t="s">
        <v>271</v>
      </c>
      <c r="CB12" s="4" t="s">
        <v>24</v>
      </c>
      <c r="CC12" s="4" t="s">
        <v>26</v>
      </c>
      <c r="CD12" s="4" t="s">
        <v>28</v>
      </c>
      <c r="CE12" s="4" t="s">
        <v>25</v>
      </c>
      <c r="CF12" s="4" t="s">
        <v>27</v>
      </c>
      <c r="CG12" s="4" t="s">
        <v>29</v>
      </c>
      <c r="CH12" s="4" t="s">
        <v>488</v>
      </c>
      <c r="CI12" s="4" t="s">
        <v>598</v>
      </c>
      <c r="CJ12" s="4" t="s">
        <v>489</v>
      </c>
      <c r="CK12" s="4" t="s">
        <v>506</v>
      </c>
      <c r="CL12" s="4" t="s">
        <v>507</v>
      </c>
      <c r="CM12" s="4" t="s">
        <v>508</v>
      </c>
      <c r="CN12" s="4" t="s">
        <v>30</v>
      </c>
      <c r="CO12" s="4" t="s">
        <v>32</v>
      </c>
      <c r="CP12" s="4" t="s">
        <v>33</v>
      </c>
      <c r="CQ12" s="4" t="s">
        <v>276</v>
      </c>
      <c r="CR12" s="4" t="s">
        <v>1112</v>
      </c>
      <c r="CS12" s="4" t="s">
        <v>277</v>
      </c>
      <c r="CT12" s="4" t="s">
        <v>1018</v>
      </c>
      <c r="CU12" s="4" t="s">
        <v>115</v>
      </c>
      <c r="CV12" s="4" t="s">
        <v>848</v>
      </c>
      <c r="CW12" s="4" t="s">
        <v>93</v>
      </c>
      <c r="CX12" s="4" t="s">
        <v>1014</v>
      </c>
      <c r="CY12" s="4" t="s">
        <v>1021</v>
      </c>
      <c r="CZ12" s="4" t="s">
        <v>64</v>
      </c>
      <c r="DA12" s="4" t="s">
        <v>815</v>
      </c>
      <c r="DB12" s="4" t="s">
        <v>1055</v>
      </c>
      <c r="DC12" s="4" t="s">
        <v>1070</v>
      </c>
      <c r="DD12" s="4" t="s">
        <v>47</v>
      </c>
      <c r="DE12" s="4" t="s">
        <v>1017</v>
      </c>
      <c r="DF12" s="4" t="s">
        <v>48</v>
      </c>
      <c r="DG12" s="4" t="s">
        <v>814</v>
      </c>
      <c r="DH12" s="4" t="s">
        <v>284</v>
      </c>
      <c r="DI12" s="4" t="s">
        <v>216</v>
      </c>
      <c r="DJ12" s="4" t="s">
        <v>57</v>
      </c>
      <c r="DK12" s="4" t="s">
        <v>492</v>
      </c>
      <c r="DL12" s="4" t="s">
        <v>58</v>
      </c>
      <c r="DM12" s="4" t="s">
        <v>183</v>
      </c>
      <c r="DN12" s="4" t="s">
        <v>816</v>
      </c>
      <c r="DO12" s="4"/>
      <c r="DP12" s="4" t="s">
        <v>187</v>
      </c>
      <c r="DQ12" s="4" t="s">
        <v>49</v>
      </c>
      <c r="DR12" s="4" t="s">
        <v>817</v>
      </c>
      <c r="DS12" s="4" t="s">
        <v>190</v>
      </c>
      <c r="DT12" s="4" t="s">
        <v>818</v>
      </c>
      <c r="DU12" s="4" t="s">
        <v>1083</v>
      </c>
      <c r="DV12" s="4"/>
      <c r="DW12" s="4"/>
      <c r="DX12" s="4" t="s">
        <v>866</v>
      </c>
      <c r="DY12" s="4" t="s">
        <v>179</v>
      </c>
      <c r="DZ12" s="4" t="s">
        <v>845</v>
      </c>
      <c r="EA12" s="4" t="s">
        <v>1076</v>
      </c>
      <c r="EB12" s="4" t="s">
        <v>192</v>
      </c>
      <c r="EC12" s="4" t="s">
        <v>1005</v>
      </c>
      <c r="ED12" s="4"/>
      <c r="EE12" s="4"/>
      <c r="EF12" s="4"/>
      <c r="EG12" s="4"/>
      <c r="EH12" s="4" t="s">
        <v>257</v>
      </c>
      <c r="EI12" s="4" t="s">
        <v>819</v>
      </c>
      <c r="EJ12" s="4"/>
      <c r="EK12" s="4" t="s">
        <v>194</v>
      </c>
      <c r="EL12" s="4" t="s">
        <v>195</v>
      </c>
      <c r="EM12" s="4" t="s">
        <v>196</v>
      </c>
      <c r="EN12" s="4" t="s">
        <v>820</v>
      </c>
      <c r="EO12" s="4" t="s">
        <v>849</v>
      </c>
      <c r="EP12" s="4" t="s">
        <v>253</v>
      </c>
      <c r="EQ12" s="4" t="s">
        <v>197</v>
      </c>
      <c r="ER12" s="4" t="s">
        <v>821</v>
      </c>
      <c r="ES12" s="4"/>
      <c r="ET12" s="4" t="s">
        <v>822</v>
      </c>
      <c r="EU12" s="4" t="s">
        <v>474</v>
      </c>
      <c r="EV12" s="4" t="s">
        <v>823</v>
      </c>
      <c r="EW12" s="4"/>
      <c r="EX12" s="4"/>
      <c r="EY12" s="4" t="s">
        <v>595</v>
      </c>
      <c r="EZ12" s="4" t="s">
        <v>97</v>
      </c>
      <c r="FA12" s="4" t="s">
        <v>1077</v>
      </c>
      <c r="FB12" s="4"/>
      <c r="FC12" s="4"/>
      <c r="FD12" s="4"/>
      <c r="FE12" s="4"/>
      <c r="FF12" s="4"/>
      <c r="FG12" s="4"/>
      <c r="FH12" s="4"/>
      <c r="FI12" s="4"/>
      <c r="FJ12" s="4"/>
      <c r="FK12" s="4"/>
      <c r="FL12" s="4" t="s">
        <v>850</v>
      </c>
      <c r="FM12" s="4" t="s">
        <v>851</v>
      </c>
      <c r="FN12" s="4" t="s">
        <v>79</v>
      </c>
      <c r="FO12" s="4" t="s">
        <v>80</v>
      </c>
      <c r="FP12" s="4" t="s">
        <v>239</v>
      </c>
      <c r="FQ12" s="4" t="s">
        <v>240</v>
      </c>
      <c r="FR12" s="4" t="s">
        <v>313</v>
      </c>
      <c r="FS12" s="4" t="s">
        <v>238</v>
      </c>
      <c r="FT12" s="4" t="s">
        <v>910</v>
      </c>
      <c r="FU12" s="4"/>
      <c r="FV12" s="4"/>
      <c r="FW12" s="4" t="s">
        <v>235</v>
      </c>
      <c r="FX12" s="4"/>
      <c r="FY12" s="4" t="s">
        <v>289</v>
      </c>
      <c r="FZ12" s="4" t="s">
        <v>290</v>
      </c>
      <c r="GA12" s="4" t="s">
        <v>2317</v>
      </c>
      <c r="GB12" s="4" t="s">
        <v>410</v>
      </c>
      <c r="GC12" s="4" t="s">
        <v>225</v>
      </c>
      <c r="GD12" s="4" t="s">
        <v>314</v>
      </c>
      <c r="GE12" s="4" t="s">
        <v>211</v>
      </c>
      <c r="GF12" s="4" t="s">
        <v>213</v>
      </c>
      <c r="GG12" s="4" t="s">
        <v>1049</v>
      </c>
      <c r="GH12" s="4" t="s">
        <v>1817</v>
      </c>
      <c r="GI12" s="4" t="s">
        <v>316</v>
      </c>
      <c r="GJ12" s="121" t="s">
        <v>317</v>
      </c>
      <c r="GK12" s="4" t="s">
        <v>325</v>
      </c>
      <c r="GL12" s="4" t="s">
        <v>224</v>
      </c>
      <c r="GM12" s="4" t="s">
        <v>326</v>
      </c>
      <c r="GN12" s="4" t="s">
        <v>1050</v>
      </c>
      <c r="GO12" s="4" t="s">
        <v>227</v>
      </c>
      <c r="GP12" s="4" t="s">
        <v>288</v>
      </c>
      <c r="GQ12" s="4" t="s">
        <v>286</v>
      </c>
      <c r="GR12" s="4" t="s">
        <v>2316</v>
      </c>
      <c r="GS12" s="4" t="s">
        <v>1006</v>
      </c>
      <c r="GT12" s="4" t="s">
        <v>1073</v>
      </c>
      <c r="GU12" s="4" t="s">
        <v>899</v>
      </c>
      <c r="GV12" s="4" t="s">
        <v>1011</v>
      </c>
      <c r="GW12" s="4" t="s">
        <v>864</v>
      </c>
      <c r="GX12" s="4" t="s">
        <v>714</v>
      </c>
      <c r="GY12" s="4" t="s">
        <v>1078</v>
      </c>
      <c r="GZ12" s="4" t="s">
        <v>1079</v>
      </c>
      <c r="HA12" s="4" t="s">
        <v>926</v>
      </c>
      <c r="HB12" s="4" t="s">
        <v>94</v>
      </c>
      <c r="HC12" s="4" t="s">
        <v>734</v>
      </c>
      <c r="HD12" s="4" t="s">
        <v>884</v>
      </c>
      <c r="HE12" s="4" t="s">
        <v>92</v>
      </c>
      <c r="HF12" s="4" t="s">
        <v>1080</v>
      </c>
      <c r="HG12" s="4" t="s">
        <v>743</v>
      </c>
      <c r="HH12" s="4" t="s">
        <v>745</v>
      </c>
      <c r="HI12" s="4" t="s">
        <v>746</v>
      </c>
      <c r="HJ12" s="4" t="s">
        <v>749</v>
      </c>
      <c r="HK12" s="4" t="s">
        <v>1081</v>
      </c>
      <c r="HL12" s="4" t="s">
        <v>750</v>
      </c>
      <c r="HM12" s="4" t="s">
        <v>862</v>
      </c>
      <c r="HN12" s="4" t="s">
        <v>753</v>
      </c>
      <c r="HO12" s="4" t="s">
        <v>863</v>
      </c>
      <c r="HP12" s="4" t="s">
        <v>852</v>
      </c>
      <c r="HQ12" s="4" t="s">
        <v>853</v>
      </c>
      <c r="HR12" s="4" t="s">
        <v>854</v>
      </c>
      <c r="HS12" s="4" t="s">
        <v>855</v>
      </c>
      <c r="HT12" s="4" t="s">
        <v>860</v>
      </c>
      <c r="HU12" s="4" t="s">
        <v>861</v>
      </c>
      <c r="HV12" s="4" t="s">
        <v>856</v>
      </c>
      <c r="HW12" s="4" t="s">
        <v>857</v>
      </c>
      <c r="HX12" s="4" t="s">
        <v>858</v>
      </c>
      <c r="HY12" s="4" t="s">
        <v>752</v>
      </c>
      <c r="HZ12" s="4" t="s">
        <v>906</v>
      </c>
      <c r="IA12" s="4" t="s">
        <v>907</v>
      </c>
      <c r="IB12" s="4" t="s">
        <v>908</v>
      </c>
      <c r="IC12" s="4" t="s">
        <v>909</v>
      </c>
      <c r="ID12" s="4" t="s">
        <v>918</v>
      </c>
      <c r="IE12" s="4"/>
      <c r="IF12" s="4"/>
      <c r="IG12" s="4" t="s">
        <v>922</v>
      </c>
      <c r="IH12" s="4" t="s">
        <v>923</v>
      </c>
      <c r="II12" s="4" t="s">
        <v>925</v>
      </c>
      <c r="IJ12" s="4" t="s">
        <v>760</v>
      </c>
      <c r="IK12" s="4" t="s">
        <v>927</v>
      </c>
      <c r="IL12" s="4" t="s">
        <v>791</v>
      </c>
      <c r="IM12" s="4" t="s">
        <v>82</v>
      </c>
      <c r="IN12" s="4" t="s">
        <v>81</v>
      </c>
      <c r="IO12" s="4" t="s">
        <v>226</v>
      </c>
      <c r="IP12" s="4" t="s">
        <v>337</v>
      </c>
      <c r="IQ12" s="4" t="s">
        <v>840</v>
      </c>
      <c r="IR12" s="4" t="s">
        <v>1082</v>
      </c>
      <c r="IS12" s="4" t="s">
        <v>1048</v>
      </c>
      <c r="IT12" s="4" t="s">
        <v>1013</v>
      </c>
      <c r="IU12" s="4" t="s">
        <v>1074</v>
      </c>
      <c r="IV12" s="4" t="s">
        <v>78</v>
      </c>
      <c r="IW12" s="4" t="s">
        <v>50</v>
      </c>
      <c r="IX12" s="4" t="s">
        <v>575</v>
      </c>
      <c r="IY12" s="4" t="s">
        <v>357</v>
      </c>
      <c r="IZ12" s="4" t="s">
        <v>348</v>
      </c>
      <c r="JA12" s="4" t="s">
        <v>349</v>
      </c>
      <c r="JB12" s="4" t="s">
        <v>61</v>
      </c>
      <c r="JC12" s="4" t="s">
        <v>111</v>
      </c>
      <c r="JD12" s="4" t="s">
        <v>112</v>
      </c>
      <c r="JE12" s="4" t="s">
        <v>159</v>
      </c>
      <c r="JF12" s="4" t="s">
        <v>346</v>
      </c>
      <c r="JG12" s="4" t="s">
        <v>312</v>
      </c>
      <c r="JH12" s="4" t="s">
        <v>150</v>
      </c>
      <c r="JI12" s="4" t="s">
        <v>878</v>
      </c>
      <c r="JJ12" s="4"/>
      <c r="JK12" s="4" t="s">
        <v>877</v>
      </c>
      <c r="JL12" s="4"/>
      <c r="JM12" s="4" t="s">
        <v>876</v>
      </c>
      <c r="JN12" s="4"/>
      <c r="JO12" s="4" t="s">
        <v>153</v>
      </c>
      <c r="JP12" s="4"/>
      <c r="JQ12" s="4" t="s">
        <v>302</v>
      </c>
      <c r="JR12" s="4"/>
      <c r="JS12" s="4"/>
      <c r="JT12" s="4" t="s">
        <v>305</v>
      </c>
      <c r="JU12" s="4" t="s">
        <v>311</v>
      </c>
      <c r="JV12" s="4"/>
      <c r="JW12" s="4"/>
      <c r="JX12" s="4" t="s">
        <v>303</v>
      </c>
      <c r="JY12" s="4" t="s">
        <v>304</v>
      </c>
      <c r="JZ12" s="4"/>
      <c r="KA12" s="26" t="s">
        <v>154</v>
      </c>
      <c r="KC12" s="4" t="s">
        <v>99</v>
      </c>
      <c r="KD12" s="107" t="s">
        <v>330</v>
      </c>
      <c r="KE12" s="4" t="s">
        <v>332</v>
      </c>
      <c r="KF12" s="4" t="s">
        <v>1007</v>
      </c>
      <c r="KG12" s="4" t="s">
        <v>1008</v>
      </c>
      <c r="KH12" s="4" t="s">
        <v>788</v>
      </c>
      <c r="KI12" s="4" t="s">
        <v>789</v>
      </c>
      <c r="KJ12" s="4" t="s">
        <v>790</v>
      </c>
      <c r="KK12" s="4" t="s">
        <v>1135</v>
      </c>
      <c r="KL12" s="4" t="s">
        <v>333</v>
      </c>
      <c r="KM12" s="4" t="s">
        <v>334</v>
      </c>
      <c r="KN12" s="4" t="s">
        <v>841</v>
      </c>
      <c r="KO12" s="4" t="s">
        <v>842</v>
      </c>
      <c r="KP12" s="97" t="s">
        <v>335</v>
      </c>
      <c r="KQ12" s="4" t="s">
        <v>336</v>
      </c>
      <c r="KR12" s="4" t="s">
        <v>551</v>
      </c>
      <c r="KS12" s="4" t="s">
        <v>550</v>
      </c>
      <c r="KT12" s="4" t="s">
        <v>350</v>
      </c>
      <c r="KU12" s="4" t="s">
        <v>351</v>
      </c>
      <c r="KV12" s="4" t="s">
        <v>51</v>
      </c>
      <c r="KW12" s="4" t="s">
        <v>353</v>
      </c>
      <c r="KX12" s="4" t="s">
        <v>354</v>
      </c>
      <c r="KY12" s="4" t="s">
        <v>719</v>
      </c>
      <c r="KZ12" s="4"/>
      <c r="LA12" s="4" t="s">
        <v>931</v>
      </c>
      <c r="LB12" s="4" t="s">
        <v>928</v>
      </c>
      <c r="LC12" s="4"/>
      <c r="LD12" s="4" t="s">
        <v>199</v>
      </c>
      <c r="LE12" s="4"/>
      <c r="LF12" s="4"/>
      <c r="LG12" s="4"/>
      <c r="LH12" s="4" t="s">
        <v>202</v>
      </c>
      <c r="LI12" s="4" t="s">
        <v>203</v>
      </c>
      <c r="LJ12" s="4" t="s">
        <v>200</v>
      </c>
      <c r="LK12" s="4" t="s">
        <v>201</v>
      </c>
      <c r="LL12" s="4"/>
      <c r="LM12" s="4" t="s">
        <v>355</v>
      </c>
      <c r="LN12" s="4"/>
      <c r="LO12" s="4" t="s">
        <v>52</v>
      </c>
      <c r="LP12" s="4"/>
      <c r="LQ12" s="4"/>
      <c r="LR12" s="4" t="s">
        <v>54</v>
      </c>
      <c r="LS12" s="4" t="s">
        <v>55</v>
      </c>
      <c r="LT12" s="177" t="s">
        <v>452</v>
      </c>
      <c r="LU12" s="177" t="s">
        <v>113</v>
      </c>
      <c r="LV12" s="177" t="s">
        <v>116</v>
      </c>
      <c r="LW12" s="177" t="s">
        <v>83</v>
      </c>
      <c r="LX12" s="177" t="s">
        <v>84</v>
      </c>
      <c r="LY12" s="177" t="s">
        <v>85</v>
      </c>
      <c r="LZ12" s="177" t="s">
        <v>86</v>
      </c>
      <c r="MA12" s="177"/>
      <c r="MB12" s="177" t="s">
        <v>87</v>
      </c>
      <c r="MC12" s="177" t="s">
        <v>88</v>
      </c>
      <c r="MD12" s="177" t="s">
        <v>89</v>
      </c>
      <c r="ME12" s="177" t="s">
        <v>90</v>
      </c>
      <c r="MF12" s="4" t="s">
        <v>125</v>
      </c>
      <c r="MG12" s="4" t="s">
        <v>358</v>
      </c>
      <c r="MH12" s="4" t="s">
        <v>359</v>
      </c>
      <c r="MI12" s="4" t="s">
        <v>76</v>
      </c>
      <c r="MJ12" s="4" t="s">
        <v>45</v>
      </c>
      <c r="MK12" s="4" t="s">
        <v>360</v>
      </c>
      <c r="ML12" s="4" t="s">
        <v>361</v>
      </c>
      <c r="MM12" s="4" t="s">
        <v>362</v>
      </c>
      <c r="MN12" s="4" t="s">
        <v>363</v>
      </c>
      <c r="MO12" s="4" t="s">
        <v>364</v>
      </c>
      <c r="MP12" s="4" t="s">
        <v>365</v>
      </c>
      <c r="MQ12" s="4" t="s">
        <v>366</v>
      </c>
      <c r="MR12" s="4" t="s">
        <v>204</v>
      </c>
      <c r="MS12" s="4" t="s">
        <v>205</v>
      </c>
      <c r="MT12" s="4" t="s">
        <v>802</v>
      </c>
      <c r="MU12" s="4" t="s">
        <v>801</v>
      </c>
      <c r="MV12" s="4" t="s">
        <v>1100</v>
      </c>
      <c r="MW12" s="4" t="s">
        <v>800</v>
      </c>
      <c r="MX12" s="4" t="s">
        <v>1101</v>
      </c>
      <c r="MY12" s="4" t="s">
        <v>1102</v>
      </c>
      <c r="MZ12" s="4" t="s">
        <v>1103</v>
      </c>
      <c r="NA12" s="4" t="s">
        <v>1104</v>
      </c>
      <c r="NB12" s="4" t="s">
        <v>1105</v>
      </c>
      <c r="NC12" s="4" t="s">
        <v>1106</v>
      </c>
      <c r="ND12" s="4" t="s">
        <v>1107</v>
      </c>
      <c r="NE12" s="4" t="s">
        <v>803</v>
      </c>
      <c r="NF12" s="4" t="s">
        <v>804</v>
      </c>
      <c r="NG12" s="4" t="s">
        <v>805</v>
      </c>
      <c r="NH12" s="4" t="s">
        <v>806</v>
      </c>
      <c r="NI12" s="4" t="s">
        <v>1818</v>
      </c>
      <c r="NJ12" s="4" t="s">
        <v>807</v>
      </c>
      <c r="NK12" s="121"/>
      <c r="NL12" s="121"/>
      <c r="NM12" s="4" t="s">
        <v>2315</v>
      </c>
      <c r="NN12" s="121"/>
      <c r="NO12" s="121"/>
      <c r="NP12" s="4" t="s">
        <v>2791</v>
      </c>
      <c r="NQ12" s="4" t="s">
        <v>2786</v>
      </c>
      <c r="NR12" s="4" t="s">
        <v>2785</v>
      </c>
      <c r="NS12" s="26" t="s">
        <v>1794</v>
      </c>
      <c r="NT12" s="26" t="s">
        <v>1795</v>
      </c>
    </row>
    <row r="13" spans="1:384" x14ac:dyDescent="0.2">
      <c r="NK13"/>
      <c r="NL13"/>
      <c r="NN13"/>
      <c r="NO13"/>
      <c r="NP13"/>
    </row>
    <row r="14" spans="1:384" x14ac:dyDescent="0.2">
      <c r="NK14"/>
      <c r="NL14"/>
      <c r="NN14"/>
      <c r="NO14"/>
      <c r="NP14"/>
    </row>
    <row r="15" spans="1:384" x14ac:dyDescent="0.2">
      <c r="NK15"/>
      <c r="NL15"/>
      <c r="NN15"/>
      <c r="NO15"/>
      <c r="NP15"/>
    </row>
    <row r="16" spans="1:384" x14ac:dyDescent="0.2">
      <c r="NK16"/>
      <c r="NL16"/>
      <c r="NN16"/>
      <c r="NO16"/>
      <c r="NP16"/>
    </row>
    <row r="17" customFormat="1" x14ac:dyDescent="0.2"/>
  </sheetData>
  <autoFilter ref="A12:NJ96" xr:uid="{1C13B654-6793-49E9-8AC5-C509D51E0A69}"/>
  <phoneticPr fontId="5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XFC23"/>
  <sheetViews>
    <sheetView zoomScale="85" zoomScaleNormal="85" workbookViewId="0"/>
  </sheetViews>
  <sheetFormatPr defaultRowHeight="12.9" x14ac:dyDescent="0.2"/>
  <cols>
    <col min="1" max="1" width="16.25" bestFit="1" customWidth="1"/>
    <col min="2" max="2" width="15.75" bestFit="1" customWidth="1"/>
    <col min="3" max="3" width="12.25" bestFit="1" customWidth="1"/>
    <col min="4" max="4" width="11.875" bestFit="1" customWidth="1"/>
    <col min="5" max="5" width="5.75" bestFit="1" customWidth="1"/>
    <col min="6" max="6" width="14.375" bestFit="1" customWidth="1"/>
    <col min="7" max="7" width="17.375" bestFit="1" customWidth="1"/>
    <col min="8" max="8" width="4.125" bestFit="1" customWidth="1"/>
    <col min="9" max="9" width="10.25" bestFit="1" customWidth="1"/>
    <col min="10" max="10" width="8" bestFit="1" customWidth="1"/>
    <col min="11" max="11" width="7.875" bestFit="1" customWidth="1"/>
    <col min="12" max="12" width="10.25" bestFit="1" customWidth="1"/>
    <col min="13" max="14" width="8.75" bestFit="1" customWidth="1"/>
    <col min="15" max="15" width="10.25" bestFit="1" customWidth="1"/>
    <col min="16" max="17" width="8.75" bestFit="1" customWidth="1"/>
    <col min="18" max="18" width="19.875" bestFit="1" customWidth="1"/>
    <col min="19" max="19" width="4.875" bestFit="1" customWidth="1"/>
    <col min="20" max="20" width="8.125" bestFit="1" customWidth="1"/>
    <col min="21" max="23" width="6" bestFit="1" customWidth="1"/>
    <col min="24" max="24" width="7.75" bestFit="1" customWidth="1"/>
    <col min="25" max="28" width="10.25" bestFit="1" customWidth="1"/>
    <col min="29" max="29" width="11" bestFit="1" customWidth="1"/>
    <col min="30" max="30" width="21" bestFit="1" customWidth="1"/>
    <col min="31" max="31" width="10.25" bestFit="1" customWidth="1"/>
    <col min="32" max="32" width="6.125" bestFit="1" customWidth="1"/>
    <col min="33" max="34" width="10.25" bestFit="1" customWidth="1"/>
    <col min="35" max="36" width="6.25" bestFit="1" customWidth="1"/>
    <col min="37" max="37" width="7.25" bestFit="1" customWidth="1"/>
    <col min="38" max="39" width="6.125" bestFit="1" customWidth="1"/>
    <col min="40" max="40" width="3.75" bestFit="1" customWidth="1"/>
    <col min="41" max="41" width="4.875" bestFit="1" customWidth="1"/>
    <col min="42" max="42" width="6.125" bestFit="1" customWidth="1"/>
    <col min="43" max="43" width="8.125" bestFit="1" customWidth="1"/>
    <col min="44" max="44" width="10.25" bestFit="1" customWidth="1"/>
    <col min="45" max="45" width="9.625" bestFit="1" customWidth="1"/>
    <col min="46" max="46" width="10.25" bestFit="1" customWidth="1"/>
    <col min="47" max="47" width="8.625" bestFit="1" customWidth="1"/>
    <col min="48" max="48" width="9.375" bestFit="1" customWidth="1"/>
    <col min="49" max="49" width="10.25" bestFit="1" customWidth="1"/>
    <col min="50" max="50" width="10.875" bestFit="1" customWidth="1"/>
    <col min="51" max="51" width="10.25" bestFit="1" customWidth="1"/>
    <col min="52" max="52" width="6.375" bestFit="1" customWidth="1"/>
    <col min="53" max="54" width="10.25" bestFit="1" customWidth="1"/>
    <col min="55" max="55" width="27.125" bestFit="1" customWidth="1"/>
    <col min="56" max="56" width="14.375" bestFit="1" customWidth="1"/>
    <col min="57" max="60" width="13.25" bestFit="1" customWidth="1"/>
    <col min="61" max="61" width="13.625" bestFit="1" customWidth="1"/>
    <col min="62" max="62" width="14.25" bestFit="1" customWidth="1"/>
    <col min="63" max="63" width="13.625" bestFit="1" customWidth="1"/>
    <col min="64" max="64" width="13.625" customWidth="1"/>
    <col min="65" max="65" width="15.75" bestFit="1" customWidth="1"/>
    <col min="66" max="66" width="10.875" bestFit="1" customWidth="1"/>
    <col min="67" max="67" width="10.25" bestFit="1" customWidth="1"/>
    <col min="68" max="68" width="5.375" bestFit="1" customWidth="1"/>
    <col min="69" max="69" width="12.25" bestFit="1" customWidth="1"/>
    <col min="70" max="70" width="10.25" bestFit="1" customWidth="1"/>
    <col min="71" max="71" width="11.25" customWidth="1"/>
    <col min="72" max="72" width="24" bestFit="1" customWidth="1"/>
    <col min="73" max="73" width="10.25" bestFit="1" customWidth="1"/>
    <col min="74" max="75" width="13.75" bestFit="1" customWidth="1"/>
    <col min="76" max="77" width="10.25" bestFit="1" customWidth="1"/>
    <col min="78" max="78" width="13.375" bestFit="1" customWidth="1"/>
    <col min="79" max="79" width="12.125" bestFit="1" customWidth="1"/>
    <col min="80" max="80" width="17.75" bestFit="1" customWidth="1"/>
    <col min="81" max="81" width="9.75" bestFit="1" customWidth="1"/>
    <col min="82" max="82" width="11.125" customWidth="1"/>
    <col min="83" max="83" width="14.875" bestFit="1" customWidth="1"/>
    <col min="84" max="84" width="26.75" bestFit="1" customWidth="1"/>
    <col min="85" max="85" width="17.625" bestFit="1" customWidth="1"/>
    <col min="86" max="86" width="8.625" bestFit="1" customWidth="1"/>
    <col min="87" max="87" width="10" bestFit="1" customWidth="1"/>
    <col min="88" max="88" width="17.875" bestFit="1" customWidth="1"/>
    <col min="90" max="90" width="10.25" bestFit="1" customWidth="1"/>
    <col min="91" max="91" width="17.75" bestFit="1" customWidth="1"/>
    <col min="92" max="92" width="9.75" bestFit="1" customWidth="1"/>
    <col min="93" max="93" width="11.125" bestFit="1" customWidth="1"/>
    <col min="94" max="94" width="20" bestFit="1" customWidth="1"/>
    <col min="95" max="95" width="17.75" bestFit="1" customWidth="1"/>
    <col min="96" max="96" width="35.625" bestFit="1" customWidth="1"/>
    <col min="97" max="97" width="8.125" bestFit="1" customWidth="1"/>
    <col min="98" max="98" width="8.625" bestFit="1" customWidth="1"/>
    <col min="99" max="99" width="9.25" bestFit="1" customWidth="1"/>
    <col min="100" max="100" width="8.625" bestFit="1" customWidth="1"/>
    <col min="101" max="101" width="9.375" bestFit="1" customWidth="1"/>
    <col min="102" max="102" width="8.75" bestFit="1" customWidth="1"/>
    <col min="103" max="103" width="9.375" bestFit="1" customWidth="1"/>
    <col min="104" max="104" width="13.25" bestFit="1" customWidth="1"/>
    <col min="105" max="105" width="8.25" bestFit="1" customWidth="1"/>
    <col min="106" max="106" width="11.375" bestFit="1" customWidth="1"/>
    <col min="107" max="107" width="13.25" bestFit="1" customWidth="1"/>
    <col min="108" max="108" width="9.25" bestFit="1" customWidth="1"/>
    <col min="109" max="109" width="9.25" customWidth="1"/>
    <col min="110" max="110" width="15" bestFit="1" customWidth="1"/>
    <col min="111" max="111" width="10.625" bestFit="1" customWidth="1"/>
    <col min="112" max="116" width="9.25" bestFit="1" customWidth="1"/>
    <col min="117" max="117" width="9.625" bestFit="1" customWidth="1"/>
    <col min="118" max="119" width="9.25" bestFit="1" customWidth="1"/>
    <col min="120" max="120" width="9.375" bestFit="1" customWidth="1"/>
    <col min="121" max="121" width="10.875" bestFit="1" customWidth="1"/>
    <col min="122" max="122" width="10.25" bestFit="1" customWidth="1"/>
    <col min="123" max="123" width="9.875" bestFit="1" customWidth="1"/>
    <col min="124" max="124" width="10" bestFit="1" customWidth="1"/>
    <col min="125" max="125" width="13.625" bestFit="1" customWidth="1"/>
    <col min="126" max="126" width="23.375" bestFit="1" customWidth="1"/>
    <col min="127" max="127" width="23.375" customWidth="1"/>
    <col min="128" max="128" width="10" bestFit="1" customWidth="1"/>
    <col min="129" max="129" width="13.75" bestFit="1" customWidth="1"/>
    <col min="130" max="130" width="13.375" bestFit="1" customWidth="1"/>
    <col min="131" max="133" width="10" bestFit="1" customWidth="1"/>
    <col min="134" max="134" width="10.25" bestFit="1" customWidth="1"/>
    <col min="135" max="135" width="10.625" customWidth="1"/>
    <col min="136" max="136" width="13.75" bestFit="1" customWidth="1"/>
    <col min="137" max="137" width="15.875" bestFit="1" customWidth="1"/>
    <col min="138" max="138" width="19.625" bestFit="1" customWidth="1"/>
    <col min="139" max="139" width="9.875" bestFit="1" customWidth="1"/>
    <col min="140" max="140" width="19.625" bestFit="1" customWidth="1"/>
    <col min="141" max="141" width="19.375" bestFit="1" customWidth="1"/>
    <col min="142" max="142" width="19.375" customWidth="1"/>
    <col min="143" max="144" width="11" bestFit="1" customWidth="1"/>
    <col min="145" max="145" width="14.25" bestFit="1" customWidth="1"/>
    <col min="146" max="146" width="16" bestFit="1" customWidth="1"/>
    <col min="147" max="147" width="13.625" bestFit="1" customWidth="1"/>
    <col min="148" max="148" width="11" bestFit="1" customWidth="1"/>
    <col min="149" max="149" width="7.125" bestFit="1" customWidth="1"/>
    <col min="150" max="150" width="11.125" customWidth="1"/>
    <col min="151" max="151" width="10.25" bestFit="1" customWidth="1"/>
    <col min="152" max="152" width="11" bestFit="1" customWidth="1"/>
    <col min="153" max="153" width="10.375" bestFit="1" customWidth="1"/>
    <col min="154" max="154" width="11.125" customWidth="1"/>
    <col min="155" max="155" width="10.25" bestFit="1" customWidth="1"/>
    <col min="156" max="158" width="10.25" customWidth="1"/>
    <col min="159" max="159" width="10.375" bestFit="1" customWidth="1"/>
    <col min="160" max="160" width="10.375" customWidth="1"/>
    <col min="161" max="161" width="10.375" bestFit="1" customWidth="1"/>
    <col min="162" max="162" width="10.25" bestFit="1" customWidth="1"/>
    <col min="163" max="163" width="9.875" bestFit="1" customWidth="1"/>
    <col min="164" max="165" width="10.25" bestFit="1" customWidth="1"/>
    <col min="166" max="170" width="10.25" customWidth="1"/>
    <col min="171" max="171" width="15.75" bestFit="1" customWidth="1"/>
    <col min="172" max="172" width="15.75" customWidth="1"/>
    <col min="173" max="173" width="26.125" bestFit="1" customWidth="1"/>
    <col min="174" max="174" width="29.875" bestFit="1" customWidth="1"/>
    <col min="175" max="175" width="10.875" bestFit="1" customWidth="1"/>
    <col min="176" max="176" width="19.625" bestFit="1" customWidth="1"/>
    <col min="177" max="177" width="16.625" bestFit="1" customWidth="1"/>
    <col min="178" max="178" width="13.75" bestFit="1" customWidth="1"/>
    <col min="179" max="179" width="10.875" bestFit="1" customWidth="1"/>
    <col min="180" max="180" width="11.25" customWidth="1"/>
    <col min="181" max="181" width="9.875" bestFit="1" customWidth="1"/>
    <col min="182" max="182" width="13.625" bestFit="1" customWidth="1"/>
    <col min="183" max="183" width="8.125" bestFit="1" customWidth="1"/>
    <col min="184" max="184" width="15.375" bestFit="1" customWidth="1"/>
    <col min="185" max="185" width="17.625" bestFit="1" customWidth="1"/>
    <col min="186" max="186" width="20.25" bestFit="1" customWidth="1"/>
    <col min="187" max="187" width="17.375" bestFit="1" customWidth="1"/>
    <col min="188" max="188" width="15.625" bestFit="1" customWidth="1"/>
    <col min="189" max="189" width="12.125" bestFit="1" customWidth="1"/>
    <col min="190" max="190" width="13.625" bestFit="1" customWidth="1"/>
    <col min="191" max="191" width="15" bestFit="1" customWidth="1"/>
    <col min="192" max="192" width="13.625" bestFit="1" customWidth="1"/>
    <col min="193" max="193" width="20.125" bestFit="1" customWidth="1"/>
    <col min="194" max="194" width="23.625" bestFit="1" customWidth="1"/>
    <col min="195" max="195" width="19.125" bestFit="1" customWidth="1"/>
    <col min="196" max="196" width="25.125" bestFit="1" customWidth="1"/>
    <col min="197" max="197" width="22.125" bestFit="1" customWidth="1"/>
    <col min="198" max="198" width="25.875" bestFit="1" customWidth="1"/>
    <col min="199" max="199" width="15.625" bestFit="1" customWidth="1"/>
    <col min="200" max="200" width="13.875" bestFit="1" customWidth="1"/>
    <col min="201" max="201" width="19.25" bestFit="1" customWidth="1"/>
    <col min="202" max="202" width="21.375" bestFit="1" customWidth="1"/>
    <col min="203" max="203" width="20" bestFit="1" customWidth="1"/>
    <col min="204" max="204" width="16.125" bestFit="1" customWidth="1"/>
    <col min="205" max="205" width="22.25" bestFit="1" customWidth="1"/>
    <col min="206" max="207" width="22.25" customWidth="1"/>
    <col min="208" max="208" width="22.875" bestFit="1" customWidth="1"/>
    <col min="209" max="209" width="12.625" bestFit="1" customWidth="1"/>
    <col min="210" max="214" width="11.25" bestFit="1" customWidth="1"/>
    <col min="215" max="215" width="14.25" bestFit="1" customWidth="1"/>
    <col min="216" max="216" width="16.125" bestFit="1" customWidth="1"/>
    <col min="217" max="217" width="12.125" bestFit="1" customWidth="1"/>
    <col min="218" max="218" width="11.375" bestFit="1" customWidth="1"/>
    <col min="219" max="219" width="11.625" bestFit="1" customWidth="1"/>
    <col min="220" max="220" width="12.125" customWidth="1"/>
    <col min="221" max="221" width="11.875" bestFit="1" customWidth="1"/>
    <col min="222" max="223" width="11.25" bestFit="1" customWidth="1"/>
    <col min="224" max="224" width="14" bestFit="1" customWidth="1"/>
    <col min="225" max="225" width="11.25" customWidth="1"/>
    <col min="226" max="226" width="11.25" bestFit="1" customWidth="1"/>
    <col min="227" max="227" width="13.375" bestFit="1" customWidth="1"/>
    <col min="228" max="228" width="15.25" bestFit="1" customWidth="1"/>
    <col min="229" max="229" width="16" bestFit="1" customWidth="1"/>
    <col min="230" max="231" width="16" customWidth="1"/>
    <col min="232" max="232" width="13.625" bestFit="1" customWidth="1"/>
    <col min="233" max="233" width="13.625" customWidth="1"/>
    <col min="234" max="235" width="11.25" bestFit="1" customWidth="1"/>
    <col min="236" max="236" width="11.75" bestFit="1" customWidth="1"/>
    <col min="237" max="237" width="11.25" bestFit="1" customWidth="1"/>
    <col min="238" max="238" width="12.625" bestFit="1" customWidth="1"/>
    <col min="239" max="241" width="12.625" customWidth="1"/>
    <col min="242" max="242" width="13.25" bestFit="1" customWidth="1"/>
    <col min="243" max="243" width="13.25" customWidth="1"/>
    <col min="244" max="245" width="11.25" bestFit="1" customWidth="1"/>
    <col min="246" max="246" width="17.75" bestFit="1" customWidth="1"/>
    <col min="247" max="247" width="14.625" bestFit="1" customWidth="1"/>
    <col min="248" max="248" width="11.25" bestFit="1" customWidth="1"/>
    <col min="249" max="249" width="16.125" bestFit="1" customWidth="1"/>
    <col min="250" max="250" width="14.875" bestFit="1" customWidth="1"/>
    <col min="251" max="251" width="16" bestFit="1" customWidth="1"/>
    <col min="252" max="252" width="15.875" bestFit="1" customWidth="1"/>
    <col min="253" max="254" width="16.875" bestFit="1" customWidth="1"/>
    <col min="255" max="255" width="9" bestFit="1" customWidth="1"/>
    <col min="256" max="257" width="16.625" bestFit="1" customWidth="1"/>
    <col min="258" max="258" width="17.75" bestFit="1" customWidth="1"/>
    <col min="259" max="259" width="21.375" bestFit="1" customWidth="1"/>
    <col min="260" max="260" width="17.875" bestFit="1" customWidth="1"/>
    <col min="261" max="261" width="9.25" bestFit="1" customWidth="1"/>
    <col min="262" max="262" width="18.375" bestFit="1" customWidth="1"/>
    <col min="263" max="263" width="21.375" bestFit="1" customWidth="1"/>
    <col min="264" max="264" width="10.375" bestFit="1" customWidth="1"/>
    <col min="265" max="265" width="16" bestFit="1" customWidth="1"/>
    <col min="266" max="266" width="16.125" bestFit="1" customWidth="1"/>
    <col min="267" max="267" width="8.375" bestFit="1" customWidth="1"/>
    <col min="268" max="268" width="12" bestFit="1" customWidth="1"/>
    <col min="269" max="269" width="16.125" bestFit="1" customWidth="1"/>
    <col min="270" max="272" width="17.625" bestFit="1" customWidth="1"/>
    <col min="273" max="274" width="15.125" bestFit="1" customWidth="1"/>
    <col min="275" max="275" width="14.625" bestFit="1" customWidth="1"/>
    <col min="276" max="276" width="14.75" customWidth="1"/>
    <col min="277" max="277" width="13.875" bestFit="1" customWidth="1"/>
    <col min="278" max="278" width="14.75" customWidth="1"/>
    <col min="279" max="279" width="14.375" bestFit="1" customWidth="1"/>
    <col min="280" max="280" width="14.75" customWidth="1"/>
    <col min="281" max="281" width="17.75" bestFit="1" customWidth="1"/>
    <col min="282" max="282" width="7.375" bestFit="1" customWidth="1"/>
    <col min="283" max="283" width="7.75" bestFit="1" customWidth="1"/>
    <col min="284" max="284" width="9.75" bestFit="1" customWidth="1"/>
    <col min="285" max="285" width="9.625" bestFit="1" customWidth="1"/>
    <col min="286" max="287" width="7.75" bestFit="1" customWidth="1"/>
    <col min="288" max="288" width="9.875" bestFit="1" customWidth="1"/>
    <col min="289" max="290" width="11.75" customWidth="1"/>
    <col min="291" max="291" width="11.625" bestFit="1" customWidth="1"/>
    <col min="292" max="292" width="27.625" bestFit="1" customWidth="1"/>
    <col min="293" max="293" width="27" bestFit="1" customWidth="1"/>
    <col min="294" max="294" width="26.625" bestFit="1" customWidth="1"/>
    <col min="295" max="295" width="11.75" customWidth="1"/>
    <col min="296" max="296" width="11.875" bestFit="1" customWidth="1"/>
    <col min="297" max="297" width="16.375" bestFit="1" customWidth="1"/>
    <col min="298" max="298" width="11.75" customWidth="1"/>
    <col min="299" max="299" width="11" bestFit="1" customWidth="1"/>
    <col min="300" max="300" width="13.875" bestFit="1" customWidth="1"/>
    <col min="301" max="302" width="11" bestFit="1" customWidth="1"/>
    <col min="303" max="303" width="11" customWidth="1"/>
    <col min="304" max="304" width="14.75" bestFit="1" customWidth="1"/>
    <col min="305" max="306" width="14.75" style="92" customWidth="1"/>
    <col min="307" max="312" width="14.75" customWidth="1"/>
  </cols>
  <sheetData>
    <row r="1" spans="1:312" s="13" customFormat="1" ht="13.6" x14ac:dyDescent="0.25">
      <c r="A1" s="4" t="s">
        <v>0</v>
      </c>
      <c r="B1" s="175" t="s">
        <v>263</v>
      </c>
      <c r="C1" s="175" t="s">
        <v>1</v>
      </c>
      <c r="D1" s="175" t="s">
        <v>2</v>
      </c>
      <c r="E1" s="176" t="s">
        <v>3</v>
      </c>
      <c r="F1" s="176" t="s">
        <v>379</v>
      </c>
      <c r="G1" s="176" t="s">
        <v>122</v>
      </c>
      <c r="H1" s="176" t="s">
        <v>234</v>
      </c>
      <c r="I1" s="176" t="s">
        <v>77</v>
      </c>
      <c r="J1" s="177" t="s">
        <v>4</v>
      </c>
      <c r="K1" s="177" t="s">
        <v>5</v>
      </c>
      <c r="L1" s="177" t="s">
        <v>71</v>
      </c>
      <c r="M1" s="177" t="s">
        <v>72</v>
      </c>
      <c r="N1" s="177" t="s">
        <v>73</v>
      </c>
      <c r="O1" s="177" t="s">
        <v>102</v>
      </c>
      <c r="P1" s="177" t="s">
        <v>103</v>
      </c>
      <c r="Q1" s="177" t="s">
        <v>104</v>
      </c>
      <c r="R1" s="177" t="s">
        <v>105</v>
      </c>
      <c r="S1" s="177" t="s">
        <v>110</v>
      </c>
      <c r="T1" s="177" t="s">
        <v>63</v>
      </c>
      <c r="U1" s="177" t="s">
        <v>8</v>
      </c>
      <c r="V1" s="177" t="s">
        <v>9</v>
      </c>
      <c r="W1" s="177" t="s">
        <v>106</v>
      </c>
      <c r="X1" s="177" t="s">
        <v>21</v>
      </c>
      <c r="Y1" s="177" t="s">
        <v>254</v>
      </c>
      <c r="Z1" s="177" t="s">
        <v>6</v>
      </c>
      <c r="AA1" s="177" t="s">
        <v>7</v>
      </c>
      <c r="AB1" s="177" t="s">
        <v>107</v>
      </c>
      <c r="AC1" s="177" t="s">
        <v>19</v>
      </c>
      <c r="AD1" s="177" t="s">
        <v>261</v>
      </c>
      <c r="AE1" s="177" t="s">
        <v>22</v>
      </c>
      <c r="AF1" s="177" t="s">
        <v>126</v>
      </c>
      <c r="AG1" s="177" t="s">
        <v>23</v>
      </c>
      <c r="AH1" s="177" t="s">
        <v>75</v>
      </c>
      <c r="AI1" s="177" t="s">
        <v>108</v>
      </c>
      <c r="AJ1" s="177" t="s">
        <v>109</v>
      </c>
      <c r="AK1" s="177" t="s">
        <v>880</v>
      </c>
      <c r="AL1" s="177" t="s">
        <v>259</v>
      </c>
      <c r="AM1" s="177" t="s">
        <v>260</v>
      </c>
      <c r="AN1" s="177" t="s">
        <v>70</v>
      </c>
      <c r="AO1" s="177" t="s">
        <v>34</v>
      </c>
      <c r="AP1" s="177" t="s">
        <v>35</v>
      </c>
      <c r="AQ1" s="177" t="s">
        <v>144</v>
      </c>
      <c r="AR1" s="177" t="s">
        <v>96</v>
      </c>
      <c r="AS1" s="177" t="s">
        <v>41</v>
      </c>
      <c r="AT1" s="177" t="s">
        <v>127</v>
      </c>
      <c r="AU1" s="177" t="s">
        <v>117</v>
      </c>
      <c r="AV1" s="177" t="s">
        <v>142</v>
      </c>
      <c r="AW1" s="177" t="s">
        <v>95</v>
      </c>
      <c r="AX1" s="177" t="s">
        <v>39</v>
      </c>
      <c r="AY1" s="177" t="s">
        <v>143</v>
      </c>
      <c r="AZ1" s="177" t="s">
        <v>36</v>
      </c>
      <c r="BA1" s="177" t="s">
        <v>37</v>
      </c>
      <c r="BB1" s="177" t="s">
        <v>135</v>
      </c>
      <c r="BC1" s="177" t="s">
        <v>435</v>
      </c>
      <c r="BD1" s="177" t="s">
        <v>1133</v>
      </c>
      <c r="BE1" s="177" t="s">
        <v>93</v>
      </c>
      <c r="BF1" s="177" t="s">
        <v>1014</v>
      </c>
      <c r="BG1" s="177" t="s">
        <v>64</v>
      </c>
      <c r="BH1" s="177" t="s">
        <v>65</v>
      </c>
      <c r="BI1" s="177" t="s">
        <v>1189</v>
      </c>
      <c r="BJ1" s="177" t="s">
        <v>1190</v>
      </c>
      <c r="BK1" s="177" t="s">
        <v>1191</v>
      </c>
      <c r="BL1" s="177" t="s">
        <v>2771</v>
      </c>
      <c r="BM1" s="177" t="s">
        <v>128</v>
      </c>
      <c r="BN1" s="177" t="s">
        <v>40</v>
      </c>
      <c r="BO1" s="177" t="s">
        <v>38</v>
      </c>
      <c r="BP1" s="177" t="s">
        <v>46</v>
      </c>
      <c r="BQ1" s="177" t="s">
        <v>42</v>
      </c>
      <c r="BR1" s="177" t="s">
        <v>43</v>
      </c>
      <c r="BS1" s="177" t="s">
        <v>44</v>
      </c>
      <c r="BT1" s="177" t="s">
        <v>438</v>
      </c>
      <c r="BU1" s="177"/>
      <c r="BV1" s="177" t="s">
        <v>67</v>
      </c>
      <c r="BW1" s="177" t="s">
        <v>68</v>
      </c>
      <c r="BX1" s="177" t="s">
        <v>136</v>
      </c>
      <c r="BY1" s="177" t="s">
        <v>208</v>
      </c>
      <c r="BZ1" s="177" t="s">
        <v>301</v>
      </c>
      <c r="CA1" s="177" t="s">
        <v>676</v>
      </c>
      <c r="CB1" s="177" t="s">
        <v>268</v>
      </c>
      <c r="CC1" s="177" t="s">
        <v>101</v>
      </c>
      <c r="CD1" s="177" t="s">
        <v>269</v>
      </c>
      <c r="CE1" s="177" t="s">
        <v>599</v>
      </c>
      <c r="CF1" s="177" t="s">
        <v>590</v>
      </c>
      <c r="CG1" s="177" t="s">
        <v>24</v>
      </c>
      <c r="CH1" s="177" t="s">
        <v>26</v>
      </c>
      <c r="CI1" s="177" t="s">
        <v>28</v>
      </c>
      <c r="CJ1" s="177" t="s">
        <v>25</v>
      </c>
      <c r="CK1" s="177" t="s">
        <v>27</v>
      </c>
      <c r="CL1" s="177" t="s">
        <v>29</v>
      </c>
      <c r="CM1" s="177" t="s">
        <v>30</v>
      </c>
      <c r="CN1" s="177" t="s">
        <v>32</v>
      </c>
      <c r="CO1" s="177" t="s">
        <v>33</v>
      </c>
      <c r="CP1" s="177" t="s">
        <v>681</v>
      </c>
      <c r="CQ1" s="177" t="s">
        <v>682</v>
      </c>
      <c r="CR1" s="177" t="s">
        <v>276</v>
      </c>
      <c r="CS1" s="177" t="s">
        <v>1112</v>
      </c>
      <c r="CT1" s="177" t="s">
        <v>1055</v>
      </c>
      <c r="CU1" s="177" t="s">
        <v>1070</v>
      </c>
      <c r="CV1" s="177" t="s">
        <v>47</v>
      </c>
      <c r="CW1" s="177" t="s">
        <v>48</v>
      </c>
      <c r="CX1" s="177" t="s">
        <v>57</v>
      </c>
      <c r="CY1" s="177" t="s">
        <v>58</v>
      </c>
      <c r="CZ1" s="177" t="s">
        <v>183</v>
      </c>
      <c r="DA1" s="177" t="s">
        <v>187</v>
      </c>
      <c r="DB1" s="177" t="s">
        <v>49</v>
      </c>
      <c r="DC1" s="177" t="s">
        <v>190</v>
      </c>
      <c r="DD1" s="177" t="s">
        <v>179</v>
      </c>
      <c r="DE1" s="177" t="s">
        <v>192</v>
      </c>
      <c r="DF1" s="177"/>
      <c r="DG1" s="177"/>
      <c r="DH1" s="177"/>
      <c r="DI1" s="177" t="s">
        <v>257</v>
      </c>
      <c r="DJ1" s="177" t="s">
        <v>194</v>
      </c>
      <c r="DK1" s="177" t="s">
        <v>195</v>
      </c>
      <c r="DL1" s="177" t="s">
        <v>196</v>
      </c>
      <c r="DM1" s="177" t="s">
        <v>253</v>
      </c>
      <c r="DN1" s="177" t="s">
        <v>197</v>
      </c>
      <c r="DO1" s="177" t="s">
        <v>474</v>
      </c>
      <c r="DP1" s="177" t="s">
        <v>595</v>
      </c>
      <c r="DQ1" s="177" t="s">
        <v>97</v>
      </c>
      <c r="DR1" s="179" t="s">
        <v>79</v>
      </c>
      <c r="DS1" s="179" t="s">
        <v>80</v>
      </c>
      <c r="DT1" s="177" t="s">
        <v>289</v>
      </c>
      <c r="DU1" s="177" t="s">
        <v>290</v>
      </c>
      <c r="DV1" s="177" t="s">
        <v>2317</v>
      </c>
      <c r="DW1" s="177" t="s">
        <v>1049</v>
      </c>
      <c r="DX1" s="177" t="s">
        <v>410</v>
      </c>
      <c r="DY1" s="177" t="s">
        <v>225</v>
      </c>
      <c r="DZ1" s="177" t="s">
        <v>314</v>
      </c>
      <c r="EA1" s="177" t="s">
        <v>211</v>
      </c>
      <c r="EB1" s="177" t="s">
        <v>213</v>
      </c>
      <c r="EC1" s="177" t="s">
        <v>239</v>
      </c>
      <c r="ED1" s="177" t="s">
        <v>240</v>
      </c>
      <c r="EE1" s="177" t="s">
        <v>313</v>
      </c>
      <c r="EF1" s="177" t="s">
        <v>238</v>
      </c>
      <c r="EG1" s="177" t="s">
        <v>316</v>
      </c>
      <c r="EH1" s="177" t="s">
        <v>317</v>
      </c>
      <c r="EI1" s="177" t="s">
        <v>325</v>
      </c>
      <c r="EJ1" s="177" t="s">
        <v>224</v>
      </c>
      <c r="EK1" s="177" t="s">
        <v>326</v>
      </c>
      <c r="EL1" s="177" t="s">
        <v>1050</v>
      </c>
      <c r="EM1" s="177" t="s">
        <v>445</v>
      </c>
      <c r="EN1" s="177" t="s">
        <v>1163</v>
      </c>
      <c r="EO1" s="177" t="s">
        <v>159</v>
      </c>
      <c r="EP1" s="177" t="s">
        <v>443</v>
      </c>
      <c r="EQ1" s="177" t="s">
        <v>444</v>
      </c>
      <c r="ER1" s="177" t="s">
        <v>62</v>
      </c>
      <c r="ES1" s="177"/>
      <c r="ET1" s="177" t="s">
        <v>346</v>
      </c>
      <c r="EU1" s="177" t="s">
        <v>312</v>
      </c>
      <c r="EV1" s="177" t="s">
        <v>150</v>
      </c>
      <c r="EW1" s="177" t="s">
        <v>878</v>
      </c>
      <c r="EX1" s="177"/>
      <c r="EY1" s="177" t="s">
        <v>877</v>
      </c>
      <c r="EZ1" s="177"/>
      <c r="FA1" s="177" t="s">
        <v>876</v>
      </c>
      <c r="FB1" s="177"/>
      <c r="FC1" s="177" t="s">
        <v>153</v>
      </c>
      <c r="FD1" s="177"/>
      <c r="FE1" s="177" t="s">
        <v>302</v>
      </c>
      <c r="FF1" s="177"/>
      <c r="FG1" s="177"/>
      <c r="FH1" s="177" t="s">
        <v>305</v>
      </c>
      <c r="FI1" s="177" t="s">
        <v>311</v>
      </c>
      <c r="FJ1" s="177"/>
      <c r="FK1" s="177"/>
      <c r="FL1" s="177" t="s">
        <v>303</v>
      </c>
      <c r="FM1" s="177" t="s">
        <v>304</v>
      </c>
      <c r="FN1" s="177"/>
      <c r="FO1" s="177" t="s">
        <v>154</v>
      </c>
      <c r="FP1" s="177"/>
      <c r="FQ1" s="395" t="s">
        <v>98</v>
      </c>
      <c r="FR1" s="395" t="s">
        <v>99</v>
      </c>
      <c r="FS1" s="182" t="s">
        <v>330</v>
      </c>
      <c r="FT1" s="395" t="s">
        <v>332</v>
      </c>
      <c r="FU1" s="395" t="s">
        <v>1155</v>
      </c>
      <c r="FV1" s="177" t="s">
        <v>718</v>
      </c>
      <c r="FW1" s="177" t="s">
        <v>1151</v>
      </c>
      <c r="FX1" s="177" t="s">
        <v>1156</v>
      </c>
      <c r="FY1" s="177" t="s">
        <v>1073</v>
      </c>
      <c r="FZ1" s="177" t="s">
        <v>899</v>
      </c>
      <c r="GA1" s="177" t="s">
        <v>1011</v>
      </c>
      <c r="GB1" s="177" t="s">
        <v>1006</v>
      </c>
      <c r="GC1" s="177" t="s">
        <v>1157</v>
      </c>
      <c r="GD1" s="177" t="s">
        <v>1007</v>
      </c>
      <c r="GE1" s="177" t="s">
        <v>1158</v>
      </c>
      <c r="GF1" s="177" t="s">
        <v>1008</v>
      </c>
      <c r="GG1" s="177" t="s">
        <v>864</v>
      </c>
      <c r="GH1" s="177" t="s">
        <v>734</v>
      </c>
      <c r="GI1" s="177" t="s">
        <v>1135</v>
      </c>
      <c r="GJ1" s="177" t="s">
        <v>1160</v>
      </c>
      <c r="GK1" s="177" t="s">
        <v>82</v>
      </c>
      <c r="GL1" s="177" t="s">
        <v>81</v>
      </c>
      <c r="GM1" s="396" t="s">
        <v>226</v>
      </c>
      <c r="GN1" s="396" t="s">
        <v>337</v>
      </c>
      <c r="GO1" s="396" t="s">
        <v>456</v>
      </c>
      <c r="GP1" s="396" t="s">
        <v>333</v>
      </c>
      <c r="GQ1" s="396" t="s">
        <v>334</v>
      </c>
      <c r="GR1" s="177" t="s">
        <v>437</v>
      </c>
      <c r="GS1" s="177" t="s">
        <v>50</v>
      </c>
      <c r="GT1" s="177" t="s">
        <v>111</v>
      </c>
      <c r="GU1" s="177" t="s">
        <v>357</v>
      </c>
      <c r="GV1" s="182" t="s">
        <v>348</v>
      </c>
      <c r="GW1" s="182" t="s">
        <v>349</v>
      </c>
      <c r="GX1" s="182" t="s">
        <v>446</v>
      </c>
      <c r="GY1" s="182" t="s">
        <v>453</v>
      </c>
      <c r="GZ1" s="182" t="s">
        <v>350</v>
      </c>
      <c r="HA1" s="182" t="s">
        <v>351</v>
      </c>
      <c r="HB1" s="177" t="s">
        <v>145</v>
      </c>
      <c r="HC1" s="177"/>
      <c r="HD1" s="177"/>
      <c r="HE1" s="177"/>
      <c r="HF1" s="177" t="s">
        <v>198</v>
      </c>
      <c r="HG1" s="177" t="s">
        <v>146</v>
      </c>
      <c r="HH1" s="177" t="s">
        <v>147</v>
      </c>
      <c r="HI1" s="179" t="s">
        <v>100</v>
      </c>
      <c r="HJ1" s="179"/>
      <c r="HK1" s="179"/>
      <c r="HL1" s="179"/>
      <c r="HM1" s="179"/>
      <c r="HN1" s="179" t="s">
        <v>235</v>
      </c>
      <c r="HO1" s="177" t="s">
        <v>450</v>
      </c>
      <c r="HP1" s="177" t="s">
        <v>51</v>
      </c>
      <c r="HQ1" s="177" t="s">
        <v>353</v>
      </c>
      <c r="HR1" s="177" t="s">
        <v>354</v>
      </c>
      <c r="HS1" s="177" t="s">
        <v>719</v>
      </c>
      <c r="HT1" s="177"/>
      <c r="HU1" s="177" t="s">
        <v>931</v>
      </c>
      <c r="HV1" s="177" t="s">
        <v>928</v>
      </c>
      <c r="HW1" s="177"/>
      <c r="HX1" s="177" t="s">
        <v>199</v>
      </c>
      <c r="HY1" s="177"/>
      <c r="HZ1" s="177"/>
      <c r="IA1" s="177"/>
      <c r="IB1" s="177" t="s">
        <v>202</v>
      </c>
      <c r="IC1" s="177" t="s">
        <v>203</v>
      </c>
      <c r="ID1" s="177" t="s">
        <v>451</v>
      </c>
      <c r="IE1" s="177" t="s">
        <v>200</v>
      </c>
      <c r="IF1" s="177" t="s">
        <v>201</v>
      </c>
      <c r="IG1" s="177"/>
      <c r="IH1" s="177" t="s">
        <v>355</v>
      </c>
      <c r="II1" s="177"/>
      <c r="IJ1" s="177" t="s">
        <v>52</v>
      </c>
      <c r="IK1" s="177" t="s">
        <v>53</v>
      </c>
      <c r="IL1" s="177" t="s">
        <v>113</v>
      </c>
      <c r="IM1" s="177" t="s">
        <v>123</v>
      </c>
      <c r="IN1" s="177" t="s">
        <v>124</v>
      </c>
      <c r="IO1" s="177" t="s">
        <v>452</v>
      </c>
      <c r="IP1" s="177" t="s">
        <v>116</v>
      </c>
      <c r="IQ1" s="177" t="s">
        <v>83</v>
      </c>
      <c r="IR1" s="177" t="s">
        <v>84</v>
      </c>
      <c r="IS1" s="177" t="s">
        <v>85</v>
      </c>
      <c r="IT1" s="177" t="s">
        <v>86</v>
      </c>
      <c r="IU1" s="177"/>
      <c r="IV1" s="177" t="s">
        <v>87</v>
      </c>
      <c r="IW1" s="177" t="s">
        <v>88</v>
      </c>
      <c r="IX1" s="177" t="s">
        <v>89</v>
      </c>
      <c r="IY1" s="177" t="s">
        <v>90</v>
      </c>
      <c r="IZ1" s="177" t="s">
        <v>125</v>
      </c>
      <c r="JA1" s="177" t="s">
        <v>358</v>
      </c>
      <c r="JB1" s="177" t="s">
        <v>583</v>
      </c>
      <c r="JC1" s="177"/>
      <c r="JD1" s="177"/>
      <c r="JE1" s="177" t="s">
        <v>300</v>
      </c>
      <c r="JF1" s="177" t="s">
        <v>298</v>
      </c>
      <c r="JG1" s="180"/>
      <c r="JH1" s="177" t="s">
        <v>296</v>
      </c>
      <c r="JI1" s="177" t="s">
        <v>297</v>
      </c>
      <c r="JJ1" s="177" t="s">
        <v>299</v>
      </c>
      <c r="JK1" s="177" t="s">
        <v>1169</v>
      </c>
      <c r="JL1" s="177" t="s">
        <v>1121</v>
      </c>
      <c r="JM1" s="177" t="s">
        <v>54</v>
      </c>
      <c r="JN1" s="177" t="s">
        <v>55</v>
      </c>
      <c r="JO1" s="177" t="s">
        <v>361</v>
      </c>
      <c r="JP1" s="177" t="s">
        <v>362</v>
      </c>
      <c r="JQ1" s="177" t="s">
        <v>363</v>
      </c>
      <c r="JR1" s="177" t="s">
        <v>364</v>
      </c>
      <c r="JS1" s="177" t="s">
        <v>365</v>
      </c>
      <c r="JT1" s="177" t="s">
        <v>366</v>
      </c>
      <c r="JU1" s="177" t="s">
        <v>56</v>
      </c>
      <c r="JV1" s="177" t="s">
        <v>359</v>
      </c>
      <c r="JW1" s="177" t="s">
        <v>76</v>
      </c>
      <c r="JX1" s="177" t="s">
        <v>45</v>
      </c>
      <c r="JY1" s="177" t="s">
        <v>360</v>
      </c>
      <c r="JZ1" s="177" t="s">
        <v>204</v>
      </c>
      <c r="KA1" s="177" t="s">
        <v>205</v>
      </c>
      <c r="KB1" s="177" t="s">
        <v>802</v>
      </c>
      <c r="KC1" s="177" t="s">
        <v>801</v>
      </c>
      <c r="KD1" s="177" t="s">
        <v>1100</v>
      </c>
      <c r="KE1" s="177" t="s">
        <v>800</v>
      </c>
      <c r="KF1" s="177" t="s">
        <v>1101</v>
      </c>
      <c r="KG1" s="177" t="s">
        <v>1102</v>
      </c>
      <c r="KH1" s="177" t="s">
        <v>1103</v>
      </c>
      <c r="KI1" s="177" t="s">
        <v>1104</v>
      </c>
      <c r="KJ1" s="177" t="s">
        <v>1105</v>
      </c>
      <c r="KK1" s="177" t="s">
        <v>1106</v>
      </c>
      <c r="KL1" s="177" t="s">
        <v>1107</v>
      </c>
      <c r="KM1" s="177" t="s">
        <v>803</v>
      </c>
      <c r="KN1" s="177" t="s">
        <v>804</v>
      </c>
      <c r="KO1" s="177" t="s">
        <v>805</v>
      </c>
      <c r="KP1" s="177" t="s">
        <v>806</v>
      </c>
      <c r="KQ1" s="177" t="s">
        <v>1818</v>
      </c>
      <c r="KR1" s="177" t="s">
        <v>807</v>
      </c>
      <c r="KS1" s="178"/>
      <c r="KT1" s="178"/>
      <c r="KU1" s="177" t="s">
        <v>2315</v>
      </c>
      <c r="KV1" s="177"/>
      <c r="KW1" s="177"/>
      <c r="KX1" s="177" t="s">
        <v>2791</v>
      </c>
      <c r="KY1" s="177" t="s">
        <v>2786</v>
      </c>
      <c r="KZ1" s="177" t="s">
        <v>2785</v>
      </c>
    </row>
    <row r="2" spans="1:312" s="13" customFormat="1" x14ac:dyDescent="0.2">
      <c r="A2" s="6" t="s">
        <v>10</v>
      </c>
      <c r="B2" s="3">
        <v>22386400</v>
      </c>
      <c r="C2" s="3" t="s">
        <v>158</v>
      </c>
      <c r="D2" s="3"/>
      <c r="E2" s="3" t="s">
        <v>17</v>
      </c>
      <c r="F2" s="3" t="s">
        <v>43</v>
      </c>
      <c r="G2" t="s">
        <v>266</v>
      </c>
      <c r="H2"/>
      <c r="I2" s="3"/>
      <c r="J2" s="3"/>
      <c r="K2" s="3"/>
      <c r="L2"/>
      <c r="M2"/>
      <c r="N2"/>
      <c r="O2"/>
      <c r="P2"/>
      <c r="Q2"/>
      <c r="R2"/>
      <c r="S2">
        <v>2</v>
      </c>
      <c r="T2" t="str">
        <f>IF(S2="2","DR","DS")</f>
        <v>DS</v>
      </c>
      <c r="U2" s="3" t="s">
        <v>74</v>
      </c>
      <c r="V2"/>
      <c r="W2"/>
      <c r="X2" s="89" t="s">
        <v>74</v>
      </c>
      <c r="Y2" s="90">
        <v>35987</v>
      </c>
      <c r="Z2" s="92">
        <v>17872</v>
      </c>
      <c r="AA2" s="92">
        <v>18336</v>
      </c>
      <c r="AB2" s="92"/>
      <c r="AC2" s="269">
        <f>IF(AND(G2="V",OR(F2={"XRD","QPSA"})),IF(AND(F2="XRD",OR(X2={"S","D","W"})),"null",IF(NOT(ISBLANK(AA2)),AA2,DATE(YEAR(Z2)+IF(U2="M",4,-4),MONTH(Z2),DAY(Z2)))),IF(R2="Y",AB2,IF(ISBLANK(AA2),"null",AA2)))</f>
        <v>18336</v>
      </c>
      <c r="AD2" s="269"/>
      <c r="AE2" s="92">
        <v>26406</v>
      </c>
      <c r="AF2" s="269" t="str">
        <f>"null"</f>
        <v>null</v>
      </c>
      <c r="AG2" s="92">
        <v>33168</v>
      </c>
      <c r="AH2" s="92"/>
      <c r="AI2" s="92"/>
      <c r="AJ2" s="92"/>
      <c r="AK2" s="92"/>
      <c r="AL2" s="91">
        <f>19.5</f>
        <v>19.5</v>
      </c>
      <c r="AM2" s="91">
        <f>19.3</f>
        <v>19.3</v>
      </c>
      <c r="AN2" s="270">
        <f>1</f>
        <v>1</v>
      </c>
      <c r="AO2" s="7">
        <f>[1]!anb(Z2,DOPT)</f>
        <v>65</v>
      </c>
      <c r="AP2" s="7">
        <f>IF(AC2="null","null",IF(AC2&gt;DOPT,0,[1]!anb(AC2,DOPT)))</f>
        <v>64</v>
      </c>
      <c r="AQ2" s="270">
        <f>65</f>
        <v>65</v>
      </c>
      <c r="AR2" s="272">
        <f>[1]!NRD(Z2,AQ2)</f>
        <v>41640</v>
      </c>
      <c r="AS2" s="270">
        <f>MAX(AO2,AQ2)</f>
        <v>65</v>
      </c>
      <c r="AT2" s="272">
        <f>MAX(DOPT2,AR2)</f>
        <v>41640</v>
      </c>
      <c r="AU2" s="270">
        <f>[1]!ATT(Z2,AG2)</f>
        <v>41</v>
      </c>
      <c r="AV2" s="270">
        <f>65</f>
        <v>65</v>
      </c>
      <c r="AW2" s="272">
        <f>[1]!NRD(Z2,AV2)</f>
        <v>41640</v>
      </c>
      <c r="AX2" s="270">
        <f>MAX(AO2,AV2)</f>
        <v>65</v>
      </c>
      <c r="AY2" s="272">
        <f>MAX(DOPT2,AW2)</f>
        <v>41640</v>
      </c>
      <c r="AZ2" s="7">
        <f>65</f>
        <v>65</v>
      </c>
      <c r="BA2" s="269">
        <f>[1]!NRD(Z2,65)</f>
        <v>41640</v>
      </c>
      <c r="BB2" s="272">
        <f>[1]!RBD(C2,DOPT,"P",Z2,AG2,AH2,"N",IF(R2="Y",R2,"N"))</f>
        <v>43922</v>
      </c>
      <c r="BC2" s="272"/>
      <c r="BD2" s="272"/>
      <c r="BE2">
        <f>958.74</f>
        <v>958.74</v>
      </c>
      <c r="BF2"/>
      <c r="BG2" s="273">
        <f>IF(BF2&gt;0,BF2,ROUND(BE2/12,2))</f>
        <v>79.900000000000006</v>
      </c>
      <c r="BH2" s="12">
        <f>ROUND(AN2*BG2,2)</f>
        <v>79.900000000000006</v>
      </c>
      <c r="BI2" s="550">
        <f>BG2-BD2</f>
        <v>79.900000000000006</v>
      </c>
      <c r="BJ2" s="272" t="str">
        <f>IF(OR(ABS(BI2)&lt;=5,ABS(BI2&lt;=5%*MIN(BD2,BG2))),"Yes","No")</f>
        <v>No</v>
      </c>
      <c r="BK2" s="551">
        <f>IF(BJ2="Yes",BD2,BG2)</f>
        <v>79.900000000000006</v>
      </c>
      <c r="BL2" s="272">
        <f>STALE</f>
        <v>44197</v>
      </c>
      <c r="BM2" s="272">
        <f>STALE</f>
        <v>44197</v>
      </c>
      <c r="BN2" s="269">
        <f>MIN(BB2,AT2)</f>
        <v>41640</v>
      </c>
      <c r="BO2" s="11">
        <f>MIN(BB2,AY2)</f>
        <v>41640</v>
      </c>
      <c r="BP2" s="269" t="str">
        <f>IF(AG2&lt;DOPT,"HIGH",IF(YEAR(Z2)+AX2&lt;=YEAR(DOPT),"IMM",[1]!BL(DOPT,Z2,AG2,"N","Y","Y",C2,AX2,BH2)))</f>
        <v>HIGH</v>
      </c>
      <c r="BQ2" s="7">
        <f>AO2</f>
        <v>65</v>
      </c>
      <c r="BR2" s="269">
        <f>DOPT2</f>
        <v>41640</v>
      </c>
      <c r="BS2" s="7">
        <f>AP2</f>
        <v>64</v>
      </c>
      <c r="BT2" s="269">
        <v>41640</v>
      </c>
      <c r="BU2" s="269">
        <f>IF(G2="R",BR2,BT2)</f>
        <v>41640</v>
      </c>
      <c r="BV2" s="7">
        <f>[1]!anb(Z2,BU2)</f>
        <v>65</v>
      </c>
      <c r="BW2" s="274">
        <f>IF(AC2="null","null",IF(AC2&gt;BU2,0,[1]!anb(AC2,BU2)))</f>
        <v>64</v>
      </c>
      <c r="BX2" s="272"/>
      <c r="BY2" s="272"/>
      <c r="BZ2" s="272"/>
      <c r="CA2" s="272"/>
      <c r="CB2" s="7"/>
      <c r="CC2" s="7"/>
      <c r="CD2" s="7"/>
      <c r="CE2" s="7"/>
      <c r="CF2" s="272"/>
      <c r="CG2" s="8" t="str">
        <f>"2"</f>
        <v>2</v>
      </c>
      <c r="CH2" s="275">
        <f>0</f>
        <v>0</v>
      </c>
      <c r="CI2" s="276">
        <f>0</f>
        <v>0</v>
      </c>
      <c r="CJ2" s="8" t="str">
        <f>"0"</f>
        <v>0</v>
      </c>
      <c r="CK2" s="275">
        <f>IF(AG2&lt;DATE(2001,4,15),0.55,0.6)</f>
        <v>0.55000000000000004</v>
      </c>
      <c r="CL2" s="276">
        <f>0</f>
        <v>0</v>
      </c>
      <c r="CM2" s="7" t="str">
        <f>IF(OR(X2={"M","U",""}),CJ2,CG2)</f>
        <v>0</v>
      </c>
      <c r="CN2" s="275">
        <f>IF(CM2="0",CK2,0)</f>
        <v>0.55000000000000004</v>
      </c>
      <c r="CO2" s="7">
        <f>0</f>
        <v>0</v>
      </c>
      <c r="CP2" s="7" t="str">
        <f>IF(ISBLANK(AH2),"null",IF(CB2="5","4","2"))</f>
        <v>null</v>
      </c>
      <c r="CQ2" s="7" t="str">
        <f>IF(CP2="null","null",IF(CO2=0,0,CO2-[1]!COMPM(BX2,AH2)))</f>
        <v>null</v>
      </c>
      <c r="CR2" s="7" t="str">
        <f>"Joint-and-"&amp;CK2*100&amp;"% Survivor "&amp;IF(CJ2="0","'Pop-up'","")&amp;" Annuity"</f>
        <v>Joint-and-55% Survivor 'Pop-up' Annuity</v>
      </c>
      <c r="CS2" s="7" t="str">
        <f>"J&amp;"&amp;CK2*100&amp;"%P"</f>
        <v>J&amp;55%P</v>
      </c>
      <c r="CT2" s="284">
        <f>IF(AG2&lt;DATE(1989,4,10),DI2,1)</f>
        <v>1</v>
      </c>
      <c r="CU2" s="8">
        <f>ROUND(BG2*CT2,2)</f>
        <v>79.900000000000006</v>
      </c>
      <c r="CV2" s="7">
        <f>IF(AND(AE2&gt;DATE(1989,4,10),AL2&gt;=10,AU2&gt;=55),IF(BU2&gt;AW2,0,[1]!COMPM(BU2,BA2)),IF(BU2&gt;AW2,0,[1]!COMPM(BU2,AW2)))</f>
        <v>0</v>
      </c>
      <c r="CW2" s="277">
        <f>IF(OR(AV2=58,AND(AE2&lt;=DATE(1989,4,10),AV2=62)),VLOOKUP(CV2,erftable2,2),VLOOKUP(CV2,erftable1,2))</f>
        <v>1</v>
      </c>
      <c r="CX2" s="7">
        <f>IF(BA2&gt;BU2,0,[1]!COMPM(BA2,BU2))</f>
        <v>0</v>
      </c>
      <c r="CY2" s="278">
        <f>ROUND([1]!LRFAEQ(0.045,"M",65,CX2,0,"AA06","AA06","MP","Y"),4)</f>
        <v>1</v>
      </c>
      <c r="CZ2" s="12">
        <f>ROUND(CU2*CW2*CY2,2)</f>
        <v>79.900000000000006</v>
      </c>
      <c r="DA2" s="274">
        <f>IF(CM2="2","null",IF(AC2&lt;Z2,(YEAR(Z2)-YEAR(AC2))-IF(Z2&gt;=DATE(YEAR(Z2),MONTH(AC2),DAY(AC2)),0,1),-(YEAR(AC2)-YEAR(Z2))+IF(AC2&gt;=DATE(YEAR(AC2),MONTH(Z2),DAY(Z2)),0,1)))</f>
        <v>-1</v>
      </c>
      <c r="DB2" s="277">
        <f>IF(CM2="2",1,IF(ABS(DA2)&lt;=5,0.95,IF(DA2&gt;0,MIN(1,0.95+0.005*(ABS(DA2)-5)),0.95-0.005*(ABS(DA2)-5))))</f>
        <v>0.95</v>
      </c>
      <c r="DC2" s="273">
        <f>ROUND(CZ2*DB2,2)</f>
        <v>75.91</v>
      </c>
      <c r="DD2" s="273">
        <v>20</v>
      </c>
      <c r="DE2" s="273">
        <f>DD2</f>
        <v>20</v>
      </c>
      <c r="DF2" s="269">
        <f>IF(OR(DD2="",DD2=0),"null",MAX([1]!NRD(Z2,45),DATE(1986,10,1)))</f>
        <v>34335</v>
      </c>
      <c r="DG2" s="269">
        <f>IF(OR(DD2="",DD2=0),"null",DOPT2)</f>
        <v>41640</v>
      </c>
      <c r="DH2" s="274">
        <f>IF(OR(DD2="",DD2=0),"null",[1]!COMPM(DF2,DG2))</f>
        <v>240</v>
      </c>
      <c r="DI2" s="277">
        <f>IF(OR(DD2="",DD2=0),"null",ROUND(1-ROUND(DH2*1/24*0.01,4),4))</f>
        <v>0.9</v>
      </c>
      <c r="DJ2" s="273">
        <f>IF(OR(DD2="",DD2=0),"null",ROUND(DE2*DI2,2))</f>
        <v>18</v>
      </c>
      <c r="DK2" s="276">
        <f>IF(OR(DD2="",DD2=0),"null",IF(BU2&gt;BA2,0,[1]!COMPM(BU2,BA2)))</f>
        <v>0</v>
      </c>
      <c r="DL2" s="277">
        <f>IF(OR(DD2="",DD2=0),"null",VLOOKUP(DK2,erftable1,2))</f>
        <v>1</v>
      </c>
      <c r="DM2" s="277">
        <f>IF(OR(DD2="",DD2=0),"null",ROUND([1]!LRFAEQ(0.04,"M",65,CX2,0,"AA06","AA06","MP","Y"),4))</f>
        <v>1</v>
      </c>
      <c r="DN2" s="273">
        <f>IF(OR(DD2="",DD2=0),"null",ROUND(DJ2*DL2*DM2,2))</f>
        <v>18</v>
      </c>
      <c r="DO2" s="273">
        <f>IF(OR(DD2="",DD2=0),"null",ROUND(DN2*DB2,2))</f>
        <v>17.100000000000001</v>
      </c>
      <c r="DP2" s="273">
        <f>ROUND(CZ2-IF(DN2="null",0,DN2),2)</f>
        <v>61.9</v>
      </c>
      <c r="DQ2" s="12">
        <f>ROUND(DC2-IF(DO2="null",0,DO2),2)</f>
        <v>58.81</v>
      </c>
      <c r="DR2" s="8">
        <f>IF(OR(AND(F2="XRD",G2="V",CM2="0"),F2="DOR",AND(F2="XRD",G2="R")),ROUND(DP2,2),"null")</f>
        <v>61.9</v>
      </c>
      <c r="DS2" s="8">
        <f>IF(DR2="null","null",ROUND(DR2-DQ2,2))</f>
        <v>3.09</v>
      </c>
      <c r="DT2" s="8"/>
      <c r="DU2" s="8"/>
      <c r="DV2" s="8" t="str">
        <f>"Y"</f>
        <v>Y</v>
      </c>
      <c r="DW2" s="277" t="str">
        <f>IF(DV2="N","null","0")</f>
        <v>0</v>
      </c>
      <c r="DX2" s="12">
        <f>IF(DV2="Y",25,"null")</f>
        <v>25</v>
      </c>
      <c r="DY2" s="269">
        <f>IF(DV2="Y",BT2,"null")</f>
        <v>41640</v>
      </c>
      <c r="DZ2" s="269">
        <f>IF(DY2="null","null",DATE(2099,12,1))</f>
        <v>73020</v>
      </c>
      <c r="EA2" s="277" t="str">
        <f>IF(DY2="null","null",IF(BA2=DY2,"null",ROUND([1]!LLF(DOPT,Z2,BA2,DY2),4)))</f>
        <v>null</v>
      </c>
      <c r="EB2" s="277" t="str">
        <f>IF(EA2="null","null",1-EA2)</f>
        <v>null</v>
      </c>
      <c r="EC2" s="273">
        <f>IF(OR(DD2="",DD2=0),"null",IF(CN2&gt;0,IF(AND(F2="DOR",CE2="3"),ROUND(CK2*DC2,2),ROUND(CN2*DC2,2)),"null"))</f>
        <v>41.75</v>
      </c>
      <c r="ED2" s="273">
        <f>IF(OR(DD2="",DD2=0),"null",IF(CN2&gt;0,ROUND(0.55*DO2,2),"null"))</f>
        <v>9.41</v>
      </c>
      <c r="EE2" s="7">
        <f>IF(CN2&gt;0,IF(OR(DD2="",DD2=0),IF(AND(F2="DOR",CE2="3"),ROUND(CK2*DQ2,2),ROUND(DQ2*CN2,2)),MAX(0,ROUND(EC2-ED2,2))),"null")</f>
        <v>32.340000000000003</v>
      </c>
      <c r="EF2" s="7">
        <f>IF(EE2="null",0,ROUND(EE2/DQ2,4))</f>
        <v>0.54990000000000006</v>
      </c>
      <c r="EG2" s="8" t="str">
        <f>IF(AND(CN2&gt;0,DT2&gt;0),DT2,"null")</f>
        <v>null</v>
      </c>
      <c r="EH2" s="8"/>
      <c r="EI2" s="7">
        <f>IF(DX2="null","null",IF(AA2&gt;0,DX2,"null"))</f>
        <v>25</v>
      </c>
      <c r="EJ2" s="269">
        <f>IF(EI2="null","null",MAX(BT2,DATE(YEAR(AC2)+65,MONTH(AC2)+1,1)))</f>
        <v>42095</v>
      </c>
      <c r="EK2" s="269">
        <f>IF(EJ2="null","null",DATE(2099,12,1))</f>
        <v>73020</v>
      </c>
      <c r="EL2" s="269">
        <f>EK2</f>
        <v>73020</v>
      </c>
      <c r="EM2" s="6">
        <f>IF(BR2&gt;=BU2,0,[1]!COMPM(BR2,BU2))</f>
        <v>0</v>
      </c>
      <c r="EN2" s="6">
        <f>ROUND([1]!NPVF2("MP","SLA","N",DOPT,U2,AO2,AO2,0,0,0,EM2,DOPT,DOPT,"P","","",IF(S2="2","1",S2)),4)</f>
        <v>8.6875999999999998</v>
      </c>
      <c r="EO2" s="6">
        <f>ROUND([1]!NPVF2("MP",IF(CM2="2","SLA","JSC"),"N",DOPT,U2,AO2,BV2,IF(BW2="null",0,BW2),EF2,0,0,DOPT,DOPT,"P","","",IF(S2="2","1",S2)),4)</f>
        <v>13.1037</v>
      </c>
      <c r="EP2" s="6">
        <f>IF(CM2="2","null",IF(CN2=0,0,ROUND([1]!NPVF2("MP","SLA","N",DOPT,IF(V2&gt;0,V2,IF(U2="M","F","M")),AP2,BW2,0,0,0,0,DOPT,DOPT,"N","","",0),4)))</f>
        <v>15.918200000000001</v>
      </c>
      <c r="EQ2" s="6">
        <f>IF(OR(F2="DOR",CM2="2"),"null",ROUND(1-([1]!lx(DOPT,U2,BV2,"N",IF(S2="2","1",S2))/[1]!lx(DOPT,U2,AO2,"N",IF(S2="2","1",S2))),4))</f>
        <v>0</v>
      </c>
      <c r="ER2" s="6">
        <f>IF(OR(EQ2="null",CM2="2"),"null",ROUND(EQ2*EP2,4))</f>
        <v>0</v>
      </c>
      <c r="ES2" s="6">
        <f>IF(CM2="2","null",ROUND([1]!QPSAPVF("MP","SLA",DOPT,IF(S2="2","1",S2),U2,IF(V2&gt;0,V2,IF(U2="M","F","M")),AO2,BV2,AP2,BW2,0,0),4))</f>
        <v>0</v>
      </c>
      <c r="ET2" s="6">
        <f>IF(CM2="0",ROUND([1]!NPVF2("MP","SLA","N",DOPT,U2,AO2,BV2,0,0,0,0,DOPT,DOPT,"P","","",IF(S2="2","1",S2)),4),"null")</f>
        <v>8.6875999999999998</v>
      </c>
      <c r="EU2" s="6">
        <f>IF(CM2="0",ROUND([1]!NPVF2("MP","JSJ","N",DOPT,U2,AO2,BV2,IF(BW2="null",0,BW2),0,0,0,DOPT,DOPT,"P","","",IF(S2="2","1",S2)),4),"null")</f>
        <v>7.8875999999999999</v>
      </c>
      <c r="EV2" s="6">
        <f>IF(CM2="0",ET2-EU2,"null")</f>
        <v>0.79999999999999982</v>
      </c>
      <c r="EW2" s="6">
        <f>IF(OR(DX2="null",DX2=""),"null",IF(BR2&gt;=DY2,0,[1]!COMPM(BR2,DY2)))</f>
        <v>0</v>
      </c>
      <c r="EX2" s="284">
        <f>IF(EW2="null","null",ROUND([1]!NPVF2("MP","SLA","N",DOPT,U2,AO2,AO2,0,0,0,0,DOPT,DOPT,"P","","",IF(S2="2","1",S2)),4))</f>
        <v>8.6875999999999998</v>
      </c>
      <c r="EY2" s="284">
        <f>IF(EW2="null","null",ROUND([1]!NPVF2("MP","SLA","N",DOPT,U2,AO2,AO2,0,0,0,EW2,DOPT,DOPT,"P","","",IF(S2="2","1",S2)),4))</f>
        <v>8.6875999999999998</v>
      </c>
      <c r="EZ2" s="284">
        <f>[1]!anb(Z2,DY2)</f>
        <v>65</v>
      </c>
      <c r="FA2" s="284">
        <f>IF(EW2="null","null",ROUND([1]!NPVF2("MP","SLA","N",DOPT,U2,AO2,MAX(AO2,EZ2),0,0,0,0,DOPT,DOPT,"P","","",IF(S2="2","1",S2)),4))</f>
        <v>8.6875999999999998</v>
      </c>
      <c r="FB2" s="284">
        <f>IF(EW2="null","null",ROUND(EX2-EY2,4))</f>
        <v>0</v>
      </c>
      <c r="FC2" s="249">
        <f>FA2</f>
        <v>8.6875999999999998</v>
      </c>
      <c r="FD2" s="249">
        <f>FC2-FB2</f>
        <v>8.6875999999999998</v>
      </c>
      <c r="FE2" s="6">
        <f>IF(EI2="null","null",IF(EJ2&lt;BR2,0,[1]!COMPM(BR2,EJ2)))</f>
        <v>15</v>
      </c>
      <c r="FF2" s="6">
        <f>IF(OR(EI2="",EI2="null"),"null",ROUND([1]!NPVF2("MP","SLA","N",DOPT,IF(V2&gt;0,V2,IF(U2="M","F","M")),AP2,AP2,0,0,0,0,DOPT,DOPT,"N","","","0"),4))</f>
        <v>15.918200000000001</v>
      </c>
      <c r="FG2" s="6">
        <f>IF(OR(EI2="",EI2="null"),"null",ROUND([1]!NPVF2("MP","JSJ","N",DOPT,IF(V2&gt;0,V2,IF(U2="M","F","M")),AP2,AP2,AO2,0,0,0,DOPT,DOPT,"N","","",0),4))</f>
        <v>12.2225</v>
      </c>
      <c r="FH2" s="6">
        <f>IF(OR(EI2="",EI2="null"),"null",IF(FE2=0,0,ROUND([1]!NPVF2("MP","SLA","N",DOPT,IF(V2&gt;0,V2,IF(U2="M","F","M")),AP2,AP2,0,0,0,FE2,DOPT,DOPT,"N","","","0"),4)))</f>
        <v>1.2203999999999999</v>
      </c>
      <c r="FI2" s="6">
        <f>IF(OR(EI2="",EI2="null"),"null",IF(FE2=0,0,ROUND([1]!NPVF2("MP","JSJ","N",DOPT,IF(V2&gt;0,V2,IF(U2="M","F","M")),AP2,AP2,AO2,0,0,FE2,DOPT,DOPT,"N","","",0),4)))</f>
        <v>1.2121</v>
      </c>
      <c r="FJ2">
        <f>IF(AC2="null","null",[1]!anb(AC2,EJ2))</f>
        <v>65</v>
      </c>
      <c r="FK2">
        <f>IF(AC2="null","null",[1]!anb(Z2,EJ2))</f>
        <v>66</v>
      </c>
      <c r="FL2" s="6">
        <f>IF(OR(EI2="",EI2="null"),"null",ROUND([1]!NPVF2("MP","SLA","N",DOPT,IF(V2&gt;0,V2,IF(U2="M","F","M")),AP2,MAX(FJ2,AP2),0,0,0,0,DOPT,DOPT,"P","","","0"),4))</f>
        <v>14.934699999999999</v>
      </c>
      <c r="FM2" s="6">
        <f>IF(OR(EI2="",EI2="null"),"null",ROUND([1]!NPVF2("MP","JSJ","N",DOPT,IF(V2&gt;0,V2,IF(U2="M","F","M")),AP2,MAX(FJ2,AP2),MAX(AO2,FK2),0,0,0,"DM13","2F13","B","",""),4))</f>
        <v>10.426</v>
      </c>
      <c r="FN2">
        <f>IF(OR(CN2=0,EI2="",EI2="null"),"null",ROUND(((FF2-FH2)-(FG2-FI2))*(1-EQ2),4))</f>
        <v>3.6873999999999998</v>
      </c>
      <c r="FO2">
        <f>IF(OR(CN2=0,EI2="",EI2="null",AC2="null"),"null",FL2-FM2)</f>
        <v>4.5086999999999993</v>
      </c>
      <c r="FP2" s="6">
        <f>IF(FO2="null","null",FO2-FN2)</f>
        <v>0.82129999999999947</v>
      </c>
      <c r="FQ2" s="552">
        <f>IF(OR(ER2="null",CM2="2"),"null",ROUND(EE2*ER2*12,0))</f>
        <v>0</v>
      </c>
      <c r="FR2" s="322">
        <f>ROUND(DQ2*EO2*12,0)+ROUND(BD2*EN2*12,0)+ROUND(IF(EV2="null",0,DS2*EV2*12),0)+ROUND(IF(DX2="null",0,DX2*FC2*12),0)+ROUND(IF(FO2="null",0,EI2*FO2*12),0)+ROUND(IF(FQ2="null",0,FQ2),0)</f>
        <v>13237</v>
      </c>
      <c r="FS2" s="557">
        <f>LOADING</f>
        <v>8.0999999999999996E-3</v>
      </c>
      <c r="FT2" s="552">
        <f>ROUND(FR2*(1+FS2),0)</f>
        <v>13344</v>
      </c>
      <c r="FU2" s="553">
        <f>BD2</f>
        <v>0</v>
      </c>
      <c r="FV2" s="12">
        <f>DQ2</f>
        <v>58.81</v>
      </c>
      <c r="FW2" s="12">
        <f>EE2</f>
        <v>32.340000000000003</v>
      </c>
      <c r="FX2" s="12">
        <f>DR2</f>
        <v>61.9</v>
      </c>
      <c r="FY2" s="12">
        <f>DS2</f>
        <v>3.09</v>
      </c>
      <c r="FZ2" s="12">
        <f>DX2</f>
        <v>25</v>
      </c>
      <c r="GA2" s="12">
        <f>EI2</f>
        <v>25</v>
      </c>
      <c r="GB2" s="12">
        <f>FV2</f>
        <v>58.81</v>
      </c>
      <c r="GC2" s="271">
        <f>FQ2</f>
        <v>0</v>
      </c>
      <c r="GD2" s="271">
        <f>FR2</f>
        <v>13237</v>
      </c>
      <c r="GE2" s="21">
        <f>FT2-FR2</f>
        <v>107</v>
      </c>
      <c r="GF2" s="271">
        <f>FT2</f>
        <v>13344</v>
      </c>
      <c r="GG2" s="6" t="str">
        <f>IF(BC2&lt;DOPT3,"Yes","No")</f>
        <v>Yes</v>
      </c>
      <c r="GH2" s="6" t="str">
        <f>IF(GG2="Yes","Y","null")</f>
        <v>Y</v>
      </c>
      <c r="GI2" s="12">
        <f>IF(GH2="N","null",FT2)</f>
        <v>13344</v>
      </c>
      <c r="GJ2" s="271">
        <f>FU2</f>
        <v>0</v>
      </c>
      <c r="GK2" s="12">
        <f>FV2</f>
        <v>58.81</v>
      </c>
      <c r="GL2" s="165">
        <f>FY2</f>
        <v>3.09</v>
      </c>
      <c r="GM2" s="304">
        <f>FZ2</f>
        <v>25</v>
      </c>
      <c r="GN2" s="304">
        <f>GA2</f>
        <v>25</v>
      </c>
      <c r="GO2" s="322">
        <f>GC2</f>
        <v>0</v>
      </c>
      <c r="GP2" s="322">
        <f>GD2</f>
        <v>13237</v>
      </c>
      <c r="GQ2" s="322">
        <f>GF2</f>
        <v>13344</v>
      </c>
      <c r="GR2" s="554">
        <f>GJ2</f>
        <v>0</v>
      </c>
      <c r="GS2" s="554">
        <f>GK2</f>
        <v>58.81</v>
      </c>
      <c r="GT2" s="273">
        <f>EE2</f>
        <v>32.340000000000003</v>
      </c>
      <c r="GU2" s="554">
        <f>GL2</f>
        <v>3.09</v>
      </c>
      <c r="GV2" s="555">
        <f>GM2</f>
        <v>25</v>
      </c>
      <c r="GW2" s="555">
        <f>GN2</f>
        <v>25</v>
      </c>
      <c r="GX2" s="555">
        <f>CU2-DJ2</f>
        <v>61.900000000000006</v>
      </c>
      <c r="GY2" s="555" t="str">
        <f>IF(AH2="","NULL",ROUND(ROUND(CU2*DB2,2)*CK2,2)-ROUND(ROUND(DJ2*DB2,2)*0.55,2))</f>
        <v>NULL</v>
      </c>
      <c r="GZ2" s="322">
        <f>GP2</f>
        <v>13237</v>
      </c>
      <c r="HA2" s="322">
        <f>GQ2</f>
        <v>13344</v>
      </c>
      <c r="HB2" s="11">
        <f>IF(AC2="null","null",IF(AA2&lt;&gt;AC2,Z2,AC2))</f>
        <v>18336</v>
      </c>
      <c r="HC2" s="6">
        <f>IF(OR(HB2="",HB2="null"),"null",[1]!anb(HB2,DOPT))</f>
        <v>64</v>
      </c>
      <c r="HD2" s="6">
        <f>BV2</f>
        <v>65</v>
      </c>
      <c r="HE2" s="6">
        <f>IF(OR(HB2="null",HB2=""),0,[1]!anb(HB2,BU2))</f>
        <v>64</v>
      </c>
      <c r="HF2" s="276">
        <f>IF(CM2="2","null",IF(HB2&lt;Z2,(YEAR(Z2)-YEAR(HB2))-IF(Z2&gt;=DATE(YEAR(Z2),MONTH(HB2),DAY(HB2)),0,1),-(YEAR(HB2)-YEAR(Z2))+IF(HB2&gt;=DATE(YEAR(HB2),MONTH(Z2),DAY(Z2)),0,1)))</f>
        <v>-1</v>
      </c>
      <c r="HG2" s="277">
        <f>IF(CM2="2",1,IF(ABS(HF2)&lt;=5,0.95,IF(HF2&gt;0,MIN(1,0.95+0.005*(ABS(HF2)-5)),0.95-0.005*(ABS(HF2)-5))))</f>
        <v>0.95</v>
      </c>
      <c r="HH2" s="277">
        <f>ROUND(HG2/DB2,4)</f>
        <v>1</v>
      </c>
      <c r="HI2" s="273">
        <f>ROUND(GS2*HH2,2)</f>
        <v>58.81</v>
      </c>
      <c r="HJ2" s="6">
        <f>IF(OR(DD2="",DD2=0),"null",IF(CN2&gt;0,ROUND(CN2*ROUND(DC2*HH2,2),2),"null"))</f>
        <v>41.75</v>
      </c>
      <c r="HK2" s="6">
        <f>IF(OR(DD2="",DD2=0),"null",IF(CN2&gt;0,ROUND(0.55*DO2,2),"null"))</f>
        <v>9.41</v>
      </c>
      <c r="HL2" s="6">
        <f>IF(CN2&gt;0,IF(OR(DD2="",DD2=0),ROUND(HI2*CN2,2),MAX(0,ROUND(HJ2-HK2,2))),"null")</f>
        <v>32.340000000000003</v>
      </c>
      <c r="HM2" s="249">
        <f>IF(HL2="null",0,ROUND(HL2/HI2,4))</f>
        <v>0.54990000000000006</v>
      </c>
      <c r="HN2" s="7">
        <f>[1]!ATT(Z2,DOPT)</f>
        <v>65</v>
      </c>
      <c r="HO2" s="279">
        <f>ROUND([1]!NPVF2("MP","SLA","O",DOPT,U2,AO2,AO2,IF(AP2="null",0,AP2),0,0,EM2,DOPT,DOPT,"P","",""),4)</f>
        <v>13.0541</v>
      </c>
      <c r="HP2" s="279">
        <f>ROUND([1]!NPVF2("MP",IF(CM2="0","JSC","SLA"),"O",DOPT,U2,AO2,HD2,IF(HE2="null",0,HE2),EF2,0,0,DOPT,DOPT,"P","",""),4)</f>
        <v>15.2279</v>
      </c>
      <c r="HQ2" s="279">
        <f>IF(OR(CM2={"9","2"}),"null",ROUND([1]!NPVF2("MP","SLA","O",DOPT,U2,AO2,BV2,0,0,0,0,DOPT,DOPT,"P","",""),4))</f>
        <v>13.0541</v>
      </c>
      <c r="HR2" s="279">
        <f>IF(OR(CM2={"9","2"}),"null",ROUND([1]!NPVF2("MP","JSJ","O",DOPT,U2,AO2,BV2,IF(HE2="null",0,HE2),0,0,0,DOPT,DOPT,"P","",""),4))</f>
        <v>9.5962999999999994</v>
      </c>
      <c r="HS2" s="279">
        <f>IF(OR(CM2={"9","2"}),"null",ROUND(HQ2-HR2,4))</f>
        <v>3.4578000000000002</v>
      </c>
      <c r="HT2" s="7">
        <f>IF(DV2="N","null",ROUND([1]!NPVF2("MP","SLA","O",DOPT,U2,AO2,AO2,0,0,0,0,DOPT,DOPT,"P","",""),4))</f>
        <v>13.0541</v>
      </c>
      <c r="HU2" s="7">
        <f>IF(DV2="N","null",ROUND([1]!NPVF2("MP","SLA","O",DOPT,U2,AO2,AO2,0,0,0,EW2,DOPT,DOPT,"P","",""),4))</f>
        <v>13.0541</v>
      </c>
      <c r="HV2" s="7">
        <f>IF(DV2="N","null",ROUND([1]!NPVF2("MP","SLA","O",DOPT,U2,AO2,MAX(EZ2,AO2),0,0,0,0,DOPT,DOPT,"P","",""),4))</f>
        <v>13.0541</v>
      </c>
      <c r="HW2" s="7">
        <f>IF(DV2="N","null",ROUND(HT2-IF(HU2="null",0,HU2),4))</f>
        <v>0</v>
      </c>
      <c r="HX2" s="67">
        <f>IF(DV2="N","null",HV2)</f>
        <v>13.0541</v>
      </c>
      <c r="HY2" s="67">
        <f>IF(DV2="N","null",HX2-HW2)</f>
        <v>13.0541</v>
      </c>
      <c r="HZ2" s="274">
        <f>IF(OR(GW2="null",GW2=""),"null",ROUND([1]!NPVF2("MP","SLA","O",DOPT,IF(V2&gt;0,V2,IF(U2="M","F","M")),HC2,HC2,0,0,0,0,DOPT,DOPT,"N","",""),4))</f>
        <v>13.549300000000001</v>
      </c>
      <c r="IA2" s="279">
        <f>IF(OR(GW2="null",GW2=""),"null",ROUND([1]!NPVF2("MP","JSJ","O",DOPT,IF(V2&gt;0,V2,IF(U2="M","F","M")),HC2,HC2,AO2,0,0,0,DOPT,DOPT,"N","",""),4))</f>
        <v>9.5962999999999994</v>
      </c>
      <c r="IB2" s="274">
        <f>IF(OR(GW2="null",GW2=""),"null",IF(OR(FE2="null",FE2=0),0,ROUND([1]!NPVF2("MP","SLA","O",DOPT,IF(V2&gt;0,V2,IF(U2="M","F","M")),HC2,HC2,0,0,0,FE2,DOPT,DOPT,"N","",""),4)))</f>
        <v>1.2192000000000001</v>
      </c>
      <c r="IC2" s="279">
        <f>IF(OR(GW2="null",GW2=""),"null",IF(FE2=0,0,ROUND([1]!NPVF2("MP","JSJ","O",DOPT,IF(V2&gt;0,V2,IF(U2="M","F","M")),HC2,HC2,AO2,0,0,FE2,DOPT,DOPT,"N","",""),4)))</f>
        <v>1.2013</v>
      </c>
      <c r="ID2" s="279">
        <f>IF(OR(GW2="null",GW2=""),"null",ROUND(1-([1]!lx(DOPT,U2,BV2,"O")/[1]!lx(DOPT,U2,AO2,"O")),4))</f>
        <v>0</v>
      </c>
      <c r="IE2" s="279">
        <f>IF(OR(GW2="null",GW2=""),"null",ROUND([1]!NPVF2("MP","SLA","O",DOPT,IF(V2&gt;0,V2,IF(U2="M","F","M")),HC2,MAX(FJ2,HC2),0,0,0,0,DOPT,DOPT,"P","",""),4))</f>
        <v>12.294499999999999</v>
      </c>
      <c r="IF2" s="279">
        <f>IF(OR(GW2="null",GW2=""),"null",ROUND([1]!NPVF2("MP","JSJ","O",DOPT,IF(V2&gt;0,V2,IF(U2="M","F","M")),HC2,MAX(FJ2,HC2),MAX(FK2,AO2),0,0,0,DOPT,DOPT,"B","",""),4))</f>
        <v>8.4367999999999999</v>
      </c>
      <c r="IG2" s="279">
        <f>IF(OR(GW2="null",GW2=""),"null",ROUND((HZ2-IB2)-(IA2-IC2)*(1-ID2),4))</f>
        <v>3.9350999999999998</v>
      </c>
      <c r="IH2" s="279">
        <f>IF(OR(GW2="null",GW2=""),"null",ROUND(IE2-IF2,4))</f>
        <v>3.8576999999999999</v>
      </c>
      <c r="II2" s="279">
        <f>IF(OR(GW2="null",GW2=""),"null",IH2-IG2)</f>
        <v>-7.7399999999999913E-2</v>
      </c>
      <c r="IJ2" s="271">
        <f>ROUND(HI2*HP2*12,0)+ROUND(GR2*HO2*12,0)+ROUND(IF(HS2="null",0,GU2*HS2*12),0)+ROUND(IF(OR(HX2="null",GV2="null"),0,GV2*HX2*12),0)+ROUND(IF(IH2="null",0,GW2*IH2*12),0)</f>
        <v>15948</v>
      </c>
      <c r="IK2" s="7" t="str">
        <f>IF(AND(IJ2&gt;0,IJ2&lt;=5000),"Y","N")</f>
        <v>N</v>
      </c>
      <c r="IL2" s="21"/>
      <c r="IM2" s="69">
        <f>IF(OR(AA2="",CN2=0),"null",ROUND([1]!NPVF2("MP","SLA","O",DOPT,IF(U2="M","F","M"),IF(HC2="null",0,HC2),IF(HE2="null",0,HE2),0,0,0,0,DOPT,DOPT,"p","",""),4))</f>
        <v>13.549300000000001</v>
      </c>
      <c r="IN2" s="68">
        <f>IF(IM2="null","null",ROUND(HL2*IM2*12,0)+ROUND(IF(IH2="null",0,(GW2*IH2*12)),0))</f>
        <v>6415</v>
      </c>
      <c r="IO2" s="276" t="str">
        <f>IF(AND(F2="XRD",G2="V"),"null","Y")</f>
        <v>null</v>
      </c>
      <c r="IP2" s="70" t="str">
        <f>IF(IO2="Y",GS2,"null")</f>
        <v>null</v>
      </c>
      <c r="IQ2" s="70" t="str">
        <f>IF(IO2="Y",[1]!PBGCOFA(DOPT,IF(IL2="Y",AA2,Z2),0,0,"N",BU2,"MP","SLA",0,0,0,IF(IL2="Y",GT2,IP2),0,0,"SLA",0,0,0,0,0,0,0,0,IF(DX2="null",0,IF(IL2="Y",MAX(BR2,EJ2),MAX(BR2,DY2))),IF(DX2="null",0,DX2)),"null")</f>
        <v>null</v>
      </c>
      <c r="IR2" s="70" t="str">
        <f>IF(IO2="Y",[1]!PBGCOFA(DOPT,IF(IL2="Y",AA2,Z2),0,0,"N",BU2,"MP","SLA",0,0,0,IF(IL2="Y",GT2,IP2),0,IQ2,"5CC",0,0,0,0,0,0,0,0,IF(DX2="null",0,IF(IL2="Y",MAX(BR2,EJ2),MAX(BR2,DY2))),IF(DX2="null",0,DX2)),"null")</f>
        <v>null</v>
      </c>
      <c r="IS2" s="70" t="str">
        <f>IF(IO2="Y",[1]!PBGCOFA(DOPT,IF(IL2="Y",AA2,Z2),0,0,"N",BU2,"MP","SLA",0,0,0,IF(IL2="Y",GT2,IP2),0,IQ2,"10CC",0,0,0,0,0,0,0,0,IF(DX2="null",0,IF(IL2="Y",MAX(BR2,EJ2),MAX(BR2,DY2))),IF(DX2="null",0,DX2)),"null")</f>
        <v>null</v>
      </c>
      <c r="IT2" s="70" t="str">
        <f>IF(IO2="Y",[1]!PBGCOFA(DOPT,IF(IL2="Y",AA2,Z2),0,0,"N",BU2,"MP","SLA",0,0,0,IF(IL2="Y",GT2,IP2),0,IQ2,"15CC",0,0,0,0,0,0,0,0,IF(DX2="null",0,IF(IL2="Y",MAX(BR2,EJ2),MAX(BR2,DY2))),IF(DX2="null",0,DX2)),"null")</f>
        <v>null</v>
      </c>
      <c r="IU2" s="82" t="str">
        <f>IF(IO2="Y",EF2,"null")</f>
        <v>null</v>
      </c>
      <c r="IV2" s="70" t="str">
        <f>IF(AND(OR(CM2="9",CM2="0"),IO2="Y",OR(AB2&gt;0,AA2&gt;0)),[1]!PBGCOFA(DOPT,Z2,AA2,AB2,IF(R2="Y",R2,"N"),BU2,"MP","JSP",IU2,0,0,GS2,IP2,IQ2,"JS50",0,0,0,0,0,0,0,0,IF(DX2="null",0,MAX(BR2,DY2)),IF(DX2="null",0,DX2),IF(OR(R2="Y",EI2="null"),0,MAX(BR2,EJ2)),IF(OR(R2="Y",EI2="null"),0,EI2),1),"null")</f>
        <v>null</v>
      </c>
      <c r="IW2" s="70" t="str">
        <f>IF(AND(OR(CM2="9",CM2="0"),IO2="Y",OR(AB2&gt;0,AA2&gt;0)),[1]!PBGCOFA(DOPT,Z2,AA2,AB2,IF(R2="Y",R2,"N"),BU2,"MP","JSP",IU2,0,0,GS2,IP2,IQ2,"JS75",0,0,0,0,0,0,0,0,IF(DX2="null",0,MAX(BR2,DY2)),IF(DX2="null",0,DX2),IF(OR(R2="Y",EI2="null"),0,MAX(BR2,EJ2)),IF(OR(R2="Y",EI2="null"),0,EI2),1),"null")</f>
        <v>null</v>
      </c>
      <c r="IX2" s="70" t="str">
        <f>IF(AND(OR(CM2="9",CM2="0"),IO2="Y",OR(AB2&gt;0,AA2&gt;0)),[1]!PBGCOFA(DOPT,Z2,AA2,AB2,IF(R2="Y",R2,"N"),BU2,"MP","JSP",IU2,0,0,GS2,IP2,IQ2,"JS100",0,0,0,0,0,0,0,0,IF(DX2="null",0,MAX(BR2,DY2)),IF(DX2="null",0,DX2),IF(OR(R2="Y",EI2="null"),0,MAX(BR2,EJ2)),IF(OR(R2="Y",EI2="null"),0,EI2),1),"null")</f>
        <v>null</v>
      </c>
      <c r="IY2" s="70" t="str">
        <f>IF(AND(OR(CM2="9",CM2="0"),IO2="Y",OR(AB2&gt;0,AA2&gt;0)),[1]!PBGCOFA(DOPT,Z2,AA2,AB2,IF(R2="Y",R2,"N"),BU2,"MP","JSP",IU2,0,0,GS2,IP2,IQ2,"JSPOP",0,0,0,0,0,0,0,0,IF(DX2="null",0,MAX(BR2,DY2)),IF(DX2="null",0,DX2),IF(OR(R2="Y",EI2="null"),0,MAX(BR2,EJ2)),IF(OR(R2="Y",EI2="null"),0,EI2),1),"null")</f>
        <v>null</v>
      </c>
      <c r="IZ2" s="70">
        <f>IF(CM2&lt;&gt;"0","null",GS2+IF(GU2="null",0,GU2))</f>
        <v>61.900000000000006</v>
      </c>
      <c r="JA2" s="70" t="str">
        <f>"null"</f>
        <v>null</v>
      </c>
      <c r="JB2" s="70" t="str">
        <f>IF(AND(F2="XRD",G2="V"),"null",IF(IV2="null",GS2,IV2))</f>
        <v>null</v>
      </c>
      <c r="JC2" s="70" t="str">
        <f>IF(JB2="NULL","NULL",ROUND(JB2*CN2,2))</f>
        <v>NULL</v>
      </c>
      <c r="JD2" s="70" t="str">
        <f>IF(CF2="PBGC","Post-DOTR","Pre-DOTR")</f>
        <v>Pre-DOTR</v>
      </c>
      <c r="JE2" s="12" t="str">
        <f>IF(AND(F2="XRD",G2="V"),"null",IF(BZ2&gt;0,BZ2,"null"))</f>
        <v>null</v>
      </c>
      <c r="JF2" s="12" t="str">
        <f>IF(AND(F2="XRD",G2="V"),"null",IF(BZ2&gt;0,ROUND(JB2-JE2,2),"null"))</f>
        <v>null</v>
      </c>
      <c r="JG2" s="98" t="str">
        <f>IF(AND(F2="XRD",G2="V"),"null",IF(BZ2&gt;0,ROUND(ABS((JB2-JE2)/MIN(JB2,JE2)),4),"null"))</f>
        <v>null</v>
      </c>
      <c r="JH2" s="12" t="str">
        <f>IF(AND(F2="XRD",G2="V"),"null",IF(BZ2&gt;0,IF(CF2="PBGC",IF(OR(JF2&gt;0,JF2&lt;-5),"N","Y"),IF(ABS(JF2)&lt;MAX(5,0.05*MIN(JE2,JB2)),"Y","N")),"null"))</f>
        <v>null</v>
      </c>
      <c r="JI2" s="12" t="str">
        <f>IF(AND(F2="XRD",G2="V"),"null",IF(BZ2&gt;0,IF(JF2=0,"M",IF(JH2="Y","N",IF(JB2&gt;JE2,"I","D"))),"null"))</f>
        <v>null</v>
      </c>
      <c r="JJ2" s="12" t="str">
        <f>IF(AND(F2="XRD",G2="V"),"null",IF(JH2="N",JB2,JE2))</f>
        <v>null</v>
      </c>
      <c r="JK2" s="12" t="str">
        <f>IF(AND(F2="XRD",G2="V"),"null",IF(CM2="2","null",IF(AH2="","null",IF(OR(AND(AB2&gt;0,R2="Y",AJ2&gt;0,OR(AJ2&lt;AH2,AH2="")),AND(AA2&gt;0,R2&lt;&gt;"Y",AI2&gt;0,OR(AH2="",AI2&lt;AH2))),"null",IF(JH2="Y",CA2,IF(CM2="5",JJ2,IF(CE2="3",ROUND(JJ2*CN2,2),GT2)))))))</f>
        <v>null</v>
      </c>
      <c r="JL2" s="12" t="e">
        <f>ROUND(JJ2*CC2,2)</f>
        <v>#VALUE!</v>
      </c>
      <c r="JM2" s="556">
        <f>ROUND(AO2*GZ2,0)</f>
        <v>860405</v>
      </c>
      <c r="JN2" s="556">
        <f>JM2</f>
        <v>860405</v>
      </c>
      <c r="JO2" s="70" t="s">
        <v>59</v>
      </c>
      <c r="JP2" s="70" t="s">
        <v>59</v>
      </c>
      <c r="JQ2" s="70" t="s">
        <v>59</v>
      </c>
      <c r="JR2" s="70" t="s">
        <v>59</v>
      </c>
      <c r="JS2" s="70" t="s">
        <v>59</v>
      </c>
      <c r="JT2" s="70" t="s">
        <v>59</v>
      </c>
      <c r="JU2" s="120">
        <f>0</f>
        <v>0</v>
      </c>
      <c r="JV2" s="70" t="s">
        <v>265</v>
      </c>
      <c r="JW2" s="70" t="s">
        <v>265</v>
      </c>
      <c r="JX2" s="120">
        <f>BQ2</f>
        <v>65</v>
      </c>
      <c r="JY2" s="120">
        <v>999</v>
      </c>
      <c r="JZ2" s="7" t="s">
        <v>683</v>
      </c>
      <c r="KA2" s="7" t="s">
        <v>59</v>
      </c>
      <c r="KB2" s="6" t="str">
        <f>IF(JZ2="N","null","Entitled")</f>
        <v>Entitled</v>
      </c>
      <c r="KC2" s="6" t="str">
        <f>IF(JZ2="N","null",IF(AH2="","Participant",IF(CM2="2","Estate",IF(AI2&lt;&gt;"","Estate","Beneficiary"))))</f>
        <v>Participant</v>
      </c>
      <c r="KD2" s="6" t="str">
        <f>IF(KC2&lt;&gt;"Estate","null",IF(Y2="2","Participant",IF(AI2&lt;AH2,"Participant","Beneficiary")))</f>
        <v>null</v>
      </c>
      <c r="KE2" s="6" t="str">
        <f>"ARD"</f>
        <v>ARD</v>
      </c>
      <c r="KF2" s="6" t="str">
        <f>IF(JZ2="N","null","Normal Retirement Date (NRD):")</f>
        <v>Normal Retirement Date (NRD):</v>
      </c>
      <c r="KG2" s="6" t="str">
        <f>IF(JZ2="N","null",IF(OR(KC2="Participant",KD2="Participant"),"Actual Retirement Date (ARD):","Benefit Starting Date (BSD):"))</f>
        <v>Actual Retirement Date (ARD):</v>
      </c>
      <c r="KH2" s="6" t="str">
        <f>IF(JZ2="N","null",IF(AH2&gt;0,"BSD","ARD"))</f>
        <v>ARD</v>
      </c>
      <c r="KI2" s="6" t="str">
        <f>IF(JZ2="N","null",IF(K2=BA2,"ARD",IF(AG2&gt;BA2,"DOTE","NRD")))</f>
        <v>NRD</v>
      </c>
      <c r="KJ2" s="6" t="str">
        <f>IF(JZ2="N","null","ARD")</f>
        <v>ARD</v>
      </c>
      <c r="KK2" s="6" t="str">
        <f>IF(JZ2="N","null",IF(DO2&lt;&gt;"null","after Barnes Offset",IF(ISNUMBER(SEARCH("BFCF",KM2,1)),"after BFCF",IF(ISNUMBER(SEARCH("ERF",KM2,1)),"after ERF",IF(ISNUMBER(SEARCH("LRF",KM2,1)),"after LRF",IF(ISNUMBER(SEARCH("PRSA",KM2,1)),"after PRSA","after AMB"))))))</f>
        <v>after Barnes Offset</v>
      </c>
      <c r="KL2" s="6" t="s">
        <v>267</v>
      </c>
      <c r="KM2" s="6" t="str">
        <f>IF(JZ2="N","null",IF(CT2="null","",IF(CT2&lt;1,"PRSA",""))&amp;IF(CW2="null","",IF(CW2&lt;1,"ERF",""))&amp;IF(CY2="null","",IF(CY2&gt;1,"LRF",""))&amp;IF(DB2="null","",IF(OR(DB2&lt;1,DB2&gt;1),"BFCF","")))</f>
        <v>BFCF</v>
      </c>
      <c r="KN2" s="6" t="str">
        <f>IF(JZ2="N","null",IF(DI2="null","",IF(DI2&lt;1,"PRSA",""))&amp;IF(DL2="null","",IF(DL2&lt;1,"ERF",""))&amp;IF(DM2="null","",IF(DM2&gt;1,"LRF",""))&amp;IF(DB2="null","",IF(OR(DB2&lt;1,DB2&gt;1),"BFCF","")))</f>
        <v>PRSABFCF</v>
      </c>
      <c r="KO2" s="6" t="s">
        <v>1001</v>
      </c>
      <c r="KP2" s="6" t="str">
        <f>"null"</f>
        <v>null</v>
      </c>
      <c r="KQ2" s="6" t="str">
        <f>IF(AND(OR(M2&lt;&gt;"",P2&lt;&gt;""),OR(CB2="9",CB2="0")),"Yes","No")</f>
        <v>No</v>
      </c>
      <c r="KR2" s="6" t="str">
        <f>IF(JZ2="N","null","Disabled Retiree")</f>
        <v>Disabled Retiree</v>
      </c>
      <c r="KS2" s="11" t="str">
        <f>IF(AH2&gt;0,AH2,"null")</f>
        <v>null</v>
      </c>
      <c r="KT2" s="11" t="str">
        <f>IF(AI2&gt;0,AI2,"null")</f>
        <v>null</v>
      </c>
      <c r="KU2" s="6" t="str">
        <f>IF(DV2="N","null",IF(KS2&lt;&gt;"null","MS4","MS3"))</f>
        <v>MS3</v>
      </c>
      <c r="KV2" s="11">
        <f>BA2</f>
        <v>41640</v>
      </c>
      <c r="KW2" s="11">
        <f>BX2</f>
        <v>0</v>
      </c>
      <c r="KX2" s="11">
        <f ca="1">TODAY()</f>
        <v>46219</v>
      </c>
      <c r="KY2" s="11">
        <f>IF(DT2&gt;0,DT1,DY2)</f>
        <v>41640</v>
      </c>
      <c r="KZ2" s="11">
        <f>IF(EH2&gt;0,EH2,EJ2)</f>
        <v>42095</v>
      </c>
    </row>
    <row r="3" spans="1:312" s="13" customFormat="1" x14ac:dyDescent="0.2">
      <c r="A3" s="6"/>
      <c r="B3" s="3"/>
      <c r="C3" s="3"/>
      <c r="D3" s="3"/>
      <c r="E3" s="3"/>
      <c r="F3" s="3"/>
      <c r="G3"/>
      <c r="H3"/>
      <c r="I3" s="3"/>
      <c r="J3" s="3"/>
      <c r="K3" s="3"/>
      <c r="L3"/>
      <c r="M3"/>
      <c r="N3"/>
      <c r="O3"/>
      <c r="P3"/>
      <c r="Q3"/>
      <c r="R3"/>
      <c r="S3"/>
      <c r="T3"/>
      <c r="U3" s="3"/>
      <c r="V3"/>
      <c r="W3"/>
      <c r="X3" s="89"/>
      <c r="Y3" s="90"/>
      <c r="Z3" s="92"/>
      <c r="AA3" s="92"/>
      <c r="AB3" s="92"/>
      <c r="AC3" s="269"/>
      <c r="AD3" s="269"/>
      <c r="AE3" s="92"/>
      <c r="AF3" s="269"/>
      <c r="AG3" s="92"/>
      <c r="AH3" s="92"/>
      <c r="AI3" s="92"/>
      <c r="AJ3" s="92"/>
      <c r="AK3" s="92"/>
      <c r="AL3" s="91"/>
      <c r="AM3" s="91"/>
      <c r="AN3" s="270"/>
      <c r="AO3" s="7"/>
      <c r="AP3" s="7"/>
      <c r="AQ3" s="270"/>
      <c r="AR3" s="272"/>
      <c r="AS3" s="270"/>
      <c r="AT3" s="272"/>
      <c r="AU3" s="270"/>
      <c r="AV3" s="270"/>
      <c r="AW3" s="272"/>
      <c r="AX3" s="270"/>
      <c r="AY3" s="272"/>
      <c r="AZ3" s="7"/>
      <c r="BA3" s="269"/>
      <c r="BB3" s="272"/>
      <c r="BC3" s="272"/>
      <c r="BD3" s="272"/>
      <c r="BE3"/>
      <c r="BF3"/>
      <c r="BG3" s="273"/>
      <c r="BH3" s="12"/>
      <c r="BI3" s="272"/>
      <c r="BJ3" s="272"/>
      <c r="BK3" s="272"/>
      <c r="BL3" s="272"/>
      <c r="BM3" s="272"/>
      <c r="BN3" s="269"/>
      <c r="BO3" s="11"/>
      <c r="BP3" s="269"/>
      <c r="BQ3" s="7"/>
      <c r="BR3" s="269"/>
      <c r="BS3" s="7"/>
      <c r="BT3" s="269"/>
      <c r="BU3" s="269"/>
      <c r="BV3" s="7"/>
      <c r="BW3" s="274"/>
      <c r="BX3" s="272"/>
      <c r="BY3" s="272"/>
      <c r="BZ3" s="272"/>
      <c r="CA3" s="272"/>
      <c r="CB3" s="7"/>
      <c r="CC3" s="7"/>
      <c r="CD3" s="7"/>
      <c r="CE3" s="7"/>
      <c r="CF3" s="272"/>
      <c r="CG3" s="8"/>
      <c r="CH3" s="275"/>
      <c r="CI3" s="276"/>
      <c r="CJ3" s="8"/>
      <c r="CK3" s="275"/>
      <c r="CL3" s="276"/>
      <c r="CM3" s="7"/>
      <c r="CN3" s="275"/>
      <c r="CO3" s="7"/>
      <c r="CP3" s="7"/>
      <c r="CQ3" s="7"/>
      <c r="CR3" s="7"/>
      <c r="CS3" s="7"/>
      <c r="CT3" s="7"/>
      <c r="CU3" s="7"/>
      <c r="CV3" s="7"/>
      <c r="CW3" s="277"/>
      <c r="CX3" s="7"/>
      <c r="CY3" s="278"/>
      <c r="CZ3" s="12"/>
      <c r="DA3" s="274"/>
      <c r="DB3" s="277"/>
      <c r="DC3" s="273"/>
      <c r="DD3" s="273"/>
      <c r="DE3" s="273"/>
      <c r="DF3" s="269"/>
      <c r="DG3" s="269"/>
      <c r="DH3" s="274"/>
      <c r="DI3" s="277"/>
      <c r="DJ3" s="273"/>
      <c r="DK3" s="276"/>
      <c r="DL3" s="277"/>
      <c r="DM3" s="277"/>
      <c r="DN3" s="273"/>
      <c r="DO3" s="273"/>
      <c r="DP3" s="273"/>
      <c r="DQ3" s="12"/>
      <c r="DR3" s="8"/>
      <c r="DS3" s="8"/>
      <c r="DT3" s="8"/>
      <c r="DU3" s="8"/>
      <c r="DV3" s="8"/>
      <c r="DW3" s="277"/>
      <c r="DX3" s="12"/>
      <c r="DY3" s="269"/>
      <c r="DZ3" s="269"/>
      <c r="EA3" s="277"/>
      <c r="EB3" s="277"/>
      <c r="EC3" s="273"/>
      <c r="ED3" s="273"/>
      <c r="EE3" s="7"/>
      <c r="EF3" s="7"/>
      <c r="EG3" s="8"/>
      <c r="EH3" s="8"/>
      <c r="EI3" s="7"/>
      <c r="EJ3" s="269"/>
      <c r="EK3" s="269"/>
      <c r="EL3" s="269"/>
      <c r="EM3" s="164"/>
      <c r="EN3" s="164"/>
      <c r="EO3" s="164"/>
      <c r="EP3" s="164"/>
      <c r="EQ3" s="164"/>
      <c r="ER3" s="164"/>
      <c r="ES3" s="164"/>
      <c r="ET3" s="164"/>
      <c r="EU3" s="164"/>
      <c r="EV3" s="164"/>
      <c r="EW3" s="164"/>
      <c r="EX3" s="354"/>
      <c r="EY3" s="354"/>
      <c r="EZ3" s="354"/>
      <c r="FA3" s="354"/>
      <c r="FB3" s="354"/>
      <c r="FC3" s="164"/>
      <c r="FD3" s="164"/>
      <c r="FE3" s="164"/>
      <c r="FF3" s="164"/>
      <c r="FG3" s="164"/>
      <c r="FH3" s="164"/>
      <c r="FI3" s="164"/>
      <c r="FJ3" s="164"/>
      <c r="FK3" s="164"/>
      <c r="FL3" s="164"/>
      <c r="FM3" s="164"/>
      <c r="FN3" s="164"/>
      <c r="FO3" s="164"/>
      <c r="FP3" s="164"/>
      <c r="FQ3" s="357"/>
      <c r="FR3" s="358"/>
      <c r="FS3" s="355"/>
      <c r="FT3" s="357"/>
      <c r="FU3" s="362"/>
      <c r="FV3" s="162"/>
      <c r="FW3" s="162"/>
      <c r="FX3" s="162"/>
      <c r="FY3" s="162"/>
      <c r="FZ3" s="162"/>
      <c r="GA3" s="162"/>
      <c r="GB3" s="162"/>
      <c r="GC3" s="367"/>
      <c r="GD3" s="367"/>
      <c r="GE3" s="368"/>
      <c r="GF3" s="367"/>
      <c r="GG3" s="6"/>
      <c r="GH3" s="6"/>
      <c r="GI3" s="12"/>
      <c r="GJ3" s="367"/>
      <c r="GK3" s="367"/>
      <c r="GL3" s="369"/>
      <c r="GM3" s="370"/>
      <c r="GN3" s="370"/>
      <c r="GO3" s="358"/>
      <c r="GP3" s="358"/>
      <c r="GQ3" s="358"/>
      <c r="GR3" s="371"/>
      <c r="GS3" s="371"/>
      <c r="GT3" s="173"/>
      <c r="GU3" s="371"/>
      <c r="GV3" s="372"/>
      <c r="GW3" s="372"/>
      <c r="GX3" s="372"/>
      <c r="GY3" s="372"/>
      <c r="GZ3" s="358"/>
      <c r="HA3" s="358"/>
      <c r="HB3" s="163"/>
      <c r="HC3" s="6"/>
      <c r="HD3" s="6"/>
      <c r="HE3" s="6"/>
      <c r="HF3" s="6"/>
      <c r="HG3" s="6"/>
      <c r="HH3" s="6"/>
      <c r="HI3" s="6"/>
      <c r="HJ3" s="6"/>
      <c r="HK3" s="6"/>
      <c r="HL3" s="6"/>
      <c r="HM3" s="6"/>
      <c r="HN3" s="6"/>
      <c r="HO3" s="279"/>
      <c r="HP3" s="279"/>
      <c r="HQ3" s="279"/>
      <c r="HR3" s="279"/>
      <c r="HS3" s="279"/>
      <c r="HT3" s="7"/>
      <c r="HU3" s="7"/>
      <c r="HV3" s="7"/>
      <c r="HW3" s="7"/>
      <c r="HX3" s="7"/>
      <c r="HY3" s="7"/>
      <c r="HZ3" s="274"/>
      <c r="IA3" s="279"/>
      <c r="IB3" s="274"/>
      <c r="IC3" s="279"/>
      <c r="ID3" s="279"/>
      <c r="IE3" s="279"/>
      <c r="IF3" s="279"/>
      <c r="IG3" s="279"/>
      <c r="IH3" s="279"/>
      <c r="II3" s="279"/>
      <c r="IJ3" s="271"/>
      <c r="IK3" s="7"/>
      <c r="IL3" s="21"/>
      <c r="IM3" s="69"/>
      <c r="IN3" s="68"/>
      <c r="IO3" s="276"/>
      <c r="IP3" s="70"/>
      <c r="IQ3" s="70"/>
      <c r="IR3" s="70"/>
      <c r="IS3" s="70"/>
      <c r="IT3" s="70"/>
      <c r="IU3" s="82"/>
      <c r="IV3" s="70"/>
      <c r="IW3" s="70"/>
      <c r="IX3" s="70"/>
      <c r="IY3" s="70"/>
      <c r="IZ3" s="70"/>
      <c r="JA3" s="70"/>
      <c r="JB3" s="70"/>
      <c r="JC3" s="70"/>
      <c r="JD3" s="70"/>
      <c r="JE3" s="12"/>
      <c r="JF3" s="12"/>
      <c r="JG3" s="98"/>
      <c r="JH3" s="12"/>
      <c r="JI3" s="12"/>
      <c r="JJ3" s="12"/>
      <c r="JK3" s="12"/>
      <c r="JL3" s="12"/>
      <c r="JM3" s="70"/>
      <c r="JN3" s="70"/>
      <c r="JO3" s="70"/>
      <c r="JP3" s="70"/>
      <c r="JQ3" s="70"/>
      <c r="JR3" s="70"/>
      <c r="JS3" s="70"/>
      <c r="JT3" s="70"/>
      <c r="JU3" s="120"/>
      <c r="JV3" s="70"/>
      <c r="JW3" s="70"/>
      <c r="JX3" s="120"/>
      <c r="JY3" s="120"/>
      <c r="JZ3" s="7"/>
      <c r="KA3" s="7"/>
      <c r="KB3" s="6"/>
      <c r="KC3" s="6"/>
      <c r="KD3" s="6"/>
      <c r="KE3" s="6"/>
      <c r="KF3" s="6"/>
      <c r="KG3" s="6"/>
      <c r="KH3" s="6"/>
      <c r="KI3" s="6"/>
      <c r="KJ3" s="6"/>
      <c r="KK3" s="6"/>
      <c r="KL3" s="6"/>
      <c r="KM3" s="6"/>
      <c r="KN3" s="6"/>
      <c r="KO3" s="6"/>
      <c r="KP3" s="6"/>
      <c r="KQ3" s="6"/>
      <c r="KR3" s="6"/>
      <c r="KS3" s="11"/>
      <c r="KT3" s="11"/>
      <c r="KU3" s="6"/>
      <c r="KV3" s="6"/>
      <c r="KW3" s="6"/>
      <c r="KX3" s="6"/>
      <c r="KY3" s="6"/>
      <c r="KZ3" s="6"/>
    </row>
    <row r="4" spans="1:312" s="13" customFormat="1" x14ac:dyDescent="0.2">
      <c r="A4" s="6"/>
      <c r="B4" s="3"/>
      <c r="C4" s="3"/>
      <c r="D4" s="3"/>
      <c r="E4" s="3"/>
      <c r="F4" s="3"/>
      <c r="G4"/>
      <c r="H4"/>
      <c r="I4" s="3"/>
      <c r="J4" s="3"/>
      <c r="K4" s="3"/>
      <c r="L4"/>
      <c r="M4"/>
      <c r="N4"/>
      <c r="O4"/>
      <c r="P4"/>
      <c r="Q4"/>
      <c r="R4"/>
      <c r="S4"/>
      <c r="T4"/>
      <c r="U4" s="3"/>
      <c r="V4"/>
      <c r="W4"/>
      <c r="X4" s="89"/>
      <c r="Y4" s="90"/>
      <c r="Z4" s="92"/>
      <c r="AA4" s="92"/>
      <c r="AB4" s="92"/>
      <c r="AC4" s="269"/>
      <c r="AD4" s="269"/>
      <c r="AE4" s="92"/>
      <c r="AF4" s="269"/>
      <c r="AG4" s="92"/>
      <c r="AH4" s="92"/>
      <c r="AI4" s="92"/>
      <c r="AJ4" s="92"/>
      <c r="AK4" s="92"/>
      <c r="AL4" s="91"/>
      <c r="AM4" s="91"/>
      <c r="AN4" s="270"/>
      <c r="AO4" s="7"/>
      <c r="AP4" s="7"/>
      <c r="AQ4" s="270"/>
      <c r="AR4" s="272"/>
      <c r="AS4" s="270"/>
      <c r="AT4" s="272"/>
      <c r="AU4" s="270"/>
      <c r="AV4" s="270"/>
      <c r="AW4" s="272"/>
      <c r="AX4" s="270"/>
      <c r="AY4" s="272"/>
      <c r="AZ4" s="7"/>
      <c r="BA4" s="269"/>
      <c r="BB4" s="272"/>
      <c r="BC4" s="272"/>
      <c r="BD4" s="272"/>
      <c r="BE4"/>
      <c r="BF4"/>
      <c r="BG4" s="273"/>
      <c r="BH4" s="12"/>
      <c r="BI4" s="272"/>
      <c r="BJ4" s="272"/>
      <c r="BK4" s="272"/>
      <c r="BL4" s="272"/>
      <c r="BM4" s="272"/>
      <c r="BN4" s="269"/>
      <c r="BO4" s="11"/>
      <c r="BP4" s="269"/>
      <c r="BQ4" s="7"/>
      <c r="BR4" s="269"/>
      <c r="BS4" s="7"/>
      <c r="BT4" s="269"/>
      <c r="BU4" s="269"/>
      <c r="BV4" s="7"/>
      <c r="BW4" s="274"/>
      <c r="BX4" s="272"/>
      <c r="BY4" s="272"/>
      <c r="BZ4" s="272"/>
      <c r="CA4" s="272"/>
      <c r="CB4" s="7"/>
      <c r="CC4" s="7"/>
      <c r="CD4" s="7"/>
      <c r="CE4" s="7"/>
      <c r="CF4" s="272"/>
      <c r="CG4" s="8"/>
      <c r="CH4" s="275"/>
      <c r="CI4" s="276"/>
      <c r="CJ4" s="8"/>
      <c r="CK4" s="275"/>
      <c r="CL4" s="276"/>
      <c r="CM4" s="7"/>
      <c r="CN4" s="275"/>
      <c r="CO4" s="7"/>
      <c r="CP4" s="7"/>
      <c r="CQ4" s="7"/>
      <c r="CR4" s="7"/>
      <c r="CS4" s="7"/>
      <c r="CT4" s="6"/>
      <c r="CU4" s="6"/>
      <c r="CV4" s="7"/>
      <c r="CW4" s="277"/>
      <c r="CX4" s="7"/>
      <c r="CY4" s="278"/>
      <c r="CZ4" s="12"/>
      <c r="DA4" s="274"/>
      <c r="DB4" s="277"/>
      <c r="DC4" s="273"/>
      <c r="DD4" s="273"/>
      <c r="DE4" s="273"/>
      <c r="DF4" s="269"/>
      <c r="DG4" s="269"/>
      <c r="DH4" s="274"/>
      <c r="DI4" s="277"/>
      <c r="DJ4" s="273"/>
      <c r="DK4" s="276"/>
      <c r="DL4" s="277"/>
      <c r="DM4" s="277"/>
      <c r="DN4" s="273"/>
      <c r="DO4" s="273"/>
      <c r="DP4" s="273"/>
      <c r="DQ4" s="12"/>
      <c r="DR4" s="8"/>
      <c r="DS4" s="8"/>
      <c r="DT4" s="8"/>
      <c r="DU4" s="8"/>
      <c r="DV4" s="8"/>
      <c r="DW4" s="277"/>
      <c r="DX4" s="12"/>
      <c r="DY4" s="269"/>
      <c r="DZ4" s="269"/>
      <c r="EA4" s="277"/>
      <c r="EB4" s="277"/>
      <c r="EC4" s="273"/>
      <c r="ED4" s="273"/>
      <c r="EE4" s="7"/>
      <c r="EF4" s="7"/>
      <c r="EG4" s="8"/>
      <c r="EH4" s="8"/>
      <c r="EI4" s="7"/>
      <c r="EJ4" s="269"/>
      <c r="EK4" s="269"/>
      <c r="EL4" s="12"/>
      <c r="EM4" s="6"/>
      <c r="EN4" s="6"/>
      <c r="EO4" s="6"/>
      <c r="EP4" s="6"/>
      <c r="EQ4" s="6"/>
      <c r="ER4" s="6"/>
      <c r="ES4" s="6"/>
      <c r="ET4" s="6"/>
      <c r="EU4" s="6"/>
      <c r="EV4" s="6"/>
      <c r="EW4" s="6"/>
      <c r="EX4" s="284"/>
      <c r="EY4" s="284"/>
      <c r="EZ4" s="284"/>
      <c r="FA4" s="284"/>
      <c r="FB4" s="284"/>
      <c r="FC4" s="6"/>
      <c r="FD4" s="6"/>
      <c r="FE4" s="6"/>
      <c r="FF4" s="6"/>
      <c r="FG4" s="6"/>
      <c r="FH4" s="6"/>
      <c r="FI4" s="6"/>
      <c r="FJ4" s="6"/>
      <c r="FK4" s="6"/>
      <c r="FL4" s="6"/>
      <c r="FM4" s="6"/>
      <c r="FN4" s="6"/>
      <c r="FO4" s="6"/>
      <c r="FP4" s="6"/>
      <c r="FQ4" s="114"/>
      <c r="FR4" s="114"/>
      <c r="FS4" s="102"/>
      <c r="FT4" s="114"/>
      <c r="FU4" s="114"/>
      <c r="FV4" s="12"/>
      <c r="FW4" s="12"/>
      <c r="FX4" s="12"/>
      <c r="FY4" s="12"/>
      <c r="FZ4" s="12"/>
      <c r="GA4" s="12"/>
      <c r="GB4" s="12"/>
      <c r="GC4" s="12"/>
      <c r="GD4" s="12"/>
      <c r="GE4" s="6"/>
      <c r="GF4" s="6"/>
      <c r="GJ4" s="6"/>
      <c r="GK4" s="273"/>
      <c r="GL4" s="165"/>
      <c r="GM4" s="117"/>
      <c r="GN4" s="117"/>
      <c r="GO4" s="117"/>
      <c r="GP4" s="117"/>
      <c r="GQ4" s="117"/>
      <c r="GR4" s="7"/>
      <c r="GS4" s="12"/>
      <c r="GT4" s="273"/>
      <c r="GU4" s="12"/>
      <c r="GV4" s="117"/>
      <c r="GW4" s="117"/>
      <c r="GX4" s="117"/>
      <c r="GY4" s="117"/>
      <c r="GZ4" s="117"/>
      <c r="HA4" s="117"/>
      <c r="HB4" s="11"/>
      <c r="HC4" s="6"/>
      <c r="HD4" s="6"/>
      <c r="HE4" s="6"/>
      <c r="HF4" s="276"/>
      <c r="HG4" s="277"/>
      <c r="HH4" s="277"/>
      <c r="HI4" s="273"/>
      <c r="HJ4" s="6"/>
      <c r="HK4" s="6"/>
      <c r="HL4" s="6"/>
      <c r="HM4" s="6"/>
      <c r="HN4" s="7"/>
      <c r="HO4" s="279"/>
      <c r="HP4" s="279"/>
      <c r="HQ4" s="279"/>
      <c r="HR4" s="279"/>
      <c r="HS4" s="279"/>
      <c r="HT4" s="7"/>
      <c r="HU4" s="7"/>
      <c r="HV4" s="7"/>
      <c r="HW4" s="7"/>
      <c r="HX4" s="7"/>
      <c r="HY4" s="7"/>
      <c r="HZ4" s="274"/>
      <c r="IA4" s="279"/>
      <c r="IB4" s="274"/>
      <c r="IC4" s="279"/>
      <c r="ID4" s="279"/>
      <c r="IE4" s="279"/>
      <c r="IF4" s="279"/>
      <c r="IG4" s="279"/>
      <c r="IH4" s="279"/>
      <c r="II4" s="279"/>
      <c r="IJ4" s="271"/>
      <c r="IK4" s="7"/>
      <c r="IL4" s="21"/>
      <c r="IM4" s="69"/>
      <c r="IN4" s="68"/>
      <c r="IO4" s="276"/>
      <c r="IP4" s="70"/>
      <c r="IQ4" s="70"/>
      <c r="IR4" s="70"/>
      <c r="IS4" s="70"/>
      <c r="IT4" s="70"/>
      <c r="IU4" s="82"/>
      <c r="IV4" s="70"/>
      <c r="IW4" s="70"/>
      <c r="IX4" s="70"/>
      <c r="IY4" s="70"/>
      <c r="IZ4" s="70"/>
      <c r="JA4" s="70"/>
      <c r="JB4" s="70"/>
      <c r="JC4" s="70"/>
      <c r="JD4" s="70"/>
      <c r="JE4" s="12"/>
      <c r="JF4" s="12"/>
      <c r="JG4" s="98"/>
      <c r="JH4" s="12"/>
      <c r="JI4" s="12"/>
      <c r="JJ4" s="12"/>
      <c r="JK4" s="12"/>
      <c r="JL4" s="12"/>
      <c r="JM4" s="70"/>
      <c r="JN4" s="70"/>
      <c r="JO4" s="70"/>
      <c r="JP4" s="70"/>
      <c r="JQ4" s="70"/>
      <c r="JR4" s="70"/>
      <c r="JS4" s="70"/>
      <c r="JT4" s="70"/>
      <c r="JU4" s="120"/>
      <c r="JV4" s="70"/>
      <c r="JW4" s="70"/>
      <c r="JX4" s="120"/>
      <c r="JY4" s="120"/>
      <c r="JZ4" s="7"/>
      <c r="KA4" s="7"/>
      <c r="KS4" s="577"/>
      <c r="KT4" s="577"/>
    </row>
    <row r="5" spans="1:312" s="41" customFormat="1" x14ac:dyDescent="0.2">
      <c r="A5" s="361"/>
      <c r="B5" s="373"/>
      <c r="C5" s="373"/>
      <c r="D5" s="373"/>
      <c r="E5" s="373"/>
      <c r="F5" s="373"/>
      <c r="G5" s="373"/>
      <c r="H5" s="373"/>
      <c r="I5" s="373"/>
      <c r="J5" s="374"/>
      <c r="K5" s="374"/>
      <c r="L5" s="374"/>
      <c r="M5" s="374"/>
      <c r="N5" s="374"/>
      <c r="O5" s="374"/>
      <c r="P5" s="374"/>
      <c r="Q5" s="374"/>
      <c r="R5" s="374"/>
      <c r="S5" s="374"/>
      <c r="T5" s="374"/>
      <c r="U5" s="374"/>
      <c r="V5" s="361"/>
      <c r="W5" s="361"/>
      <c r="X5" s="361"/>
      <c r="Y5" s="361"/>
      <c r="Z5" s="375"/>
      <c r="AA5" s="375"/>
      <c r="AB5" s="375"/>
      <c r="AC5" s="375"/>
      <c r="AD5" s="375"/>
      <c r="AE5" s="375"/>
      <c r="AF5" s="113"/>
      <c r="AG5" s="376"/>
      <c r="AH5" s="376"/>
      <c r="AI5" s="376"/>
      <c r="AJ5" s="376"/>
      <c r="AK5" s="376"/>
      <c r="AL5" s="376"/>
      <c r="AM5" s="376"/>
      <c r="AN5" s="376"/>
      <c r="AO5" s="361"/>
      <c r="AP5" s="361"/>
      <c r="AQ5" s="376"/>
      <c r="AR5" s="376"/>
      <c r="AS5" s="376"/>
      <c r="AT5" s="376"/>
      <c r="AU5" s="376"/>
      <c r="AV5" s="376"/>
      <c r="AW5" s="376"/>
      <c r="AX5" s="376"/>
      <c r="AY5" s="376"/>
      <c r="AZ5" s="361"/>
      <c r="BA5" s="375"/>
      <c r="BB5" s="376"/>
      <c r="BC5" s="376"/>
      <c r="BD5" s="376"/>
      <c r="BE5" s="366"/>
      <c r="BG5" s="366"/>
      <c r="BH5" s="366"/>
      <c r="BI5" s="376"/>
      <c r="BJ5" s="376"/>
      <c r="BK5" s="376"/>
      <c r="BL5" s="376"/>
      <c r="BM5" s="376"/>
      <c r="BN5" s="377"/>
      <c r="BO5" s="375"/>
      <c r="BP5" s="377"/>
      <c r="BQ5" s="113"/>
      <c r="BR5" s="377"/>
      <c r="BS5" s="113"/>
      <c r="BT5" s="113"/>
      <c r="BU5" s="377"/>
      <c r="BV5" s="377"/>
      <c r="BW5" s="377"/>
      <c r="BX5" s="376"/>
      <c r="BY5" s="376"/>
      <c r="BZ5" s="376"/>
      <c r="CA5" s="376"/>
      <c r="CB5" s="361"/>
      <c r="CC5" s="361"/>
      <c r="CD5" s="361"/>
      <c r="CE5" s="361"/>
      <c r="CF5" s="376"/>
      <c r="CG5" s="361"/>
      <c r="CH5" s="361"/>
      <c r="CI5" s="366"/>
      <c r="CJ5" s="378"/>
      <c r="CK5" s="366"/>
      <c r="CL5" s="366"/>
      <c r="CM5" s="361"/>
      <c r="CN5" s="379"/>
      <c r="CO5" s="361"/>
      <c r="CP5" s="361"/>
      <c r="CQ5" s="361"/>
      <c r="CR5" s="361"/>
      <c r="CS5" s="361"/>
      <c r="CT5" s="128"/>
      <c r="CU5" s="128"/>
      <c r="CV5" s="366"/>
      <c r="CW5" s="366"/>
      <c r="CX5" s="366"/>
      <c r="CY5" s="366"/>
      <c r="CZ5" s="140" t="s">
        <v>984</v>
      </c>
      <c r="DA5" s="366"/>
      <c r="DB5" s="366"/>
      <c r="DC5" s="140" t="s">
        <v>984</v>
      </c>
      <c r="DD5" s="366"/>
      <c r="DE5" s="366"/>
      <c r="DF5" s="366"/>
      <c r="DG5" s="366"/>
      <c r="DH5" s="380"/>
      <c r="DI5" s="366"/>
      <c r="DJ5" s="366"/>
      <c r="DK5" s="366"/>
      <c r="DL5" s="366"/>
      <c r="DM5" s="366"/>
      <c r="DN5" s="366"/>
      <c r="DO5" s="366"/>
      <c r="DP5" s="390" t="s">
        <v>986</v>
      </c>
      <c r="DQ5" s="390" t="s">
        <v>986</v>
      </c>
      <c r="DR5" s="366"/>
      <c r="DS5" s="366"/>
      <c r="DT5" s="366"/>
      <c r="DU5" s="366"/>
      <c r="DV5" s="366"/>
      <c r="DW5" s="366"/>
      <c r="DX5" s="366"/>
      <c r="DY5" s="377"/>
      <c r="DZ5" s="366"/>
      <c r="EA5" s="381"/>
      <c r="EB5" s="381"/>
      <c r="EG5" s="366"/>
      <c r="EH5" s="366"/>
      <c r="EI5" s="361"/>
      <c r="EJ5" s="366"/>
      <c r="EK5" s="366"/>
      <c r="EM5" s="319" t="s">
        <v>771</v>
      </c>
      <c r="EN5" s="319" t="s">
        <v>771</v>
      </c>
      <c r="EO5" s="319" t="s">
        <v>771</v>
      </c>
      <c r="EP5" s="319" t="s">
        <v>771</v>
      </c>
      <c r="EQ5" s="319" t="s">
        <v>771</v>
      </c>
      <c r="ER5" s="319" t="s">
        <v>771</v>
      </c>
      <c r="ES5" s="319"/>
      <c r="ET5" s="319" t="s">
        <v>771</v>
      </c>
      <c r="EU5" s="319" t="s">
        <v>771</v>
      </c>
      <c r="EV5" s="319" t="s">
        <v>771</v>
      </c>
      <c r="EW5" s="319" t="s">
        <v>771</v>
      </c>
      <c r="EX5" s="319" t="s">
        <v>771</v>
      </c>
      <c r="EY5" s="319" t="s">
        <v>771</v>
      </c>
      <c r="EZ5" s="319"/>
      <c r="FA5" s="319"/>
      <c r="FB5" s="319"/>
      <c r="FC5" s="319" t="s">
        <v>771</v>
      </c>
      <c r="FD5" s="319"/>
      <c r="FE5" s="319" t="s">
        <v>771</v>
      </c>
      <c r="FF5" s="319" t="s">
        <v>771</v>
      </c>
      <c r="FG5" s="319" t="s">
        <v>771</v>
      </c>
      <c r="FH5" s="319" t="s">
        <v>771</v>
      </c>
      <c r="FI5" s="319" t="s">
        <v>771</v>
      </c>
      <c r="FJ5" s="319"/>
      <c r="FK5" s="319"/>
      <c r="FL5" s="319"/>
      <c r="FM5" s="319"/>
      <c r="FN5" s="319"/>
      <c r="FO5" s="319" t="s">
        <v>771</v>
      </c>
      <c r="FP5" s="319"/>
      <c r="FQ5" s="382"/>
      <c r="FR5" s="382"/>
      <c r="FS5" s="383"/>
      <c r="FT5" s="382"/>
      <c r="FU5" s="347" t="s">
        <v>636</v>
      </c>
      <c r="FV5" s="349" t="s">
        <v>1148</v>
      </c>
      <c r="FW5" s="360" t="s">
        <v>1152</v>
      </c>
      <c r="FX5" s="261" t="s">
        <v>633</v>
      </c>
      <c r="FY5" s="261" t="s">
        <v>633</v>
      </c>
      <c r="FZ5" s="260" t="s">
        <v>896</v>
      </c>
      <c r="GA5" s="365" t="s">
        <v>895</v>
      </c>
      <c r="GB5" s="366"/>
      <c r="GC5" s="366"/>
      <c r="GJ5" s="347" t="s">
        <v>636</v>
      </c>
      <c r="GK5" s="349" t="s">
        <v>1148</v>
      </c>
      <c r="GL5" s="261" t="s">
        <v>633</v>
      </c>
      <c r="GM5" s="260" t="s">
        <v>896</v>
      </c>
      <c r="GN5" s="365" t="s">
        <v>895</v>
      </c>
      <c r="GO5" s="384"/>
      <c r="GP5" s="384"/>
      <c r="GQ5" s="384"/>
      <c r="GR5" s="347" t="s">
        <v>636</v>
      </c>
      <c r="GS5" s="349" t="s">
        <v>1148</v>
      </c>
      <c r="GT5" s="378"/>
      <c r="GU5" s="261" t="s">
        <v>633</v>
      </c>
      <c r="GV5" s="260" t="s">
        <v>896</v>
      </c>
      <c r="GW5" s="365" t="s">
        <v>895</v>
      </c>
      <c r="GX5" s="365"/>
      <c r="GY5" s="365"/>
      <c r="GZ5" s="383"/>
      <c r="HA5" s="383"/>
      <c r="HB5" s="366"/>
      <c r="HC5" s="361"/>
      <c r="HD5" s="361"/>
      <c r="HE5" s="361"/>
      <c r="HF5" s="366"/>
      <c r="HG5" s="366"/>
      <c r="HH5" s="366"/>
      <c r="HI5" s="385"/>
      <c r="HJ5" s="385"/>
      <c r="HK5" s="385"/>
      <c r="HL5" s="385"/>
      <c r="HM5" s="385"/>
      <c r="HN5" s="385"/>
      <c r="HO5" s="347" t="s">
        <v>636</v>
      </c>
      <c r="HP5" s="349" t="s">
        <v>1148</v>
      </c>
      <c r="HQ5" s="142" t="s">
        <v>633</v>
      </c>
      <c r="HR5" s="142" t="s">
        <v>633</v>
      </c>
      <c r="HS5" s="142" t="s">
        <v>633</v>
      </c>
      <c r="HT5" s="260" t="s">
        <v>896</v>
      </c>
      <c r="HU5" s="260" t="s">
        <v>896</v>
      </c>
      <c r="HV5" s="260"/>
      <c r="HW5" s="260"/>
      <c r="HX5" s="289" t="s">
        <v>896</v>
      </c>
      <c r="HY5" s="289"/>
      <c r="HZ5" s="291" t="s">
        <v>895</v>
      </c>
      <c r="IA5" s="291" t="s">
        <v>895</v>
      </c>
      <c r="IB5" s="291" t="s">
        <v>895</v>
      </c>
      <c r="IC5" s="291" t="s">
        <v>895</v>
      </c>
      <c r="ID5" s="291" t="s">
        <v>895</v>
      </c>
      <c r="IE5" s="291"/>
      <c r="IF5" s="291"/>
      <c r="IG5" s="291"/>
      <c r="IH5" s="291" t="s">
        <v>895</v>
      </c>
      <c r="II5" s="291"/>
      <c r="IJ5" s="378"/>
      <c r="IK5" s="361"/>
      <c r="IL5" s="378"/>
      <c r="IM5" s="378"/>
      <c r="IN5" s="378"/>
      <c r="IO5" s="386"/>
      <c r="IP5" s="366"/>
      <c r="IQ5" s="387"/>
      <c r="IR5" s="366"/>
      <c r="IS5" s="366"/>
      <c r="IT5" s="366"/>
      <c r="IU5" s="378"/>
      <c r="IV5" s="366"/>
      <c r="IW5" s="366"/>
      <c r="IX5" s="366"/>
      <c r="IY5" s="366"/>
      <c r="IZ5" s="366"/>
      <c r="JA5" s="366"/>
      <c r="JB5" s="366"/>
      <c r="JC5" s="366"/>
      <c r="JD5" s="366"/>
      <c r="JE5" s="366"/>
      <c r="JF5" s="366"/>
      <c r="JG5" s="388"/>
      <c r="JH5" s="366"/>
      <c r="JI5" s="366"/>
      <c r="JJ5" s="366"/>
      <c r="JK5" s="366"/>
      <c r="JL5" s="366"/>
      <c r="JM5" s="366"/>
      <c r="JN5" s="366"/>
      <c r="JO5" s="366"/>
      <c r="JP5" s="366"/>
      <c r="JQ5" s="366"/>
      <c r="JR5" s="366"/>
      <c r="JS5" s="366"/>
      <c r="JT5" s="366"/>
      <c r="JU5" s="361"/>
      <c r="JV5" s="366"/>
      <c r="JW5" s="366"/>
      <c r="JX5" s="361"/>
      <c r="JY5" s="361"/>
      <c r="JZ5" s="361"/>
      <c r="KA5" s="361"/>
      <c r="KB5" s="6"/>
      <c r="KC5" s="6"/>
      <c r="KD5" s="6"/>
      <c r="KE5" s="6"/>
      <c r="KF5" s="318" t="s">
        <v>1066</v>
      </c>
      <c r="KG5" s="316" t="s">
        <v>1062</v>
      </c>
      <c r="KH5" s="247" t="s">
        <v>1065</v>
      </c>
      <c r="KI5" s="317" t="s">
        <v>1064</v>
      </c>
      <c r="KJ5" s="317" t="s">
        <v>1064</v>
      </c>
      <c r="KK5" s="317" t="s">
        <v>1064</v>
      </c>
      <c r="KL5" s="317" t="s">
        <v>1064</v>
      </c>
      <c r="KM5" s="317" t="s">
        <v>1064</v>
      </c>
      <c r="KN5" s="317" t="s">
        <v>1064</v>
      </c>
      <c r="KO5" s="317" t="s">
        <v>1064</v>
      </c>
      <c r="KP5" s="317" t="s">
        <v>1064</v>
      </c>
      <c r="KQ5" s="6"/>
      <c r="KR5" s="6"/>
      <c r="KS5" s="11"/>
      <c r="KT5" s="11"/>
      <c r="KU5" s="6"/>
      <c r="KV5" s="6"/>
      <c r="KW5" s="6"/>
      <c r="KX5" s="6"/>
      <c r="KY5" s="6"/>
      <c r="KZ5" s="6"/>
    </row>
    <row r="6" spans="1:312" s="138" customFormat="1" ht="10.9" x14ac:dyDescent="0.2">
      <c r="A6" s="128"/>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347" t="s">
        <v>636</v>
      </c>
      <c r="BD6" s="347" t="s">
        <v>636</v>
      </c>
      <c r="BE6" s="140" t="s">
        <v>984</v>
      </c>
      <c r="BF6" s="140" t="s">
        <v>984</v>
      </c>
      <c r="BG6" s="140" t="s">
        <v>984</v>
      </c>
      <c r="BH6" s="140" t="s">
        <v>984</v>
      </c>
      <c r="BI6" s="347" t="s">
        <v>636</v>
      </c>
      <c r="BJ6" s="347" t="s">
        <v>636</v>
      </c>
      <c r="BK6" s="347" t="s">
        <v>636</v>
      </c>
      <c r="BL6" s="347"/>
      <c r="BM6" s="128"/>
      <c r="BN6" s="128"/>
      <c r="BO6" s="128"/>
      <c r="BP6" s="128"/>
      <c r="BQ6" s="128"/>
      <c r="BR6" s="128"/>
      <c r="BS6" s="128"/>
      <c r="BT6" s="349" t="s">
        <v>1148</v>
      </c>
      <c r="BU6" s="128"/>
      <c r="BV6" s="349" t="s">
        <v>1148</v>
      </c>
      <c r="BW6" s="349" t="s">
        <v>1148</v>
      </c>
      <c r="BX6" s="352" t="s">
        <v>267</v>
      </c>
      <c r="BY6" s="128"/>
      <c r="BZ6" s="352" t="s">
        <v>267</v>
      </c>
      <c r="CA6" s="352" t="s">
        <v>267</v>
      </c>
      <c r="CB6" s="352" t="s">
        <v>267</v>
      </c>
      <c r="CC6" s="352" t="s">
        <v>267</v>
      </c>
      <c r="CD6" s="352" t="s">
        <v>267</v>
      </c>
      <c r="CE6" s="352" t="s">
        <v>267</v>
      </c>
      <c r="CF6" s="352" t="s">
        <v>267</v>
      </c>
      <c r="CG6" s="348" t="s">
        <v>140</v>
      </c>
      <c r="CH6" s="348" t="s">
        <v>140</v>
      </c>
      <c r="CI6" s="348" t="s">
        <v>140</v>
      </c>
      <c r="CJ6" s="325" t="s">
        <v>141</v>
      </c>
      <c r="CK6" s="325" t="s">
        <v>141</v>
      </c>
      <c r="CL6" s="325" t="s">
        <v>141</v>
      </c>
      <c r="CM6" s="326" t="s">
        <v>43</v>
      </c>
      <c r="CN6" s="326" t="s">
        <v>43</v>
      </c>
      <c r="CO6" s="326" t="s">
        <v>43</v>
      </c>
      <c r="CP6" s="352"/>
      <c r="CQ6" s="352"/>
      <c r="CR6" s="128"/>
      <c r="CS6" s="128"/>
      <c r="CV6" s="148" t="s">
        <v>630</v>
      </c>
      <c r="CW6" s="148" t="s">
        <v>630</v>
      </c>
      <c r="CX6" s="149" t="s">
        <v>631</v>
      </c>
      <c r="CY6" s="149" t="s">
        <v>631</v>
      </c>
      <c r="CZ6" s="308" t="s">
        <v>140</v>
      </c>
      <c r="DA6" s="150" t="s">
        <v>632</v>
      </c>
      <c r="DB6" s="150" t="s">
        <v>632</v>
      </c>
      <c r="DC6" s="310" t="s">
        <v>985</v>
      </c>
      <c r="DD6" s="306" t="s">
        <v>635</v>
      </c>
      <c r="DE6" s="306" t="s">
        <v>635</v>
      </c>
      <c r="DF6" s="306" t="s">
        <v>635</v>
      </c>
      <c r="DG6" s="306" t="s">
        <v>635</v>
      </c>
      <c r="DH6" s="306" t="s">
        <v>635</v>
      </c>
      <c r="DI6" s="306" t="s">
        <v>635</v>
      </c>
      <c r="DJ6" s="306" t="s">
        <v>635</v>
      </c>
      <c r="DK6" s="306" t="s">
        <v>635</v>
      </c>
      <c r="DL6" s="306" t="s">
        <v>635</v>
      </c>
      <c r="DM6" s="306" t="s">
        <v>635</v>
      </c>
      <c r="DN6" s="306" t="s">
        <v>635</v>
      </c>
      <c r="DO6" s="306" t="s">
        <v>635</v>
      </c>
      <c r="DP6" s="308" t="s">
        <v>140</v>
      </c>
      <c r="DQ6" s="310" t="s">
        <v>985</v>
      </c>
      <c r="DR6" s="142" t="s">
        <v>633</v>
      </c>
      <c r="DS6" s="142" t="s">
        <v>633</v>
      </c>
      <c r="DT6" s="289" t="s">
        <v>896</v>
      </c>
      <c r="DU6" s="289" t="s">
        <v>896</v>
      </c>
      <c r="DV6" s="289" t="s">
        <v>896</v>
      </c>
      <c r="DW6" s="289" t="s">
        <v>896</v>
      </c>
      <c r="DX6" s="289" t="s">
        <v>896</v>
      </c>
      <c r="DY6" s="289" t="s">
        <v>896</v>
      </c>
      <c r="DZ6" s="289" t="s">
        <v>896</v>
      </c>
      <c r="EA6" s="289" t="s">
        <v>896</v>
      </c>
      <c r="EB6" s="289" t="s">
        <v>896</v>
      </c>
      <c r="EC6" s="128"/>
      <c r="ED6" s="128"/>
      <c r="EE6" s="128"/>
      <c r="EF6" s="349" t="s">
        <v>1148</v>
      </c>
      <c r="EG6" s="291" t="s">
        <v>895</v>
      </c>
      <c r="EH6" s="291" t="s">
        <v>895</v>
      </c>
      <c r="EI6" s="291" t="s">
        <v>895</v>
      </c>
      <c r="EJ6" s="291" t="s">
        <v>895</v>
      </c>
      <c r="EK6" s="291" t="s">
        <v>895</v>
      </c>
      <c r="EL6" s="291" t="s">
        <v>895</v>
      </c>
      <c r="EM6" s="347" t="s">
        <v>636</v>
      </c>
      <c r="EN6" s="347" t="s">
        <v>636</v>
      </c>
      <c r="EO6" s="349" t="s">
        <v>1148</v>
      </c>
      <c r="EP6" s="353" t="s">
        <v>490</v>
      </c>
      <c r="EQ6" s="361"/>
      <c r="ER6" s="353" t="s">
        <v>490</v>
      </c>
      <c r="ES6" s="353"/>
      <c r="ET6" s="142" t="s">
        <v>633</v>
      </c>
      <c r="EU6" s="142" t="s">
        <v>633</v>
      </c>
      <c r="EV6" s="142" t="s">
        <v>633</v>
      </c>
      <c r="EW6" s="289" t="s">
        <v>896</v>
      </c>
      <c r="EX6" s="289" t="s">
        <v>896</v>
      </c>
      <c r="EY6" s="289" t="s">
        <v>896</v>
      </c>
      <c r="EZ6" s="289"/>
      <c r="FA6" s="289"/>
      <c r="FB6" s="289"/>
      <c r="FC6" s="289" t="s">
        <v>896</v>
      </c>
      <c r="FD6" s="289"/>
      <c r="FE6" s="291" t="s">
        <v>895</v>
      </c>
      <c r="FF6" s="291" t="s">
        <v>895</v>
      </c>
      <c r="FG6" s="291" t="s">
        <v>895</v>
      </c>
      <c r="FH6" s="291" t="s">
        <v>895</v>
      </c>
      <c r="FI6" s="291" t="s">
        <v>895</v>
      </c>
      <c r="FJ6" s="291"/>
      <c r="FK6" s="291"/>
      <c r="FL6" s="291"/>
      <c r="FM6" s="291"/>
      <c r="FN6" s="291"/>
      <c r="FO6" s="291" t="s">
        <v>895</v>
      </c>
      <c r="FP6" s="291"/>
      <c r="FQ6" s="143" t="s">
        <v>344</v>
      </c>
      <c r="FR6" s="143" t="s">
        <v>344</v>
      </c>
      <c r="FS6" s="145"/>
      <c r="FT6" s="143" t="s">
        <v>344</v>
      </c>
      <c r="FU6" s="359" t="s">
        <v>720</v>
      </c>
      <c r="FV6" s="359" t="s">
        <v>720</v>
      </c>
      <c r="FW6" s="359" t="s">
        <v>720</v>
      </c>
      <c r="FX6" s="359" t="s">
        <v>720</v>
      </c>
      <c r="FY6" s="359" t="s">
        <v>720</v>
      </c>
      <c r="FZ6" s="359" t="s">
        <v>720</v>
      </c>
      <c r="GA6" s="359" t="s">
        <v>720</v>
      </c>
      <c r="GB6" s="359" t="s">
        <v>720</v>
      </c>
      <c r="GC6" s="359" t="s">
        <v>720</v>
      </c>
      <c r="GD6" s="359" t="s">
        <v>720</v>
      </c>
      <c r="GE6" s="359" t="s">
        <v>720</v>
      </c>
      <c r="GF6" s="359" t="s">
        <v>720</v>
      </c>
      <c r="GG6" s="312" t="s">
        <v>733</v>
      </c>
      <c r="GH6" s="312" t="s">
        <v>733</v>
      </c>
      <c r="GI6" s="312" t="s">
        <v>733</v>
      </c>
      <c r="GJ6" s="153" t="s">
        <v>345</v>
      </c>
      <c r="GK6" s="153" t="s">
        <v>345</v>
      </c>
      <c r="GL6" s="153" t="s">
        <v>345</v>
      </c>
      <c r="GM6" s="144" t="s">
        <v>457</v>
      </c>
      <c r="GN6" s="144" t="s">
        <v>457</v>
      </c>
      <c r="GO6" s="144" t="s">
        <v>457</v>
      </c>
      <c r="GP6" s="144" t="s">
        <v>457</v>
      </c>
      <c r="GQ6" s="144" t="s">
        <v>457</v>
      </c>
      <c r="GR6" s="154" t="s">
        <v>347</v>
      </c>
      <c r="GS6" s="154" t="s">
        <v>347</v>
      </c>
      <c r="GT6" s="154" t="s">
        <v>347</v>
      </c>
      <c r="GU6" s="154" t="s">
        <v>347</v>
      </c>
      <c r="GV6" s="154" t="s">
        <v>347</v>
      </c>
      <c r="GW6" s="154" t="s">
        <v>347</v>
      </c>
      <c r="GX6" s="154"/>
      <c r="GY6" s="154"/>
      <c r="GZ6" s="154" t="s">
        <v>347</v>
      </c>
      <c r="HA6" s="154" t="s">
        <v>347</v>
      </c>
      <c r="HB6" s="349" t="s">
        <v>637</v>
      </c>
      <c r="HC6" s="349" t="s">
        <v>637</v>
      </c>
      <c r="HD6" s="349" t="s">
        <v>637</v>
      </c>
      <c r="HE6" s="349" t="s">
        <v>637</v>
      </c>
      <c r="HF6" s="349" t="s">
        <v>637</v>
      </c>
      <c r="HG6" s="349" t="s">
        <v>637</v>
      </c>
      <c r="HH6" s="349" t="s">
        <v>637</v>
      </c>
      <c r="HI6" s="349" t="s">
        <v>637</v>
      </c>
      <c r="HJ6" s="349" t="s">
        <v>637</v>
      </c>
      <c r="HK6" s="349" t="s">
        <v>637</v>
      </c>
      <c r="HL6" s="349" t="s">
        <v>637</v>
      </c>
      <c r="HM6" s="349" t="s">
        <v>637</v>
      </c>
      <c r="HN6" s="349" t="s">
        <v>637</v>
      </c>
      <c r="HO6" s="349" t="s">
        <v>637</v>
      </c>
      <c r="HP6" s="349" t="s">
        <v>637</v>
      </c>
      <c r="HQ6" s="349" t="s">
        <v>637</v>
      </c>
      <c r="HR6" s="349" t="s">
        <v>637</v>
      </c>
      <c r="HS6" s="349" t="s">
        <v>637</v>
      </c>
      <c r="HT6" s="262" t="s">
        <v>637</v>
      </c>
      <c r="HU6" s="262" t="s">
        <v>637</v>
      </c>
      <c r="HV6" s="262"/>
      <c r="HW6" s="262"/>
      <c r="HX6" s="349" t="s">
        <v>637</v>
      </c>
      <c r="HY6" s="349"/>
      <c r="HZ6" s="349" t="s">
        <v>637</v>
      </c>
      <c r="IA6" s="349" t="s">
        <v>637</v>
      </c>
      <c r="IB6" s="349" t="s">
        <v>637</v>
      </c>
      <c r="IC6" s="349" t="s">
        <v>637</v>
      </c>
      <c r="ID6" s="349" t="s">
        <v>637</v>
      </c>
      <c r="IE6" s="349"/>
      <c r="IF6" s="349"/>
      <c r="IG6" s="349"/>
      <c r="IH6" s="349" t="s">
        <v>637</v>
      </c>
      <c r="II6" s="349"/>
      <c r="IJ6" s="349" t="s">
        <v>637</v>
      </c>
      <c r="IK6" s="349" t="s">
        <v>637</v>
      </c>
      <c r="IL6" s="128"/>
      <c r="IM6" s="349" t="s">
        <v>637</v>
      </c>
      <c r="IN6" s="349" t="s">
        <v>637</v>
      </c>
      <c r="IO6" s="350" t="s">
        <v>638</v>
      </c>
      <c r="IP6" s="350" t="s">
        <v>638</v>
      </c>
      <c r="IQ6" s="351" t="s">
        <v>161</v>
      </c>
      <c r="IR6" s="351" t="s">
        <v>162</v>
      </c>
      <c r="IS6" s="351" t="s">
        <v>163</v>
      </c>
      <c r="IT6" s="351" t="s">
        <v>164</v>
      </c>
      <c r="IU6" s="350" t="s">
        <v>638</v>
      </c>
      <c r="IV6" s="351" t="s">
        <v>166</v>
      </c>
      <c r="IW6" s="351" t="s">
        <v>167</v>
      </c>
      <c r="IX6" s="351" t="s">
        <v>168</v>
      </c>
      <c r="IY6" s="351" t="s">
        <v>169</v>
      </c>
      <c r="IZ6" s="142" t="s">
        <v>633</v>
      </c>
      <c r="JA6" s="142" t="s">
        <v>633</v>
      </c>
      <c r="JB6" s="41"/>
      <c r="JC6" s="41"/>
      <c r="JD6" s="41"/>
      <c r="JE6" s="363" t="s">
        <v>291</v>
      </c>
      <c r="JF6" s="363" t="s">
        <v>291</v>
      </c>
      <c r="JG6" s="364" t="s">
        <v>291</v>
      </c>
      <c r="JH6" s="363" t="s">
        <v>291</v>
      </c>
      <c r="JI6" s="363" t="s">
        <v>291</v>
      </c>
      <c r="JJ6" s="363" t="s">
        <v>291</v>
      </c>
      <c r="JK6" s="363" t="s">
        <v>291</v>
      </c>
      <c r="JL6" s="281" t="s">
        <v>792</v>
      </c>
      <c r="JZ6" s="128"/>
      <c r="KA6" s="128"/>
      <c r="KB6" s="281" t="s">
        <v>792</v>
      </c>
      <c r="KC6" s="281" t="s">
        <v>792</v>
      </c>
      <c r="KD6" s="281" t="s">
        <v>792</v>
      </c>
      <c r="KE6" s="281" t="s">
        <v>792</v>
      </c>
      <c r="KF6" s="281" t="s">
        <v>792</v>
      </c>
      <c r="KG6" s="281" t="s">
        <v>792</v>
      </c>
      <c r="KH6" s="281" t="s">
        <v>792</v>
      </c>
      <c r="KI6" s="281" t="s">
        <v>792</v>
      </c>
      <c r="KJ6" s="281" t="s">
        <v>792</v>
      </c>
      <c r="KK6" s="281" t="s">
        <v>792</v>
      </c>
      <c r="KL6" s="281" t="s">
        <v>792</v>
      </c>
      <c r="KM6" s="281" t="s">
        <v>792</v>
      </c>
      <c r="KN6" s="281" t="s">
        <v>792</v>
      </c>
      <c r="KO6" s="281" t="s">
        <v>792</v>
      </c>
      <c r="KP6" s="281" t="s">
        <v>792</v>
      </c>
      <c r="KQ6" s="281" t="s">
        <v>792</v>
      </c>
      <c r="KR6" s="281" t="s">
        <v>792</v>
      </c>
      <c r="KS6" s="581"/>
      <c r="KT6" s="581"/>
      <c r="KU6" s="281"/>
      <c r="KV6" s="281"/>
      <c r="KW6" s="281"/>
      <c r="KX6" s="281"/>
      <c r="KY6" s="281"/>
      <c r="KZ6" s="281"/>
    </row>
    <row r="7" spans="1:312" s="51" customFormat="1" ht="97.85" x14ac:dyDescent="0.2">
      <c r="A7" s="51" t="s">
        <v>18</v>
      </c>
      <c r="B7" s="146">
        <v>22386400</v>
      </c>
      <c r="AG7" s="51" t="s">
        <v>229</v>
      </c>
      <c r="AK7" s="51" t="s">
        <v>1143</v>
      </c>
      <c r="AQ7" s="51" t="s">
        <v>664</v>
      </c>
      <c r="AR7" s="51" t="s">
        <v>664</v>
      </c>
      <c r="AS7" s="51" t="s">
        <v>665</v>
      </c>
      <c r="AT7" s="51" t="s">
        <v>665</v>
      </c>
      <c r="AV7" s="51" t="s">
        <v>654</v>
      </c>
      <c r="AW7" s="51" t="s">
        <v>654</v>
      </c>
      <c r="AX7" s="51" t="s">
        <v>666</v>
      </c>
      <c r="AY7" s="51" t="s">
        <v>666</v>
      </c>
      <c r="AZ7" s="51" t="s">
        <v>655</v>
      </c>
      <c r="BA7" s="51" t="s">
        <v>655</v>
      </c>
      <c r="BB7" s="51" t="s">
        <v>134</v>
      </c>
      <c r="BC7" s="51" t="s">
        <v>1141</v>
      </c>
      <c r="BD7" s="51" t="s">
        <v>1142</v>
      </c>
      <c r="BE7" s="51" t="s">
        <v>137</v>
      </c>
      <c r="BF7" s="52" t="s">
        <v>1016</v>
      </c>
      <c r="BG7" s="51" t="s">
        <v>589</v>
      </c>
      <c r="BH7" s="51" t="s">
        <v>138</v>
      </c>
      <c r="BI7" s="51" t="s">
        <v>1192</v>
      </c>
      <c r="BJ7" s="51" t="s">
        <v>1193</v>
      </c>
      <c r="BK7" s="51" t="s">
        <v>1194</v>
      </c>
      <c r="BL7" s="51" t="s">
        <v>139</v>
      </c>
      <c r="BM7" s="51" t="s">
        <v>2772</v>
      </c>
      <c r="BN7" s="51" t="s">
        <v>667</v>
      </c>
      <c r="BO7" s="51" t="s">
        <v>668</v>
      </c>
      <c r="BQ7" s="51" t="s">
        <v>1140</v>
      </c>
      <c r="BR7" s="51" t="s">
        <v>1136</v>
      </c>
      <c r="BS7" s="51" t="s">
        <v>1144</v>
      </c>
      <c r="BT7" s="51" t="s">
        <v>1137</v>
      </c>
      <c r="BV7" s="51" t="s">
        <v>1139</v>
      </c>
      <c r="BW7" s="51" t="s">
        <v>1138</v>
      </c>
      <c r="BZ7" s="51" t="s">
        <v>1165</v>
      </c>
      <c r="CA7" s="51" t="s">
        <v>1166</v>
      </c>
      <c r="CK7" s="51" t="s">
        <v>621</v>
      </c>
      <c r="CT7" s="52" t="s">
        <v>1054</v>
      </c>
      <c r="CU7" s="52" t="s">
        <v>1002</v>
      </c>
      <c r="CW7" s="51" t="s">
        <v>232</v>
      </c>
      <c r="CY7" s="51" t="s">
        <v>252</v>
      </c>
      <c r="CZ7" s="51" t="s">
        <v>219</v>
      </c>
      <c r="DA7" s="51" t="s">
        <v>622</v>
      </c>
      <c r="DB7" s="51" t="s">
        <v>233</v>
      </c>
      <c r="DC7" s="51" t="s">
        <v>181</v>
      </c>
      <c r="DD7" s="51" t="s">
        <v>658</v>
      </c>
      <c r="DE7" s="51" t="s">
        <v>659</v>
      </c>
      <c r="DF7" s="51" t="s">
        <v>660</v>
      </c>
      <c r="DG7" s="51" t="s">
        <v>1145</v>
      </c>
      <c r="DH7" s="51" t="s">
        <v>1146</v>
      </c>
      <c r="DI7" s="51" t="s">
        <v>255</v>
      </c>
      <c r="DJ7" s="51" t="s">
        <v>186</v>
      </c>
      <c r="DK7" s="51" t="s">
        <v>661</v>
      </c>
      <c r="DL7" s="51" t="s">
        <v>193</v>
      </c>
      <c r="DM7" s="51" t="s">
        <v>231</v>
      </c>
      <c r="DN7" s="51" t="s">
        <v>184</v>
      </c>
      <c r="DO7" s="51" t="s">
        <v>185</v>
      </c>
      <c r="DP7" s="51" t="s">
        <v>215</v>
      </c>
      <c r="DQ7" s="51" t="s">
        <v>180</v>
      </c>
      <c r="DR7" s="51" t="s">
        <v>315</v>
      </c>
      <c r="DS7" s="51" t="s">
        <v>663</v>
      </c>
      <c r="DT7" s="51" t="s">
        <v>1175</v>
      </c>
      <c r="DU7" s="51" t="s">
        <v>1178</v>
      </c>
      <c r="DV7" s="51" t="s">
        <v>157</v>
      </c>
      <c r="DW7" s="6"/>
      <c r="DX7" s="51" t="s">
        <v>121</v>
      </c>
      <c r="DY7" s="51" t="s">
        <v>1172</v>
      </c>
      <c r="DZ7" s="51" t="s">
        <v>1171</v>
      </c>
      <c r="EA7" s="51" t="s">
        <v>209</v>
      </c>
      <c r="EB7" s="51" t="s">
        <v>212</v>
      </c>
      <c r="EC7" s="51" t="s">
        <v>619</v>
      </c>
      <c r="ED7" s="51" t="s">
        <v>620</v>
      </c>
      <c r="EE7" s="51" t="s">
        <v>320</v>
      </c>
      <c r="EF7" s="51" t="s">
        <v>356</v>
      </c>
      <c r="EG7" s="51" t="s">
        <v>1176</v>
      </c>
      <c r="EH7" s="51" t="s">
        <v>1179</v>
      </c>
      <c r="EI7" s="51" t="s">
        <v>321</v>
      </c>
      <c r="EJ7" s="51" t="s">
        <v>319</v>
      </c>
      <c r="EK7" s="51" t="s">
        <v>1170</v>
      </c>
      <c r="EL7" s="52" t="s">
        <v>1051</v>
      </c>
      <c r="EM7" s="51" t="s">
        <v>1147</v>
      </c>
      <c r="EN7" s="51" t="s">
        <v>440</v>
      </c>
      <c r="EO7" s="51" t="s">
        <v>1072</v>
      </c>
      <c r="EP7" s="51" t="s">
        <v>1149</v>
      </c>
      <c r="EQ7" s="51" t="s">
        <v>441</v>
      </c>
      <c r="ER7" s="51" t="s">
        <v>442</v>
      </c>
      <c r="ET7" s="51" t="s">
        <v>308</v>
      </c>
      <c r="EU7" s="51" t="s">
        <v>309</v>
      </c>
      <c r="EV7" s="51" t="s">
        <v>650</v>
      </c>
      <c r="EW7" s="51" t="s">
        <v>439</v>
      </c>
      <c r="EX7" s="52" t="s">
        <v>874</v>
      </c>
      <c r="EY7" s="52" t="s">
        <v>875</v>
      </c>
      <c r="EZ7" s="52" t="s">
        <v>2759</v>
      </c>
      <c r="FA7" s="52" t="s">
        <v>874</v>
      </c>
      <c r="FB7" s="52" t="s">
        <v>1042</v>
      </c>
      <c r="FC7" s="52" t="s">
        <v>1042</v>
      </c>
      <c r="FD7" s="52" t="s">
        <v>2762</v>
      </c>
      <c r="FE7" s="51" t="s">
        <v>306</v>
      </c>
      <c r="FF7" s="51" t="s">
        <v>642</v>
      </c>
      <c r="FG7" s="51" t="s">
        <v>307</v>
      </c>
      <c r="FH7" s="51" t="s">
        <v>643</v>
      </c>
      <c r="FI7" s="51" t="s">
        <v>644</v>
      </c>
      <c r="FJ7" s="51" t="s">
        <v>2761</v>
      </c>
      <c r="FK7" s="51" t="s">
        <v>2763</v>
      </c>
      <c r="FL7" s="51" t="s">
        <v>642</v>
      </c>
      <c r="FM7" s="51" t="s">
        <v>307</v>
      </c>
      <c r="FN7" s="51" t="s">
        <v>640</v>
      </c>
      <c r="FO7" s="51" t="s">
        <v>640</v>
      </c>
      <c r="FP7" s="51" t="s">
        <v>2762</v>
      </c>
      <c r="FQ7" s="51" t="s">
        <v>458</v>
      </c>
      <c r="FR7" s="51" t="s">
        <v>459</v>
      </c>
      <c r="FS7" s="51" t="s">
        <v>331</v>
      </c>
      <c r="FT7" s="51" t="s">
        <v>338</v>
      </c>
      <c r="FU7" s="51" t="s">
        <v>1154</v>
      </c>
      <c r="FV7" s="52" t="s">
        <v>1150</v>
      </c>
      <c r="FW7" s="50" t="s">
        <v>1153</v>
      </c>
      <c r="FX7" s="50" t="s">
        <v>315</v>
      </c>
      <c r="FY7" s="50" t="s">
        <v>663</v>
      </c>
      <c r="FZ7" s="50" t="s">
        <v>721</v>
      </c>
      <c r="GA7" s="50" t="s">
        <v>535</v>
      </c>
      <c r="GB7" s="52" t="s">
        <v>1150</v>
      </c>
      <c r="GC7" s="52" t="s">
        <v>728</v>
      </c>
      <c r="GD7" s="52" t="s">
        <v>726</v>
      </c>
      <c r="GE7" s="52" t="s">
        <v>1159</v>
      </c>
      <c r="GF7" s="52" t="s">
        <v>727</v>
      </c>
      <c r="GG7" s="52" t="s">
        <v>1027</v>
      </c>
      <c r="GH7" s="52" t="s">
        <v>901</v>
      </c>
      <c r="GI7" s="52" t="s">
        <v>1134</v>
      </c>
      <c r="GJ7" s="51" t="s">
        <v>1154</v>
      </c>
      <c r="GK7" s="52" t="s">
        <v>1150</v>
      </c>
      <c r="GL7" s="50" t="s">
        <v>663</v>
      </c>
      <c r="GM7" s="51" t="s">
        <v>339</v>
      </c>
      <c r="GN7" s="51" t="s">
        <v>340</v>
      </c>
      <c r="GO7" s="51" t="s">
        <v>460</v>
      </c>
      <c r="GP7" s="51" t="s">
        <v>342</v>
      </c>
      <c r="GQ7" s="51" t="s">
        <v>341</v>
      </c>
      <c r="GR7" s="51" t="s">
        <v>1161</v>
      </c>
      <c r="GS7" s="51" t="s">
        <v>571</v>
      </c>
      <c r="GT7" s="51" t="s">
        <v>236</v>
      </c>
      <c r="GU7" s="51" t="s">
        <v>1162</v>
      </c>
      <c r="GV7" s="51" t="s">
        <v>461</v>
      </c>
      <c r="GW7" s="51" t="s">
        <v>462</v>
      </c>
      <c r="GZ7" s="51" t="s">
        <v>463</v>
      </c>
      <c r="HA7" s="51" t="s">
        <v>464</v>
      </c>
      <c r="HB7" s="51" t="s">
        <v>148</v>
      </c>
      <c r="HC7" s="51" t="s">
        <v>35</v>
      </c>
      <c r="HD7" s="51" t="s">
        <v>42</v>
      </c>
      <c r="HE7" s="51" t="s">
        <v>44</v>
      </c>
      <c r="HF7" s="51" t="s">
        <v>624</v>
      </c>
      <c r="HJ7" s="51" t="s">
        <v>619</v>
      </c>
      <c r="HK7" s="51" t="s">
        <v>620</v>
      </c>
      <c r="HL7" s="51" t="s">
        <v>320</v>
      </c>
      <c r="HM7" s="51" t="s">
        <v>356</v>
      </c>
      <c r="HO7" s="51" t="s">
        <v>449</v>
      </c>
      <c r="HP7" s="51" t="s">
        <v>352</v>
      </c>
      <c r="HQ7" s="51" t="s">
        <v>308</v>
      </c>
      <c r="HR7" s="51" t="s">
        <v>309</v>
      </c>
      <c r="HS7" s="51" t="s">
        <v>650</v>
      </c>
      <c r="HT7" s="50" t="s">
        <v>652</v>
      </c>
      <c r="HU7" s="50" t="s">
        <v>653</v>
      </c>
      <c r="HV7" s="50" t="s">
        <v>652</v>
      </c>
      <c r="HW7" s="51" t="s">
        <v>645</v>
      </c>
      <c r="HX7" s="51" t="s">
        <v>645</v>
      </c>
      <c r="HY7" s="51" t="s">
        <v>2768</v>
      </c>
      <c r="HZ7" s="51" t="s">
        <v>646</v>
      </c>
      <c r="IA7" s="51" t="s">
        <v>647</v>
      </c>
      <c r="IB7" s="51" t="s">
        <v>648</v>
      </c>
      <c r="IC7" s="51" t="s">
        <v>649</v>
      </c>
      <c r="ID7" s="51" t="s">
        <v>1164</v>
      </c>
      <c r="IE7" s="51" t="s">
        <v>646</v>
      </c>
      <c r="IF7" s="51" t="s">
        <v>647</v>
      </c>
      <c r="IG7" s="51" t="s">
        <v>641</v>
      </c>
      <c r="IH7" s="51" t="s">
        <v>641</v>
      </c>
      <c r="II7" s="51" t="s">
        <v>2762</v>
      </c>
      <c r="IM7" s="51" t="s">
        <v>160</v>
      </c>
      <c r="IO7" s="350" t="s">
        <v>217</v>
      </c>
      <c r="IP7" s="350" t="s">
        <v>116</v>
      </c>
      <c r="IQ7" s="350" t="s">
        <v>165</v>
      </c>
      <c r="IR7" s="350" t="s">
        <v>165</v>
      </c>
      <c r="IS7" s="350" t="s">
        <v>165</v>
      </c>
      <c r="IT7" s="350" t="s">
        <v>165</v>
      </c>
      <c r="IU7" s="350" t="s">
        <v>237</v>
      </c>
      <c r="IV7" s="350" t="s">
        <v>165</v>
      </c>
      <c r="IW7" s="350" t="s">
        <v>165</v>
      </c>
      <c r="IX7" s="350" t="s">
        <v>165</v>
      </c>
      <c r="IY7" s="350" t="s">
        <v>165</v>
      </c>
      <c r="IZ7" s="51" t="s">
        <v>218</v>
      </c>
      <c r="JB7" s="50" t="s">
        <v>585</v>
      </c>
      <c r="JC7" s="50"/>
      <c r="JD7" s="50"/>
      <c r="JE7" s="52" t="s">
        <v>678</v>
      </c>
      <c r="JF7" s="50" t="s">
        <v>292</v>
      </c>
      <c r="JG7" s="50" t="s">
        <v>293</v>
      </c>
      <c r="JH7" s="50" t="s">
        <v>294</v>
      </c>
      <c r="JI7" s="50" t="s">
        <v>295</v>
      </c>
      <c r="JJ7" s="50" t="s">
        <v>1167</v>
      </c>
      <c r="JK7" s="50" t="s">
        <v>1168</v>
      </c>
      <c r="JL7" s="50" t="s">
        <v>1168</v>
      </c>
      <c r="JO7" s="52" t="s">
        <v>1036</v>
      </c>
      <c r="JP7" s="52" t="s">
        <v>1037</v>
      </c>
      <c r="JQ7" s="52" t="s">
        <v>1038</v>
      </c>
      <c r="JR7" s="52" t="s">
        <v>1039</v>
      </c>
      <c r="JS7" s="52" t="s">
        <v>1040</v>
      </c>
      <c r="JT7" s="52" t="s">
        <v>1041</v>
      </c>
      <c r="KB7" s="50" t="s">
        <v>793</v>
      </c>
      <c r="KC7" s="50" t="s">
        <v>1056</v>
      </c>
      <c r="KD7" s="50" t="s">
        <v>1057</v>
      </c>
      <c r="KE7" s="50" t="s">
        <v>1063</v>
      </c>
      <c r="KF7" s="50" t="s">
        <v>1067</v>
      </c>
      <c r="KG7" s="50" t="s">
        <v>1061</v>
      </c>
      <c r="KH7" s="50" t="s">
        <v>1058</v>
      </c>
      <c r="KI7" s="50" t="s">
        <v>1069</v>
      </c>
      <c r="KJ7" s="50" t="s">
        <v>1068</v>
      </c>
      <c r="KK7" s="50" t="s">
        <v>1060</v>
      </c>
      <c r="KL7" s="50" t="s">
        <v>1059</v>
      </c>
      <c r="KM7" s="50" t="s">
        <v>794</v>
      </c>
      <c r="KN7" s="50" t="s">
        <v>795</v>
      </c>
      <c r="KO7" s="50" t="s">
        <v>796</v>
      </c>
      <c r="KP7" s="50" t="s">
        <v>797</v>
      </c>
      <c r="KQ7" s="50" t="s">
        <v>1821</v>
      </c>
      <c r="KR7" s="50" t="s">
        <v>799</v>
      </c>
      <c r="KS7" s="155" t="s">
        <v>75</v>
      </c>
      <c r="KT7" s="155" t="s">
        <v>108</v>
      </c>
      <c r="KU7" s="50" t="s">
        <v>2789</v>
      </c>
      <c r="KV7" s="50" t="s">
        <v>37</v>
      </c>
      <c r="KW7" s="50" t="s">
        <v>136</v>
      </c>
      <c r="KX7" s="50" t="s">
        <v>1808</v>
      </c>
      <c r="KY7" s="50" t="s">
        <v>2778</v>
      </c>
      <c r="KZ7" s="50" t="s">
        <v>2779</v>
      </c>
    </row>
    <row r="8" spans="1:312" s="13" customFormat="1" ht="13.6" x14ac:dyDescent="0.25">
      <c r="A8" s="15" t="s">
        <v>15</v>
      </c>
      <c r="B8" s="22" t="s">
        <v>669</v>
      </c>
      <c r="D8" s="6"/>
      <c r="E8" s="6"/>
      <c r="F8" s="6"/>
      <c r="G8" s="6"/>
      <c r="H8" s="6"/>
      <c r="I8" s="6"/>
      <c r="J8" s="6"/>
      <c r="K8" s="6"/>
      <c r="L8" s="6"/>
      <c r="M8" s="6"/>
      <c r="N8" s="6"/>
      <c r="O8" s="6"/>
      <c r="P8" s="6"/>
      <c r="Q8" s="6"/>
      <c r="R8" s="6"/>
      <c r="S8" s="6"/>
      <c r="T8" s="6"/>
      <c r="U8" s="6"/>
      <c r="V8" s="6"/>
      <c r="W8" s="6"/>
      <c r="X8" s="6"/>
      <c r="Y8" s="6"/>
      <c r="Z8" s="6"/>
      <c r="AA8" s="6"/>
      <c r="AB8" s="6"/>
      <c r="AC8" s="6"/>
      <c r="AD8" s="6"/>
      <c r="AE8" s="6"/>
      <c r="AF8" s="7"/>
      <c r="AG8" s="6"/>
      <c r="AH8" s="6"/>
      <c r="AI8" s="6"/>
      <c r="AJ8" s="6"/>
      <c r="AK8" s="6"/>
      <c r="AL8" s="6"/>
      <c r="AM8" s="6"/>
      <c r="AN8" s="6"/>
      <c r="AO8" s="6"/>
      <c r="AP8" s="6"/>
      <c r="AQ8" s="6"/>
      <c r="AR8" s="6"/>
      <c r="AS8" s="6"/>
      <c r="AT8" s="6"/>
      <c r="AU8" s="6"/>
      <c r="AV8" s="6"/>
      <c r="AW8" s="6"/>
      <c r="AX8" s="6"/>
      <c r="AY8" s="6"/>
      <c r="AZ8" s="6"/>
      <c r="BA8" s="11"/>
      <c r="BB8" s="6"/>
      <c r="BC8" s="6"/>
      <c r="BD8" s="6"/>
      <c r="BE8" s="49"/>
      <c r="BG8" s="49"/>
      <c r="BH8" s="6"/>
      <c r="BI8" s="6"/>
      <c r="BJ8" s="6"/>
      <c r="BK8" s="6"/>
      <c r="BL8" s="6"/>
      <c r="BM8" s="6"/>
      <c r="BN8" s="6"/>
      <c r="BO8" s="6"/>
      <c r="BP8" s="6"/>
      <c r="BQ8" s="6"/>
      <c r="BR8" s="6"/>
      <c r="BS8" s="6"/>
      <c r="BT8" s="6"/>
      <c r="BU8" s="6"/>
      <c r="BV8" s="6"/>
      <c r="BW8" s="6"/>
      <c r="BX8" s="6"/>
      <c r="BY8" s="6"/>
      <c r="BZ8" s="6"/>
      <c r="CA8" s="6"/>
      <c r="CB8" s="6"/>
      <c r="CC8" s="6"/>
      <c r="CD8" s="6"/>
      <c r="CE8" s="6"/>
      <c r="CF8" s="6"/>
      <c r="CM8" s="6"/>
      <c r="CN8" s="6"/>
      <c r="CO8" s="6"/>
      <c r="CP8" s="6"/>
      <c r="CQ8" s="6"/>
      <c r="CR8" s="6"/>
      <c r="CS8" s="6"/>
      <c r="CT8" s="6"/>
      <c r="CU8" s="6"/>
      <c r="CV8" s="79"/>
      <c r="CW8" s="6"/>
      <c r="CX8" s="84"/>
      <c r="CY8" s="6"/>
      <c r="CZ8" s="6"/>
      <c r="DA8" s="49"/>
      <c r="DB8" s="6"/>
      <c r="DC8" s="6"/>
      <c r="DD8" s="6"/>
      <c r="DE8" s="6"/>
      <c r="DF8" s="6"/>
      <c r="DG8" s="6"/>
      <c r="DH8" s="6"/>
      <c r="DI8" s="6"/>
      <c r="DJ8" s="6"/>
      <c r="DK8" s="6"/>
      <c r="DL8" s="6"/>
      <c r="DM8" s="84"/>
      <c r="DN8" s="80"/>
      <c r="DO8" s="6"/>
      <c r="DP8" s="49"/>
      <c r="DQ8" s="6"/>
      <c r="DR8" s="12"/>
      <c r="DS8" s="12"/>
      <c r="DT8" s="7"/>
      <c r="DU8" s="7"/>
      <c r="DV8" s="7"/>
      <c r="DW8" s="6"/>
      <c r="DX8" s="77"/>
      <c r="DY8" s="77"/>
      <c r="DZ8" s="77"/>
      <c r="EA8" s="6"/>
      <c r="EB8" s="6"/>
      <c r="EC8" s="6"/>
      <c r="ED8" s="6"/>
      <c r="EE8" s="77"/>
      <c r="EF8" s="77"/>
      <c r="EG8" s="7"/>
      <c r="EH8" s="7"/>
      <c r="EI8" s="77"/>
      <c r="EJ8" s="77"/>
      <c r="EK8" s="77"/>
      <c r="EL8" s="77"/>
      <c r="EM8" s="6"/>
      <c r="EN8" s="6"/>
      <c r="EO8" s="6"/>
      <c r="EP8" s="6"/>
      <c r="EQ8" s="6"/>
      <c r="ER8" s="6"/>
      <c r="ES8" s="6"/>
      <c r="ET8" s="6"/>
      <c r="EU8" s="6"/>
      <c r="EV8" s="6"/>
      <c r="EW8" s="575" t="s">
        <v>2751</v>
      </c>
      <c r="EX8" s="285" t="s">
        <v>2751</v>
      </c>
      <c r="EY8" s="285" t="s">
        <v>2751</v>
      </c>
      <c r="EZ8" s="575" t="s">
        <v>2753</v>
      </c>
      <c r="FA8" s="575" t="s">
        <v>2753</v>
      </c>
      <c r="FB8" s="575" t="s">
        <v>2751</v>
      </c>
      <c r="FC8" s="575" t="s">
        <v>2753</v>
      </c>
      <c r="FE8" s="575" t="s">
        <v>2751</v>
      </c>
      <c r="FF8" s="285" t="s">
        <v>2751</v>
      </c>
      <c r="FG8" s="575" t="s">
        <v>2751</v>
      </c>
      <c r="FH8" s="285" t="s">
        <v>2751</v>
      </c>
      <c r="FI8" s="285" t="s">
        <v>2751</v>
      </c>
      <c r="FJ8" s="575" t="s">
        <v>2753</v>
      </c>
      <c r="FK8" s="575" t="s">
        <v>2753</v>
      </c>
      <c r="FL8" s="575" t="s">
        <v>2753</v>
      </c>
      <c r="FM8" s="575" t="s">
        <v>2753</v>
      </c>
      <c r="FN8" s="285" t="s">
        <v>2751</v>
      </c>
      <c r="FO8" s="575" t="s">
        <v>2753</v>
      </c>
      <c r="FP8" s="6"/>
      <c r="FQ8" s="114"/>
      <c r="FR8" s="114"/>
      <c r="FS8" s="102"/>
      <c r="FT8" s="114"/>
      <c r="FU8" s="114"/>
      <c r="FV8" s="6"/>
      <c r="GD8" s="6"/>
      <c r="GE8" s="6"/>
      <c r="GF8" s="6"/>
      <c r="GG8" s="6"/>
      <c r="GH8" s="6"/>
      <c r="GI8" s="6"/>
      <c r="GJ8" s="6"/>
      <c r="GK8" s="6"/>
      <c r="GM8" s="117"/>
      <c r="GN8" s="117"/>
      <c r="GO8" s="117"/>
      <c r="GP8" s="117"/>
      <c r="GQ8" s="117"/>
      <c r="GR8" s="6"/>
      <c r="GS8" s="6"/>
      <c r="GT8" s="6"/>
      <c r="GU8" s="6"/>
      <c r="GV8" s="102"/>
      <c r="GW8" s="102"/>
      <c r="GX8" s="102"/>
      <c r="GY8" s="102"/>
      <c r="GZ8" s="102"/>
      <c r="HA8" s="102"/>
      <c r="HB8" s="6"/>
      <c r="HC8" s="6"/>
      <c r="HD8" s="6"/>
      <c r="HE8" s="6"/>
      <c r="HF8" s="6"/>
      <c r="HG8" s="6"/>
      <c r="HH8" s="6"/>
      <c r="HI8" s="8"/>
      <c r="HJ8" s="8"/>
      <c r="HK8" s="8"/>
      <c r="HL8" s="8"/>
      <c r="HM8" s="8"/>
      <c r="HN8" s="8"/>
      <c r="HO8" s="49"/>
      <c r="HP8" s="49"/>
      <c r="HQ8" s="75"/>
      <c r="HR8" s="75"/>
      <c r="HS8" s="49"/>
      <c r="HT8" s="128" t="s">
        <v>2770</v>
      </c>
      <c r="HU8" s="128" t="s">
        <v>2770</v>
      </c>
      <c r="HV8" s="128" t="s">
        <v>2769</v>
      </c>
      <c r="HW8" s="128" t="s">
        <v>2770</v>
      </c>
      <c r="HX8" s="4" t="s">
        <v>2769</v>
      </c>
      <c r="HY8" s="73"/>
      <c r="HZ8" s="128" t="s">
        <v>2770</v>
      </c>
      <c r="IA8" s="128" t="s">
        <v>2770</v>
      </c>
      <c r="IB8" s="128" t="s">
        <v>2770</v>
      </c>
      <c r="IC8" s="128" t="s">
        <v>2770</v>
      </c>
      <c r="ID8" s="128" t="s">
        <v>2770</v>
      </c>
      <c r="IE8" s="128" t="s">
        <v>2769</v>
      </c>
      <c r="IF8" s="128" t="s">
        <v>2769</v>
      </c>
      <c r="IG8" s="128" t="s">
        <v>2770</v>
      </c>
      <c r="IH8" s="4" t="s">
        <v>2769</v>
      </c>
      <c r="IJ8" s="6"/>
      <c r="IK8" s="6"/>
      <c r="IL8" s="6"/>
      <c r="IM8" s="6"/>
      <c r="IN8" s="6"/>
      <c r="IO8" s="6"/>
      <c r="IU8" s="6"/>
      <c r="JE8" s="6"/>
      <c r="JF8" s="6"/>
      <c r="JG8" s="98"/>
      <c r="JH8" s="6"/>
      <c r="JI8" s="6"/>
      <c r="JJ8" s="6"/>
      <c r="JK8" s="6"/>
      <c r="JL8" s="6"/>
      <c r="JZ8" s="6"/>
      <c r="KA8" s="6"/>
      <c r="KM8" s="47" t="s">
        <v>798</v>
      </c>
      <c r="KN8" s="47" t="s">
        <v>784</v>
      </c>
      <c r="KS8" s="577"/>
      <c r="KT8" s="577"/>
    </row>
    <row r="9" spans="1:312" s="13" customFormat="1" x14ac:dyDescent="0.2">
      <c r="A9" s="15" t="s">
        <v>16</v>
      </c>
      <c r="B9" s="5" t="s">
        <v>617</v>
      </c>
      <c r="D9" s="6"/>
      <c r="E9" s="6"/>
      <c r="F9" s="6"/>
      <c r="G9" s="6"/>
      <c r="H9" s="6"/>
      <c r="I9" s="6"/>
      <c r="J9" s="6"/>
      <c r="K9" s="6"/>
      <c r="L9" s="6"/>
      <c r="M9" s="6"/>
      <c r="N9" s="6"/>
      <c r="O9" s="6"/>
      <c r="P9" s="6"/>
      <c r="Q9" s="6"/>
      <c r="R9" s="6"/>
      <c r="S9" s="6"/>
      <c r="T9" s="6"/>
      <c r="U9" s="6"/>
      <c r="V9" s="6"/>
      <c r="W9" s="6"/>
      <c r="X9" s="6"/>
      <c r="Y9" s="6"/>
      <c r="Z9" s="6"/>
      <c r="AA9" s="6"/>
      <c r="AB9" s="6"/>
      <c r="AC9" s="6"/>
      <c r="AD9" s="6"/>
      <c r="AE9" s="6"/>
      <c r="AF9" s="7"/>
      <c r="AG9" s="6"/>
      <c r="AH9" s="6"/>
      <c r="AI9" s="6"/>
      <c r="AJ9" s="6"/>
      <c r="AK9" s="6"/>
      <c r="AL9" s="6"/>
      <c r="AM9" s="6"/>
      <c r="AN9" s="6"/>
      <c r="AO9" s="6"/>
      <c r="AP9" s="6"/>
      <c r="AQ9" s="6"/>
      <c r="AR9" s="6"/>
      <c r="AS9" s="6"/>
      <c r="AT9" s="6"/>
      <c r="AU9" s="6"/>
      <c r="AV9" s="6"/>
      <c r="AW9" s="6"/>
      <c r="AX9" s="6"/>
      <c r="AY9" s="6"/>
      <c r="AZ9" s="6"/>
      <c r="BA9" s="6"/>
      <c r="BB9" s="6"/>
      <c r="BC9" s="6"/>
      <c r="BD9" s="6"/>
      <c r="BE9" s="49"/>
      <c r="BF9" s="49"/>
      <c r="BG9" s="49"/>
      <c r="BH9" s="6"/>
      <c r="BI9" s="6"/>
      <c r="BJ9" s="6"/>
      <c r="BK9" s="6"/>
      <c r="BL9" s="6"/>
      <c r="BM9" s="6"/>
      <c r="BN9" s="6"/>
      <c r="BO9" s="6"/>
      <c r="BP9" s="6"/>
      <c r="BQ9" s="6"/>
      <c r="BR9" s="6"/>
      <c r="BS9" s="6"/>
      <c r="BT9" s="6"/>
      <c r="BU9" s="6"/>
      <c r="BV9" s="6"/>
      <c r="BW9" s="6"/>
      <c r="BX9" s="6"/>
      <c r="BY9" s="6"/>
      <c r="BZ9" s="6"/>
      <c r="CA9" s="6"/>
      <c r="CB9" s="6"/>
      <c r="CC9" s="6"/>
      <c r="CD9" s="6"/>
      <c r="CE9" s="6"/>
      <c r="CF9" s="6"/>
      <c r="CM9" s="6"/>
      <c r="CN9" s="6"/>
      <c r="CO9" s="6"/>
      <c r="CP9" s="6"/>
      <c r="CQ9" s="6"/>
      <c r="CR9" s="6"/>
      <c r="CS9" s="6"/>
      <c r="CT9" s="9"/>
      <c r="CU9" s="9"/>
      <c r="CV9" s="79"/>
      <c r="CW9" s="6"/>
      <c r="CX9" s="84"/>
      <c r="CY9" s="6"/>
      <c r="CZ9" s="6"/>
      <c r="DA9" s="49"/>
      <c r="DB9" s="6"/>
      <c r="DC9" s="6"/>
      <c r="DD9" s="6"/>
      <c r="DE9" s="6"/>
      <c r="DF9" s="6"/>
      <c r="DG9" s="6"/>
      <c r="DH9" s="6"/>
      <c r="DI9" s="6"/>
      <c r="DJ9" s="6"/>
      <c r="DK9" s="6"/>
      <c r="DL9" s="6"/>
      <c r="DM9" s="84"/>
      <c r="DN9" s="6"/>
      <c r="DO9" s="6"/>
      <c r="DP9" s="49"/>
      <c r="DQ9" s="6"/>
      <c r="DR9" s="12"/>
      <c r="DS9" s="12"/>
      <c r="DT9" s="7"/>
      <c r="DU9" s="7"/>
      <c r="DV9" s="7"/>
      <c r="DW9" s="11"/>
      <c r="DX9" s="6"/>
      <c r="DY9" s="6"/>
      <c r="DZ9" s="6"/>
      <c r="EA9" s="6"/>
      <c r="EB9" s="6"/>
      <c r="EC9" s="6"/>
      <c r="ED9" s="6"/>
      <c r="EE9" s="6"/>
      <c r="EF9" s="6"/>
      <c r="EG9" s="7"/>
      <c r="EH9" s="7"/>
      <c r="EI9" s="6"/>
      <c r="EJ9" s="6"/>
      <c r="EK9" s="6"/>
      <c r="EL9" s="6"/>
      <c r="EM9" s="6"/>
      <c r="EN9" s="6"/>
      <c r="EO9" s="6"/>
      <c r="EP9" s="6"/>
      <c r="EQ9" s="6"/>
      <c r="ER9" s="6"/>
      <c r="ES9" s="6"/>
      <c r="ET9" s="6"/>
      <c r="EU9" s="6"/>
      <c r="EV9" s="6"/>
      <c r="EW9" s="6"/>
      <c r="EX9" s="77"/>
      <c r="EY9" s="77"/>
      <c r="EZ9" s="77"/>
      <c r="FA9" s="77"/>
      <c r="FB9" s="77"/>
      <c r="FC9" s="6"/>
      <c r="FD9" s="6"/>
      <c r="FE9" s="6"/>
      <c r="FF9" s="6"/>
      <c r="FG9" s="6"/>
      <c r="FH9" s="6"/>
      <c r="FI9" s="6"/>
      <c r="FJ9" s="6"/>
      <c r="FK9" s="6"/>
      <c r="FL9" s="6"/>
      <c r="FM9" s="6"/>
      <c r="FN9" s="6"/>
      <c r="FO9" s="6"/>
      <c r="FP9" s="6"/>
      <c r="FQ9" s="114"/>
      <c r="FR9" s="114"/>
      <c r="FS9" s="102"/>
      <c r="FT9" s="114"/>
      <c r="FU9" s="114"/>
      <c r="FV9" s="6"/>
      <c r="FW9" s="361"/>
      <c r="FX9" s="361"/>
      <c r="FY9" s="361"/>
      <c r="FZ9" s="361"/>
      <c r="GA9" s="361"/>
      <c r="GB9" s="361"/>
      <c r="GC9" s="361"/>
      <c r="GD9" s="6"/>
      <c r="GE9" s="6"/>
      <c r="GF9" s="6"/>
      <c r="GG9" s="6"/>
      <c r="GH9" s="6"/>
      <c r="GI9" s="6"/>
      <c r="GJ9" s="6"/>
      <c r="GK9" s="6"/>
      <c r="GL9" s="361"/>
      <c r="GM9" s="117"/>
      <c r="GN9" s="117"/>
      <c r="GO9" s="117"/>
      <c r="GP9" s="117"/>
      <c r="GQ9" s="117"/>
      <c r="GR9" s="6"/>
      <c r="GS9" s="6"/>
      <c r="GT9" s="6"/>
      <c r="GU9" s="6"/>
      <c r="GV9" s="102"/>
      <c r="GW9" s="102"/>
      <c r="GX9" s="102"/>
      <c r="GY9" s="102"/>
      <c r="GZ9" s="102"/>
      <c r="HA9" s="102"/>
      <c r="HB9" s="6"/>
      <c r="HC9" s="6"/>
      <c r="HD9" s="6"/>
      <c r="HE9" s="6"/>
      <c r="HF9" s="6"/>
      <c r="HG9" s="6"/>
      <c r="HH9" s="6"/>
      <c r="HI9" s="8"/>
      <c r="HJ9" s="8"/>
      <c r="HK9" s="8"/>
      <c r="HL9" s="8"/>
      <c r="HM9" s="8"/>
      <c r="HN9" s="8"/>
      <c r="HO9" s="71"/>
      <c r="HP9" s="71"/>
      <c r="HQ9" s="76"/>
      <c r="HR9" s="76"/>
      <c r="HS9" s="71"/>
      <c r="HT9" s="77"/>
      <c r="HU9" s="77"/>
      <c r="HV9" s="77"/>
      <c r="HW9" s="77"/>
      <c r="HX9" s="73"/>
      <c r="HY9" s="73"/>
      <c r="HZ9" s="78"/>
      <c r="IA9" s="78"/>
      <c r="IB9" s="76"/>
      <c r="IC9" s="76"/>
      <c r="ID9" s="71"/>
      <c r="IE9" s="71"/>
      <c r="IF9" s="71"/>
      <c r="IG9" s="71"/>
      <c r="IH9" s="76"/>
      <c r="II9" s="76"/>
      <c r="IJ9" s="6"/>
      <c r="IK9" s="6"/>
      <c r="IL9" s="6"/>
      <c r="IM9" s="6"/>
      <c r="IN9" s="6"/>
      <c r="IO9" s="6"/>
      <c r="IU9" s="6"/>
      <c r="JE9" s="6"/>
      <c r="JF9" s="6"/>
      <c r="JG9" s="98"/>
      <c r="JH9" s="6"/>
      <c r="JI9" s="6"/>
      <c r="JJ9" s="6"/>
      <c r="JK9" s="6"/>
      <c r="JL9" s="6"/>
      <c r="JZ9" s="6"/>
      <c r="KA9" s="6"/>
      <c r="KB9" s="6"/>
      <c r="KC9" s="6"/>
      <c r="KD9" s="6"/>
      <c r="KE9" s="6"/>
      <c r="KF9" s="6"/>
      <c r="KG9" s="6"/>
      <c r="KH9" s="6"/>
      <c r="KI9" s="6"/>
      <c r="KJ9" s="6"/>
      <c r="KK9" s="6"/>
      <c r="KL9" s="6"/>
      <c r="KM9" s="6"/>
      <c r="KN9" s="6"/>
      <c r="KO9" s="6"/>
      <c r="KP9" s="6"/>
      <c r="KQ9" s="6"/>
      <c r="KR9" s="6"/>
      <c r="KS9" s="11"/>
      <c r="KT9" s="11"/>
      <c r="KU9" s="6"/>
      <c r="KV9" s="6"/>
      <c r="KW9" s="6"/>
      <c r="KX9" s="6"/>
      <c r="KY9" s="6"/>
      <c r="KZ9" s="6"/>
    </row>
    <row r="10" spans="1:312" s="13" customFormat="1" x14ac:dyDescent="0.2">
      <c r="A10" s="15" t="s">
        <v>11</v>
      </c>
      <c r="B10" s="23">
        <v>41639</v>
      </c>
      <c r="D10" s="6"/>
      <c r="E10" s="6">
        <f>COUNTIF(E21:E209,"=1")</f>
        <v>0</v>
      </c>
      <c r="F10" s="6"/>
      <c r="G10" s="6"/>
      <c r="H10" s="6"/>
      <c r="I10" s="6"/>
      <c r="J10" s="6"/>
      <c r="K10" s="6"/>
      <c r="L10" s="6"/>
      <c r="M10" s="6"/>
      <c r="N10" s="6"/>
      <c r="O10" s="6"/>
      <c r="P10" s="6"/>
      <c r="Q10" s="6"/>
      <c r="R10" s="6"/>
      <c r="S10" s="6"/>
      <c r="T10" s="6"/>
      <c r="U10" s="9"/>
      <c r="V10" s="9"/>
      <c r="W10" s="9"/>
      <c r="X10" s="9"/>
      <c r="Y10" s="9"/>
      <c r="Z10" s="9"/>
      <c r="AA10" s="9"/>
      <c r="AB10" s="9"/>
      <c r="AC10" s="9"/>
      <c r="AD10" s="9"/>
      <c r="AE10" s="9"/>
      <c r="AF10" s="10"/>
      <c r="AG10" s="6"/>
      <c r="AH10" s="6"/>
      <c r="AI10" s="6"/>
      <c r="AJ10" s="6"/>
      <c r="AK10" s="6"/>
      <c r="AL10" s="6"/>
      <c r="AM10" s="6"/>
      <c r="AN10" s="6"/>
      <c r="AO10" s="9"/>
      <c r="AP10" s="9"/>
      <c r="AQ10" s="6"/>
      <c r="AR10" s="6"/>
      <c r="AS10" s="6"/>
      <c r="AT10" s="6"/>
      <c r="AU10" s="6"/>
      <c r="AV10" s="6"/>
      <c r="AW10" s="6"/>
      <c r="AX10" s="6"/>
      <c r="AY10" s="6"/>
      <c r="AZ10" s="9"/>
      <c r="BA10" s="9"/>
      <c r="BB10" s="6"/>
      <c r="BC10" s="6"/>
      <c r="BD10" s="6"/>
      <c r="BE10" s="9"/>
      <c r="BF10" s="49"/>
      <c r="BG10" s="9"/>
      <c r="BH10" s="9"/>
      <c r="BI10" s="6"/>
      <c r="BJ10" s="6"/>
      <c r="BK10" s="6"/>
      <c r="BL10" s="6"/>
      <c r="BM10" s="6"/>
      <c r="BN10" s="6"/>
      <c r="BO10" s="6"/>
      <c r="BP10" s="6"/>
      <c r="BQ10" s="9"/>
      <c r="BR10" s="9"/>
      <c r="BS10" s="9"/>
      <c r="BT10" s="9"/>
      <c r="BU10" s="9"/>
      <c r="BV10" s="9"/>
      <c r="BW10" s="9"/>
      <c r="BX10" s="6"/>
      <c r="BY10" s="6"/>
      <c r="BZ10" s="6"/>
      <c r="CA10" s="6"/>
      <c r="CB10" s="9"/>
      <c r="CC10" s="9"/>
      <c r="CD10" s="9"/>
      <c r="CE10" s="9"/>
      <c r="CF10" s="6"/>
      <c r="CM10" s="9"/>
      <c r="CN10" s="9"/>
      <c r="CO10" s="9"/>
      <c r="CP10" s="9"/>
      <c r="CQ10" s="9"/>
      <c r="CR10" s="9"/>
      <c r="CS10" s="9"/>
      <c r="CT10" s="16"/>
      <c r="CU10" s="16"/>
      <c r="CV10" s="9"/>
      <c r="CW10" s="9"/>
      <c r="CX10" s="88"/>
      <c r="CY10" s="9"/>
      <c r="CZ10" s="9"/>
      <c r="DA10" s="9"/>
      <c r="DB10" s="9"/>
      <c r="DC10" s="9"/>
      <c r="DD10" s="9"/>
      <c r="DE10" s="9"/>
      <c r="DF10" s="9"/>
      <c r="DG10" s="9"/>
      <c r="DH10" s="9"/>
      <c r="DI10" s="9"/>
      <c r="DJ10" s="9"/>
      <c r="DK10" s="9"/>
      <c r="DL10" s="9"/>
      <c r="DM10" s="88"/>
      <c r="DN10" s="9"/>
      <c r="DO10" s="9"/>
      <c r="DP10" s="71"/>
      <c r="DQ10" s="9"/>
      <c r="DR10" s="12"/>
      <c r="DS10" s="12"/>
      <c r="DT10" s="9"/>
      <c r="DU10" s="9"/>
      <c r="DV10" s="9"/>
      <c r="DW10" s="17"/>
      <c r="DX10" s="9"/>
      <c r="DY10" s="9"/>
      <c r="DZ10" s="9"/>
      <c r="EA10" s="9"/>
      <c r="EB10" s="9"/>
      <c r="EC10" s="9"/>
      <c r="ED10" s="9"/>
      <c r="EE10" s="6"/>
      <c r="EF10" s="6"/>
      <c r="EG10" s="9"/>
      <c r="EH10" s="9"/>
      <c r="EI10" s="6"/>
      <c r="EJ10" s="9"/>
      <c r="EK10" s="9"/>
      <c r="EL10" s="9"/>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356">
        <f>SUM(FQ14:FQ196)</f>
        <v>0</v>
      </c>
      <c r="FR10" s="114">
        <f>SUM(FR14:FR196)</f>
        <v>0</v>
      </c>
      <c r="FS10" s="102"/>
      <c r="FT10" s="114">
        <f>SUM(FT14:FT196)</f>
        <v>0</v>
      </c>
      <c r="FU10" s="356"/>
      <c r="FV10" s="9"/>
      <c r="FW10" s="6"/>
      <c r="FX10" s="6"/>
      <c r="FY10" s="6"/>
      <c r="FZ10" s="6"/>
      <c r="GA10" s="6"/>
      <c r="GB10" s="6"/>
      <c r="GC10" s="6"/>
      <c r="GD10" s="114">
        <f>SUM(GD14:GD196)</f>
        <v>0</v>
      </c>
      <c r="GE10" s="9"/>
      <c r="GF10" s="114">
        <f>SUM(GF14:GF196)</f>
        <v>0</v>
      </c>
      <c r="GG10" s="9"/>
      <c r="GH10" s="9"/>
      <c r="GI10" s="21">
        <f>SUM(GI14:GI201)</f>
        <v>0</v>
      </c>
      <c r="GJ10" s="9"/>
      <c r="GK10" s="9"/>
      <c r="GL10" s="6"/>
      <c r="GM10" s="117"/>
      <c r="GN10" s="117"/>
      <c r="GO10" s="117"/>
      <c r="GP10" s="114">
        <f>SUM(GP14:GP196)</f>
        <v>0</v>
      </c>
      <c r="GQ10" s="114">
        <f>SUM(GQ14:GQ196)</f>
        <v>0</v>
      </c>
      <c r="GR10" s="9"/>
      <c r="GS10" s="9"/>
      <c r="GT10" s="9"/>
      <c r="GU10" s="9"/>
      <c r="GV10" s="102"/>
      <c r="GW10" s="102"/>
      <c r="GX10" s="102"/>
      <c r="GY10" s="102"/>
      <c r="GZ10" s="114">
        <f>SUM(GZ14:GZ196)</f>
        <v>0</v>
      </c>
      <c r="HA10" s="114">
        <f>SUM(HA14:HA196)</f>
        <v>0</v>
      </c>
      <c r="HB10" s="9"/>
      <c r="HC10" s="6"/>
      <c r="HD10" s="6"/>
      <c r="HE10" s="6"/>
      <c r="HF10" s="9"/>
      <c r="HG10" s="9"/>
      <c r="HH10" s="9"/>
      <c r="HI10" s="7"/>
      <c r="HJ10" s="7"/>
      <c r="HK10" s="7"/>
      <c r="HL10" s="7"/>
      <c r="HM10" s="7"/>
      <c r="HN10" s="7"/>
      <c r="HO10" s="71"/>
      <c r="HP10" s="71"/>
      <c r="HQ10" s="76"/>
      <c r="HR10" s="76"/>
      <c r="HS10" s="71"/>
      <c r="HT10" s="77"/>
      <c r="HU10" s="77"/>
      <c r="HV10" s="77"/>
      <c r="HW10" s="77"/>
      <c r="HX10" s="73"/>
      <c r="HY10" s="73"/>
      <c r="HZ10" s="78"/>
      <c r="IA10" s="78"/>
      <c r="IB10" s="76"/>
      <c r="IC10" s="76"/>
      <c r="ID10" s="71"/>
      <c r="IE10" s="71"/>
      <c r="IF10" s="71"/>
      <c r="IG10" s="71"/>
      <c r="IH10" s="76"/>
      <c r="II10" s="76"/>
      <c r="IJ10" s="114">
        <f>SUM(IJ14:IJ196)</f>
        <v>0</v>
      </c>
      <c r="IK10" s="9"/>
      <c r="IL10" s="9"/>
      <c r="IM10" s="9"/>
      <c r="IN10" s="9"/>
      <c r="IO10" s="9"/>
      <c r="IU10" s="9"/>
      <c r="JE10" s="9"/>
      <c r="JF10" s="9"/>
      <c r="JG10" s="98"/>
      <c r="JH10" s="9"/>
      <c r="JI10" s="9"/>
      <c r="JJ10" s="9"/>
      <c r="JK10" s="9"/>
      <c r="JL10" s="9"/>
      <c r="JM10" s="114">
        <f>SUM(JM14:JM196)</f>
        <v>0</v>
      </c>
      <c r="JN10" s="114">
        <f>SUM(JN14:JN196)</f>
        <v>0</v>
      </c>
      <c r="JZ10" s="6"/>
      <c r="KA10" s="6"/>
      <c r="KB10" s="6"/>
      <c r="KC10" s="6"/>
      <c r="KD10" s="6"/>
      <c r="KE10" s="6"/>
      <c r="KF10" s="6"/>
      <c r="KG10" s="6"/>
      <c r="KH10" s="6"/>
      <c r="KI10" s="6"/>
      <c r="KJ10" s="6"/>
      <c r="KK10" s="6"/>
      <c r="KL10" s="6"/>
      <c r="KM10" s="6"/>
      <c r="KN10" s="6"/>
      <c r="KO10" s="6"/>
      <c r="KP10" s="6"/>
      <c r="KQ10" s="6"/>
      <c r="KR10" s="6"/>
      <c r="KS10" s="11"/>
      <c r="KT10" s="11"/>
      <c r="KU10" s="6"/>
      <c r="KV10" s="6"/>
      <c r="KW10" s="6"/>
      <c r="KX10" s="6"/>
      <c r="KY10" s="6"/>
      <c r="KZ10" s="6"/>
    </row>
    <row r="11" spans="1:312" s="13" customFormat="1" ht="13.6" x14ac:dyDescent="0.25">
      <c r="A11" s="15"/>
      <c r="B11" s="23"/>
      <c r="D11" s="6"/>
      <c r="E11" s="9"/>
      <c r="F11" s="6"/>
      <c r="G11" s="6"/>
      <c r="H11" s="6"/>
      <c r="I11" s="6"/>
      <c r="J11" s="6"/>
      <c r="K11" s="6"/>
      <c r="L11" s="6"/>
      <c r="M11" s="6"/>
      <c r="N11" s="6"/>
      <c r="O11" s="6"/>
      <c r="P11" s="6"/>
      <c r="Q11" s="6"/>
      <c r="R11" s="6"/>
      <c r="S11" s="6"/>
      <c r="T11" s="6"/>
      <c r="U11" s="9"/>
      <c r="V11" s="9"/>
      <c r="W11" s="9"/>
      <c r="X11" s="9"/>
      <c r="Y11" s="9"/>
      <c r="Z11" s="9"/>
      <c r="AA11" s="9"/>
      <c r="AB11" s="9"/>
      <c r="AC11" s="9"/>
      <c r="AD11" s="9"/>
      <c r="AE11" s="9"/>
      <c r="AF11" s="10"/>
      <c r="AG11" s="6"/>
      <c r="AH11" s="6"/>
      <c r="AI11" s="6"/>
      <c r="AJ11" s="6"/>
      <c r="AK11" s="6"/>
      <c r="AL11" s="6"/>
      <c r="AM11" s="6"/>
      <c r="AN11" s="6"/>
      <c r="AO11" s="9"/>
      <c r="AP11" s="9"/>
      <c r="AQ11" s="6"/>
      <c r="AR11" s="6"/>
      <c r="AS11" s="6"/>
      <c r="AT11" s="6"/>
      <c r="AU11" s="6"/>
      <c r="AV11" s="6"/>
      <c r="AW11" s="6"/>
      <c r="AX11" s="6"/>
      <c r="AY11" s="6"/>
      <c r="AZ11" s="9"/>
      <c r="BA11" s="9"/>
      <c r="BB11" s="6"/>
      <c r="BC11" s="6"/>
      <c r="BD11" s="6"/>
      <c r="BE11" s="9"/>
      <c r="BF11" s="17"/>
      <c r="BG11" s="9"/>
      <c r="BH11" s="9"/>
      <c r="BI11" s="6"/>
      <c r="BJ11" s="6"/>
      <c r="BK11" s="6"/>
      <c r="BL11" s="6"/>
      <c r="BM11" s="6"/>
      <c r="BN11" s="6"/>
      <c r="BO11" s="6"/>
      <c r="BP11" s="6"/>
      <c r="BQ11" s="9"/>
      <c r="BR11" s="9"/>
      <c r="BS11" s="9"/>
      <c r="BT11" s="9"/>
      <c r="BU11" s="9"/>
      <c r="BV11" s="9"/>
      <c r="BW11" s="9"/>
      <c r="BX11" s="6"/>
      <c r="BY11" s="6"/>
      <c r="BZ11" s="6"/>
      <c r="CA11" s="6"/>
      <c r="CB11" s="9"/>
      <c r="CC11" s="9"/>
      <c r="CD11" s="9"/>
      <c r="CE11" s="9"/>
      <c r="CF11" s="6"/>
      <c r="CM11" s="9"/>
      <c r="CN11" s="9"/>
      <c r="CO11" s="9"/>
      <c r="CP11" s="9"/>
      <c r="CQ11" s="9"/>
      <c r="CR11" s="9"/>
      <c r="CS11" s="9"/>
      <c r="CV11" s="9"/>
      <c r="CW11" s="9"/>
      <c r="CX11" s="88"/>
      <c r="CY11" s="9"/>
      <c r="CZ11" s="9"/>
      <c r="DA11" s="9"/>
      <c r="DB11" s="9"/>
      <c r="DC11" s="9"/>
      <c r="DD11" s="9"/>
      <c r="DE11" s="9"/>
      <c r="DF11" s="9"/>
      <c r="DG11" s="9"/>
      <c r="DH11" s="9"/>
      <c r="DI11" s="9"/>
      <c r="DJ11" s="9"/>
      <c r="DK11" s="9"/>
      <c r="DL11" s="9"/>
      <c r="DM11" s="88"/>
      <c r="DN11" s="9"/>
      <c r="DO11" s="9"/>
      <c r="DP11" s="71"/>
      <c r="DQ11" s="9"/>
      <c r="DR11" s="17"/>
      <c r="DS11" s="17"/>
      <c r="DT11" s="9"/>
      <c r="DU11" s="9"/>
      <c r="DV11" s="9"/>
      <c r="DW11" s="49"/>
      <c r="DX11" s="9"/>
      <c r="DY11" s="9"/>
      <c r="DZ11" s="17"/>
      <c r="EA11" s="9"/>
      <c r="EB11" s="9"/>
      <c r="EC11" s="16"/>
      <c r="ED11" s="16"/>
      <c r="EE11" s="16"/>
      <c r="EF11" s="16"/>
      <c r="EG11" s="9"/>
      <c r="EH11" s="9"/>
      <c r="EI11" s="16"/>
      <c r="EJ11" s="17"/>
      <c r="EK11" s="17"/>
      <c r="EL11" s="17"/>
      <c r="EM11" s="6"/>
      <c r="EN11" s="6"/>
      <c r="EO11" s="6"/>
      <c r="EP11" s="6"/>
      <c r="EQ11" s="6"/>
      <c r="ER11" s="6"/>
      <c r="ES11" s="6"/>
      <c r="ET11" s="6"/>
      <c r="EU11" s="6"/>
      <c r="EV11" s="6"/>
      <c r="EW11" s="6"/>
      <c r="EX11" s="17"/>
      <c r="EY11" s="17"/>
      <c r="EZ11" s="17"/>
      <c r="FA11" s="17"/>
      <c r="FB11" s="17"/>
      <c r="FC11" s="16"/>
      <c r="FD11" s="16"/>
      <c r="FE11" s="6"/>
      <c r="FF11" s="6"/>
      <c r="FG11" s="6"/>
      <c r="FH11" s="6"/>
      <c r="FI11" s="6"/>
      <c r="FJ11" s="6"/>
      <c r="FK11" s="6"/>
      <c r="FL11" s="6"/>
      <c r="FM11" s="6"/>
      <c r="FN11" s="6"/>
      <c r="FO11" s="6"/>
      <c r="FP11" s="6"/>
      <c r="FQ11" s="114"/>
      <c r="FR11" s="114"/>
      <c r="FS11" s="102"/>
      <c r="FT11" s="114"/>
      <c r="FU11" s="114"/>
      <c r="FV11" s="16"/>
      <c r="FX11" s="9"/>
      <c r="FY11" s="9"/>
      <c r="FZ11" s="9"/>
      <c r="GA11" s="9"/>
      <c r="GB11" s="9"/>
      <c r="GC11" s="9"/>
      <c r="GD11" s="16"/>
      <c r="GE11" s="16"/>
      <c r="GF11" s="16"/>
      <c r="GG11" s="16"/>
      <c r="GH11" s="16"/>
      <c r="GI11" s="16"/>
      <c r="GJ11" s="16"/>
      <c r="GK11" s="9"/>
      <c r="GL11" s="9"/>
      <c r="GM11" s="117"/>
      <c r="GN11" s="117"/>
      <c r="GO11" s="117"/>
      <c r="GP11" s="117"/>
      <c r="GQ11" s="117"/>
      <c r="GR11" s="9"/>
      <c r="GS11" s="9"/>
      <c r="GT11" s="9"/>
      <c r="GU11" s="9"/>
      <c r="GV11" s="102"/>
      <c r="GW11" s="102"/>
      <c r="GX11" s="102"/>
      <c r="GY11" s="102"/>
      <c r="GZ11" s="102"/>
      <c r="HA11" s="102"/>
      <c r="HB11" s="9"/>
      <c r="HC11" s="6"/>
      <c r="HD11" s="6"/>
      <c r="HE11" s="6"/>
      <c r="HF11" s="9"/>
      <c r="HG11" s="9"/>
      <c r="HH11" s="9"/>
      <c r="HI11" s="7"/>
      <c r="HJ11" s="7"/>
      <c r="HK11" s="7"/>
      <c r="HL11" s="7"/>
      <c r="HM11" s="7"/>
      <c r="HN11" s="7"/>
      <c r="HO11" s="16"/>
      <c r="HP11" s="16"/>
      <c r="HQ11" s="7"/>
      <c r="HR11" s="7"/>
      <c r="HS11" s="16"/>
      <c r="HT11" s="77"/>
      <c r="HU11" s="77"/>
      <c r="HV11" s="77"/>
      <c r="HW11" s="77"/>
      <c r="HX11" s="16"/>
      <c r="HY11" s="16"/>
      <c r="HZ11" s="16"/>
      <c r="IA11" s="16"/>
      <c r="IB11" s="16"/>
      <c r="IC11" s="7"/>
      <c r="ID11" s="16"/>
      <c r="IE11" s="16"/>
      <c r="IF11" s="16"/>
      <c r="IG11" s="16"/>
      <c r="IH11" s="7"/>
      <c r="II11" s="7"/>
      <c r="IJ11" s="9"/>
      <c r="IK11" s="9"/>
      <c r="IL11" s="9"/>
      <c r="IM11" s="9"/>
      <c r="IN11" s="9"/>
      <c r="IO11" s="9"/>
      <c r="IU11" s="9"/>
      <c r="JE11" s="16"/>
      <c r="JF11" s="16"/>
      <c r="JG11" s="100"/>
      <c r="JH11" s="16"/>
      <c r="JI11" s="16"/>
      <c r="JJ11" s="16"/>
      <c r="JK11" s="16"/>
      <c r="JL11" s="16"/>
      <c r="JZ11" s="6"/>
      <c r="KA11" s="6"/>
      <c r="KB11" s="27"/>
      <c r="KC11" s="27"/>
      <c r="KD11" s="27"/>
      <c r="KE11" s="27"/>
      <c r="KF11" s="27"/>
      <c r="KG11" s="27"/>
      <c r="KH11" s="27"/>
      <c r="KI11" s="27"/>
      <c r="KJ11" s="27"/>
      <c r="KK11" s="27"/>
      <c r="KL11" s="27"/>
      <c r="KM11" s="27"/>
      <c r="KN11" s="27"/>
      <c r="KO11" s="27"/>
      <c r="KP11" s="27"/>
      <c r="KQ11" s="27"/>
      <c r="KR11" s="27"/>
      <c r="KS11" s="583"/>
      <c r="KT11" s="583"/>
      <c r="KU11" s="27"/>
      <c r="KV11" s="27"/>
      <c r="KW11" s="27"/>
      <c r="KX11" s="27"/>
      <c r="KY11" s="27"/>
      <c r="KZ11" s="27"/>
    </row>
    <row r="12" spans="1:312" s="83" customFormat="1" x14ac:dyDescent="0.2">
      <c r="A12" s="113" t="s">
        <v>367</v>
      </c>
      <c r="B12" s="49" t="s">
        <v>13</v>
      </c>
      <c r="C12" s="49" t="s">
        <v>13</v>
      </c>
      <c r="D12" s="49" t="s">
        <v>13</v>
      </c>
      <c r="E12" s="49" t="s">
        <v>13</v>
      </c>
      <c r="F12" s="49" t="s">
        <v>59</v>
      </c>
      <c r="G12" s="49" t="s">
        <v>31</v>
      </c>
      <c r="H12" s="49" t="s">
        <v>13</v>
      </c>
      <c r="I12" s="49" t="s">
        <v>13</v>
      </c>
      <c r="J12" s="49" t="s">
        <v>13</v>
      </c>
      <c r="K12" s="49" t="s">
        <v>13</v>
      </c>
      <c r="L12" s="49" t="s">
        <v>13</v>
      </c>
      <c r="M12" s="49" t="s">
        <v>13</v>
      </c>
      <c r="N12" s="49" t="s">
        <v>13</v>
      </c>
      <c r="O12" s="49" t="s">
        <v>13</v>
      </c>
      <c r="P12" s="49" t="s">
        <v>13</v>
      </c>
      <c r="Q12" s="49" t="s">
        <v>13</v>
      </c>
      <c r="R12" s="49" t="s">
        <v>13</v>
      </c>
      <c r="S12" s="49" t="s">
        <v>13</v>
      </c>
      <c r="T12" s="49" t="s">
        <v>20</v>
      </c>
      <c r="U12" s="49" t="s">
        <v>13</v>
      </c>
      <c r="V12" s="49" t="s">
        <v>13</v>
      </c>
      <c r="W12" s="49" t="s">
        <v>13</v>
      </c>
      <c r="X12" s="49" t="s">
        <v>13</v>
      </c>
      <c r="Y12" s="49" t="s">
        <v>13</v>
      </c>
      <c r="Z12" s="49" t="s">
        <v>13</v>
      </c>
      <c r="AA12" s="49" t="s">
        <v>13</v>
      </c>
      <c r="AB12" s="49" t="s">
        <v>13</v>
      </c>
      <c r="AC12" s="49" t="s">
        <v>20</v>
      </c>
      <c r="AD12" s="49" t="s">
        <v>13</v>
      </c>
      <c r="AE12" s="49" t="s">
        <v>13</v>
      </c>
      <c r="AF12" s="49" t="s">
        <v>20</v>
      </c>
      <c r="AG12" s="49" t="s">
        <v>13</v>
      </c>
      <c r="AH12" s="49" t="s">
        <v>13</v>
      </c>
      <c r="AI12" s="49" t="s">
        <v>13</v>
      </c>
      <c r="AJ12" s="49" t="s">
        <v>13</v>
      </c>
      <c r="AK12" s="49" t="s">
        <v>13</v>
      </c>
      <c r="AL12" s="49" t="s">
        <v>13</v>
      </c>
      <c r="AM12" s="49" t="s">
        <v>13</v>
      </c>
      <c r="AN12" s="49" t="s">
        <v>20</v>
      </c>
      <c r="AO12" s="49" t="s">
        <v>20</v>
      </c>
      <c r="AP12" s="49" t="s">
        <v>20</v>
      </c>
      <c r="AQ12" s="49" t="s">
        <v>20</v>
      </c>
      <c r="AR12" s="49" t="s">
        <v>20</v>
      </c>
      <c r="AS12" s="49" t="s">
        <v>20</v>
      </c>
      <c r="AT12" s="49" t="s">
        <v>20</v>
      </c>
      <c r="AU12" s="49" t="s">
        <v>20</v>
      </c>
      <c r="AV12" s="49" t="s">
        <v>20</v>
      </c>
      <c r="AW12" s="49" t="s">
        <v>20</v>
      </c>
      <c r="AX12" s="49" t="s">
        <v>20</v>
      </c>
      <c r="AY12" s="49" t="s">
        <v>20</v>
      </c>
      <c r="AZ12" s="49" t="s">
        <v>20</v>
      </c>
      <c r="BA12" s="49" t="s">
        <v>20</v>
      </c>
      <c r="BB12" s="49" t="s">
        <v>20</v>
      </c>
      <c r="BC12" s="49" t="s">
        <v>13</v>
      </c>
      <c r="BD12" s="49" t="s">
        <v>13</v>
      </c>
      <c r="BE12" s="49" t="s">
        <v>13</v>
      </c>
      <c r="BF12" s="49" t="s">
        <v>13</v>
      </c>
      <c r="BG12" s="49" t="s">
        <v>20</v>
      </c>
      <c r="BH12" s="49" t="s">
        <v>20</v>
      </c>
      <c r="BI12" s="49" t="s">
        <v>20</v>
      </c>
      <c r="BJ12" s="49" t="s">
        <v>20</v>
      </c>
      <c r="BK12" s="49" t="s">
        <v>20</v>
      </c>
      <c r="BL12" s="49" t="s">
        <v>20</v>
      </c>
      <c r="BM12" s="49" t="s">
        <v>20</v>
      </c>
      <c r="BN12" s="49" t="s">
        <v>20</v>
      </c>
      <c r="BO12" s="49" t="s">
        <v>20</v>
      </c>
      <c r="BP12" s="49" t="s">
        <v>20</v>
      </c>
      <c r="BQ12" s="49" t="s">
        <v>31</v>
      </c>
      <c r="BR12" s="49" t="s">
        <v>31</v>
      </c>
      <c r="BS12" s="49" t="s">
        <v>31</v>
      </c>
      <c r="BT12" s="49" t="s">
        <v>13</v>
      </c>
      <c r="BU12" s="49" t="s">
        <v>59</v>
      </c>
      <c r="BV12" s="49" t="s">
        <v>20</v>
      </c>
      <c r="BW12" s="49" t="s">
        <v>20</v>
      </c>
      <c r="BX12" s="49" t="s">
        <v>13</v>
      </c>
      <c r="BY12" s="49" t="s">
        <v>13</v>
      </c>
      <c r="BZ12" s="49" t="s">
        <v>13</v>
      </c>
      <c r="CA12" s="49" t="s">
        <v>13</v>
      </c>
      <c r="CB12" s="49" t="s">
        <v>13</v>
      </c>
      <c r="CC12" s="49" t="s">
        <v>13</v>
      </c>
      <c r="CD12" s="49" t="s">
        <v>13</v>
      </c>
      <c r="CE12" s="49" t="s">
        <v>13</v>
      </c>
      <c r="CF12" s="49" t="s">
        <v>13</v>
      </c>
      <c r="CG12" s="93" t="s">
        <v>20</v>
      </c>
      <c r="CH12" s="49" t="s">
        <v>20</v>
      </c>
      <c r="CI12" s="49" t="s">
        <v>20</v>
      </c>
      <c r="CJ12" s="49" t="s">
        <v>20</v>
      </c>
      <c r="CK12" s="49" t="s">
        <v>20</v>
      </c>
      <c r="CL12" s="49" t="s">
        <v>20</v>
      </c>
      <c r="CM12" s="49" t="s">
        <v>31</v>
      </c>
      <c r="CN12" s="49" t="s">
        <v>31</v>
      </c>
      <c r="CO12" s="49" t="s">
        <v>31</v>
      </c>
      <c r="CP12" s="49" t="s">
        <v>20</v>
      </c>
      <c r="CQ12" s="49" t="s">
        <v>20</v>
      </c>
      <c r="CR12" s="49" t="s">
        <v>20</v>
      </c>
      <c r="CS12" s="49" t="s">
        <v>20</v>
      </c>
      <c r="CT12" s="49" t="s">
        <v>20</v>
      </c>
      <c r="CU12" s="49" t="s">
        <v>20</v>
      </c>
      <c r="CV12" s="49" t="s">
        <v>20</v>
      </c>
      <c r="CW12" s="49" t="s">
        <v>20</v>
      </c>
      <c r="CX12" s="49" t="s">
        <v>20</v>
      </c>
      <c r="CY12" s="49" t="s">
        <v>20</v>
      </c>
      <c r="CZ12" s="49" t="s">
        <v>20</v>
      </c>
      <c r="DA12" s="49" t="s">
        <v>20</v>
      </c>
      <c r="DB12" s="49" t="s">
        <v>20</v>
      </c>
      <c r="DC12" s="49" t="s">
        <v>20</v>
      </c>
      <c r="DD12" s="49" t="s">
        <v>13</v>
      </c>
      <c r="DE12" s="49" t="s">
        <v>20</v>
      </c>
      <c r="DF12" s="49" t="s">
        <v>59</v>
      </c>
      <c r="DG12" s="49" t="s">
        <v>59</v>
      </c>
      <c r="DH12" s="49" t="s">
        <v>59</v>
      </c>
      <c r="DI12" s="49" t="s">
        <v>20</v>
      </c>
      <c r="DJ12" s="49" t="s">
        <v>20</v>
      </c>
      <c r="DK12" s="49" t="s">
        <v>20</v>
      </c>
      <c r="DL12" s="49" t="s">
        <v>20</v>
      </c>
      <c r="DM12" s="49" t="s">
        <v>20</v>
      </c>
      <c r="DN12" s="49" t="s">
        <v>20</v>
      </c>
      <c r="DO12" s="49" t="s">
        <v>20</v>
      </c>
      <c r="DP12" s="49" t="s">
        <v>20</v>
      </c>
      <c r="DQ12" s="49" t="s">
        <v>20</v>
      </c>
      <c r="DR12" s="93" t="s">
        <v>20</v>
      </c>
      <c r="DS12" s="93" t="s">
        <v>20</v>
      </c>
      <c r="DT12" s="49" t="s">
        <v>13</v>
      </c>
      <c r="DU12" s="49" t="s">
        <v>13</v>
      </c>
      <c r="DV12" s="49" t="s">
        <v>20</v>
      </c>
      <c r="DW12" s="49" t="s">
        <v>20</v>
      </c>
      <c r="DX12" s="49" t="s">
        <v>20</v>
      </c>
      <c r="DY12" s="49" t="s">
        <v>20</v>
      </c>
      <c r="DZ12" s="49" t="s">
        <v>20</v>
      </c>
      <c r="EA12" s="49" t="s">
        <v>20</v>
      </c>
      <c r="EB12" s="49" t="s">
        <v>20</v>
      </c>
      <c r="EC12" s="49" t="s">
        <v>20</v>
      </c>
      <c r="ED12" s="49" t="s">
        <v>20</v>
      </c>
      <c r="EE12" s="49" t="s">
        <v>20</v>
      </c>
      <c r="EF12" s="49" t="s">
        <v>20</v>
      </c>
      <c r="EG12" s="49" t="s">
        <v>13</v>
      </c>
      <c r="EH12" s="49" t="s">
        <v>13</v>
      </c>
      <c r="EI12" s="49" t="s">
        <v>20</v>
      </c>
      <c r="EJ12" s="49" t="s">
        <v>20</v>
      </c>
      <c r="EK12" s="49" t="s">
        <v>20</v>
      </c>
      <c r="EL12" s="49" t="s">
        <v>20</v>
      </c>
      <c r="EM12" s="49" t="s">
        <v>20</v>
      </c>
      <c r="EN12" s="49" t="s">
        <v>20</v>
      </c>
      <c r="EO12" s="49" t="s">
        <v>20</v>
      </c>
      <c r="EP12" s="49" t="s">
        <v>20</v>
      </c>
      <c r="EQ12" s="49" t="s">
        <v>20</v>
      </c>
      <c r="ER12" s="49" t="s">
        <v>20</v>
      </c>
      <c r="ES12" s="49" t="s">
        <v>59</v>
      </c>
      <c r="ET12" s="49" t="s">
        <v>20</v>
      </c>
      <c r="EU12" s="49" t="s">
        <v>20</v>
      </c>
      <c r="EV12" s="49" t="s">
        <v>20</v>
      </c>
      <c r="EW12" s="49" t="s">
        <v>20</v>
      </c>
      <c r="EX12" s="49" t="s">
        <v>59</v>
      </c>
      <c r="EY12" s="49" t="s">
        <v>20</v>
      </c>
      <c r="EZ12" s="49" t="s">
        <v>59</v>
      </c>
      <c r="FA12" s="49" t="s">
        <v>20</v>
      </c>
      <c r="FB12" s="49" t="s">
        <v>59</v>
      </c>
      <c r="FC12" s="49" t="s">
        <v>20</v>
      </c>
      <c r="FD12" s="49" t="s">
        <v>59</v>
      </c>
      <c r="FE12" s="49" t="s">
        <v>20</v>
      </c>
      <c r="FF12" s="49" t="s">
        <v>59</v>
      </c>
      <c r="FG12" s="49" t="s">
        <v>59</v>
      </c>
      <c r="FH12" s="49" t="s">
        <v>20</v>
      </c>
      <c r="FI12" s="49" t="s">
        <v>20</v>
      </c>
      <c r="FJ12" s="49" t="s">
        <v>59</v>
      </c>
      <c r="FK12" s="49" t="s">
        <v>59</v>
      </c>
      <c r="FL12" s="49" t="s">
        <v>20</v>
      </c>
      <c r="FM12" s="49" t="s">
        <v>20</v>
      </c>
      <c r="FN12" s="49" t="s">
        <v>59</v>
      </c>
      <c r="FO12" s="49" t="s">
        <v>20</v>
      </c>
      <c r="FP12" s="49" t="s">
        <v>59</v>
      </c>
      <c r="FQ12" s="49" t="s">
        <v>20</v>
      </c>
      <c r="FR12" s="49" t="s">
        <v>20</v>
      </c>
      <c r="FS12" s="111" t="s">
        <v>20</v>
      </c>
      <c r="FT12" s="115" t="s">
        <v>20</v>
      </c>
      <c r="FU12" s="49" t="s">
        <v>20</v>
      </c>
      <c r="FV12" s="49" t="s">
        <v>20</v>
      </c>
      <c r="FW12" s="49" t="s">
        <v>20</v>
      </c>
      <c r="FX12" s="49" t="s">
        <v>20</v>
      </c>
      <c r="FY12" s="49" t="s">
        <v>20</v>
      </c>
      <c r="FZ12" s="49" t="s">
        <v>20</v>
      </c>
      <c r="GA12" s="49" t="s">
        <v>20</v>
      </c>
      <c r="GB12" s="49" t="s">
        <v>20</v>
      </c>
      <c r="GC12" s="49" t="s">
        <v>20</v>
      </c>
      <c r="GD12" s="49" t="s">
        <v>20</v>
      </c>
      <c r="GE12" s="49" t="s">
        <v>20</v>
      </c>
      <c r="GF12" s="49" t="s">
        <v>20</v>
      </c>
      <c r="GG12" s="49" t="s">
        <v>20</v>
      </c>
      <c r="GH12" s="49" t="s">
        <v>20</v>
      </c>
      <c r="GI12" s="49" t="s">
        <v>20</v>
      </c>
      <c r="GJ12" s="49" t="s">
        <v>20</v>
      </c>
      <c r="GK12" s="49" t="s">
        <v>20</v>
      </c>
      <c r="GL12" s="49" t="s">
        <v>20</v>
      </c>
      <c r="GM12" s="118" t="s">
        <v>20</v>
      </c>
      <c r="GN12" s="118" t="s">
        <v>20</v>
      </c>
      <c r="GO12" s="49" t="s">
        <v>20</v>
      </c>
      <c r="GP12" s="118" t="s">
        <v>20</v>
      </c>
      <c r="GQ12" s="118" t="s">
        <v>20</v>
      </c>
      <c r="GR12" s="49" t="s">
        <v>20</v>
      </c>
      <c r="GS12" s="49" t="s">
        <v>20</v>
      </c>
      <c r="GT12" s="49" t="s">
        <v>20</v>
      </c>
      <c r="GU12" s="49" t="s">
        <v>20</v>
      </c>
      <c r="GV12" s="111" t="s">
        <v>20</v>
      </c>
      <c r="GW12" s="49" t="s">
        <v>20</v>
      </c>
      <c r="GX12" s="49" t="s">
        <v>20</v>
      </c>
      <c r="GY12" s="49" t="s">
        <v>20</v>
      </c>
      <c r="GZ12" s="49" t="s">
        <v>20</v>
      </c>
      <c r="HA12" s="49" t="s">
        <v>20</v>
      </c>
      <c r="HB12" s="49" t="s">
        <v>31</v>
      </c>
      <c r="HC12" s="49" t="s">
        <v>59</v>
      </c>
      <c r="HD12" s="49" t="s">
        <v>59</v>
      </c>
      <c r="HE12" s="49" t="s">
        <v>59</v>
      </c>
      <c r="HF12" s="93" t="s">
        <v>20</v>
      </c>
      <c r="HG12" s="93" t="s">
        <v>20</v>
      </c>
      <c r="HH12" s="93" t="s">
        <v>20</v>
      </c>
      <c r="HI12" s="93" t="s">
        <v>20</v>
      </c>
      <c r="HJ12" s="93" t="s">
        <v>59</v>
      </c>
      <c r="HK12" s="93" t="s">
        <v>59</v>
      </c>
      <c r="HL12" s="93" t="s">
        <v>59</v>
      </c>
      <c r="HM12" s="93" t="s">
        <v>59</v>
      </c>
      <c r="HN12" s="93" t="s">
        <v>20</v>
      </c>
      <c r="HO12" s="49" t="s">
        <v>20</v>
      </c>
      <c r="HP12" s="49" t="s">
        <v>20</v>
      </c>
      <c r="HQ12" s="49" t="s">
        <v>20</v>
      </c>
      <c r="HR12" s="49" t="s">
        <v>20</v>
      </c>
      <c r="HS12" s="72" t="s">
        <v>20</v>
      </c>
      <c r="HT12" s="49" t="s">
        <v>59</v>
      </c>
      <c r="HU12" s="49" t="s">
        <v>20</v>
      </c>
      <c r="HV12" s="49" t="s">
        <v>20</v>
      </c>
      <c r="HW12" s="49" t="s">
        <v>59</v>
      </c>
      <c r="HX12" s="49" t="s">
        <v>20</v>
      </c>
      <c r="HY12" s="49" t="s">
        <v>59</v>
      </c>
      <c r="HZ12" s="49" t="s">
        <v>59</v>
      </c>
      <c r="IA12" s="49" t="s">
        <v>59</v>
      </c>
      <c r="IB12" s="93" t="s">
        <v>20</v>
      </c>
      <c r="IC12" s="49" t="s">
        <v>20</v>
      </c>
      <c r="ID12" s="72" t="s">
        <v>20</v>
      </c>
      <c r="IE12" s="93" t="s">
        <v>20</v>
      </c>
      <c r="IF12" s="49" t="s">
        <v>20</v>
      </c>
      <c r="IG12" s="72" t="s">
        <v>59</v>
      </c>
      <c r="IH12" s="49" t="s">
        <v>20</v>
      </c>
      <c r="II12" s="49" t="s">
        <v>59</v>
      </c>
      <c r="IJ12" s="49" t="s">
        <v>31</v>
      </c>
      <c r="IK12" s="49" t="s">
        <v>20</v>
      </c>
      <c r="IL12" s="49" t="s">
        <v>13</v>
      </c>
      <c r="IM12" s="49" t="s">
        <v>20</v>
      </c>
      <c r="IN12" s="49" t="s">
        <v>31</v>
      </c>
      <c r="IO12" s="49" t="s">
        <v>20</v>
      </c>
      <c r="IP12" s="49" t="s">
        <v>214</v>
      </c>
      <c r="IQ12" s="49" t="s">
        <v>214</v>
      </c>
      <c r="IR12" s="49" t="s">
        <v>214</v>
      </c>
      <c r="IS12" s="49" t="s">
        <v>214</v>
      </c>
      <c r="IT12" s="49" t="s">
        <v>214</v>
      </c>
      <c r="IU12" s="49" t="s">
        <v>59</v>
      </c>
      <c r="IV12" s="49" t="s">
        <v>20</v>
      </c>
      <c r="IW12" s="49" t="s">
        <v>20</v>
      </c>
      <c r="IX12" s="49" t="s">
        <v>20</v>
      </c>
      <c r="IY12" s="49" t="s">
        <v>20</v>
      </c>
      <c r="IZ12" s="49" t="s">
        <v>20</v>
      </c>
      <c r="JA12" s="49" t="s">
        <v>20</v>
      </c>
      <c r="JB12" s="49" t="s">
        <v>20</v>
      </c>
      <c r="JC12" s="49"/>
      <c r="JD12" s="49" t="s">
        <v>59</v>
      </c>
      <c r="JE12" s="49" t="s">
        <v>20</v>
      </c>
      <c r="JF12" s="49" t="s">
        <v>20</v>
      </c>
      <c r="JG12" s="101" t="s">
        <v>59</v>
      </c>
      <c r="JH12" s="49" t="s">
        <v>13</v>
      </c>
      <c r="JI12" s="49" t="s">
        <v>13</v>
      </c>
      <c r="JJ12" s="49" t="s">
        <v>13</v>
      </c>
      <c r="JK12" s="49" t="s">
        <v>13</v>
      </c>
      <c r="JL12" s="49" t="s">
        <v>20</v>
      </c>
      <c r="JM12" s="49" t="s">
        <v>20</v>
      </c>
      <c r="JN12" s="49" t="s">
        <v>20</v>
      </c>
      <c r="JO12" s="49" t="s">
        <v>20</v>
      </c>
      <c r="JP12" s="49" t="s">
        <v>20</v>
      </c>
      <c r="JQ12" s="49" t="s">
        <v>20</v>
      </c>
      <c r="JR12" s="49" t="s">
        <v>20</v>
      </c>
      <c r="JS12" s="49" t="s">
        <v>20</v>
      </c>
      <c r="JT12" s="49" t="s">
        <v>20</v>
      </c>
      <c r="JU12" s="49" t="s">
        <v>20</v>
      </c>
      <c r="JV12" s="49" t="s">
        <v>20</v>
      </c>
      <c r="JW12" s="49" t="s">
        <v>20</v>
      </c>
      <c r="JX12" s="49" t="s">
        <v>20</v>
      </c>
      <c r="JY12" s="49" t="s">
        <v>20</v>
      </c>
      <c r="JZ12" s="49" t="s">
        <v>20</v>
      </c>
      <c r="KA12" s="49" t="s">
        <v>20</v>
      </c>
      <c r="KB12" s="49" t="s">
        <v>20</v>
      </c>
      <c r="KC12" s="49" t="s">
        <v>20</v>
      </c>
      <c r="KD12" s="49" t="s">
        <v>20</v>
      </c>
      <c r="KE12" s="49" t="s">
        <v>20</v>
      </c>
      <c r="KF12" s="49" t="s">
        <v>20</v>
      </c>
      <c r="KG12" s="49" t="s">
        <v>20</v>
      </c>
      <c r="KH12" s="49" t="s">
        <v>20</v>
      </c>
      <c r="KI12" s="49" t="s">
        <v>20</v>
      </c>
      <c r="KJ12" s="49" t="s">
        <v>20</v>
      </c>
      <c r="KK12" s="49" t="s">
        <v>20</v>
      </c>
      <c r="KL12" s="49" t="s">
        <v>20</v>
      </c>
      <c r="KM12" s="49" t="s">
        <v>20</v>
      </c>
      <c r="KN12" s="49" t="s">
        <v>20</v>
      </c>
      <c r="KO12" s="49" t="s">
        <v>20</v>
      </c>
      <c r="KP12" s="49" t="s">
        <v>20</v>
      </c>
      <c r="KQ12" s="49" t="s">
        <v>20</v>
      </c>
      <c r="KR12" s="49" t="s">
        <v>20</v>
      </c>
      <c r="KS12" s="122" t="s">
        <v>59</v>
      </c>
      <c r="KT12" s="122" t="s">
        <v>59</v>
      </c>
      <c r="KU12" s="49" t="s">
        <v>20</v>
      </c>
      <c r="KV12" s="49" t="s">
        <v>59</v>
      </c>
      <c r="KW12" s="49" t="s">
        <v>59</v>
      </c>
      <c r="KX12" s="49" t="s">
        <v>20</v>
      </c>
      <c r="KY12" s="49" t="s">
        <v>20</v>
      </c>
      <c r="KZ12" s="49" t="s">
        <v>20</v>
      </c>
    </row>
    <row r="13" spans="1:312" s="13" customFormat="1" ht="13.6" x14ac:dyDescent="0.25">
      <c r="A13" s="174" t="s">
        <v>368</v>
      </c>
      <c r="B13" s="175" t="s">
        <v>263</v>
      </c>
      <c r="C13" s="175" t="s">
        <v>1</v>
      </c>
      <c r="D13" s="175" t="s">
        <v>2</v>
      </c>
      <c r="E13" s="176" t="s">
        <v>3</v>
      </c>
      <c r="F13" s="176" t="s">
        <v>379</v>
      </c>
      <c r="G13" s="176" t="s">
        <v>122</v>
      </c>
      <c r="H13" s="176" t="s">
        <v>234</v>
      </c>
      <c r="I13" s="176" t="s">
        <v>77</v>
      </c>
      <c r="J13" s="177" t="s">
        <v>4</v>
      </c>
      <c r="K13" s="177" t="s">
        <v>5</v>
      </c>
      <c r="L13" s="177" t="s">
        <v>71</v>
      </c>
      <c r="M13" s="177" t="s">
        <v>72</v>
      </c>
      <c r="N13" s="177" t="s">
        <v>73</v>
      </c>
      <c r="O13" s="177" t="s">
        <v>102</v>
      </c>
      <c r="P13" s="177" t="s">
        <v>103</v>
      </c>
      <c r="Q13" s="177" t="s">
        <v>104</v>
      </c>
      <c r="R13" s="177" t="s">
        <v>105</v>
      </c>
      <c r="S13" s="177" t="s">
        <v>110</v>
      </c>
      <c r="T13" s="177" t="s">
        <v>63</v>
      </c>
      <c r="U13" s="177" t="s">
        <v>8</v>
      </c>
      <c r="V13" s="177" t="s">
        <v>9</v>
      </c>
      <c r="W13" s="177" t="s">
        <v>106</v>
      </c>
      <c r="X13" s="177" t="s">
        <v>21</v>
      </c>
      <c r="Y13" s="177" t="s">
        <v>254</v>
      </c>
      <c r="Z13" s="177" t="s">
        <v>6</v>
      </c>
      <c r="AA13" s="177" t="s">
        <v>7</v>
      </c>
      <c r="AB13" s="177" t="s">
        <v>107</v>
      </c>
      <c r="AC13" s="177" t="s">
        <v>19</v>
      </c>
      <c r="AD13" s="177" t="s">
        <v>261</v>
      </c>
      <c r="AE13" s="177" t="s">
        <v>22</v>
      </c>
      <c r="AF13" s="177" t="s">
        <v>126</v>
      </c>
      <c r="AG13" s="177" t="s">
        <v>23</v>
      </c>
      <c r="AH13" s="177" t="s">
        <v>75</v>
      </c>
      <c r="AI13" s="177" t="s">
        <v>108</v>
      </c>
      <c r="AJ13" s="177" t="s">
        <v>109</v>
      </c>
      <c r="AK13" s="177" t="s">
        <v>880</v>
      </c>
      <c r="AL13" s="177" t="s">
        <v>259</v>
      </c>
      <c r="AM13" s="177" t="s">
        <v>260</v>
      </c>
      <c r="AN13" s="177" t="s">
        <v>70</v>
      </c>
      <c r="AO13" s="177" t="s">
        <v>34</v>
      </c>
      <c r="AP13" s="177" t="s">
        <v>35</v>
      </c>
      <c r="AQ13" s="177" t="s">
        <v>144</v>
      </c>
      <c r="AR13" s="177" t="s">
        <v>96</v>
      </c>
      <c r="AS13" s="177" t="s">
        <v>41</v>
      </c>
      <c r="AT13" s="177" t="s">
        <v>127</v>
      </c>
      <c r="AU13" s="177" t="s">
        <v>117</v>
      </c>
      <c r="AV13" s="177" t="s">
        <v>142</v>
      </c>
      <c r="AW13" s="177" t="s">
        <v>95</v>
      </c>
      <c r="AX13" s="177" t="s">
        <v>39</v>
      </c>
      <c r="AY13" s="177" t="s">
        <v>143</v>
      </c>
      <c r="AZ13" s="177" t="s">
        <v>36</v>
      </c>
      <c r="BA13" s="177" t="s">
        <v>37</v>
      </c>
      <c r="BB13" s="177" t="s">
        <v>135</v>
      </c>
      <c r="BC13" s="177" t="s">
        <v>435</v>
      </c>
      <c r="BD13" s="177" t="s">
        <v>1133</v>
      </c>
      <c r="BE13" s="177" t="s">
        <v>93</v>
      </c>
      <c r="BF13" s="177" t="s">
        <v>1014</v>
      </c>
      <c r="BG13" s="177" t="s">
        <v>64</v>
      </c>
      <c r="BH13" s="177" t="s">
        <v>65</v>
      </c>
      <c r="BI13" s="177" t="s">
        <v>1189</v>
      </c>
      <c r="BJ13" s="177" t="s">
        <v>1190</v>
      </c>
      <c r="BK13" s="177" t="s">
        <v>1191</v>
      </c>
      <c r="BL13" s="177" t="s">
        <v>2771</v>
      </c>
      <c r="BM13" s="177" t="s">
        <v>128</v>
      </c>
      <c r="BN13" s="177" t="s">
        <v>40</v>
      </c>
      <c r="BO13" s="177" t="s">
        <v>38</v>
      </c>
      <c r="BP13" s="177" t="s">
        <v>46</v>
      </c>
      <c r="BQ13" s="177" t="s">
        <v>42</v>
      </c>
      <c r="BR13" s="177" t="s">
        <v>43</v>
      </c>
      <c r="BS13" s="177" t="s">
        <v>44</v>
      </c>
      <c r="BT13" s="177" t="s">
        <v>438</v>
      </c>
      <c r="BU13" s="177"/>
      <c r="BV13" s="177" t="s">
        <v>67</v>
      </c>
      <c r="BW13" s="177" t="s">
        <v>68</v>
      </c>
      <c r="BX13" s="177" t="s">
        <v>136</v>
      </c>
      <c r="BY13" s="177" t="s">
        <v>208</v>
      </c>
      <c r="BZ13" s="177" t="s">
        <v>301</v>
      </c>
      <c r="CA13" s="177" t="s">
        <v>676</v>
      </c>
      <c r="CB13" s="177" t="s">
        <v>268</v>
      </c>
      <c r="CC13" s="177" t="s">
        <v>101</v>
      </c>
      <c r="CD13" s="177" t="s">
        <v>269</v>
      </c>
      <c r="CE13" s="177" t="s">
        <v>599</v>
      </c>
      <c r="CF13" s="177" t="s">
        <v>590</v>
      </c>
      <c r="CG13" s="177" t="s">
        <v>24</v>
      </c>
      <c r="CH13" s="177" t="s">
        <v>26</v>
      </c>
      <c r="CI13" s="177" t="s">
        <v>28</v>
      </c>
      <c r="CJ13" s="177" t="s">
        <v>25</v>
      </c>
      <c r="CK13" s="177" t="s">
        <v>27</v>
      </c>
      <c r="CL13" s="177" t="s">
        <v>29</v>
      </c>
      <c r="CM13" s="177" t="s">
        <v>30</v>
      </c>
      <c r="CN13" s="177" t="s">
        <v>32</v>
      </c>
      <c r="CO13" s="177" t="s">
        <v>33</v>
      </c>
      <c r="CP13" s="177" t="s">
        <v>681</v>
      </c>
      <c r="CQ13" s="177" t="s">
        <v>682</v>
      </c>
      <c r="CR13" s="177" t="s">
        <v>276</v>
      </c>
      <c r="CS13" s="177" t="s">
        <v>1112</v>
      </c>
      <c r="CT13" s="177" t="s">
        <v>1055</v>
      </c>
      <c r="CU13" s="177" t="s">
        <v>1070</v>
      </c>
      <c r="CV13" s="177" t="s">
        <v>47</v>
      </c>
      <c r="CW13" s="177" t="s">
        <v>48</v>
      </c>
      <c r="CX13" s="177" t="s">
        <v>57</v>
      </c>
      <c r="CY13" s="177" t="s">
        <v>58</v>
      </c>
      <c r="CZ13" s="177" t="s">
        <v>183</v>
      </c>
      <c r="DA13" s="177" t="s">
        <v>187</v>
      </c>
      <c r="DB13" s="177" t="s">
        <v>49</v>
      </c>
      <c r="DC13" s="177" t="s">
        <v>190</v>
      </c>
      <c r="DD13" s="177" t="s">
        <v>179</v>
      </c>
      <c r="DE13" s="177" t="s">
        <v>192</v>
      </c>
      <c r="DF13" s="177"/>
      <c r="DG13" s="177"/>
      <c r="DH13" s="177"/>
      <c r="DI13" s="177" t="s">
        <v>257</v>
      </c>
      <c r="DJ13" s="177" t="s">
        <v>194</v>
      </c>
      <c r="DK13" s="177" t="s">
        <v>195</v>
      </c>
      <c r="DL13" s="177" t="s">
        <v>196</v>
      </c>
      <c r="DM13" s="177" t="s">
        <v>253</v>
      </c>
      <c r="DN13" s="177" t="s">
        <v>197</v>
      </c>
      <c r="DO13" s="177" t="s">
        <v>474</v>
      </c>
      <c r="DP13" s="177" t="s">
        <v>595</v>
      </c>
      <c r="DQ13" s="177" t="s">
        <v>97</v>
      </c>
      <c r="DR13" s="179" t="s">
        <v>79</v>
      </c>
      <c r="DS13" s="179" t="s">
        <v>80</v>
      </c>
      <c r="DT13" s="177" t="s">
        <v>289</v>
      </c>
      <c r="DU13" s="177" t="s">
        <v>290</v>
      </c>
      <c r="DV13" s="177" t="s">
        <v>2317</v>
      </c>
      <c r="DW13" s="177" t="s">
        <v>1049</v>
      </c>
      <c r="DX13" s="177" t="s">
        <v>410</v>
      </c>
      <c r="DY13" s="177" t="s">
        <v>225</v>
      </c>
      <c r="DZ13" s="177" t="s">
        <v>314</v>
      </c>
      <c r="EA13" s="177" t="s">
        <v>211</v>
      </c>
      <c r="EB13" s="177" t="s">
        <v>213</v>
      </c>
      <c r="EC13" s="177" t="s">
        <v>239</v>
      </c>
      <c r="ED13" s="177" t="s">
        <v>240</v>
      </c>
      <c r="EE13" s="177" t="s">
        <v>313</v>
      </c>
      <c r="EF13" s="177" t="s">
        <v>238</v>
      </c>
      <c r="EG13" s="177" t="s">
        <v>316</v>
      </c>
      <c r="EH13" s="177" t="s">
        <v>317</v>
      </c>
      <c r="EI13" s="177" t="s">
        <v>325</v>
      </c>
      <c r="EJ13" s="177" t="s">
        <v>224</v>
      </c>
      <c r="EK13" s="177" t="s">
        <v>326</v>
      </c>
      <c r="EL13" s="177" t="s">
        <v>1050</v>
      </c>
      <c r="EM13" s="177" t="s">
        <v>445</v>
      </c>
      <c r="EN13" s="177" t="s">
        <v>1163</v>
      </c>
      <c r="EO13" s="177" t="s">
        <v>159</v>
      </c>
      <c r="EP13" s="177" t="s">
        <v>443</v>
      </c>
      <c r="EQ13" s="177" t="s">
        <v>444</v>
      </c>
      <c r="ER13" s="177" t="s">
        <v>62</v>
      </c>
      <c r="ES13" s="177"/>
      <c r="ET13" s="177" t="s">
        <v>346</v>
      </c>
      <c r="EU13" s="177" t="s">
        <v>312</v>
      </c>
      <c r="EV13" s="177" t="s">
        <v>150</v>
      </c>
      <c r="EW13" s="177" t="s">
        <v>878</v>
      </c>
      <c r="EX13" s="177"/>
      <c r="EY13" s="177" t="s">
        <v>877</v>
      </c>
      <c r="EZ13" s="177"/>
      <c r="FA13" s="177" t="s">
        <v>876</v>
      </c>
      <c r="FB13" s="177"/>
      <c r="FC13" s="177" t="s">
        <v>153</v>
      </c>
      <c r="FD13" s="177"/>
      <c r="FE13" s="177" t="s">
        <v>302</v>
      </c>
      <c r="FF13" s="177"/>
      <c r="FG13" s="177"/>
      <c r="FH13" s="177" t="s">
        <v>305</v>
      </c>
      <c r="FI13" s="177" t="s">
        <v>311</v>
      </c>
      <c r="FJ13" s="177"/>
      <c r="FK13" s="177"/>
      <c r="FL13" s="177" t="s">
        <v>303</v>
      </c>
      <c r="FM13" s="177" t="s">
        <v>304</v>
      </c>
      <c r="FN13" s="177"/>
      <c r="FO13" s="177" t="s">
        <v>154</v>
      </c>
      <c r="FP13" s="177"/>
      <c r="FQ13" s="395" t="s">
        <v>98</v>
      </c>
      <c r="FR13" s="395" t="s">
        <v>99</v>
      </c>
      <c r="FS13" s="182" t="s">
        <v>330</v>
      </c>
      <c r="FT13" s="395" t="s">
        <v>332</v>
      </c>
      <c r="FU13" s="395" t="s">
        <v>1155</v>
      </c>
      <c r="FV13" s="177" t="s">
        <v>718</v>
      </c>
      <c r="FW13" s="177" t="s">
        <v>1151</v>
      </c>
      <c r="FX13" s="177" t="s">
        <v>1156</v>
      </c>
      <c r="FY13" s="177" t="s">
        <v>1073</v>
      </c>
      <c r="FZ13" s="177" t="s">
        <v>899</v>
      </c>
      <c r="GA13" s="177" t="s">
        <v>1011</v>
      </c>
      <c r="GB13" s="177" t="s">
        <v>1006</v>
      </c>
      <c r="GC13" s="177" t="s">
        <v>1157</v>
      </c>
      <c r="GD13" s="177" t="s">
        <v>1007</v>
      </c>
      <c r="GE13" s="177" t="s">
        <v>1158</v>
      </c>
      <c r="GF13" s="177" t="s">
        <v>1008</v>
      </c>
      <c r="GG13" s="177" t="s">
        <v>864</v>
      </c>
      <c r="GH13" s="177" t="s">
        <v>734</v>
      </c>
      <c r="GI13" s="177" t="s">
        <v>1135</v>
      </c>
      <c r="GJ13" s="177" t="s">
        <v>1160</v>
      </c>
      <c r="GK13" s="177" t="s">
        <v>82</v>
      </c>
      <c r="GL13" s="177" t="s">
        <v>81</v>
      </c>
      <c r="GM13" s="396" t="s">
        <v>226</v>
      </c>
      <c r="GN13" s="396" t="s">
        <v>337</v>
      </c>
      <c r="GO13" s="396" t="s">
        <v>456</v>
      </c>
      <c r="GP13" s="396" t="s">
        <v>333</v>
      </c>
      <c r="GQ13" s="396" t="s">
        <v>334</v>
      </c>
      <c r="GR13" s="177" t="s">
        <v>437</v>
      </c>
      <c r="GS13" s="177" t="s">
        <v>50</v>
      </c>
      <c r="GT13" s="177" t="s">
        <v>111</v>
      </c>
      <c r="GU13" s="177" t="s">
        <v>357</v>
      </c>
      <c r="GV13" s="182" t="s">
        <v>348</v>
      </c>
      <c r="GW13" s="182" t="s">
        <v>349</v>
      </c>
      <c r="GX13" s="182" t="s">
        <v>446</v>
      </c>
      <c r="GY13" s="182" t="s">
        <v>453</v>
      </c>
      <c r="GZ13" s="182" t="s">
        <v>350</v>
      </c>
      <c r="HA13" s="182" t="s">
        <v>351</v>
      </c>
      <c r="HB13" s="177" t="s">
        <v>145</v>
      </c>
      <c r="HC13" s="177"/>
      <c r="HD13" s="177"/>
      <c r="HE13" s="177"/>
      <c r="HF13" s="177" t="s">
        <v>198</v>
      </c>
      <c r="HG13" s="177" t="s">
        <v>146</v>
      </c>
      <c r="HH13" s="177" t="s">
        <v>147</v>
      </c>
      <c r="HI13" s="179" t="s">
        <v>100</v>
      </c>
      <c r="HJ13" s="179"/>
      <c r="HK13" s="179"/>
      <c r="HL13" s="179"/>
      <c r="HM13" s="179"/>
      <c r="HN13" s="179" t="s">
        <v>235</v>
      </c>
      <c r="HO13" s="177" t="s">
        <v>450</v>
      </c>
      <c r="HP13" s="177" t="s">
        <v>51</v>
      </c>
      <c r="HQ13" s="177" t="s">
        <v>353</v>
      </c>
      <c r="HR13" s="177" t="s">
        <v>354</v>
      </c>
      <c r="HS13" s="177" t="s">
        <v>719</v>
      </c>
      <c r="HT13" s="177"/>
      <c r="HU13" s="177" t="s">
        <v>931</v>
      </c>
      <c r="HV13" s="177" t="s">
        <v>928</v>
      </c>
      <c r="HW13" s="177"/>
      <c r="HX13" s="177" t="s">
        <v>199</v>
      </c>
      <c r="HY13" s="177"/>
      <c r="HZ13" s="177"/>
      <c r="IA13" s="177"/>
      <c r="IB13" s="177" t="s">
        <v>202</v>
      </c>
      <c r="IC13" s="177" t="s">
        <v>203</v>
      </c>
      <c r="ID13" s="177" t="s">
        <v>451</v>
      </c>
      <c r="IE13" s="177" t="s">
        <v>200</v>
      </c>
      <c r="IF13" s="177" t="s">
        <v>201</v>
      </c>
      <c r="IG13" s="177"/>
      <c r="IH13" s="177" t="s">
        <v>355</v>
      </c>
      <c r="II13" s="177"/>
      <c r="IJ13" s="177" t="s">
        <v>52</v>
      </c>
      <c r="IK13" s="177" t="s">
        <v>53</v>
      </c>
      <c r="IL13" s="177" t="s">
        <v>113</v>
      </c>
      <c r="IM13" s="177" t="s">
        <v>123</v>
      </c>
      <c r="IN13" s="177" t="s">
        <v>124</v>
      </c>
      <c r="IO13" s="177" t="s">
        <v>452</v>
      </c>
      <c r="IP13" s="177" t="s">
        <v>116</v>
      </c>
      <c r="IQ13" s="177" t="s">
        <v>83</v>
      </c>
      <c r="IR13" s="177" t="s">
        <v>84</v>
      </c>
      <c r="IS13" s="177" t="s">
        <v>85</v>
      </c>
      <c r="IT13" s="177" t="s">
        <v>86</v>
      </c>
      <c r="IU13" s="177"/>
      <c r="IV13" s="177" t="s">
        <v>87</v>
      </c>
      <c r="IW13" s="177" t="s">
        <v>88</v>
      </c>
      <c r="IX13" s="177" t="s">
        <v>89</v>
      </c>
      <c r="IY13" s="177" t="s">
        <v>90</v>
      </c>
      <c r="IZ13" s="177" t="s">
        <v>125</v>
      </c>
      <c r="JA13" s="177" t="s">
        <v>358</v>
      </c>
      <c r="JB13" s="177" t="s">
        <v>583</v>
      </c>
      <c r="JC13" s="177"/>
      <c r="JD13" s="177"/>
      <c r="JE13" s="177" t="s">
        <v>300</v>
      </c>
      <c r="JF13" s="177" t="s">
        <v>298</v>
      </c>
      <c r="JG13" s="180"/>
      <c r="JH13" s="177" t="s">
        <v>296</v>
      </c>
      <c r="JI13" s="177" t="s">
        <v>297</v>
      </c>
      <c r="JJ13" s="177" t="s">
        <v>299</v>
      </c>
      <c r="JK13" s="177" t="s">
        <v>1169</v>
      </c>
      <c r="JL13" s="177" t="s">
        <v>1121</v>
      </c>
      <c r="JM13" s="177" t="s">
        <v>54</v>
      </c>
      <c r="JN13" s="177" t="s">
        <v>55</v>
      </c>
      <c r="JO13" s="177" t="s">
        <v>361</v>
      </c>
      <c r="JP13" s="177" t="s">
        <v>362</v>
      </c>
      <c r="JQ13" s="177" t="s">
        <v>363</v>
      </c>
      <c r="JR13" s="177" t="s">
        <v>364</v>
      </c>
      <c r="JS13" s="177" t="s">
        <v>365</v>
      </c>
      <c r="JT13" s="177" t="s">
        <v>366</v>
      </c>
      <c r="JU13" s="177" t="s">
        <v>56</v>
      </c>
      <c r="JV13" s="177" t="s">
        <v>359</v>
      </c>
      <c r="JW13" s="177" t="s">
        <v>76</v>
      </c>
      <c r="JX13" s="177" t="s">
        <v>45</v>
      </c>
      <c r="JY13" s="177" t="s">
        <v>360</v>
      </c>
      <c r="JZ13" s="177" t="s">
        <v>204</v>
      </c>
      <c r="KA13" s="177" t="s">
        <v>205</v>
      </c>
      <c r="KB13" s="177" t="s">
        <v>802</v>
      </c>
      <c r="KC13" s="177" t="s">
        <v>801</v>
      </c>
      <c r="KD13" s="177" t="s">
        <v>1100</v>
      </c>
      <c r="KE13" s="177" t="s">
        <v>800</v>
      </c>
      <c r="KF13" s="177" t="s">
        <v>1101</v>
      </c>
      <c r="KG13" s="177" t="s">
        <v>1102</v>
      </c>
      <c r="KH13" s="177" t="s">
        <v>1103</v>
      </c>
      <c r="KI13" s="177" t="s">
        <v>1104</v>
      </c>
      <c r="KJ13" s="177" t="s">
        <v>1105</v>
      </c>
      <c r="KK13" s="177" t="s">
        <v>1106</v>
      </c>
      <c r="KL13" s="177" t="s">
        <v>1107</v>
      </c>
      <c r="KM13" s="177" t="s">
        <v>803</v>
      </c>
      <c r="KN13" s="177" t="s">
        <v>804</v>
      </c>
      <c r="KO13" s="177" t="s">
        <v>805</v>
      </c>
      <c r="KP13" s="177" t="s">
        <v>806</v>
      </c>
      <c r="KQ13" s="177" t="s">
        <v>1818</v>
      </c>
      <c r="KR13" s="177" t="s">
        <v>807</v>
      </c>
      <c r="KS13" s="178"/>
      <c r="KT13" s="178"/>
      <c r="KU13" s="177" t="s">
        <v>2315</v>
      </c>
      <c r="KV13" s="177"/>
      <c r="KW13" s="177"/>
      <c r="KX13" s="177" t="s">
        <v>2791</v>
      </c>
      <c r="KY13" s="177" t="s">
        <v>2786</v>
      </c>
      <c r="KZ13" s="177" t="s">
        <v>2785</v>
      </c>
    </row>
    <row r="14" spans="1:312" s="83" customFormat="1" x14ac:dyDescent="0.2">
      <c r="A14" s="113" t="s">
        <v>372</v>
      </c>
      <c r="B14" s="49" t="s">
        <v>13</v>
      </c>
      <c r="C14" s="49" t="s">
        <v>13</v>
      </c>
      <c r="D14" s="49" t="s">
        <v>13</v>
      </c>
      <c r="E14" s="49" t="s">
        <v>13</v>
      </c>
      <c r="F14" s="49" t="s">
        <v>59</v>
      </c>
      <c r="G14" s="49" t="s">
        <v>31</v>
      </c>
      <c r="H14" s="49" t="s">
        <v>13</v>
      </c>
      <c r="I14" s="49" t="s">
        <v>13</v>
      </c>
      <c r="J14" s="49" t="s">
        <v>13</v>
      </c>
      <c r="K14" s="49" t="s">
        <v>13</v>
      </c>
      <c r="L14" s="49" t="s">
        <v>13</v>
      </c>
      <c r="M14" s="49" t="s">
        <v>13</v>
      </c>
      <c r="N14" s="49" t="s">
        <v>13</v>
      </c>
      <c r="O14" s="49" t="s">
        <v>13</v>
      </c>
      <c r="P14" s="49" t="s">
        <v>13</v>
      </c>
      <c r="Q14" s="49" t="s">
        <v>13</v>
      </c>
      <c r="R14" s="49" t="s">
        <v>13</v>
      </c>
      <c r="S14" s="49" t="s">
        <v>13</v>
      </c>
      <c r="T14" s="49" t="s">
        <v>13</v>
      </c>
      <c r="U14" s="49" t="s">
        <v>13</v>
      </c>
      <c r="V14" s="49" t="s">
        <v>13</v>
      </c>
      <c r="W14" s="49" t="s">
        <v>13</v>
      </c>
      <c r="X14" s="49" t="s">
        <v>13</v>
      </c>
      <c r="Y14" s="49" t="s">
        <v>13</v>
      </c>
      <c r="Z14" s="49" t="s">
        <v>13</v>
      </c>
      <c r="AA14" s="49" t="s">
        <v>13</v>
      </c>
      <c r="AB14" s="49" t="s">
        <v>13</v>
      </c>
      <c r="AC14" s="49" t="s">
        <v>59</v>
      </c>
      <c r="AD14" s="49" t="s">
        <v>13</v>
      </c>
      <c r="AE14" s="49" t="s">
        <v>13</v>
      </c>
      <c r="AF14" s="49" t="s">
        <v>13</v>
      </c>
      <c r="AG14" s="49" t="s">
        <v>13</v>
      </c>
      <c r="AH14" s="49" t="s">
        <v>13</v>
      </c>
      <c r="AI14" s="49" t="s">
        <v>13</v>
      </c>
      <c r="AJ14" s="49" t="s">
        <v>13</v>
      </c>
      <c r="AK14" s="49" t="s">
        <v>13</v>
      </c>
      <c r="AL14" s="49" t="s">
        <v>13</v>
      </c>
      <c r="AM14" s="49" t="s">
        <v>13</v>
      </c>
      <c r="AN14" s="49" t="s">
        <v>13</v>
      </c>
      <c r="AO14" s="49" t="s">
        <v>13</v>
      </c>
      <c r="AP14" s="49" t="s">
        <v>13</v>
      </c>
      <c r="AQ14" s="49" t="s">
        <v>13</v>
      </c>
      <c r="AR14" s="49" t="s">
        <v>13</v>
      </c>
      <c r="AS14" s="49" t="s">
        <v>13</v>
      </c>
      <c r="AT14" s="49" t="s">
        <v>13</v>
      </c>
      <c r="AU14" s="49" t="s">
        <v>13</v>
      </c>
      <c r="AV14" s="49" t="s">
        <v>13</v>
      </c>
      <c r="AW14" s="49" t="s">
        <v>13</v>
      </c>
      <c r="AX14" s="49" t="s">
        <v>13</v>
      </c>
      <c r="AY14" s="49" t="s">
        <v>13</v>
      </c>
      <c r="AZ14" s="49" t="s">
        <v>13</v>
      </c>
      <c r="BA14" s="49" t="s">
        <v>13</v>
      </c>
      <c r="BB14" s="49" t="s">
        <v>13</v>
      </c>
      <c r="BC14" s="49" t="s">
        <v>13</v>
      </c>
      <c r="BD14" s="49" t="s">
        <v>13</v>
      </c>
      <c r="BE14" s="49" t="s">
        <v>13</v>
      </c>
      <c r="BF14" s="49"/>
      <c r="BG14" s="49" t="s">
        <v>13</v>
      </c>
      <c r="BH14" s="49" t="s">
        <v>13</v>
      </c>
      <c r="BI14" s="49"/>
      <c r="BJ14" s="49"/>
      <c r="BK14" s="49"/>
      <c r="BL14" s="49"/>
      <c r="BM14" s="49" t="s">
        <v>13</v>
      </c>
      <c r="BN14" s="49" t="s">
        <v>13</v>
      </c>
      <c r="BO14" s="49" t="s">
        <v>13</v>
      </c>
      <c r="BP14" s="49" t="s">
        <v>13</v>
      </c>
      <c r="BQ14" s="49" t="s">
        <v>13</v>
      </c>
      <c r="BR14" s="49" t="s">
        <v>59</v>
      </c>
      <c r="BS14" s="49" t="s">
        <v>13</v>
      </c>
      <c r="BT14" s="49" t="s">
        <v>13</v>
      </c>
      <c r="BU14" s="49" t="s">
        <v>13</v>
      </c>
      <c r="BV14" s="49" t="s">
        <v>20</v>
      </c>
      <c r="BW14" s="49" t="s">
        <v>20</v>
      </c>
      <c r="BX14" s="49" t="s">
        <v>59</v>
      </c>
      <c r="BY14" s="49" t="s">
        <v>13</v>
      </c>
      <c r="BZ14" s="49" t="s">
        <v>13</v>
      </c>
      <c r="CA14" s="49" t="s">
        <v>13</v>
      </c>
      <c r="CB14" s="49"/>
      <c r="CC14" s="49"/>
      <c r="CD14" s="49"/>
      <c r="CE14" s="49" t="s">
        <v>13</v>
      </c>
      <c r="CF14" s="49" t="s">
        <v>13</v>
      </c>
      <c r="CG14" s="93"/>
      <c r="CH14" s="49" t="s">
        <v>59</v>
      </c>
      <c r="CI14" s="49" t="s">
        <v>59</v>
      </c>
      <c r="CJ14" s="49" t="s">
        <v>13</v>
      </c>
      <c r="CK14" s="49" t="s">
        <v>13</v>
      </c>
      <c r="CL14" s="49" t="s">
        <v>59</v>
      </c>
      <c r="CM14" s="49" t="s">
        <v>13</v>
      </c>
      <c r="CN14" s="49" t="s">
        <v>13</v>
      </c>
      <c r="CO14" s="49" t="s">
        <v>13</v>
      </c>
      <c r="CP14" s="49" t="s">
        <v>13</v>
      </c>
      <c r="CQ14" s="49" t="s">
        <v>13</v>
      </c>
      <c r="CR14" s="49"/>
      <c r="CS14" s="49"/>
      <c r="CT14" s="321"/>
      <c r="CU14" s="49" t="s">
        <v>13</v>
      </c>
      <c r="CV14" s="49" t="s">
        <v>20</v>
      </c>
      <c r="CW14" s="49" t="s">
        <v>20</v>
      </c>
      <c r="CX14" s="49" t="s">
        <v>20</v>
      </c>
      <c r="CY14" s="49" t="s">
        <v>20</v>
      </c>
      <c r="CZ14" s="49" t="s">
        <v>20</v>
      </c>
      <c r="DA14" s="49" t="s">
        <v>20</v>
      </c>
      <c r="DB14" s="49" t="s">
        <v>20</v>
      </c>
      <c r="DC14" s="49" t="s">
        <v>20</v>
      </c>
      <c r="DD14" s="49" t="s">
        <v>13</v>
      </c>
      <c r="DE14" s="49" t="s">
        <v>13</v>
      </c>
      <c r="DF14" s="49"/>
      <c r="DG14" s="49"/>
      <c r="DH14" s="49"/>
      <c r="DI14" s="49" t="s">
        <v>13</v>
      </c>
      <c r="DJ14" s="49" t="s">
        <v>13</v>
      </c>
      <c r="DK14" s="49" t="s">
        <v>20</v>
      </c>
      <c r="DL14" s="49" t="s">
        <v>20</v>
      </c>
      <c r="DM14" s="49" t="s">
        <v>20</v>
      </c>
      <c r="DN14" s="49" t="s">
        <v>20</v>
      </c>
      <c r="DO14" s="49" t="s">
        <v>20</v>
      </c>
      <c r="DP14" s="49" t="s">
        <v>20</v>
      </c>
      <c r="DQ14" s="49" t="s">
        <v>20</v>
      </c>
      <c r="DR14" s="49" t="s">
        <v>59</v>
      </c>
      <c r="DS14" s="49" t="s">
        <v>59</v>
      </c>
      <c r="DT14" s="49" t="s">
        <v>13</v>
      </c>
      <c r="DU14" s="49" t="s">
        <v>13</v>
      </c>
      <c r="DV14" s="49" t="s">
        <v>59</v>
      </c>
      <c r="DW14" s="49"/>
      <c r="DX14" s="49" t="s">
        <v>20</v>
      </c>
      <c r="DY14" s="49" t="s">
        <v>59</v>
      </c>
      <c r="DZ14" s="49"/>
      <c r="EA14" s="49" t="s">
        <v>59</v>
      </c>
      <c r="EB14" s="49" t="s">
        <v>59</v>
      </c>
      <c r="EC14" s="49" t="s">
        <v>59</v>
      </c>
      <c r="ED14" s="49" t="s">
        <v>59</v>
      </c>
      <c r="EE14" s="49" t="s">
        <v>59</v>
      </c>
      <c r="EF14" s="49" t="s">
        <v>59</v>
      </c>
      <c r="EG14" s="49" t="s">
        <v>13</v>
      </c>
      <c r="EH14" s="49" t="s">
        <v>13</v>
      </c>
      <c r="EI14" s="49" t="s">
        <v>59</v>
      </c>
      <c r="EJ14" s="49"/>
      <c r="EK14" s="49"/>
      <c r="EL14" s="49"/>
      <c r="EM14" s="49"/>
      <c r="EN14" s="49"/>
      <c r="EO14" s="49"/>
      <c r="EP14" s="49"/>
      <c r="EQ14" s="49"/>
      <c r="ER14" s="49"/>
      <c r="ES14" s="49"/>
      <c r="ET14" s="49"/>
      <c r="EU14" s="49"/>
      <c r="EV14" s="49"/>
      <c r="EW14" s="49"/>
      <c r="EX14" s="49"/>
      <c r="EY14" s="49"/>
      <c r="EZ14" s="49"/>
      <c r="FA14" s="49"/>
      <c r="FB14" s="49"/>
      <c r="FC14" s="49"/>
      <c r="FD14" s="49"/>
      <c r="FE14" s="49"/>
      <c r="FF14" s="49"/>
      <c r="FG14" s="49"/>
      <c r="FH14" s="49"/>
      <c r="FI14" s="49"/>
      <c r="FJ14" s="49"/>
      <c r="FK14" s="49"/>
      <c r="FL14" s="49"/>
      <c r="FM14" s="49"/>
      <c r="FN14" s="49"/>
      <c r="FO14" s="49"/>
      <c r="FP14" s="49"/>
      <c r="FQ14" s="49"/>
      <c r="FR14" s="49"/>
      <c r="FS14" s="111"/>
      <c r="FT14" s="115"/>
      <c r="FU14" s="115" t="s">
        <v>59</v>
      </c>
      <c r="FV14" s="115" t="s">
        <v>59</v>
      </c>
      <c r="FW14" s="115" t="s">
        <v>59</v>
      </c>
      <c r="FX14" s="115" t="s">
        <v>59</v>
      </c>
      <c r="FY14" s="115" t="s">
        <v>59</v>
      </c>
      <c r="FZ14" s="115" t="s">
        <v>59</v>
      </c>
      <c r="GA14" s="115" t="s">
        <v>59</v>
      </c>
      <c r="GB14" s="115" t="s">
        <v>59</v>
      </c>
      <c r="GC14" s="49"/>
      <c r="GD14" s="49"/>
      <c r="GE14" s="49"/>
      <c r="GF14" s="49"/>
      <c r="GG14" s="49"/>
      <c r="GH14" s="49"/>
      <c r="GI14" s="49"/>
      <c r="GJ14" s="115" t="s">
        <v>59</v>
      </c>
      <c r="GK14" s="49" t="s">
        <v>20</v>
      </c>
      <c r="GL14" s="115" t="s">
        <v>59</v>
      </c>
      <c r="GM14" s="118" t="s">
        <v>59</v>
      </c>
      <c r="GN14" s="115"/>
      <c r="GO14" s="118"/>
      <c r="GP14" s="118"/>
      <c r="GQ14" s="118"/>
      <c r="GR14" s="118" t="s">
        <v>59</v>
      </c>
      <c r="GS14" s="49" t="s">
        <v>59</v>
      </c>
      <c r="GT14" s="49" t="s">
        <v>59</v>
      </c>
      <c r="GU14" s="115" t="s">
        <v>59</v>
      </c>
      <c r="GV14" s="111" t="s">
        <v>59</v>
      </c>
      <c r="GW14" s="111" t="s">
        <v>59</v>
      </c>
      <c r="GX14" s="111"/>
      <c r="GY14" s="111"/>
      <c r="GZ14" s="111"/>
      <c r="HA14" s="111"/>
      <c r="HB14" s="49"/>
      <c r="HC14" s="49"/>
      <c r="HD14" s="49"/>
      <c r="HE14" s="49"/>
      <c r="HF14" s="93"/>
      <c r="HG14" s="93"/>
      <c r="HH14" s="93"/>
      <c r="HI14" s="93"/>
      <c r="HJ14" s="93"/>
      <c r="HK14" s="93"/>
      <c r="HL14" s="93"/>
      <c r="HM14" s="93"/>
      <c r="HN14" s="93"/>
      <c r="HO14" s="49"/>
      <c r="HP14" s="49"/>
      <c r="HQ14" s="93"/>
      <c r="HR14" s="93"/>
      <c r="HS14" s="49"/>
      <c r="HT14" s="49"/>
      <c r="HU14" s="49"/>
      <c r="HV14" s="49"/>
      <c r="HW14" s="49"/>
      <c r="HX14" s="49"/>
      <c r="HY14" s="49"/>
      <c r="HZ14" s="49"/>
      <c r="IA14" s="49"/>
      <c r="IB14" s="72"/>
      <c r="IC14" s="93"/>
      <c r="ID14" s="49"/>
      <c r="IE14" s="49"/>
      <c r="IF14" s="93"/>
      <c r="IG14" s="49"/>
      <c r="IH14" s="93"/>
      <c r="II14" s="93"/>
      <c r="IJ14" s="49"/>
      <c r="IK14" s="49"/>
      <c r="IL14" s="49" t="s">
        <v>13</v>
      </c>
      <c r="IM14" s="49"/>
      <c r="IN14" s="49"/>
      <c r="IO14" s="49" t="s">
        <v>20</v>
      </c>
      <c r="IP14" s="49" t="s">
        <v>20</v>
      </c>
      <c r="IQ14" s="49" t="s">
        <v>20</v>
      </c>
      <c r="IR14" s="49" t="s">
        <v>20</v>
      </c>
      <c r="IS14" s="49" t="s">
        <v>20</v>
      </c>
      <c r="IT14" s="49" t="s">
        <v>20</v>
      </c>
      <c r="IU14" s="49"/>
      <c r="IV14" s="49"/>
      <c r="IW14" s="49"/>
      <c r="IX14" s="49"/>
      <c r="IY14" s="49"/>
      <c r="IZ14" s="49"/>
      <c r="JA14" s="49"/>
      <c r="JB14" s="49"/>
      <c r="JC14" s="49"/>
      <c r="JD14" s="49"/>
      <c r="JE14" s="49"/>
      <c r="JF14" s="49"/>
      <c r="JG14" s="49"/>
      <c r="JH14" s="49"/>
      <c r="JI14" s="49"/>
      <c r="JJ14" s="49"/>
      <c r="JK14" s="49"/>
      <c r="JL14" s="49"/>
      <c r="JM14" s="49"/>
      <c r="JN14" s="49"/>
      <c r="JO14" s="49"/>
      <c r="JP14" s="49"/>
      <c r="JQ14" s="49"/>
      <c r="JR14" s="49"/>
      <c r="JS14" s="49"/>
      <c r="JT14" s="49"/>
      <c r="JU14" s="49"/>
      <c r="JV14" s="49"/>
      <c r="JW14" s="49"/>
      <c r="JX14" s="49"/>
      <c r="JY14" s="49"/>
      <c r="JZ14" s="49"/>
      <c r="KA14" s="49"/>
      <c r="KB14" s="49"/>
      <c r="KC14" s="49"/>
      <c r="KD14" s="49"/>
      <c r="KE14" s="49"/>
      <c r="KF14" s="49"/>
      <c r="KG14" s="49"/>
      <c r="KH14" s="49"/>
      <c r="KI14" s="49"/>
      <c r="KJ14" s="49"/>
      <c r="KK14" s="49"/>
      <c r="KL14" s="49"/>
      <c r="KM14" s="49"/>
      <c r="KN14" s="49"/>
      <c r="KO14" s="49"/>
      <c r="KP14" s="49"/>
      <c r="KQ14" s="49"/>
      <c r="KR14" s="49"/>
      <c r="KS14" s="122"/>
      <c r="KT14" s="122"/>
      <c r="KU14" s="49"/>
      <c r="KV14" s="49"/>
      <c r="KW14" s="49"/>
      <c r="KX14" s="49"/>
      <c r="KY14" s="49"/>
      <c r="KZ14" s="49"/>
    </row>
    <row r="15" spans="1:312" s="13" customFormat="1" ht="13.6" x14ac:dyDescent="0.25">
      <c r="A15" s="226" t="s">
        <v>371</v>
      </c>
      <c r="B15" s="227" t="s">
        <v>263</v>
      </c>
      <c r="C15" s="227" t="s">
        <v>1</v>
      </c>
      <c r="D15" s="227" t="s">
        <v>2</v>
      </c>
      <c r="E15" s="228" t="s">
        <v>3</v>
      </c>
      <c r="F15" s="228" t="s">
        <v>379</v>
      </c>
      <c r="G15" s="228" t="s">
        <v>122</v>
      </c>
      <c r="H15" s="228" t="s">
        <v>234</v>
      </c>
      <c r="I15" s="228" t="s">
        <v>77</v>
      </c>
      <c r="J15" s="229" t="s">
        <v>4</v>
      </c>
      <c r="K15" s="229" t="s">
        <v>5</v>
      </c>
      <c r="L15" s="229" t="s">
        <v>71</v>
      </c>
      <c r="M15" s="229" t="s">
        <v>72</v>
      </c>
      <c r="N15" s="229" t="s">
        <v>73</v>
      </c>
      <c r="O15" s="229" t="s">
        <v>102</v>
      </c>
      <c r="P15" s="229" t="s">
        <v>103</v>
      </c>
      <c r="Q15" s="229" t="s">
        <v>104</v>
      </c>
      <c r="R15" s="229" t="s">
        <v>105</v>
      </c>
      <c r="S15" s="229" t="s">
        <v>110</v>
      </c>
      <c r="T15" s="229" t="s">
        <v>63</v>
      </c>
      <c r="U15" s="229" t="s">
        <v>8</v>
      </c>
      <c r="V15" s="229" t="s">
        <v>9</v>
      </c>
      <c r="W15" s="229" t="s">
        <v>106</v>
      </c>
      <c r="X15" s="229" t="s">
        <v>21</v>
      </c>
      <c r="Y15" s="229" t="s">
        <v>254</v>
      </c>
      <c r="Z15" s="229" t="s">
        <v>6</v>
      </c>
      <c r="AA15" s="229" t="s">
        <v>7</v>
      </c>
      <c r="AB15" s="229" t="s">
        <v>107</v>
      </c>
      <c r="AC15" s="229" t="s">
        <v>19</v>
      </c>
      <c r="AD15" s="229" t="s">
        <v>261</v>
      </c>
      <c r="AE15" s="229" t="s">
        <v>22</v>
      </c>
      <c r="AF15" s="229" t="s">
        <v>126</v>
      </c>
      <c r="AG15" s="229" t="s">
        <v>23</v>
      </c>
      <c r="AH15" s="229" t="s">
        <v>75</v>
      </c>
      <c r="AI15" s="229" t="s">
        <v>108</v>
      </c>
      <c r="AJ15" s="229" t="s">
        <v>109</v>
      </c>
      <c r="AK15" s="229" t="s">
        <v>880</v>
      </c>
      <c r="AL15" s="229" t="s">
        <v>259</v>
      </c>
      <c r="AM15" s="229" t="s">
        <v>260</v>
      </c>
      <c r="AN15" s="229" t="s">
        <v>70</v>
      </c>
      <c r="AO15" s="229" t="s">
        <v>34</v>
      </c>
      <c r="AP15" s="229" t="s">
        <v>35</v>
      </c>
      <c r="AQ15" s="229" t="s">
        <v>144</v>
      </c>
      <c r="AR15" s="229" t="s">
        <v>96</v>
      </c>
      <c r="AS15" s="229" t="s">
        <v>41</v>
      </c>
      <c r="AT15" s="229" t="s">
        <v>127</v>
      </c>
      <c r="AU15" s="229" t="s">
        <v>117</v>
      </c>
      <c r="AV15" s="229" t="s">
        <v>142</v>
      </c>
      <c r="AW15" s="229" t="s">
        <v>95</v>
      </c>
      <c r="AX15" s="229" t="s">
        <v>39</v>
      </c>
      <c r="AY15" s="229" t="s">
        <v>143</v>
      </c>
      <c r="AZ15" s="229" t="s">
        <v>36</v>
      </c>
      <c r="BA15" s="229" t="s">
        <v>37</v>
      </c>
      <c r="BB15" s="229" t="s">
        <v>135</v>
      </c>
      <c r="BC15" s="229" t="s">
        <v>435</v>
      </c>
      <c r="BD15" s="229" t="s">
        <v>1133</v>
      </c>
      <c r="BE15" s="229" t="s">
        <v>93</v>
      </c>
      <c r="BF15" s="229"/>
      <c r="BG15" s="229" t="s">
        <v>64</v>
      </c>
      <c r="BH15" s="229" t="s">
        <v>65</v>
      </c>
      <c r="BI15" s="229"/>
      <c r="BJ15" s="229"/>
      <c r="BK15" s="229"/>
      <c r="BL15" s="229"/>
      <c r="BM15" s="229" t="s">
        <v>128</v>
      </c>
      <c r="BN15" s="229" t="s">
        <v>40</v>
      </c>
      <c r="BO15" s="229" t="s">
        <v>38</v>
      </c>
      <c r="BP15" s="229" t="s">
        <v>46</v>
      </c>
      <c r="BQ15" s="229" t="s">
        <v>42</v>
      </c>
      <c r="BR15" s="229"/>
      <c r="BS15" s="229" t="s">
        <v>44</v>
      </c>
      <c r="BT15" s="229" t="s">
        <v>438</v>
      </c>
      <c r="BU15" s="229" t="s">
        <v>136</v>
      </c>
      <c r="BV15" s="229" t="s">
        <v>275</v>
      </c>
      <c r="BW15" s="229" t="s">
        <v>66</v>
      </c>
      <c r="BX15" s="229"/>
      <c r="BY15" s="229" t="s">
        <v>208</v>
      </c>
      <c r="BZ15" s="229" t="s">
        <v>301</v>
      </c>
      <c r="CA15" s="229" t="s">
        <v>676</v>
      </c>
      <c r="CB15" s="229"/>
      <c r="CC15" s="229"/>
      <c r="CD15" s="229"/>
      <c r="CE15" s="229" t="s">
        <v>599</v>
      </c>
      <c r="CF15" s="229" t="s">
        <v>590</v>
      </c>
      <c r="CG15" s="229"/>
      <c r="CH15" s="229"/>
      <c r="CI15" s="229"/>
      <c r="CJ15" s="229" t="s">
        <v>25</v>
      </c>
      <c r="CK15" s="229" t="s">
        <v>27</v>
      </c>
      <c r="CL15" s="229" t="s">
        <v>29</v>
      </c>
      <c r="CM15" s="229" t="s">
        <v>24</v>
      </c>
      <c r="CN15" s="229" t="s">
        <v>26</v>
      </c>
      <c r="CO15" s="229" t="s">
        <v>28</v>
      </c>
      <c r="CP15" s="229" t="s">
        <v>681</v>
      </c>
      <c r="CQ15" s="229" t="s">
        <v>682</v>
      </c>
      <c r="CR15" s="229"/>
      <c r="CS15" s="229"/>
      <c r="CT15" s="397"/>
      <c r="CU15" s="229" t="s">
        <v>1070</v>
      </c>
      <c r="CV15" s="229" t="s">
        <v>281</v>
      </c>
      <c r="CW15" s="229" t="s">
        <v>282</v>
      </c>
      <c r="CX15" s="229" t="s">
        <v>283</v>
      </c>
      <c r="CY15" s="229" t="s">
        <v>328</v>
      </c>
      <c r="CZ15" s="229" t="s">
        <v>436</v>
      </c>
      <c r="DA15" s="229" t="s">
        <v>394</v>
      </c>
      <c r="DB15" s="229" t="s">
        <v>327</v>
      </c>
      <c r="DC15" s="229" t="s">
        <v>402</v>
      </c>
      <c r="DD15" s="229" t="s">
        <v>179</v>
      </c>
      <c r="DE15" s="229" t="s">
        <v>192</v>
      </c>
      <c r="DF15" s="229"/>
      <c r="DG15" s="229"/>
      <c r="DH15" s="229"/>
      <c r="DI15" s="229" t="s">
        <v>257</v>
      </c>
      <c r="DJ15" s="229" t="s">
        <v>194</v>
      </c>
      <c r="DK15" s="229" t="s">
        <v>407</v>
      </c>
      <c r="DL15" s="229" t="s">
        <v>413</v>
      </c>
      <c r="DM15" s="229" t="s">
        <v>417</v>
      </c>
      <c r="DN15" s="229" t="s">
        <v>421</v>
      </c>
      <c r="DO15" s="229" t="s">
        <v>425</v>
      </c>
      <c r="DP15" s="229" t="s">
        <v>420</v>
      </c>
      <c r="DQ15" s="229" t="s">
        <v>398</v>
      </c>
      <c r="DR15" s="229"/>
      <c r="DS15" s="229"/>
      <c r="DT15" s="229" t="s">
        <v>289</v>
      </c>
      <c r="DU15" s="229" t="s">
        <v>290</v>
      </c>
      <c r="DV15" s="229"/>
      <c r="DW15" s="229"/>
      <c r="DX15" s="229" t="s">
        <v>510</v>
      </c>
      <c r="DY15" s="229"/>
      <c r="DZ15" s="229"/>
      <c r="EA15" s="229"/>
      <c r="EB15" s="229"/>
      <c r="EC15" s="229"/>
      <c r="ED15" s="229"/>
      <c r="EE15" s="229"/>
      <c r="EF15" s="229"/>
      <c r="EG15" s="229" t="s">
        <v>316</v>
      </c>
      <c r="EH15" s="229" t="s">
        <v>317</v>
      </c>
      <c r="EI15" s="229"/>
      <c r="EJ15" s="229"/>
      <c r="EK15" s="229"/>
      <c r="EL15" s="229"/>
      <c r="EM15" s="229"/>
      <c r="EN15" s="229"/>
      <c r="EO15" s="229"/>
      <c r="EP15" s="229"/>
      <c r="EQ15" s="229"/>
      <c r="ER15" s="229"/>
      <c r="ES15" s="229"/>
      <c r="ET15" s="229"/>
      <c r="EU15" s="229"/>
      <c r="EV15" s="229"/>
      <c r="EW15" s="229"/>
      <c r="EX15" s="229"/>
      <c r="EY15" s="229"/>
      <c r="EZ15" s="229"/>
      <c r="FA15" s="229"/>
      <c r="FB15" s="229"/>
      <c r="FC15" s="229"/>
      <c r="FD15" s="229"/>
      <c r="FE15" s="229"/>
      <c r="FF15" s="229"/>
      <c r="FG15" s="229"/>
      <c r="FH15" s="229"/>
      <c r="FI15" s="229"/>
      <c r="FJ15" s="229"/>
      <c r="FK15" s="229"/>
      <c r="FL15" s="229"/>
      <c r="FM15" s="229"/>
      <c r="FN15" s="229"/>
      <c r="FO15" s="229"/>
      <c r="FP15" s="229"/>
      <c r="FQ15" s="393"/>
      <c r="FR15" s="393"/>
      <c r="FS15" s="234"/>
      <c r="FT15" s="393"/>
      <c r="FU15" s="393"/>
      <c r="FV15" s="229"/>
      <c r="FW15" s="229"/>
      <c r="FX15" s="229"/>
      <c r="FY15" s="229"/>
      <c r="FZ15" s="229"/>
      <c r="GA15" s="229"/>
      <c r="GB15" s="229"/>
      <c r="GC15" s="229"/>
      <c r="GD15" s="229"/>
      <c r="GE15" s="229"/>
      <c r="GF15" s="229"/>
      <c r="GG15" s="229"/>
      <c r="GH15" s="229"/>
      <c r="GI15" s="229"/>
      <c r="GJ15" s="229"/>
      <c r="GK15" s="229" t="s">
        <v>468</v>
      </c>
      <c r="GL15" s="229"/>
      <c r="GM15" s="394"/>
      <c r="GN15" s="394"/>
      <c r="GO15" s="394"/>
      <c r="GP15" s="394"/>
      <c r="GQ15" s="394"/>
      <c r="GR15" s="394"/>
      <c r="GS15" s="229"/>
      <c r="GT15" s="229"/>
      <c r="GU15" s="229"/>
      <c r="GV15" s="234"/>
      <c r="GW15" s="234"/>
      <c r="GX15" s="234"/>
      <c r="GY15" s="234"/>
      <c r="GZ15" s="234"/>
      <c r="HA15" s="234"/>
      <c r="HB15" s="229"/>
      <c r="HC15" s="229"/>
      <c r="HD15" s="229"/>
      <c r="HE15" s="229"/>
      <c r="HF15" s="229"/>
      <c r="HG15" s="229"/>
      <c r="HH15" s="229"/>
      <c r="HI15" s="235"/>
      <c r="HJ15" s="235"/>
      <c r="HK15" s="235"/>
      <c r="HL15" s="235"/>
      <c r="HM15" s="235"/>
      <c r="HN15" s="235"/>
      <c r="HO15" s="229"/>
      <c r="HP15" s="229"/>
      <c r="HQ15" s="229"/>
      <c r="HR15" s="229"/>
      <c r="HS15" s="229"/>
      <c r="HT15" s="229"/>
      <c r="HU15" s="229"/>
      <c r="HV15" s="229"/>
      <c r="HW15" s="229"/>
      <c r="HX15" s="229"/>
      <c r="HY15" s="229"/>
      <c r="HZ15" s="229"/>
      <c r="IA15" s="229"/>
      <c r="IB15" s="229"/>
      <c r="IC15" s="229"/>
      <c r="ID15" s="229"/>
      <c r="IE15" s="229"/>
      <c r="IF15" s="229"/>
      <c r="IG15" s="229"/>
      <c r="IH15" s="229"/>
      <c r="II15" s="229"/>
      <c r="IJ15" s="229"/>
      <c r="IK15" s="229"/>
      <c r="IL15" s="229" t="s">
        <v>113</v>
      </c>
      <c r="IM15" s="229"/>
      <c r="IN15" s="229"/>
      <c r="IO15" s="229" t="s">
        <v>452</v>
      </c>
      <c r="IP15" s="229" t="s">
        <v>116</v>
      </c>
      <c r="IQ15" s="229" t="s">
        <v>83</v>
      </c>
      <c r="IR15" s="229" t="s">
        <v>84</v>
      </c>
      <c r="IS15" s="229" t="s">
        <v>85</v>
      </c>
      <c r="IT15" s="229" t="s">
        <v>86</v>
      </c>
      <c r="IU15" s="229"/>
      <c r="IV15" s="229"/>
      <c r="IW15" s="229"/>
      <c r="IX15" s="229"/>
      <c r="IY15" s="229"/>
      <c r="IZ15" s="229"/>
      <c r="JA15" s="229"/>
      <c r="JB15" s="229"/>
      <c r="JC15" s="229"/>
      <c r="JD15" s="229"/>
      <c r="JE15" s="229"/>
      <c r="JF15" s="229"/>
      <c r="JG15" s="229"/>
      <c r="JH15" s="229"/>
      <c r="JI15" s="229"/>
      <c r="JJ15" s="229"/>
      <c r="JK15" s="229"/>
      <c r="JL15" s="229"/>
      <c r="JM15" s="229"/>
      <c r="JN15" s="229"/>
      <c r="JO15" s="229"/>
      <c r="JP15" s="229"/>
      <c r="JQ15" s="229"/>
      <c r="JR15" s="229"/>
      <c r="JS15" s="229"/>
      <c r="JT15" s="229"/>
      <c r="JU15" s="229"/>
      <c r="JV15" s="229"/>
      <c r="JW15" s="229"/>
      <c r="JX15" s="229"/>
      <c r="JY15" s="229"/>
      <c r="JZ15" s="229"/>
      <c r="KA15" s="229"/>
      <c r="KB15" s="229"/>
      <c r="KC15" s="229"/>
      <c r="KD15" s="229"/>
      <c r="KE15" s="229"/>
      <c r="KF15" s="229"/>
      <c r="KG15" s="229"/>
      <c r="KH15" s="229"/>
      <c r="KI15" s="229"/>
      <c r="KJ15" s="229"/>
      <c r="KK15" s="229"/>
      <c r="KL15" s="229"/>
      <c r="KM15" s="229"/>
      <c r="KN15" s="229"/>
      <c r="KO15" s="229"/>
      <c r="KP15" s="229"/>
      <c r="KQ15" s="229"/>
      <c r="KR15" s="229"/>
      <c r="KS15" s="231"/>
      <c r="KT15" s="231"/>
      <c r="KU15" s="229"/>
      <c r="KV15" s="229"/>
      <c r="KW15" s="229"/>
      <c r="KX15" s="229"/>
      <c r="KY15" s="229"/>
      <c r="KZ15" s="229"/>
    </row>
    <row r="16" spans="1:312" s="83" customFormat="1" x14ac:dyDescent="0.2">
      <c r="A16" s="113" t="s">
        <v>369</v>
      </c>
      <c r="B16" s="49" t="s">
        <v>13</v>
      </c>
      <c r="C16" s="49" t="s">
        <v>13</v>
      </c>
      <c r="D16" s="49" t="s">
        <v>13</v>
      </c>
      <c r="E16" s="49" t="s">
        <v>13</v>
      </c>
      <c r="F16" s="49" t="s">
        <v>59</v>
      </c>
      <c r="G16" s="49" t="s">
        <v>31</v>
      </c>
      <c r="H16" s="49" t="s">
        <v>13</v>
      </c>
      <c r="I16" s="49" t="s">
        <v>13</v>
      </c>
      <c r="J16" s="49" t="s">
        <v>13</v>
      </c>
      <c r="K16" s="49" t="s">
        <v>13</v>
      </c>
      <c r="L16" s="49" t="s">
        <v>13</v>
      </c>
      <c r="M16" s="49" t="s">
        <v>13</v>
      </c>
      <c r="N16" s="49" t="s">
        <v>13</v>
      </c>
      <c r="O16" s="49" t="s">
        <v>13</v>
      </c>
      <c r="P16" s="49" t="s">
        <v>13</v>
      </c>
      <c r="Q16" s="49" t="s">
        <v>13</v>
      </c>
      <c r="R16" s="49" t="s">
        <v>13</v>
      </c>
      <c r="S16" s="49" t="s">
        <v>13</v>
      </c>
      <c r="T16" s="49" t="s">
        <v>13</v>
      </c>
      <c r="U16" s="49" t="s">
        <v>13</v>
      </c>
      <c r="V16" s="49" t="s">
        <v>13</v>
      </c>
      <c r="W16" s="49" t="s">
        <v>13</v>
      </c>
      <c r="X16" s="49" t="s">
        <v>13</v>
      </c>
      <c r="Y16" s="49" t="s">
        <v>13</v>
      </c>
      <c r="Z16" s="49" t="s">
        <v>13</v>
      </c>
      <c r="AA16" s="49" t="s">
        <v>13</v>
      </c>
      <c r="AB16" s="49" t="s">
        <v>13</v>
      </c>
      <c r="AC16" s="49" t="s">
        <v>59</v>
      </c>
      <c r="AD16" s="49" t="s">
        <v>13</v>
      </c>
      <c r="AE16" s="49" t="s">
        <v>13</v>
      </c>
      <c r="AF16" s="49" t="s">
        <v>13</v>
      </c>
      <c r="AG16" s="49" t="s">
        <v>13</v>
      </c>
      <c r="AH16" s="49" t="s">
        <v>13</v>
      </c>
      <c r="AI16" s="49" t="s">
        <v>13</v>
      </c>
      <c r="AJ16" s="49" t="s">
        <v>13</v>
      </c>
      <c r="AK16" s="49" t="s">
        <v>13</v>
      </c>
      <c r="AL16" s="49" t="s">
        <v>13</v>
      </c>
      <c r="AM16" s="49" t="s">
        <v>13</v>
      </c>
      <c r="AN16" s="49" t="s">
        <v>13</v>
      </c>
      <c r="AO16" s="49" t="s">
        <v>13</v>
      </c>
      <c r="AP16" s="49" t="s">
        <v>13</v>
      </c>
      <c r="AQ16" s="49" t="s">
        <v>13</v>
      </c>
      <c r="AR16" s="49" t="s">
        <v>13</v>
      </c>
      <c r="AS16" s="49" t="s">
        <v>13</v>
      </c>
      <c r="AT16" s="49" t="s">
        <v>13</v>
      </c>
      <c r="AU16" s="49" t="s">
        <v>13</v>
      </c>
      <c r="AV16" s="49" t="s">
        <v>13</v>
      </c>
      <c r="AW16" s="49" t="s">
        <v>13</v>
      </c>
      <c r="AX16" s="49" t="s">
        <v>13</v>
      </c>
      <c r="AY16" s="49" t="s">
        <v>13</v>
      </c>
      <c r="AZ16" s="49" t="s">
        <v>13</v>
      </c>
      <c r="BA16" s="49" t="s">
        <v>13</v>
      </c>
      <c r="BB16" s="49" t="s">
        <v>13</v>
      </c>
      <c r="BC16" s="49" t="s">
        <v>13</v>
      </c>
      <c r="BD16" s="49" t="s">
        <v>13</v>
      </c>
      <c r="BE16" s="49" t="s">
        <v>13</v>
      </c>
      <c r="BF16" s="49"/>
      <c r="BG16" s="49" t="s">
        <v>13</v>
      </c>
      <c r="BH16" s="49" t="s">
        <v>13</v>
      </c>
      <c r="BI16" s="49"/>
      <c r="BJ16" s="49"/>
      <c r="BK16" s="49"/>
      <c r="BL16" s="49"/>
      <c r="BM16" s="49" t="s">
        <v>13</v>
      </c>
      <c r="BN16" s="49" t="s">
        <v>13</v>
      </c>
      <c r="BO16" s="49" t="s">
        <v>13</v>
      </c>
      <c r="BP16" s="49" t="s">
        <v>13</v>
      </c>
      <c r="BQ16" s="49" t="s">
        <v>13</v>
      </c>
      <c r="BR16" s="49" t="s">
        <v>59</v>
      </c>
      <c r="BS16" s="49" t="s">
        <v>13</v>
      </c>
      <c r="BT16" s="49" t="s">
        <v>13</v>
      </c>
      <c r="BU16" s="49" t="s">
        <v>13</v>
      </c>
      <c r="BV16" s="49" t="s">
        <v>20</v>
      </c>
      <c r="BW16" s="49" t="s">
        <v>20</v>
      </c>
      <c r="BX16" s="49" t="s">
        <v>59</v>
      </c>
      <c r="BY16" s="49" t="s">
        <v>13</v>
      </c>
      <c r="BZ16" s="49" t="s">
        <v>13</v>
      </c>
      <c r="CA16" s="49" t="s">
        <v>13</v>
      </c>
      <c r="CB16" s="49"/>
      <c r="CC16" s="49"/>
      <c r="CD16" s="49"/>
      <c r="CE16" s="49" t="s">
        <v>13</v>
      </c>
      <c r="CF16" s="49" t="s">
        <v>13</v>
      </c>
      <c r="CG16" s="93"/>
      <c r="CH16" s="49" t="s">
        <v>13</v>
      </c>
      <c r="CI16" s="49" t="s">
        <v>13</v>
      </c>
      <c r="CJ16" s="49" t="s">
        <v>13</v>
      </c>
      <c r="CK16" s="49" t="s">
        <v>13</v>
      </c>
      <c r="CL16" s="49" t="s">
        <v>13</v>
      </c>
      <c r="CM16" s="49" t="s">
        <v>13</v>
      </c>
      <c r="CN16" s="49" t="s">
        <v>13</v>
      </c>
      <c r="CO16" s="49" t="s">
        <v>13</v>
      </c>
      <c r="CP16" s="49" t="s">
        <v>13</v>
      </c>
      <c r="CQ16" s="49" t="s">
        <v>13</v>
      </c>
      <c r="CR16" s="49"/>
      <c r="CS16" s="49"/>
      <c r="CT16"/>
      <c r="CU16" s="49" t="s">
        <v>13</v>
      </c>
      <c r="CV16" s="49" t="s">
        <v>20</v>
      </c>
      <c r="CW16" s="49" t="s">
        <v>20</v>
      </c>
      <c r="CX16" s="49" t="s">
        <v>20</v>
      </c>
      <c r="CY16" s="49" t="s">
        <v>20</v>
      </c>
      <c r="CZ16" s="49" t="s">
        <v>20</v>
      </c>
      <c r="DA16" s="49" t="s">
        <v>20</v>
      </c>
      <c r="DB16" s="49" t="s">
        <v>20</v>
      </c>
      <c r="DC16" s="49" t="s">
        <v>20</v>
      </c>
      <c r="DD16" s="49" t="s">
        <v>13</v>
      </c>
      <c r="DE16" s="49" t="s">
        <v>13</v>
      </c>
      <c r="DF16" s="49"/>
      <c r="DG16" s="49"/>
      <c r="DH16" s="49"/>
      <c r="DI16" s="49" t="s">
        <v>13</v>
      </c>
      <c r="DJ16" s="49" t="s">
        <v>13</v>
      </c>
      <c r="DK16" s="49" t="s">
        <v>20</v>
      </c>
      <c r="DL16" s="49" t="s">
        <v>20</v>
      </c>
      <c r="DM16" s="49" t="s">
        <v>20</v>
      </c>
      <c r="DN16" s="49" t="s">
        <v>20</v>
      </c>
      <c r="DO16" s="49" t="s">
        <v>20</v>
      </c>
      <c r="DP16" s="49" t="s">
        <v>20</v>
      </c>
      <c r="DQ16" s="49" t="s">
        <v>20</v>
      </c>
      <c r="DR16" s="49" t="s">
        <v>20</v>
      </c>
      <c r="DS16" s="49" t="s">
        <v>20</v>
      </c>
      <c r="DT16" s="49" t="s">
        <v>13</v>
      </c>
      <c r="DU16" s="49" t="s">
        <v>13</v>
      </c>
      <c r="DV16" s="49" t="s">
        <v>20</v>
      </c>
      <c r="DW16" s="49"/>
      <c r="DX16" s="49" t="s">
        <v>20</v>
      </c>
      <c r="DY16" s="49" t="s">
        <v>20</v>
      </c>
      <c r="DZ16" s="49"/>
      <c r="EA16" s="49" t="s">
        <v>59</v>
      </c>
      <c r="EB16" s="49" t="s">
        <v>59</v>
      </c>
      <c r="EC16" s="49" t="s">
        <v>20</v>
      </c>
      <c r="ED16" s="49" t="s">
        <v>20</v>
      </c>
      <c r="EE16" s="49" t="s">
        <v>20</v>
      </c>
      <c r="EF16" s="49" t="s">
        <v>20</v>
      </c>
      <c r="EG16" s="49" t="s">
        <v>13</v>
      </c>
      <c r="EH16" s="49" t="s">
        <v>13</v>
      </c>
      <c r="EI16" s="49" t="s">
        <v>20</v>
      </c>
      <c r="EJ16" s="49" t="s">
        <v>20</v>
      </c>
      <c r="EK16" s="49"/>
      <c r="EL16" s="49"/>
      <c r="EM16" s="49"/>
      <c r="EN16" s="49"/>
      <c r="EO16" s="49"/>
      <c r="EP16" s="49"/>
      <c r="EQ16" s="49"/>
      <c r="ER16" s="49"/>
      <c r="ES16" s="49"/>
      <c r="ET16" s="49"/>
      <c r="EU16" s="49"/>
      <c r="EV16" s="49"/>
      <c r="EW16" s="49"/>
      <c r="EX16" s="49"/>
      <c r="EY16" s="49"/>
      <c r="EZ16" s="49"/>
      <c r="FA16" s="49"/>
      <c r="FB16" s="49"/>
      <c r="FC16" s="49"/>
      <c r="FD16" s="49"/>
      <c r="FE16" s="49"/>
      <c r="FF16" s="49"/>
      <c r="FG16" s="49"/>
      <c r="FH16" s="49"/>
      <c r="FI16" s="49"/>
      <c r="FJ16" s="49"/>
      <c r="FK16" s="49"/>
      <c r="FL16" s="49"/>
      <c r="FM16" s="49"/>
      <c r="FN16" s="49"/>
      <c r="FO16" s="49"/>
      <c r="FP16" s="49"/>
      <c r="FQ16" s="49"/>
      <c r="FR16" s="49"/>
      <c r="FS16" s="111"/>
      <c r="FT16" s="115"/>
      <c r="FU16" s="115" t="s">
        <v>59</v>
      </c>
      <c r="FV16" s="115" t="s">
        <v>59</v>
      </c>
      <c r="FW16" s="115" t="s">
        <v>59</v>
      </c>
      <c r="FX16" s="115" t="s">
        <v>59</v>
      </c>
      <c r="FY16" s="115" t="s">
        <v>59</v>
      </c>
      <c r="FZ16" s="115" t="s">
        <v>59</v>
      </c>
      <c r="GA16" s="115" t="s">
        <v>59</v>
      </c>
      <c r="GB16" s="115" t="s">
        <v>59</v>
      </c>
      <c r="GC16" s="49"/>
      <c r="GD16" s="49"/>
      <c r="GE16" s="49"/>
      <c r="GF16" s="49"/>
      <c r="GG16" s="49"/>
      <c r="GH16" s="49"/>
      <c r="GI16" s="49"/>
      <c r="GJ16" s="115" t="s">
        <v>20</v>
      </c>
      <c r="GK16" s="49" t="s">
        <v>20</v>
      </c>
      <c r="GL16" s="115" t="s">
        <v>20</v>
      </c>
      <c r="GM16" s="118" t="s">
        <v>20</v>
      </c>
      <c r="GN16" s="118" t="s">
        <v>20</v>
      </c>
      <c r="GO16" s="118"/>
      <c r="GP16" s="118"/>
      <c r="GQ16" s="118"/>
      <c r="GR16" s="49" t="s">
        <v>20</v>
      </c>
      <c r="GS16" s="49" t="s">
        <v>20</v>
      </c>
      <c r="GT16" s="49" t="s">
        <v>20</v>
      </c>
      <c r="GU16" s="115" t="s">
        <v>20</v>
      </c>
      <c r="GV16" s="111" t="s">
        <v>20</v>
      </c>
      <c r="GW16" s="111" t="s">
        <v>20</v>
      </c>
      <c r="GX16" s="111"/>
      <c r="GY16" s="111"/>
      <c r="GZ16" s="111"/>
      <c r="HA16" s="111" t="s">
        <v>13</v>
      </c>
      <c r="HB16" s="49"/>
      <c r="HC16" s="49"/>
      <c r="HD16" s="49"/>
      <c r="HE16" s="49"/>
      <c r="HF16" s="93"/>
      <c r="HG16" s="93"/>
      <c r="HH16" s="93"/>
      <c r="HI16" s="93"/>
      <c r="HJ16" s="93"/>
      <c r="HK16" s="93"/>
      <c r="HL16" s="93"/>
      <c r="HM16" s="93"/>
      <c r="HN16" s="93"/>
      <c r="HO16" s="49"/>
      <c r="HP16" s="49"/>
      <c r="HQ16" s="93"/>
      <c r="HR16" s="93"/>
      <c r="HS16" s="49"/>
      <c r="HT16" s="49"/>
      <c r="HU16" s="49"/>
      <c r="HV16" s="49"/>
      <c r="HW16" s="49"/>
      <c r="HX16" s="49"/>
      <c r="HY16" s="49"/>
      <c r="HZ16" s="49"/>
      <c r="IA16" s="49"/>
      <c r="IB16" s="72"/>
      <c r="IC16" s="93"/>
      <c r="ID16" s="49"/>
      <c r="IE16" s="49"/>
      <c r="IF16" s="93"/>
      <c r="IG16" s="49"/>
      <c r="IH16" s="93"/>
      <c r="II16" s="93"/>
      <c r="IJ16" s="49"/>
      <c r="IK16" s="49"/>
      <c r="IL16" s="49" t="s">
        <v>13</v>
      </c>
      <c r="IM16" s="49"/>
      <c r="IN16" s="49"/>
      <c r="IO16" s="49" t="s">
        <v>20</v>
      </c>
      <c r="IP16" s="49" t="s">
        <v>13</v>
      </c>
      <c r="IQ16" s="49" t="s">
        <v>13</v>
      </c>
      <c r="IR16" s="49" t="s">
        <v>13</v>
      </c>
      <c r="IS16" s="49" t="s">
        <v>13</v>
      </c>
      <c r="IT16" s="49" t="s">
        <v>13</v>
      </c>
      <c r="IU16" s="49" t="s">
        <v>59</v>
      </c>
      <c r="IV16" s="49" t="s">
        <v>20</v>
      </c>
      <c r="IW16" s="49" t="s">
        <v>20</v>
      </c>
      <c r="IX16" s="49" t="s">
        <v>20</v>
      </c>
      <c r="IY16" s="49" t="s">
        <v>20</v>
      </c>
      <c r="IZ16" s="49" t="s">
        <v>59</v>
      </c>
      <c r="JA16" s="49"/>
      <c r="JB16" s="49" t="s">
        <v>20</v>
      </c>
      <c r="JC16" s="49" t="s">
        <v>20</v>
      </c>
      <c r="JD16" s="49" t="s">
        <v>59</v>
      </c>
      <c r="JE16" s="49" t="s">
        <v>20</v>
      </c>
      <c r="JF16" s="49" t="s">
        <v>20</v>
      </c>
      <c r="JG16" s="101" t="s">
        <v>59</v>
      </c>
      <c r="JH16" s="49" t="s">
        <v>20</v>
      </c>
      <c r="JI16" s="49" t="s">
        <v>20</v>
      </c>
      <c r="JJ16" s="49" t="s">
        <v>20</v>
      </c>
      <c r="JK16" s="49" t="s">
        <v>20</v>
      </c>
      <c r="JL16" s="49"/>
      <c r="JM16" s="49"/>
      <c r="JN16" s="49"/>
      <c r="JO16" s="49"/>
      <c r="JP16" s="49"/>
      <c r="JQ16" s="49"/>
      <c r="JR16" s="49"/>
      <c r="JS16" s="49"/>
      <c r="JT16" s="49"/>
      <c r="JU16" s="49"/>
      <c r="JV16" s="49"/>
      <c r="JW16" s="49"/>
      <c r="JX16" s="49"/>
      <c r="JY16" s="49"/>
      <c r="JZ16" s="49"/>
      <c r="KA16" s="49"/>
      <c r="KB16" s="49"/>
      <c r="KC16" s="49"/>
      <c r="KD16" s="49"/>
      <c r="KE16" s="49"/>
      <c r="KF16" s="49"/>
      <c r="KG16" s="49"/>
      <c r="KH16" s="49"/>
      <c r="KI16" s="49"/>
      <c r="KJ16" s="49"/>
      <c r="KK16" s="49"/>
      <c r="KL16" s="49"/>
      <c r="KM16" s="49"/>
      <c r="KN16" s="49"/>
      <c r="KO16" s="49"/>
      <c r="KP16" s="49"/>
      <c r="KQ16" s="49"/>
      <c r="KR16" s="49"/>
      <c r="KS16" s="122"/>
      <c r="KT16" s="122"/>
      <c r="KU16" s="49"/>
      <c r="KV16" s="49"/>
      <c r="KW16" s="49"/>
      <c r="KX16" s="49"/>
      <c r="KY16" s="49"/>
      <c r="KZ16" s="49"/>
    </row>
    <row r="17" spans="1:16383" s="13" customFormat="1" ht="13.6" x14ac:dyDescent="0.25">
      <c r="A17" s="236" t="s">
        <v>370</v>
      </c>
      <c r="B17" s="237" t="s">
        <v>263</v>
      </c>
      <c r="C17" s="237" t="s">
        <v>1</v>
      </c>
      <c r="D17" s="237" t="s">
        <v>2</v>
      </c>
      <c r="E17" s="238" t="s">
        <v>3</v>
      </c>
      <c r="F17" s="238" t="s">
        <v>379</v>
      </c>
      <c r="G17" s="238" t="s">
        <v>122</v>
      </c>
      <c r="H17" s="238" t="s">
        <v>234</v>
      </c>
      <c r="I17" s="238" t="s">
        <v>77</v>
      </c>
      <c r="J17" s="239" t="s">
        <v>4</v>
      </c>
      <c r="K17" s="239" t="s">
        <v>5</v>
      </c>
      <c r="L17" s="239" t="s">
        <v>71</v>
      </c>
      <c r="M17" s="239" t="s">
        <v>72</v>
      </c>
      <c r="N17" s="239" t="s">
        <v>73</v>
      </c>
      <c r="O17" s="239" t="s">
        <v>102</v>
      </c>
      <c r="P17" s="239" t="s">
        <v>103</v>
      </c>
      <c r="Q17" s="239" t="s">
        <v>104</v>
      </c>
      <c r="R17" s="239" t="s">
        <v>105</v>
      </c>
      <c r="S17" s="239" t="s">
        <v>110</v>
      </c>
      <c r="T17" s="239" t="s">
        <v>63</v>
      </c>
      <c r="U17" s="239" t="s">
        <v>8</v>
      </c>
      <c r="V17" s="239" t="s">
        <v>9</v>
      </c>
      <c r="W17" s="239" t="s">
        <v>106</v>
      </c>
      <c r="X17" s="239" t="s">
        <v>21</v>
      </c>
      <c r="Y17" s="239" t="s">
        <v>254</v>
      </c>
      <c r="Z17" s="239" t="s">
        <v>6</v>
      </c>
      <c r="AA17" s="239" t="s">
        <v>7</v>
      </c>
      <c r="AB17" s="239" t="s">
        <v>107</v>
      </c>
      <c r="AC17" s="239" t="s">
        <v>19</v>
      </c>
      <c r="AD17" s="239" t="s">
        <v>261</v>
      </c>
      <c r="AE17" s="239" t="s">
        <v>22</v>
      </c>
      <c r="AF17" s="239" t="s">
        <v>126</v>
      </c>
      <c r="AG17" s="239" t="s">
        <v>23</v>
      </c>
      <c r="AH17" s="239" t="s">
        <v>75</v>
      </c>
      <c r="AI17" s="239" t="s">
        <v>108</v>
      </c>
      <c r="AJ17" s="239" t="s">
        <v>109</v>
      </c>
      <c r="AK17" s="239" t="s">
        <v>880</v>
      </c>
      <c r="AL17" s="239" t="s">
        <v>259</v>
      </c>
      <c r="AM17" s="239" t="s">
        <v>260</v>
      </c>
      <c r="AN17" s="239" t="s">
        <v>70</v>
      </c>
      <c r="AO17" s="239" t="s">
        <v>34</v>
      </c>
      <c r="AP17" s="239" t="s">
        <v>35</v>
      </c>
      <c r="AQ17" s="239" t="s">
        <v>144</v>
      </c>
      <c r="AR17" s="239" t="s">
        <v>96</v>
      </c>
      <c r="AS17" s="239" t="s">
        <v>41</v>
      </c>
      <c r="AT17" s="239" t="s">
        <v>127</v>
      </c>
      <c r="AU17" s="239" t="s">
        <v>117</v>
      </c>
      <c r="AV17" s="239" t="s">
        <v>142</v>
      </c>
      <c r="AW17" s="239" t="s">
        <v>95</v>
      </c>
      <c r="AX17" s="239" t="s">
        <v>39</v>
      </c>
      <c r="AY17" s="239" t="s">
        <v>143</v>
      </c>
      <c r="AZ17" s="239" t="s">
        <v>36</v>
      </c>
      <c r="BA17" s="239" t="s">
        <v>37</v>
      </c>
      <c r="BB17" s="239" t="s">
        <v>135</v>
      </c>
      <c r="BC17" s="239" t="s">
        <v>435</v>
      </c>
      <c r="BD17" s="239" t="s">
        <v>1133</v>
      </c>
      <c r="BE17" s="239" t="s">
        <v>93</v>
      </c>
      <c r="BF17" s="239"/>
      <c r="BG17" s="239" t="s">
        <v>64</v>
      </c>
      <c r="BH17" s="239" t="s">
        <v>65</v>
      </c>
      <c r="BI17" s="239"/>
      <c r="BJ17" s="239"/>
      <c r="BK17" s="239"/>
      <c r="BL17" s="239"/>
      <c r="BM17" s="239" t="s">
        <v>128</v>
      </c>
      <c r="BN17" s="239" t="s">
        <v>40</v>
      </c>
      <c r="BO17" s="239" t="s">
        <v>38</v>
      </c>
      <c r="BP17" s="239" t="s">
        <v>46</v>
      </c>
      <c r="BQ17" s="239" t="s">
        <v>42</v>
      </c>
      <c r="BR17" s="239"/>
      <c r="BS17" s="239" t="s">
        <v>44</v>
      </c>
      <c r="BT17" s="239" t="s">
        <v>438</v>
      </c>
      <c r="BU17" s="239" t="s">
        <v>136</v>
      </c>
      <c r="BV17" s="239" t="s">
        <v>275</v>
      </c>
      <c r="BW17" s="239" t="s">
        <v>66</v>
      </c>
      <c r="BX17" s="239"/>
      <c r="BY17" s="239" t="s">
        <v>208</v>
      </c>
      <c r="BZ17" s="239" t="s">
        <v>301</v>
      </c>
      <c r="CA17" s="239" t="s">
        <v>676</v>
      </c>
      <c r="CB17" s="239"/>
      <c r="CC17" s="239"/>
      <c r="CD17" s="239"/>
      <c r="CE17" s="239" t="s">
        <v>599</v>
      </c>
      <c r="CF17" s="239" t="s">
        <v>590</v>
      </c>
      <c r="CG17" s="239"/>
      <c r="CH17" s="239" t="s">
        <v>26</v>
      </c>
      <c r="CI17" s="239" t="s">
        <v>28</v>
      </c>
      <c r="CJ17" s="239" t="s">
        <v>25</v>
      </c>
      <c r="CK17" s="239" t="s">
        <v>27</v>
      </c>
      <c r="CL17" s="239" t="s">
        <v>29</v>
      </c>
      <c r="CM17" s="239" t="s">
        <v>268</v>
      </c>
      <c r="CN17" s="239" t="s">
        <v>101</v>
      </c>
      <c r="CO17" s="239" t="s">
        <v>269</v>
      </c>
      <c r="CP17" s="239" t="s">
        <v>681</v>
      </c>
      <c r="CQ17" s="239" t="s">
        <v>682</v>
      </c>
      <c r="CR17" s="239"/>
      <c r="CS17" s="239"/>
      <c r="CT17" s="241"/>
      <c r="CU17" s="239" t="s">
        <v>1070</v>
      </c>
      <c r="CV17" s="239" t="s">
        <v>281</v>
      </c>
      <c r="CW17" s="239" t="s">
        <v>282</v>
      </c>
      <c r="CX17" s="239" t="s">
        <v>283</v>
      </c>
      <c r="CY17" s="239" t="s">
        <v>328</v>
      </c>
      <c r="CZ17" s="239" t="s">
        <v>436</v>
      </c>
      <c r="DA17" s="239" t="s">
        <v>394</v>
      </c>
      <c r="DB17" s="239" t="s">
        <v>327</v>
      </c>
      <c r="DC17" s="239" t="s">
        <v>402</v>
      </c>
      <c r="DD17" s="239" t="s">
        <v>179</v>
      </c>
      <c r="DE17" s="239" t="s">
        <v>192</v>
      </c>
      <c r="DF17" s="239"/>
      <c r="DG17" s="239"/>
      <c r="DH17" s="239"/>
      <c r="DI17" s="239" t="s">
        <v>257</v>
      </c>
      <c r="DJ17" s="239" t="s">
        <v>194</v>
      </c>
      <c r="DK17" s="239" t="s">
        <v>407</v>
      </c>
      <c r="DL17" s="239" t="s">
        <v>413</v>
      </c>
      <c r="DM17" s="239" t="s">
        <v>417</v>
      </c>
      <c r="DN17" s="239" t="s">
        <v>421</v>
      </c>
      <c r="DO17" s="239" t="s">
        <v>425</v>
      </c>
      <c r="DP17" s="239" t="s">
        <v>420</v>
      </c>
      <c r="DQ17" s="239" t="s">
        <v>398</v>
      </c>
      <c r="DR17" s="245" t="s">
        <v>1195</v>
      </c>
      <c r="DS17" s="245" t="s">
        <v>1174</v>
      </c>
      <c r="DT17" s="239" t="s">
        <v>289</v>
      </c>
      <c r="DU17" s="239" t="s">
        <v>290</v>
      </c>
      <c r="DV17" s="239" t="s">
        <v>1177</v>
      </c>
      <c r="DW17" s="239"/>
      <c r="DX17" s="239" t="s">
        <v>510</v>
      </c>
      <c r="DY17" s="239" t="s">
        <v>1180</v>
      </c>
      <c r="DZ17" s="239"/>
      <c r="EA17" s="239"/>
      <c r="EB17" s="239"/>
      <c r="EC17" s="239" t="s">
        <v>1196</v>
      </c>
      <c r="ED17" s="239" t="s">
        <v>1197</v>
      </c>
      <c r="EE17" s="239" t="s">
        <v>1198</v>
      </c>
      <c r="EF17" s="239" t="s">
        <v>1199</v>
      </c>
      <c r="EG17" s="239" t="s">
        <v>316</v>
      </c>
      <c r="EH17" s="239" t="s">
        <v>317</v>
      </c>
      <c r="EI17" s="239" t="s">
        <v>1182</v>
      </c>
      <c r="EJ17" s="239" t="s">
        <v>1181</v>
      </c>
      <c r="EK17" s="239"/>
      <c r="EL17" s="239"/>
      <c r="EM17" s="239"/>
      <c r="EN17" s="239"/>
      <c r="EO17" s="239"/>
      <c r="EP17" s="239"/>
      <c r="EQ17" s="239"/>
      <c r="ER17" s="239"/>
      <c r="ES17" s="239"/>
      <c r="ET17" s="239"/>
      <c r="EU17" s="239"/>
      <c r="EV17" s="239"/>
      <c r="EW17" s="239"/>
      <c r="EX17" s="239"/>
      <c r="EY17" s="239"/>
      <c r="EZ17" s="239"/>
      <c r="FA17" s="239"/>
      <c r="FB17" s="239"/>
      <c r="FC17" s="239"/>
      <c r="FD17" s="239"/>
      <c r="FE17" s="239"/>
      <c r="FF17" s="239"/>
      <c r="FG17" s="239"/>
      <c r="FH17" s="239"/>
      <c r="FI17" s="239"/>
      <c r="FJ17" s="239"/>
      <c r="FK17" s="239"/>
      <c r="FL17" s="239"/>
      <c r="FM17" s="239"/>
      <c r="FN17" s="239"/>
      <c r="FO17" s="239"/>
      <c r="FP17" s="239"/>
      <c r="FQ17" s="391"/>
      <c r="FR17" s="391"/>
      <c r="FS17" s="244"/>
      <c r="FT17" s="391"/>
      <c r="FU17" s="391"/>
      <c r="FV17" s="239"/>
      <c r="FW17" s="239"/>
      <c r="FX17" s="239"/>
      <c r="FY17" s="239"/>
      <c r="FZ17" s="239"/>
      <c r="GA17" s="239"/>
      <c r="GB17" s="239"/>
      <c r="GC17" s="239"/>
      <c r="GD17" s="239"/>
      <c r="GE17" s="239"/>
      <c r="GF17" s="239"/>
      <c r="GG17" s="239"/>
      <c r="GH17" s="239"/>
      <c r="GI17" s="239"/>
      <c r="GJ17" s="239" t="s">
        <v>1184</v>
      </c>
      <c r="GK17" s="239" t="s">
        <v>468</v>
      </c>
      <c r="GL17" s="239" t="s">
        <v>1183</v>
      </c>
      <c r="GM17" s="392" t="s">
        <v>469</v>
      </c>
      <c r="GN17" s="392" t="s">
        <v>1185</v>
      </c>
      <c r="GO17" s="392"/>
      <c r="GP17" s="392"/>
      <c r="GQ17" s="392"/>
      <c r="GR17" s="392" t="s">
        <v>1186</v>
      </c>
      <c r="GS17" s="239" t="s">
        <v>61</v>
      </c>
      <c r="GT17" s="239" t="s">
        <v>1187</v>
      </c>
      <c r="GU17" s="239" t="s">
        <v>1173</v>
      </c>
      <c r="GV17" s="244" t="s">
        <v>473</v>
      </c>
      <c r="GW17" s="244" t="s">
        <v>1188</v>
      </c>
      <c r="GX17" s="244"/>
      <c r="GY17" s="244"/>
      <c r="GZ17" s="244"/>
      <c r="HA17" s="182" t="s">
        <v>351</v>
      </c>
      <c r="HB17" s="239"/>
      <c r="HC17" s="239"/>
      <c r="HD17" s="239"/>
      <c r="HE17" s="239"/>
      <c r="HF17" s="239"/>
      <c r="HG17" s="239"/>
      <c r="HH17" s="239"/>
      <c r="HI17" s="245"/>
      <c r="HJ17" s="245"/>
      <c r="HK17" s="245"/>
      <c r="HL17" s="245"/>
      <c r="HM17" s="245"/>
      <c r="HN17" s="245"/>
      <c r="HO17" s="239"/>
      <c r="HP17" s="239"/>
      <c r="HQ17" s="239"/>
      <c r="HR17" s="239"/>
      <c r="HS17" s="239"/>
      <c r="HT17" s="239"/>
      <c r="HU17" s="239"/>
      <c r="HV17" s="239"/>
      <c r="HW17" s="239"/>
      <c r="HX17" s="239"/>
      <c r="HY17" s="239"/>
      <c r="HZ17" s="239"/>
      <c r="IA17" s="239"/>
      <c r="IB17" s="239"/>
      <c r="IC17" s="239"/>
      <c r="ID17" s="239"/>
      <c r="IE17" s="239"/>
      <c r="IF17" s="239"/>
      <c r="IG17" s="239"/>
      <c r="IH17" s="239"/>
      <c r="II17" s="239"/>
      <c r="IJ17" s="239"/>
      <c r="IK17" s="239"/>
      <c r="IL17" s="239" t="s">
        <v>113</v>
      </c>
      <c r="IM17" s="239"/>
      <c r="IN17" s="239"/>
      <c r="IO17" s="239" t="s">
        <v>452</v>
      </c>
      <c r="IP17" s="239" t="s">
        <v>116</v>
      </c>
      <c r="IQ17" s="239" t="s">
        <v>83</v>
      </c>
      <c r="IR17" s="239" t="s">
        <v>84</v>
      </c>
      <c r="IS17" s="239" t="s">
        <v>85</v>
      </c>
      <c r="IT17" s="239" t="s">
        <v>86</v>
      </c>
      <c r="IU17" s="239"/>
      <c r="IV17" s="239" t="s">
        <v>87</v>
      </c>
      <c r="IW17" s="239" t="s">
        <v>88</v>
      </c>
      <c r="IX17" s="239" t="s">
        <v>89</v>
      </c>
      <c r="IY17" s="239" t="s">
        <v>90</v>
      </c>
      <c r="IZ17" s="239"/>
      <c r="JA17" s="239"/>
      <c r="JB17" s="239" t="s">
        <v>583</v>
      </c>
      <c r="JC17" s="239" t="s">
        <v>112</v>
      </c>
      <c r="JD17" s="239"/>
      <c r="JE17" s="239" t="s">
        <v>300</v>
      </c>
      <c r="JF17" s="239" t="s">
        <v>298</v>
      </c>
      <c r="JG17" s="243"/>
      <c r="JH17" s="239" t="s">
        <v>296</v>
      </c>
      <c r="JI17" s="239" t="s">
        <v>297</v>
      </c>
      <c r="JJ17" s="239" t="s">
        <v>299</v>
      </c>
      <c r="JK17" s="239" t="s">
        <v>1169</v>
      </c>
      <c r="JL17" s="239"/>
      <c r="JM17" s="239"/>
      <c r="JN17" s="239"/>
      <c r="JO17" s="239"/>
      <c r="JP17" s="239"/>
      <c r="JQ17" s="239"/>
      <c r="JR17" s="239"/>
      <c r="JS17" s="239"/>
      <c r="JT17" s="239"/>
      <c r="JU17" s="239"/>
      <c r="JV17" s="239"/>
      <c r="JW17" s="239"/>
      <c r="JX17" s="239"/>
      <c r="JY17" s="239"/>
      <c r="JZ17" s="239"/>
      <c r="KA17" s="239"/>
      <c r="KB17" s="239"/>
      <c r="KC17" s="239"/>
      <c r="KD17" s="239"/>
      <c r="KE17" s="239"/>
      <c r="KF17" s="239"/>
      <c r="KG17" s="239"/>
      <c r="KH17" s="239"/>
      <c r="KI17" s="239"/>
      <c r="KJ17" s="239"/>
      <c r="KK17" s="239"/>
      <c r="KL17" s="239"/>
      <c r="KM17" s="239"/>
      <c r="KN17" s="239"/>
      <c r="KO17" s="239"/>
      <c r="KP17" s="239"/>
      <c r="KQ17" s="239"/>
      <c r="KR17" s="239"/>
      <c r="KS17" s="240"/>
      <c r="KT17" s="240"/>
      <c r="KU17" s="239"/>
      <c r="KV17" s="239"/>
      <c r="KW17" s="239"/>
      <c r="KX17" s="239"/>
      <c r="KY17" s="239"/>
      <c r="KZ17" s="239"/>
    </row>
    <row r="18" spans="1:16383" s="13" customFormat="1" ht="13.6" x14ac:dyDescent="0.25">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28"/>
      <c r="AR18" s="16"/>
      <c r="AS18" s="16"/>
      <c r="AT18" s="16"/>
      <c r="AU18" s="16"/>
      <c r="AV18" s="16"/>
      <c r="AW18" s="16"/>
      <c r="AX18" s="16"/>
      <c r="AY18" s="16"/>
      <c r="AZ18" s="16"/>
      <c r="BA18" s="16"/>
      <c r="BB18" s="28"/>
      <c r="BC18" s="28"/>
      <c r="BD18" s="28"/>
      <c r="BE18" s="17"/>
      <c r="BF18" s="17"/>
      <c r="BG18" s="17"/>
      <c r="BH18" s="17"/>
      <c r="BI18" s="28"/>
      <c r="BJ18" s="28"/>
      <c r="BK18" s="28"/>
      <c r="BL18" s="28"/>
      <c r="BM18" s="28"/>
      <c r="BN18" s="16"/>
      <c r="BO18" s="16"/>
      <c r="BP18" s="16"/>
      <c r="BQ18" s="16"/>
      <c r="BR18" s="16"/>
      <c r="BS18" s="16"/>
      <c r="BT18" s="16"/>
      <c r="BU18" s="16"/>
      <c r="BV18" s="16"/>
      <c r="BW18" s="16"/>
      <c r="BX18" s="28"/>
      <c r="BY18" s="28"/>
      <c r="BZ18" s="28"/>
      <c r="CA18" s="28"/>
      <c r="CB18" s="16"/>
      <c r="CC18" s="16"/>
      <c r="CD18" s="16"/>
      <c r="CE18" s="16"/>
      <c r="CM18" s="16"/>
      <c r="CN18" s="16"/>
      <c r="CO18" s="16"/>
      <c r="CP18" s="16"/>
      <c r="CQ18" s="16"/>
      <c r="CR18" s="16"/>
      <c r="CS18" s="16"/>
      <c r="CT18"/>
      <c r="CU18"/>
      <c r="CV18" s="17"/>
      <c r="CW18" s="17"/>
      <c r="CX18" s="17"/>
      <c r="CY18" s="17"/>
      <c r="CZ18" s="16"/>
      <c r="DA18" s="16"/>
      <c r="DB18" s="16"/>
      <c r="DC18" s="16"/>
      <c r="DD18" s="16"/>
      <c r="DE18" s="16"/>
      <c r="DF18" s="16"/>
      <c r="DG18" s="16"/>
      <c r="DH18" s="16"/>
      <c r="DI18" s="16"/>
      <c r="DJ18" s="16"/>
      <c r="DK18" s="16"/>
      <c r="DL18" s="16"/>
      <c r="DM18" s="16"/>
      <c r="DN18" s="16"/>
      <c r="DO18" s="16"/>
      <c r="DP18" s="16"/>
      <c r="DQ18" s="16"/>
      <c r="DR18" s="17"/>
      <c r="DS18" s="17"/>
      <c r="DT18" s="17"/>
      <c r="DU18" s="17"/>
      <c r="DV18" s="17"/>
      <c r="DW18" s="17"/>
      <c r="DX18" s="17"/>
      <c r="DY18" s="17"/>
      <c r="DZ18" s="17"/>
      <c r="EA18" s="17"/>
      <c r="EB18" s="17"/>
      <c r="EC18" s="17"/>
      <c r="ED18" s="17"/>
      <c r="EE18" s="17"/>
      <c r="EF18" s="17"/>
      <c r="EG18" s="17"/>
      <c r="EH18" s="17"/>
      <c r="EI18" s="17"/>
      <c r="EJ18" s="17"/>
      <c r="EK18" s="17"/>
      <c r="EL18" s="17"/>
      <c r="EM18" s="16"/>
      <c r="EN18" s="16"/>
      <c r="EO18" s="16"/>
      <c r="EP18" s="16"/>
      <c r="EQ18" s="16"/>
      <c r="ER18" s="16"/>
      <c r="ES18" s="16"/>
      <c r="ET18" s="16"/>
      <c r="EU18" s="16"/>
      <c r="EV18" s="16"/>
      <c r="EW18" s="16"/>
      <c r="EX18" s="16"/>
      <c r="EY18" s="16"/>
      <c r="EZ18" s="16"/>
      <c r="FA18" s="16"/>
      <c r="FB18" s="16"/>
      <c r="FC18" s="16"/>
      <c r="FD18" s="16"/>
      <c r="FE18" s="16"/>
      <c r="FF18" s="16"/>
      <c r="FG18" s="16"/>
      <c r="FH18" s="16"/>
      <c r="FI18" s="16"/>
      <c r="FJ18" s="16"/>
      <c r="FK18" s="16"/>
      <c r="FL18" s="16"/>
      <c r="FM18" s="16"/>
      <c r="FN18" s="16"/>
      <c r="FO18" s="16"/>
      <c r="FP18" s="16"/>
      <c r="FQ18" s="116"/>
      <c r="FR18" s="116"/>
      <c r="FS18" s="110"/>
      <c r="FT18" s="116"/>
      <c r="FU18" s="116"/>
      <c r="FV18" s="16"/>
      <c r="FW18" s="16"/>
      <c r="FX18" s="16"/>
      <c r="FY18" s="16"/>
      <c r="FZ18" s="16"/>
      <c r="GA18" s="16"/>
      <c r="GB18" s="16"/>
      <c r="GC18" s="16"/>
      <c r="GD18" s="16"/>
      <c r="GE18" s="16"/>
      <c r="GF18" s="16"/>
      <c r="GG18" s="16"/>
      <c r="GH18" s="16"/>
      <c r="GI18" s="16"/>
      <c r="GJ18" s="16"/>
      <c r="GK18" s="16"/>
      <c r="GL18" s="16"/>
      <c r="GM18" s="119"/>
      <c r="GN18" s="119"/>
      <c r="GO18" s="119"/>
      <c r="GP18" s="119"/>
      <c r="GQ18" s="119"/>
      <c r="GR18" s="16"/>
      <c r="GS18" s="16"/>
      <c r="GT18" s="16"/>
      <c r="GU18" s="16"/>
      <c r="GV18" s="110"/>
      <c r="GW18" s="110"/>
      <c r="GX18" s="110"/>
      <c r="GY18" s="110"/>
      <c r="GZ18" s="110"/>
      <c r="HA18" s="110"/>
      <c r="HB18" s="16"/>
      <c r="HC18" s="16"/>
      <c r="HD18" s="16"/>
      <c r="HE18" s="16"/>
      <c r="HF18" s="16"/>
      <c r="HG18" s="16"/>
      <c r="HH18" s="16"/>
      <c r="HI18" s="17"/>
      <c r="HJ18" s="17"/>
      <c r="HK18" s="17"/>
      <c r="HL18" s="17"/>
      <c r="HM18" s="17"/>
      <c r="HN18" s="17"/>
      <c r="HO18" s="16"/>
      <c r="HP18" s="16"/>
      <c r="HQ18" s="16"/>
      <c r="HR18" s="16"/>
      <c r="HS18" s="7"/>
      <c r="HT18" s="7"/>
      <c r="HU18" s="7"/>
      <c r="HV18" s="7"/>
      <c r="HW18" s="7"/>
      <c r="HX18" s="16"/>
      <c r="HY18" s="16"/>
      <c r="HZ18" s="16"/>
      <c r="IA18" s="16"/>
      <c r="IB18" s="16"/>
      <c r="IC18" s="16"/>
      <c r="ID18" s="7"/>
      <c r="IE18" s="16"/>
      <c r="IF18" s="16"/>
      <c r="IG18" s="7"/>
      <c r="IH18" s="16"/>
      <c r="II18" s="16"/>
      <c r="IJ18" s="27"/>
      <c r="IK18" s="16"/>
      <c r="IL18" s="16"/>
      <c r="IM18" s="16"/>
      <c r="IN18" s="16"/>
      <c r="IO18" s="16"/>
      <c r="IP18" s="16"/>
      <c r="IQ18" s="16"/>
      <c r="IR18" s="16"/>
      <c r="IS18" s="16"/>
      <c r="IT18" s="16"/>
      <c r="IU18" s="16"/>
      <c r="IV18" s="16"/>
      <c r="IW18" s="16"/>
      <c r="IX18" s="16"/>
      <c r="IY18" s="16"/>
      <c r="IZ18" s="16"/>
      <c r="JA18" s="16"/>
      <c r="JB18" s="16"/>
      <c r="JC18" s="16"/>
      <c r="JD18" s="16"/>
      <c r="JE18" s="16"/>
      <c r="JF18" s="16"/>
      <c r="JG18" s="16"/>
      <c r="JH18" s="16"/>
      <c r="JI18" s="16"/>
      <c r="JJ18" s="16"/>
      <c r="JK18" s="16"/>
      <c r="JL18" s="16"/>
      <c r="JM18" s="16"/>
      <c r="JN18" s="16"/>
      <c r="JO18" s="16"/>
      <c r="JP18" s="16"/>
      <c r="JQ18" s="16"/>
      <c r="JR18" s="16"/>
      <c r="JS18" s="16"/>
      <c r="JT18" s="16"/>
      <c r="JU18" s="16"/>
      <c r="JV18" s="16"/>
      <c r="JW18" s="16"/>
      <c r="JX18" s="16"/>
      <c r="JY18" s="16"/>
      <c r="JZ18" s="16"/>
      <c r="KA18" s="16"/>
      <c r="KB18" s="16"/>
      <c r="KC18" s="16"/>
      <c r="KD18" s="16"/>
      <c r="KE18" s="16"/>
      <c r="KF18" s="16"/>
      <c r="KG18" s="16"/>
      <c r="KH18" s="16"/>
      <c r="KI18" s="16"/>
      <c r="KJ18" s="16"/>
      <c r="KK18" s="16"/>
      <c r="KL18" s="16"/>
      <c r="KM18" s="16"/>
      <c r="KN18" s="16"/>
      <c r="KO18" s="16"/>
      <c r="KP18" s="16"/>
      <c r="KQ18" s="16"/>
      <c r="KR18" s="16"/>
      <c r="KS18" s="124"/>
      <c r="KT18" s="124"/>
      <c r="KU18" s="16"/>
      <c r="KV18" s="16"/>
      <c r="KW18" s="16"/>
      <c r="KX18" s="16"/>
      <c r="KY18" s="16"/>
      <c r="KZ18" s="16"/>
    </row>
    <row r="19" spans="1:16383" s="83" customFormat="1" x14ac:dyDescent="0.2">
      <c r="A19" s="7" t="s">
        <v>12</v>
      </c>
      <c r="B19" s="49" t="s">
        <v>13</v>
      </c>
      <c r="C19" s="49" t="s">
        <v>13</v>
      </c>
      <c r="D19" s="49" t="s">
        <v>13</v>
      </c>
      <c r="E19" s="49" t="s">
        <v>13</v>
      </c>
      <c r="F19" s="49" t="s">
        <v>59</v>
      </c>
      <c r="G19" s="49" t="s">
        <v>31</v>
      </c>
      <c r="H19" s="49" t="s">
        <v>13</v>
      </c>
      <c r="I19" s="49" t="s">
        <v>13</v>
      </c>
      <c r="J19" s="49" t="s">
        <v>13</v>
      </c>
      <c r="K19" s="49" t="s">
        <v>13</v>
      </c>
      <c r="L19" s="49" t="s">
        <v>13</v>
      </c>
      <c r="M19" s="49" t="s">
        <v>13</v>
      </c>
      <c r="N19" s="49" t="s">
        <v>13</v>
      </c>
      <c r="O19" s="49" t="s">
        <v>13</v>
      </c>
      <c r="P19" s="49" t="s">
        <v>13</v>
      </c>
      <c r="Q19" s="49" t="s">
        <v>13</v>
      </c>
      <c r="R19" s="49" t="s">
        <v>13</v>
      </c>
      <c r="S19" s="49" t="s">
        <v>13</v>
      </c>
      <c r="T19" s="49" t="s">
        <v>20</v>
      </c>
      <c r="U19" s="49" t="s">
        <v>13</v>
      </c>
      <c r="V19" s="49" t="s">
        <v>13</v>
      </c>
      <c r="W19" s="49" t="s">
        <v>13</v>
      </c>
      <c r="X19" s="49" t="s">
        <v>13</v>
      </c>
      <c r="Y19" s="49" t="s">
        <v>13</v>
      </c>
      <c r="Z19" s="49" t="s">
        <v>13</v>
      </c>
      <c r="AA19" s="49" t="s">
        <v>13</v>
      </c>
      <c r="AB19" s="49" t="s">
        <v>13</v>
      </c>
      <c r="AC19" s="49" t="s">
        <v>20</v>
      </c>
      <c r="AD19" s="49" t="s">
        <v>13</v>
      </c>
      <c r="AE19" s="49" t="s">
        <v>13</v>
      </c>
      <c r="AF19" s="49" t="s">
        <v>20</v>
      </c>
      <c r="AG19" s="49" t="s">
        <v>13</v>
      </c>
      <c r="AH19" s="49" t="s">
        <v>13</v>
      </c>
      <c r="AI19" s="49" t="s">
        <v>13</v>
      </c>
      <c r="AJ19" s="49" t="s">
        <v>13</v>
      </c>
      <c r="AK19" s="49" t="s">
        <v>13</v>
      </c>
      <c r="AL19" s="49" t="s">
        <v>13</v>
      </c>
      <c r="AM19" s="49" t="s">
        <v>13</v>
      </c>
      <c r="AN19" s="49" t="s">
        <v>20</v>
      </c>
      <c r="AO19" s="49" t="s">
        <v>20</v>
      </c>
      <c r="AP19" s="49" t="s">
        <v>20</v>
      </c>
      <c r="AQ19" s="49" t="s">
        <v>20</v>
      </c>
      <c r="AR19" s="49" t="s">
        <v>20</v>
      </c>
      <c r="AS19" s="49" t="s">
        <v>20</v>
      </c>
      <c r="AT19" s="49" t="s">
        <v>20</v>
      </c>
      <c r="AU19" s="49" t="s">
        <v>20</v>
      </c>
      <c r="AV19" s="49" t="s">
        <v>20</v>
      </c>
      <c r="AW19" s="49" t="s">
        <v>20</v>
      </c>
      <c r="AX19" s="49" t="s">
        <v>20</v>
      </c>
      <c r="AY19" s="49" t="s">
        <v>20</v>
      </c>
      <c r="AZ19" s="49" t="s">
        <v>20</v>
      </c>
      <c r="BA19" s="49" t="s">
        <v>20</v>
      </c>
      <c r="BB19" s="49" t="s">
        <v>20</v>
      </c>
      <c r="BC19" s="49" t="s">
        <v>13</v>
      </c>
      <c r="BD19" s="49" t="s">
        <v>13</v>
      </c>
      <c r="BE19" s="49" t="s">
        <v>13</v>
      </c>
      <c r="BF19" s="49" t="s">
        <v>13</v>
      </c>
      <c r="BG19" s="49" t="s">
        <v>20</v>
      </c>
      <c r="BH19" s="49" t="s">
        <v>20</v>
      </c>
      <c r="BI19" s="49" t="s">
        <v>20</v>
      </c>
      <c r="BJ19" s="49" t="s">
        <v>20</v>
      </c>
      <c r="BK19" s="49" t="s">
        <v>20</v>
      </c>
      <c r="BL19" s="49" t="s">
        <v>20</v>
      </c>
      <c r="BM19" s="49" t="s">
        <v>20</v>
      </c>
      <c r="BN19" s="49" t="s">
        <v>20</v>
      </c>
      <c r="BO19" s="49" t="s">
        <v>20</v>
      </c>
      <c r="BP19" s="49" t="s">
        <v>20</v>
      </c>
      <c r="BQ19" s="49" t="s">
        <v>31</v>
      </c>
      <c r="BR19" s="49" t="s">
        <v>31</v>
      </c>
      <c r="BS19" s="49" t="s">
        <v>31</v>
      </c>
      <c r="BT19" s="49" t="s">
        <v>13</v>
      </c>
      <c r="BU19" s="49" t="s">
        <v>59</v>
      </c>
      <c r="BV19" s="49" t="s">
        <v>20</v>
      </c>
      <c r="BW19" s="49" t="s">
        <v>20</v>
      </c>
      <c r="BX19" s="49" t="s">
        <v>13</v>
      </c>
      <c r="BY19" s="49" t="s">
        <v>13</v>
      </c>
      <c r="BZ19" s="49" t="s">
        <v>13</v>
      </c>
      <c r="CA19" s="49" t="s">
        <v>13</v>
      </c>
      <c r="CB19" s="49" t="s">
        <v>13</v>
      </c>
      <c r="CC19" s="49" t="s">
        <v>13</v>
      </c>
      <c r="CD19" s="49" t="s">
        <v>13</v>
      </c>
      <c r="CE19" s="49" t="s">
        <v>13</v>
      </c>
      <c r="CF19" s="49" t="s">
        <v>13</v>
      </c>
      <c r="CG19" s="93" t="s">
        <v>20</v>
      </c>
      <c r="CH19" s="49" t="s">
        <v>20</v>
      </c>
      <c r="CI19" s="49" t="s">
        <v>20</v>
      </c>
      <c r="CJ19" s="49" t="s">
        <v>20</v>
      </c>
      <c r="CK19" s="49" t="s">
        <v>20</v>
      </c>
      <c r="CL19" s="49" t="s">
        <v>20</v>
      </c>
      <c r="CM19" s="49" t="s">
        <v>31</v>
      </c>
      <c r="CN19" s="49" t="s">
        <v>31</v>
      </c>
      <c r="CO19" s="49" t="s">
        <v>31</v>
      </c>
      <c r="CP19" s="49" t="s">
        <v>20</v>
      </c>
      <c r="CQ19" s="49" t="s">
        <v>20</v>
      </c>
      <c r="CR19" s="49" t="s">
        <v>20</v>
      </c>
      <c r="CS19" s="49" t="s">
        <v>20</v>
      </c>
      <c r="CT19" s="49" t="s">
        <v>20</v>
      </c>
      <c r="CU19" s="49" t="s">
        <v>20</v>
      </c>
      <c r="CV19" s="49" t="s">
        <v>20</v>
      </c>
      <c r="CW19" s="49" t="s">
        <v>20</v>
      </c>
      <c r="CX19" s="49" t="s">
        <v>20</v>
      </c>
      <c r="CY19" s="49" t="s">
        <v>20</v>
      </c>
      <c r="CZ19" s="49" t="s">
        <v>20</v>
      </c>
      <c r="DA19" s="49" t="s">
        <v>20</v>
      </c>
      <c r="DB19" s="49" t="s">
        <v>20</v>
      </c>
      <c r="DC19" s="49" t="s">
        <v>20</v>
      </c>
      <c r="DD19" s="49" t="s">
        <v>13</v>
      </c>
      <c r="DE19" s="49" t="s">
        <v>20</v>
      </c>
      <c r="DF19" s="49" t="s">
        <v>59</v>
      </c>
      <c r="DG19" s="49" t="s">
        <v>59</v>
      </c>
      <c r="DH19" s="49" t="s">
        <v>59</v>
      </c>
      <c r="DI19" s="49" t="s">
        <v>20</v>
      </c>
      <c r="DJ19" s="49" t="s">
        <v>20</v>
      </c>
      <c r="DK19" s="49" t="s">
        <v>20</v>
      </c>
      <c r="DL19" s="49" t="s">
        <v>20</v>
      </c>
      <c r="DM19" s="49" t="s">
        <v>20</v>
      </c>
      <c r="DN19" s="49" t="s">
        <v>20</v>
      </c>
      <c r="DO19" s="49" t="s">
        <v>20</v>
      </c>
      <c r="DP19" s="49" t="s">
        <v>20</v>
      </c>
      <c r="DQ19" s="49" t="s">
        <v>20</v>
      </c>
      <c r="DR19" s="93" t="s">
        <v>20</v>
      </c>
      <c r="DS19" s="93" t="s">
        <v>20</v>
      </c>
      <c r="DT19" s="49" t="s">
        <v>13</v>
      </c>
      <c r="DU19" s="49" t="s">
        <v>13</v>
      </c>
      <c r="DV19" s="49" t="s">
        <v>20</v>
      </c>
      <c r="DW19" s="49" t="s">
        <v>20</v>
      </c>
      <c r="DX19" s="49" t="s">
        <v>20</v>
      </c>
      <c r="DY19" s="49" t="s">
        <v>20</v>
      </c>
      <c r="DZ19" s="49" t="s">
        <v>20</v>
      </c>
      <c r="EA19" s="49" t="s">
        <v>20</v>
      </c>
      <c r="EB19" s="49" t="s">
        <v>20</v>
      </c>
      <c r="EC19" s="49" t="s">
        <v>20</v>
      </c>
      <c r="ED19" s="49" t="s">
        <v>20</v>
      </c>
      <c r="EE19" s="49" t="s">
        <v>20</v>
      </c>
      <c r="EF19" s="49" t="s">
        <v>20</v>
      </c>
      <c r="EG19" s="49" t="s">
        <v>13</v>
      </c>
      <c r="EH19" s="49" t="s">
        <v>13</v>
      </c>
      <c r="EI19" s="49" t="s">
        <v>20</v>
      </c>
      <c r="EJ19" s="49" t="s">
        <v>20</v>
      </c>
      <c r="EK19" s="49" t="s">
        <v>20</v>
      </c>
      <c r="EL19" s="49" t="s">
        <v>20</v>
      </c>
      <c r="EM19" s="49" t="s">
        <v>20</v>
      </c>
      <c r="EN19" s="49" t="s">
        <v>20</v>
      </c>
      <c r="EO19" s="49" t="s">
        <v>20</v>
      </c>
      <c r="EP19" s="49" t="s">
        <v>20</v>
      </c>
      <c r="EQ19" s="49" t="s">
        <v>20</v>
      </c>
      <c r="ER19" s="49" t="s">
        <v>20</v>
      </c>
      <c r="ES19" s="49" t="s">
        <v>59</v>
      </c>
      <c r="ET19" s="49" t="s">
        <v>20</v>
      </c>
      <c r="EU19" s="49" t="s">
        <v>20</v>
      </c>
      <c r="EV19" s="49" t="s">
        <v>20</v>
      </c>
      <c r="EW19" s="49" t="s">
        <v>20</v>
      </c>
      <c r="EX19" s="49" t="s">
        <v>59</v>
      </c>
      <c r="EY19" s="49" t="s">
        <v>20</v>
      </c>
      <c r="EZ19" s="49" t="s">
        <v>59</v>
      </c>
      <c r="FA19" s="49" t="s">
        <v>20</v>
      </c>
      <c r="FB19" s="49" t="s">
        <v>59</v>
      </c>
      <c r="FC19" s="49" t="s">
        <v>20</v>
      </c>
      <c r="FD19" s="49" t="s">
        <v>59</v>
      </c>
      <c r="FE19" s="49" t="s">
        <v>20</v>
      </c>
      <c r="FF19" s="49" t="s">
        <v>59</v>
      </c>
      <c r="FG19" s="49" t="s">
        <v>59</v>
      </c>
      <c r="FH19" s="49" t="s">
        <v>20</v>
      </c>
      <c r="FI19" s="49" t="s">
        <v>20</v>
      </c>
      <c r="FJ19" s="49" t="s">
        <v>59</v>
      </c>
      <c r="FK19" s="49" t="s">
        <v>59</v>
      </c>
      <c r="FL19" s="49" t="s">
        <v>20</v>
      </c>
      <c r="FM19" s="49" t="s">
        <v>20</v>
      </c>
      <c r="FN19" s="49" t="s">
        <v>59</v>
      </c>
      <c r="FO19" s="49" t="s">
        <v>20</v>
      </c>
      <c r="FP19" s="49" t="s">
        <v>59</v>
      </c>
      <c r="FQ19" s="49" t="s">
        <v>20</v>
      </c>
      <c r="FR19" s="49" t="s">
        <v>20</v>
      </c>
      <c r="FS19" s="111" t="s">
        <v>20</v>
      </c>
      <c r="FT19" s="115" t="s">
        <v>20</v>
      </c>
      <c r="FU19" s="49" t="s">
        <v>20</v>
      </c>
      <c r="FV19" s="49" t="s">
        <v>20</v>
      </c>
      <c r="FW19" s="49" t="s">
        <v>20</v>
      </c>
      <c r="FX19" s="49" t="s">
        <v>20</v>
      </c>
      <c r="FY19" s="49" t="s">
        <v>20</v>
      </c>
      <c r="FZ19" s="49" t="s">
        <v>20</v>
      </c>
      <c r="GA19" s="49" t="s">
        <v>20</v>
      </c>
      <c r="GB19" s="49" t="s">
        <v>20</v>
      </c>
      <c r="GC19" s="49" t="s">
        <v>20</v>
      </c>
      <c r="GD19" s="49" t="s">
        <v>20</v>
      </c>
      <c r="GE19" s="49" t="s">
        <v>20</v>
      </c>
      <c r="GF19" s="49" t="s">
        <v>20</v>
      </c>
      <c r="GG19" s="49" t="s">
        <v>20</v>
      </c>
      <c r="GH19" s="49" t="s">
        <v>20</v>
      </c>
      <c r="GI19" s="49" t="s">
        <v>20</v>
      </c>
      <c r="GJ19" s="49" t="s">
        <v>20</v>
      </c>
      <c r="GK19" s="49" t="s">
        <v>20</v>
      </c>
      <c r="GL19" s="49" t="s">
        <v>20</v>
      </c>
      <c r="GM19" s="118" t="s">
        <v>20</v>
      </c>
      <c r="GN19" s="118" t="s">
        <v>20</v>
      </c>
      <c r="GO19" s="49" t="s">
        <v>20</v>
      </c>
      <c r="GP19" s="118" t="s">
        <v>20</v>
      </c>
      <c r="GQ19" s="118" t="s">
        <v>20</v>
      </c>
      <c r="GR19" s="49" t="s">
        <v>20</v>
      </c>
      <c r="GS19" s="49" t="s">
        <v>20</v>
      </c>
      <c r="GT19" s="49" t="s">
        <v>20</v>
      </c>
      <c r="GU19" s="49" t="s">
        <v>20</v>
      </c>
      <c r="GV19" s="111" t="s">
        <v>20</v>
      </c>
      <c r="GW19" s="49" t="s">
        <v>20</v>
      </c>
      <c r="GX19" s="49" t="s">
        <v>20</v>
      </c>
      <c r="GY19" s="49" t="s">
        <v>20</v>
      </c>
      <c r="GZ19" s="49" t="s">
        <v>20</v>
      </c>
      <c r="HA19" s="49" t="s">
        <v>20</v>
      </c>
      <c r="HB19" s="49" t="s">
        <v>31</v>
      </c>
      <c r="HC19" s="49" t="s">
        <v>59</v>
      </c>
      <c r="HD19" s="49" t="s">
        <v>59</v>
      </c>
      <c r="HE19" s="49" t="s">
        <v>59</v>
      </c>
      <c r="HF19" s="93" t="s">
        <v>20</v>
      </c>
      <c r="HG19" s="93" t="s">
        <v>20</v>
      </c>
      <c r="HH19" s="93" t="s">
        <v>20</v>
      </c>
      <c r="HI19" s="93" t="s">
        <v>20</v>
      </c>
      <c r="HJ19" s="93" t="s">
        <v>59</v>
      </c>
      <c r="HK19" s="93" t="s">
        <v>59</v>
      </c>
      <c r="HL19" s="93" t="s">
        <v>59</v>
      </c>
      <c r="HM19" s="93" t="s">
        <v>59</v>
      </c>
      <c r="HN19" s="93" t="s">
        <v>20</v>
      </c>
      <c r="HO19" s="49" t="s">
        <v>20</v>
      </c>
      <c r="HP19" s="49" t="s">
        <v>20</v>
      </c>
      <c r="HQ19" s="49" t="s">
        <v>20</v>
      </c>
      <c r="HR19" s="49" t="s">
        <v>20</v>
      </c>
      <c r="HS19" s="72" t="s">
        <v>20</v>
      </c>
      <c r="HT19" s="49" t="s">
        <v>59</v>
      </c>
      <c r="HU19" s="49" t="s">
        <v>20</v>
      </c>
      <c r="HV19" s="49" t="s">
        <v>20</v>
      </c>
      <c r="HW19" s="49" t="s">
        <v>59</v>
      </c>
      <c r="HX19" s="49" t="s">
        <v>20</v>
      </c>
      <c r="HY19" s="49" t="s">
        <v>59</v>
      </c>
      <c r="HZ19" s="49" t="s">
        <v>59</v>
      </c>
      <c r="IA19" s="49" t="s">
        <v>59</v>
      </c>
      <c r="IB19" s="93" t="s">
        <v>20</v>
      </c>
      <c r="IC19" s="49" t="s">
        <v>20</v>
      </c>
      <c r="ID19" s="72" t="s">
        <v>20</v>
      </c>
      <c r="IE19" s="93" t="s">
        <v>20</v>
      </c>
      <c r="IF19" s="49" t="s">
        <v>20</v>
      </c>
      <c r="IG19" s="72" t="s">
        <v>59</v>
      </c>
      <c r="IH19" s="49" t="s">
        <v>20</v>
      </c>
      <c r="II19" s="49" t="s">
        <v>59</v>
      </c>
      <c r="IJ19" s="49" t="s">
        <v>31</v>
      </c>
      <c r="IK19" s="49" t="s">
        <v>20</v>
      </c>
      <c r="IL19" s="49" t="s">
        <v>13</v>
      </c>
      <c r="IM19" s="49" t="s">
        <v>20</v>
      </c>
      <c r="IN19" s="49" t="s">
        <v>31</v>
      </c>
      <c r="IO19" s="49" t="s">
        <v>20</v>
      </c>
      <c r="IP19" s="49" t="s">
        <v>214</v>
      </c>
      <c r="IQ19" s="49" t="s">
        <v>214</v>
      </c>
      <c r="IR19" s="49" t="s">
        <v>214</v>
      </c>
      <c r="IS19" s="49" t="s">
        <v>214</v>
      </c>
      <c r="IT19" s="49" t="s">
        <v>214</v>
      </c>
      <c r="IU19" s="49" t="s">
        <v>59</v>
      </c>
      <c r="IV19" s="49" t="s">
        <v>20</v>
      </c>
      <c r="IW19" s="49" t="s">
        <v>20</v>
      </c>
      <c r="IX19" s="49" t="s">
        <v>20</v>
      </c>
      <c r="IY19" s="49" t="s">
        <v>20</v>
      </c>
      <c r="IZ19" s="49" t="s">
        <v>20</v>
      </c>
      <c r="JA19" s="49" t="s">
        <v>20</v>
      </c>
      <c r="JB19" s="49" t="s">
        <v>20</v>
      </c>
      <c r="JC19" s="49"/>
      <c r="JD19" s="49" t="s">
        <v>59</v>
      </c>
      <c r="JE19" s="49" t="s">
        <v>20</v>
      </c>
      <c r="JF19" s="49" t="s">
        <v>20</v>
      </c>
      <c r="JG19" s="101" t="s">
        <v>59</v>
      </c>
      <c r="JH19" s="49" t="s">
        <v>13</v>
      </c>
      <c r="JI19" s="49" t="s">
        <v>13</v>
      </c>
      <c r="JJ19" s="49" t="s">
        <v>13</v>
      </c>
      <c r="JK19" s="49" t="s">
        <v>13</v>
      </c>
      <c r="JL19" s="49" t="s">
        <v>20</v>
      </c>
      <c r="JM19" s="49" t="s">
        <v>20</v>
      </c>
      <c r="JN19" s="49" t="s">
        <v>20</v>
      </c>
      <c r="JO19" s="49" t="s">
        <v>20</v>
      </c>
      <c r="JP19" s="49" t="s">
        <v>20</v>
      </c>
      <c r="JQ19" s="49" t="s">
        <v>20</v>
      </c>
      <c r="JR19" s="49" t="s">
        <v>20</v>
      </c>
      <c r="JS19" s="49" t="s">
        <v>20</v>
      </c>
      <c r="JT19" s="49" t="s">
        <v>20</v>
      </c>
      <c r="JU19" s="49" t="s">
        <v>20</v>
      </c>
      <c r="JV19" s="49" t="s">
        <v>20</v>
      </c>
      <c r="JW19" s="49" t="s">
        <v>20</v>
      </c>
      <c r="JX19" s="49" t="s">
        <v>20</v>
      </c>
      <c r="JY19" s="49" t="s">
        <v>20</v>
      </c>
      <c r="JZ19" s="49" t="s">
        <v>20</v>
      </c>
      <c r="KA19" s="49" t="s">
        <v>20</v>
      </c>
      <c r="KB19" s="49" t="s">
        <v>20</v>
      </c>
      <c r="KC19" s="49" t="s">
        <v>20</v>
      </c>
      <c r="KD19" s="49" t="s">
        <v>20</v>
      </c>
      <c r="KE19" s="49" t="s">
        <v>20</v>
      </c>
      <c r="KF19" s="49" t="s">
        <v>20</v>
      </c>
      <c r="KG19" s="49" t="s">
        <v>20</v>
      </c>
      <c r="KH19" s="49" t="s">
        <v>20</v>
      </c>
      <c r="KI19" s="49" t="s">
        <v>20</v>
      </c>
      <c r="KJ19" s="49" t="s">
        <v>20</v>
      </c>
      <c r="KK19" s="49" t="s">
        <v>20</v>
      </c>
      <c r="KL19" s="49" t="s">
        <v>20</v>
      </c>
      <c r="KM19" s="49" t="s">
        <v>20</v>
      </c>
      <c r="KN19" s="49" t="s">
        <v>20</v>
      </c>
      <c r="KO19" s="49" t="s">
        <v>20</v>
      </c>
      <c r="KP19" s="49" t="s">
        <v>20</v>
      </c>
      <c r="KQ19" s="49" t="s">
        <v>20</v>
      </c>
      <c r="KR19" s="49" t="s">
        <v>20</v>
      </c>
      <c r="KS19" s="122" t="s">
        <v>59</v>
      </c>
      <c r="KT19" s="122" t="s">
        <v>59</v>
      </c>
      <c r="KU19" s="49" t="s">
        <v>20</v>
      </c>
      <c r="KV19" s="49" t="s">
        <v>59</v>
      </c>
      <c r="KW19" s="49" t="s">
        <v>59</v>
      </c>
      <c r="KX19" s="49" t="s">
        <v>20</v>
      </c>
      <c r="KY19" s="49" t="s">
        <v>20</v>
      </c>
      <c r="KZ19" s="49" t="s">
        <v>20</v>
      </c>
    </row>
    <row r="20" spans="1:16383" s="13" customFormat="1" ht="12.1" customHeight="1" x14ac:dyDescent="0.25">
      <c r="A20" s="4" t="s">
        <v>14</v>
      </c>
      <c r="B20" s="175" t="s">
        <v>263</v>
      </c>
      <c r="C20" s="175" t="s">
        <v>1</v>
      </c>
      <c r="D20" s="175" t="s">
        <v>2</v>
      </c>
      <c r="E20" s="176" t="s">
        <v>3</v>
      </c>
      <c r="F20" s="176" t="s">
        <v>379</v>
      </c>
      <c r="G20" s="176" t="s">
        <v>122</v>
      </c>
      <c r="H20" s="176" t="s">
        <v>234</v>
      </c>
      <c r="I20" s="176" t="s">
        <v>77</v>
      </c>
      <c r="J20" s="177" t="s">
        <v>4</v>
      </c>
      <c r="K20" s="177" t="s">
        <v>5</v>
      </c>
      <c r="L20" s="177" t="s">
        <v>71</v>
      </c>
      <c r="M20" s="177" t="s">
        <v>72</v>
      </c>
      <c r="N20" s="177" t="s">
        <v>73</v>
      </c>
      <c r="O20" s="177" t="s">
        <v>102</v>
      </c>
      <c r="P20" s="177" t="s">
        <v>103</v>
      </c>
      <c r="Q20" s="177" t="s">
        <v>104</v>
      </c>
      <c r="R20" s="177" t="s">
        <v>105</v>
      </c>
      <c r="S20" s="177" t="s">
        <v>110</v>
      </c>
      <c r="T20" s="177" t="s">
        <v>63</v>
      </c>
      <c r="U20" s="177" t="s">
        <v>8</v>
      </c>
      <c r="V20" s="177" t="s">
        <v>9</v>
      </c>
      <c r="W20" s="177" t="s">
        <v>106</v>
      </c>
      <c r="X20" s="177" t="s">
        <v>21</v>
      </c>
      <c r="Y20" s="177" t="s">
        <v>254</v>
      </c>
      <c r="Z20" s="177" t="s">
        <v>6</v>
      </c>
      <c r="AA20" s="177" t="s">
        <v>7</v>
      </c>
      <c r="AB20" s="177" t="s">
        <v>107</v>
      </c>
      <c r="AC20" s="177" t="s">
        <v>19</v>
      </c>
      <c r="AD20" s="177" t="s">
        <v>261</v>
      </c>
      <c r="AE20" s="177" t="s">
        <v>22</v>
      </c>
      <c r="AF20" s="177" t="s">
        <v>126</v>
      </c>
      <c r="AG20" s="177" t="s">
        <v>23</v>
      </c>
      <c r="AH20" s="177" t="s">
        <v>75</v>
      </c>
      <c r="AI20" s="177" t="s">
        <v>108</v>
      </c>
      <c r="AJ20" s="177" t="s">
        <v>109</v>
      </c>
      <c r="AK20" s="177" t="s">
        <v>880</v>
      </c>
      <c r="AL20" s="177" t="s">
        <v>259</v>
      </c>
      <c r="AM20" s="177" t="s">
        <v>260</v>
      </c>
      <c r="AN20" s="177" t="s">
        <v>70</v>
      </c>
      <c r="AO20" s="177" t="s">
        <v>34</v>
      </c>
      <c r="AP20" s="177" t="s">
        <v>35</v>
      </c>
      <c r="AQ20" s="177" t="s">
        <v>144</v>
      </c>
      <c r="AR20" s="177" t="s">
        <v>96</v>
      </c>
      <c r="AS20" s="177" t="s">
        <v>41</v>
      </c>
      <c r="AT20" s="177" t="s">
        <v>127</v>
      </c>
      <c r="AU20" s="177" t="s">
        <v>117</v>
      </c>
      <c r="AV20" s="177" t="s">
        <v>142</v>
      </c>
      <c r="AW20" s="177" t="s">
        <v>95</v>
      </c>
      <c r="AX20" s="177" t="s">
        <v>39</v>
      </c>
      <c r="AY20" s="177" t="s">
        <v>143</v>
      </c>
      <c r="AZ20" s="177" t="s">
        <v>36</v>
      </c>
      <c r="BA20" s="177" t="s">
        <v>37</v>
      </c>
      <c r="BB20" s="177" t="s">
        <v>135</v>
      </c>
      <c r="BC20" s="177" t="s">
        <v>435</v>
      </c>
      <c r="BD20" s="177" t="s">
        <v>1133</v>
      </c>
      <c r="BE20" s="177" t="s">
        <v>93</v>
      </c>
      <c r="BF20" s="177" t="s">
        <v>1014</v>
      </c>
      <c r="BG20" s="177" t="s">
        <v>64</v>
      </c>
      <c r="BH20" s="177" t="s">
        <v>65</v>
      </c>
      <c r="BI20" s="177" t="s">
        <v>1189</v>
      </c>
      <c r="BJ20" s="177" t="s">
        <v>1190</v>
      </c>
      <c r="BK20" s="177" t="s">
        <v>1191</v>
      </c>
      <c r="BL20" s="177" t="s">
        <v>2771</v>
      </c>
      <c r="BM20" s="177" t="s">
        <v>128</v>
      </c>
      <c r="BN20" s="177" t="s">
        <v>40</v>
      </c>
      <c r="BO20" s="177" t="s">
        <v>38</v>
      </c>
      <c r="BP20" s="177" t="s">
        <v>46</v>
      </c>
      <c r="BQ20" s="177" t="s">
        <v>42</v>
      </c>
      <c r="BR20" s="177" t="s">
        <v>43</v>
      </c>
      <c r="BS20" s="177" t="s">
        <v>44</v>
      </c>
      <c r="BT20" s="177" t="s">
        <v>438</v>
      </c>
      <c r="BU20" s="177"/>
      <c r="BV20" s="177" t="s">
        <v>67</v>
      </c>
      <c r="BW20" s="177" t="s">
        <v>68</v>
      </c>
      <c r="BX20" s="177" t="s">
        <v>136</v>
      </c>
      <c r="BY20" s="177" t="s">
        <v>208</v>
      </c>
      <c r="BZ20" s="177" t="s">
        <v>301</v>
      </c>
      <c r="CA20" s="177" t="s">
        <v>676</v>
      </c>
      <c r="CB20" s="177" t="s">
        <v>268</v>
      </c>
      <c r="CC20" s="177" t="s">
        <v>101</v>
      </c>
      <c r="CD20" s="177" t="s">
        <v>269</v>
      </c>
      <c r="CE20" s="177" t="s">
        <v>599</v>
      </c>
      <c r="CF20" s="177" t="s">
        <v>590</v>
      </c>
      <c r="CG20" s="177" t="s">
        <v>24</v>
      </c>
      <c r="CH20" s="177" t="s">
        <v>26</v>
      </c>
      <c r="CI20" s="177" t="s">
        <v>28</v>
      </c>
      <c r="CJ20" s="177" t="s">
        <v>25</v>
      </c>
      <c r="CK20" s="177" t="s">
        <v>27</v>
      </c>
      <c r="CL20" s="177" t="s">
        <v>29</v>
      </c>
      <c r="CM20" s="177" t="s">
        <v>30</v>
      </c>
      <c r="CN20" s="177" t="s">
        <v>32</v>
      </c>
      <c r="CO20" s="177" t="s">
        <v>33</v>
      </c>
      <c r="CP20" s="177" t="s">
        <v>681</v>
      </c>
      <c r="CQ20" s="177" t="s">
        <v>682</v>
      </c>
      <c r="CR20" s="177" t="s">
        <v>276</v>
      </c>
      <c r="CS20" s="177" t="s">
        <v>1112</v>
      </c>
      <c r="CT20" s="177" t="s">
        <v>1055</v>
      </c>
      <c r="CU20" s="177" t="s">
        <v>1070</v>
      </c>
      <c r="CV20" s="177" t="s">
        <v>47</v>
      </c>
      <c r="CW20" s="177" t="s">
        <v>48</v>
      </c>
      <c r="CX20" s="177" t="s">
        <v>57</v>
      </c>
      <c r="CY20" s="177" t="s">
        <v>58</v>
      </c>
      <c r="CZ20" s="177" t="s">
        <v>183</v>
      </c>
      <c r="DA20" s="177" t="s">
        <v>187</v>
      </c>
      <c r="DB20" s="177" t="s">
        <v>49</v>
      </c>
      <c r="DC20" s="177" t="s">
        <v>190</v>
      </c>
      <c r="DD20" s="177" t="s">
        <v>179</v>
      </c>
      <c r="DE20" s="177" t="s">
        <v>192</v>
      </c>
      <c r="DF20" s="177"/>
      <c r="DG20" s="177"/>
      <c r="DH20" s="177"/>
      <c r="DI20" s="177" t="s">
        <v>257</v>
      </c>
      <c r="DJ20" s="177" t="s">
        <v>194</v>
      </c>
      <c r="DK20" s="177" t="s">
        <v>195</v>
      </c>
      <c r="DL20" s="177" t="s">
        <v>196</v>
      </c>
      <c r="DM20" s="177" t="s">
        <v>253</v>
      </c>
      <c r="DN20" s="177" t="s">
        <v>197</v>
      </c>
      <c r="DO20" s="177" t="s">
        <v>474</v>
      </c>
      <c r="DP20" s="177" t="s">
        <v>595</v>
      </c>
      <c r="DQ20" s="177" t="s">
        <v>97</v>
      </c>
      <c r="DR20" s="179" t="s">
        <v>79</v>
      </c>
      <c r="DS20" s="179" t="s">
        <v>80</v>
      </c>
      <c r="DT20" s="177" t="s">
        <v>289</v>
      </c>
      <c r="DU20" s="177" t="s">
        <v>290</v>
      </c>
      <c r="DV20" s="177" t="s">
        <v>2317</v>
      </c>
      <c r="DW20" s="177" t="s">
        <v>1049</v>
      </c>
      <c r="DX20" s="177" t="s">
        <v>410</v>
      </c>
      <c r="DY20" s="177" t="s">
        <v>225</v>
      </c>
      <c r="DZ20" s="177" t="s">
        <v>314</v>
      </c>
      <c r="EA20" s="177" t="s">
        <v>211</v>
      </c>
      <c r="EB20" s="177" t="s">
        <v>213</v>
      </c>
      <c r="EC20" s="177" t="s">
        <v>239</v>
      </c>
      <c r="ED20" s="177" t="s">
        <v>240</v>
      </c>
      <c r="EE20" s="177" t="s">
        <v>313</v>
      </c>
      <c r="EF20" s="177" t="s">
        <v>238</v>
      </c>
      <c r="EG20" s="177" t="s">
        <v>316</v>
      </c>
      <c r="EH20" s="177" t="s">
        <v>317</v>
      </c>
      <c r="EI20" s="177" t="s">
        <v>325</v>
      </c>
      <c r="EJ20" s="177" t="s">
        <v>224</v>
      </c>
      <c r="EK20" s="177" t="s">
        <v>326</v>
      </c>
      <c r="EL20" s="177" t="s">
        <v>1050</v>
      </c>
      <c r="EM20" s="177" t="s">
        <v>445</v>
      </c>
      <c r="EN20" s="177" t="s">
        <v>1163</v>
      </c>
      <c r="EO20" s="177" t="s">
        <v>159</v>
      </c>
      <c r="EP20" s="177" t="s">
        <v>443</v>
      </c>
      <c r="EQ20" s="177" t="s">
        <v>444</v>
      </c>
      <c r="ER20" s="177" t="s">
        <v>62</v>
      </c>
      <c r="ES20" s="177"/>
      <c r="ET20" s="177" t="s">
        <v>346</v>
      </c>
      <c r="EU20" s="177" t="s">
        <v>312</v>
      </c>
      <c r="EV20" s="177" t="s">
        <v>150</v>
      </c>
      <c r="EW20" s="177" t="s">
        <v>878</v>
      </c>
      <c r="EX20" s="177"/>
      <c r="EY20" s="177" t="s">
        <v>877</v>
      </c>
      <c r="EZ20" s="177"/>
      <c r="FA20" s="177" t="s">
        <v>876</v>
      </c>
      <c r="FB20" s="177"/>
      <c r="FC20" s="177" t="s">
        <v>153</v>
      </c>
      <c r="FD20" s="177"/>
      <c r="FE20" s="177" t="s">
        <v>302</v>
      </c>
      <c r="FF20" s="177"/>
      <c r="FG20" s="177"/>
      <c r="FH20" s="177" t="s">
        <v>305</v>
      </c>
      <c r="FI20" s="177" t="s">
        <v>311</v>
      </c>
      <c r="FJ20" s="177"/>
      <c r="FK20" s="177"/>
      <c r="FL20" s="177" t="s">
        <v>303</v>
      </c>
      <c r="FM20" s="177" t="s">
        <v>304</v>
      </c>
      <c r="FN20" s="177"/>
      <c r="FO20" s="177" t="s">
        <v>154</v>
      </c>
      <c r="FP20" s="177"/>
      <c r="FQ20" s="395" t="s">
        <v>98</v>
      </c>
      <c r="FR20" s="395" t="s">
        <v>99</v>
      </c>
      <c r="FS20" s="182" t="s">
        <v>330</v>
      </c>
      <c r="FT20" s="395" t="s">
        <v>332</v>
      </c>
      <c r="FU20" s="395" t="s">
        <v>1155</v>
      </c>
      <c r="FV20" s="177" t="s">
        <v>718</v>
      </c>
      <c r="FW20" s="177" t="s">
        <v>1151</v>
      </c>
      <c r="FX20" s="177" t="s">
        <v>1156</v>
      </c>
      <c r="FY20" s="177" t="s">
        <v>1073</v>
      </c>
      <c r="FZ20" s="177" t="s">
        <v>899</v>
      </c>
      <c r="GA20" s="177" t="s">
        <v>1011</v>
      </c>
      <c r="GB20" s="177" t="s">
        <v>1006</v>
      </c>
      <c r="GC20" s="177" t="s">
        <v>1157</v>
      </c>
      <c r="GD20" s="177" t="s">
        <v>1007</v>
      </c>
      <c r="GE20" s="177" t="s">
        <v>1158</v>
      </c>
      <c r="GF20" s="177" t="s">
        <v>1008</v>
      </c>
      <c r="GG20" s="177" t="s">
        <v>864</v>
      </c>
      <c r="GH20" s="177" t="s">
        <v>734</v>
      </c>
      <c r="GI20" s="177" t="s">
        <v>1135</v>
      </c>
      <c r="GJ20" s="177" t="s">
        <v>1160</v>
      </c>
      <c r="GK20" s="177" t="s">
        <v>82</v>
      </c>
      <c r="GL20" s="177" t="s">
        <v>81</v>
      </c>
      <c r="GM20" s="396" t="s">
        <v>226</v>
      </c>
      <c r="GN20" s="396" t="s">
        <v>337</v>
      </c>
      <c r="GO20" s="396" t="s">
        <v>456</v>
      </c>
      <c r="GP20" s="396" t="s">
        <v>333</v>
      </c>
      <c r="GQ20" s="396" t="s">
        <v>334</v>
      </c>
      <c r="GR20" s="177" t="s">
        <v>437</v>
      </c>
      <c r="GS20" s="177" t="s">
        <v>50</v>
      </c>
      <c r="GT20" s="177" t="s">
        <v>111</v>
      </c>
      <c r="GU20" s="177" t="s">
        <v>357</v>
      </c>
      <c r="GV20" s="182" t="s">
        <v>348</v>
      </c>
      <c r="GW20" s="182" t="s">
        <v>349</v>
      </c>
      <c r="GX20" s="182" t="s">
        <v>446</v>
      </c>
      <c r="GY20" s="182" t="s">
        <v>453</v>
      </c>
      <c r="GZ20" s="182" t="s">
        <v>350</v>
      </c>
      <c r="HA20" s="182" t="s">
        <v>351</v>
      </c>
      <c r="HB20" s="177" t="s">
        <v>145</v>
      </c>
      <c r="HC20" s="177"/>
      <c r="HD20" s="177"/>
      <c r="HE20" s="177"/>
      <c r="HF20" s="177" t="s">
        <v>198</v>
      </c>
      <c r="HG20" s="177" t="s">
        <v>146</v>
      </c>
      <c r="HH20" s="177" t="s">
        <v>147</v>
      </c>
      <c r="HI20" s="179" t="s">
        <v>100</v>
      </c>
      <c r="HJ20" s="179"/>
      <c r="HK20" s="179"/>
      <c r="HL20" s="179"/>
      <c r="HM20" s="179"/>
      <c r="HN20" s="179" t="s">
        <v>235</v>
      </c>
      <c r="HO20" s="177" t="s">
        <v>450</v>
      </c>
      <c r="HP20" s="177" t="s">
        <v>51</v>
      </c>
      <c r="HQ20" s="177" t="s">
        <v>353</v>
      </c>
      <c r="HR20" s="177" t="s">
        <v>354</v>
      </c>
      <c r="HS20" s="177" t="s">
        <v>719</v>
      </c>
      <c r="HT20" s="177"/>
      <c r="HU20" s="177" t="s">
        <v>931</v>
      </c>
      <c r="HV20" s="177" t="s">
        <v>928</v>
      </c>
      <c r="HW20" s="177"/>
      <c r="HX20" s="177" t="s">
        <v>199</v>
      </c>
      <c r="HY20" s="177"/>
      <c r="HZ20" s="177"/>
      <c r="IA20" s="177"/>
      <c r="IB20" s="177" t="s">
        <v>202</v>
      </c>
      <c r="IC20" s="177" t="s">
        <v>203</v>
      </c>
      <c r="ID20" s="177" t="s">
        <v>451</v>
      </c>
      <c r="IE20" s="177" t="s">
        <v>200</v>
      </c>
      <c r="IF20" s="177" t="s">
        <v>201</v>
      </c>
      <c r="IG20" s="177"/>
      <c r="IH20" s="177" t="s">
        <v>355</v>
      </c>
      <c r="II20" s="177"/>
      <c r="IJ20" s="177" t="s">
        <v>52</v>
      </c>
      <c r="IK20" s="177" t="s">
        <v>53</v>
      </c>
      <c r="IL20" s="177" t="s">
        <v>113</v>
      </c>
      <c r="IM20" s="177" t="s">
        <v>123</v>
      </c>
      <c r="IN20" s="177" t="s">
        <v>124</v>
      </c>
      <c r="IO20" s="177" t="s">
        <v>452</v>
      </c>
      <c r="IP20" s="177" t="s">
        <v>116</v>
      </c>
      <c r="IQ20" s="177" t="s">
        <v>83</v>
      </c>
      <c r="IR20" s="177" t="s">
        <v>84</v>
      </c>
      <c r="IS20" s="177" t="s">
        <v>85</v>
      </c>
      <c r="IT20" s="177" t="s">
        <v>86</v>
      </c>
      <c r="IU20" s="177"/>
      <c r="IV20" s="177" t="s">
        <v>87</v>
      </c>
      <c r="IW20" s="177" t="s">
        <v>88</v>
      </c>
      <c r="IX20" s="177" t="s">
        <v>89</v>
      </c>
      <c r="IY20" s="177" t="s">
        <v>90</v>
      </c>
      <c r="IZ20" s="177" t="s">
        <v>125</v>
      </c>
      <c r="JA20" s="177" t="s">
        <v>358</v>
      </c>
      <c r="JB20" s="177" t="s">
        <v>583</v>
      </c>
      <c r="JC20" s="177"/>
      <c r="JD20" s="177"/>
      <c r="JE20" s="177" t="s">
        <v>300</v>
      </c>
      <c r="JF20" s="177" t="s">
        <v>298</v>
      </c>
      <c r="JG20" s="180"/>
      <c r="JH20" s="177" t="s">
        <v>296</v>
      </c>
      <c r="JI20" s="177" t="s">
        <v>297</v>
      </c>
      <c r="JJ20" s="177" t="s">
        <v>299</v>
      </c>
      <c r="JK20" s="177" t="s">
        <v>1169</v>
      </c>
      <c r="JL20" s="177" t="s">
        <v>1121</v>
      </c>
      <c r="JM20" s="177" t="s">
        <v>54</v>
      </c>
      <c r="JN20" s="177" t="s">
        <v>55</v>
      </c>
      <c r="JO20" s="177" t="s">
        <v>361</v>
      </c>
      <c r="JP20" s="177" t="s">
        <v>362</v>
      </c>
      <c r="JQ20" s="177" t="s">
        <v>363</v>
      </c>
      <c r="JR20" s="177" t="s">
        <v>364</v>
      </c>
      <c r="JS20" s="177" t="s">
        <v>365</v>
      </c>
      <c r="JT20" s="177" t="s">
        <v>366</v>
      </c>
      <c r="JU20" s="177" t="s">
        <v>56</v>
      </c>
      <c r="JV20" s="177" t="s">
        <v>359</v>
      </c>
      <c r="JW20" s="177" t="s">
        <v>76</v>
      </c>
      <c r="JX20" s="177" t="s">
        <v>45</v>
      </c>
      <c r="JY20" s="177" t="s">
        <v>360</v>
      </c>
      <c r="JZ20" s="177" t="s">
        <v>204</v>
      </c>
      <c r="KA20" s="177" t="s">
        <v>205</v>
      </c>
      <c r="KB20" s="177" t="s">
        <v>802</v>
      </c>
      <c r="KC20" s="177" t="s">
        <v>801</v>
      </c>
      <c r="KD20" s="177" t="s">
        <v>1100</v>
      </c>
      <c r="KE20" s="177" t="s">
        <v>800</v>
      </c>
      <c r="KF20" s="177" t="s">
        <v>1101</v>
      </c>
      <c r="KG20" s="177" t="s">
        <v>1102</v>
      </c>
      <c r="KH20" s="177" t="s">
        <v>1103</v>
      </c>
      <c r="KI20" s="177" t="s">
        <v>1104</v>
      </c>
      <c r="KJ20" s="177" t="s">
        <v>1105</v>
      </c>
      <c r="KK20" s="177" t="s">
        <v>1106</v>
      </c>
      <c r="KL20" s="177" t="s">
        <v>1107</v>
      </c>
      <c r="KM20" s="177" t="s">
        <v>803</v>
      </c>
      <c r="KN20" s="177" t="s">
        <v>804</v>
      </c>
      <c r="KO20" s="177" t="s">
        <v>805</v>
      </c>
      <c r="KP20" s="177" t="s">
        <v>806</v>
      </c>
      <c r="KQ20" s="177" t="s">
        <v>1818</v>
      </c>
      <c r="KR20" s="177" t="s">
        <v>807</v>
      </c>
      <c r="KS20" s="178"/>
      <c r="KT20" s="178"/>
      <c r="KU20" s="177" t="s">
        <v>2315</v>
      </c>
      <c r="KV20" s="177"/>
      <c r="KW20" s="177"/>
      <c r="KX20" s="177" t="s">
        <v>2791</v>
      </c>
      <c r="KY20" s="177" t="s">
        <v>2786</v>
      </c>
      <c r="KZ20" s="177" t="s">
        <v>2785</v>
      </c>
    </row>
    <row r="21" spans="1:16383" x14ac:dyDescent="0.2">
      <c r="KS21"/>
      <c r="KT21"/>
    </row>
    <row r="22" spans="1:16383" x14ac:dyDescent="0.2">
      <c r="KS22"/>
      <c r="KT22"/>
    </row>
    <row r="23" spans="1:16383" s="582" customFormat="1" x14ac:dyDescent="0.2">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c r="WK23"/>
      <c r="WL23"/>
      <c r="WM23"/>
      <c r="WN23"/>
      <c r="WO23"/>
      <c r="WP23"/>
      <c r="WQ23"/>
      <c r="WR23"/>
      <c r="WS23"/>
      <c r="WT23"/>
      <c r="WU23"/>
      <c r="WV23"/>
      <c r="WW23"/>
      <c r="WX23"/>
      <c r="WY23"/>
      <c r="WZ23"/>
      <c r="XA23"/>
      <c r="XB23"/>
      <c r="XC23"/>
      <c r="XD23"/>
      <c r="XE23"/>
      <c r="XF23"/>
      <c r="XG23"/>
      <c r="XH23"/>
      <c r="XI23"/>
      <c r="XJ23"/>
      <c r="XK23"/>
      <c r="XL23"/>
      <c r="XM23"/>
      <c r="XN23"/>
      <c r="XO23"/>
      <c r="XP23"/>
      <c r="XQ23"/>
      <c r="XR23"/>
      <c r="XS23"/>
      <c r="XT23"/>
      <c r="XU23"/>
      <c r="XV23"/>
      <c r="XW23"/>
      <c r="XX23"/>
      <c r="XY23"/>
      <c r="XZ23"/>
      <c r="YA23"/>
      <c r="YB23"/>
      <c r="YC23"/>
      <c r="YD23"/>
      <c r="YE23"/>
      <c r="YF23"/>
      <c r="YG23"/>
      <c r="YH23"/>
      <c r="YI23"/>
      <c r="YJ23"/>
      <c r="YK23"/>
      <c r="YL23"/>
      <c r="YM23"/>
      <c r="YN23"/>
      <c r="YO23"/>
      <c r="YP23"/>
      <c r="YQ23"/>
      <c r="YR23"/>
      <c r="YS23"/>
      <c r="YT23"/>
      <c r="YU23"/>
      <c r="YV23"/>
      <c r="YW23"/>
      <c r="YX23"/>
      <c r="YY23"/>
      <c r="YZ23"/>
      <c r="ZA23"/>
      <c r="ZB23"/>
      <c r="ZC23"/>
      <c r="ZD23"/>
      <c r="ZE23"/>
      <c r="ZF23"/>
      <c r="ZG23"/>
      <c r="ZH23"/>
      <c r="ZI23"/>
      <c r="ZJ23"/>
      <c r="ZK23"/>
      <c r="ZL23"/>
      <c r="ZM23"/>
      <c r="ZN23"/>
      <c r="ZO23"/>
      <c r="ZP23"/>
      <c r="ZQ23"/>
      <c r="ZR23"/>
      <c r="ZS23"/>
      <c r="ZT23"/>
      <c r="ZU23"/>
      <c r="ZV23"/>
      <c r="ZW23"/>
      <c r="ZX23"/>
      <c r="ZY23"/>
      <c r="ZZ23"/>
      <c r="AAA23"/>
      <c r="AAB23"/>
      <c r="AAC23"/>
      <c r="AAD23"/>
      <c r="AAE23"/>
      <c r="AAF23"/>
      <c r="AAG23"/>
      <c r="AAH23"/>
      <c r="AAI23"/>
      <c r="AAJ23"/>
      <c r="AAK23"/>
      <c r="AAL23"/>
      <c r="AAM23"/>
      <c r="AAN23"/>
      <c r="AAO23"/>
      <c r="AAP23"/>
      <c r="AAQ23"/>
      <c r="AAR23"/>
      <c r="AAS23"/>
      <c r="AAT23"/>
      <c r="AAU23"/>
      <c r="AAV23"/>
      <c r="AAW23"/>
      <c r="AAX23"/>
      <c r="AAY23"/>
      <c r="AAZ23"/>
      <c r="ABA23"/>
      <c r="ABB23"/>
      <c r="ABC23"/>
      <c r="ABD23"/>
      <c r="ABE23"/>
      <c r="ABF23"/>
      <c r="ABG23"/>
      <c r="ABH23"/>
      <c r="ABI23"/>
      <c r="ABJ23"/>
      <c r="ABK23"/>
      <c r="ABL23"/>
      <c r="ABM23"/>
      <c r="ABN23"/>
      <c r="ABO23"/>
      <c r="ABP23"/>
      <c r="ABQ23"/>
      <c r="ABR23"/>
      <c r="ABS23"/>
      <c r="ABT23"/>
      <c r="ABU23"/>
      <c r="ABV23"/>
      <c r="ABW23"/>
      <c r="ABX23"/>
      <c r="ABY23"/>
      <c r="ABZ23"/>
      <c r="ACA23"/>
      <c r="ACB23"/>
      <c r="ACC23"/>
      <c r="ACD23"/>
      <c r="ACE23"/>
      <c r="ACF23"/>
      <c r="ACG23"/>
      <c r="ACH23"/>
      <c r="ACI23"/>
      <c r="ACJ23"/>
      <c r="ACK23"/>
      <c r="ACL23"/>
      <c r="ACM23"/>
      <c r="ACN23"/>
      <c r="ACO23"/>
      <c r="ACP23"/>
      <c r="ACQ23"/>
      <c r="ACR23"/>
      <c r="ACS23"/>
      <c r="ACT23"/>
      <c r="ACU23"/>
      <c r="ACV23"/>
      <c r="ACW23"/>
      <c r="ACX23"/>
      <c r="ACY23"/>
      <c r="ACZ23"/>
      <c r="ADA23"/>
      <c r="ADB23"/>
      <c r="ADC23"/>
      <c r="ADD23"/>
      <c r="ADE23"/>
      <c r="ADF23"/>
      <c r="ADG23"/>
      <c r="ADH23"/>
      <c r="ADI23"/>
      <c r="ADJ23"/>
      <c r="ADK23"/>
      <c r="ADL23"/>
      <c r="ADM23"/>
      <c r="ADN23"/>
      <c r="ADO23"/>
      <c r="ADP23"/>
      <c r="ADQ23"/>
      <c r="ADR23"/>
      <c r="ADS23"/>
      <c r="ADT23"/>
      <c r="ADU23"/>
      <c r="ADV23"/>
      <c r="ADW23"/>
      <c r="ADX23"/>
      <c r="ADY23"/>
      <c r="ADZ23"/>
      <c r="AEA23"/>
      <c r="AEB23"/>
      <c r="AEC23"/>
      <c r="AED23"/>
      <c r="AEE23"/>
      <c r="AEF23"/>
      <c r="AEG23"/>
      <c r="AEH23"/>
      <c r="AEI23"/>
      <c r="AEJ23"/>
      <c r="AEK23"/>
      <c r="AEL23"/>
      <c r="AEM23"/>
      <c r="AEN23"/>
      <c r="AEO23"/>
      <c r="AEP23"/>
      <c r="AEQ23"/>
      <c r="AER23"/>
      <c r="AES23"/>
      <c r="AET23"/>
      <c r="AEU23"/>
      <c r="AEV23"/>
      <c r="AEW23"/>
      <c r="AEX23"/>
      <c r="AEY23"/>
      <c r="AEZ23"/>
      <c r="AFA23"/>
      <c r="AFB23"/>
      <c r="AFC23"/>
      <c r="AFD23"/>
      <c r="AFE23"/>
      <c r="AFF23"/>
      <c r="AFG23"/>
      <c r="AFH23"/>
      <c r="AFI23"/>
      <c r="AFJ23"/>
      <c r="AFK23"/>
      <c r="AFL23"/>
      <c r="AFM23"/>
      <c r="AFN23"/>
      <c r="AFO23"/>
      <c r="AFP23"/>
      <c r="AFQ23"/>
      <c r="AFR23"/>
      <c r="AFS23"/>
      <c r="AFT23"/>
      <c r="AFU23"/>
      <c r="AFV23"/>
      <c r="AFW23"/>
      <c r="AFX23"/>
      <c r="AFY23"/>
      <c r="AFZ23"/>
      <c r="AGA23"/>
      <c r="AGB23"/>
      <c r="AGC23"/>
      <c r="AGD23"/>
      <c r="AGE23"/>
      <c r="AGF23"/>
      <c r="AGG23"/>
      <c r="AGH23"/>
      <c r="AGI23"/>
      <c r="AGJ23"/>
      <c r="AGK23"/>
      <c r="AGL23"/>
      <c r="AGM23"/>
      <c r="AGN23"/>
      <c r="AGO23"/>
      <c r="AGP23"/>
      <c r="AGQ23"/>
      <c r="AGR23"/>
      <c r="AGS23"/>
      <c r="AGT23"/>
      <c r="AGU23"/>
      <c r="AGV23"/>
      <c r="AGW23"/>
      <c r="AGX23"/>
      <c r="AGY23"/>
      <c r="AGZ23"/>
      <c r="AHA23"/>
      <c r="AHB23"/>
      <c r="AHC23"/>
      <c r="AHD23"/>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c r="AMK23"/>
      <c r="AML23"/>
      <c r="AMM23"/>
      <c r="AMN23"/>
      <c r="AMO23"/>
      <c r="AMP23"/>
      <c r="AMQ23"/>
      <c r="AMR23"/>
      <c r="AMS23"/>
      <c r="AMT23"/>
      <c r="AMU23"/>
      <c r="AMV23"/>
      <c r="AMW23"/>
      <c r="AMX23"/>
      <c r="AMY23"/>
      <c r="AMZ23"/>
      <c r="ANA23"/>
      <c r="ANB23"/>
      <c r="ANC23"/>
      <c r="AND23"/>
      <c r="ANE23"/>
      <c r="ANF23"/>
      <c r="ANG23"/>
      <c r="ANH23"/>
      <c r="ANI23"/>
      <c r="ANJ23"/>
      <c r="ANK23"/>
      <c r="ANL23"/>
      <c r="ANM23"/>
      <c r="ANN23"/>
      <c r="ANO23"/>
      <c r="ANP23"/>
      <c r="ANQ23"/>
      <c r="ANR23"/>
      <c r="ANS23"/>
      <c r="ANT23"/>
      <c r="ANU23"/>
      <c r="ANV23"/>
      <c r="ANW23"/>
      <c r="ANX23"/>
      <c r="ANY23"/>
      <c r="ANZ23"/>
      <c r="AOA23"/>
      <c r="AOB23"/>
      <c r="AOC23"/>
      <c r="AOD23"/>
      <c r="AOE23"/>
      <c r="AOF23"/>
      <c r="AOG23"/>
      <c r="AOH23"/>
      <c r="AOI23"/>
      <c r="AOJ23"/>
      <c r="AOK23"/>
      <c r="AOL23"/>
      <c r="AOM23"/>
      <c r="AON23"/>
      <c r="AOO23"/>
      <c r="AOP23"/>
      <c r="AOQ23"/>
      <c r="AOR23"/>
      <c r="AOS23"/>
      <c r="AOT23"/>
      <c r="AOU23"/>
      <c r="AOV23"/>
      <c r="AOW23"/>
      <c r="AOX23"/>
      <c r="AOY23"/>
      <c r="AOZ23"/>
      <c r="APA23"/>
      <c r="APB23"/>
      <c r="APC23"/>
      <c r="APD23"/>
      <c r="APE23"/>
      <c r="APF23"/>
      <c r="APG23"/>
      <c r="APH23"/>
      <c r="API23"/>
      <c r="APJ23"/>
      <c r="APK23"/>
      <c r="APL23"/>
      <c r="APM23"/>
      <c r="APN23"/>
      <c r="APO23"/>
      <c r="APP23"/>
      <c r="APQ23"/>
      <c r="APR23"/>
      <c r="APS23"/>
      <c r="APT23"/>
      <c r="APU23"/>
      <c r="APV23"/>
      <c r="APW23"/>
      <c r="APX23"/>
      <c r="APY23"/>
      <c r="APZ23"/>
      <c r="AQA23"/>
      <c r="AQB23"/>
      <c r="AQC23"/>
      <c r="AQD23"/>
      <c r="AQE23"/>
      <c r="AQF23"/>
      <c r="AQG23"/>
      <c r="AQH23"/>
      <c r="AQI23"/>
      <c r="AQJ23"/>
      <c r="AQK23"/>
      <c r="AQL23"/>
      <c r="AQM23"/>
      <c r="AQN23"/>
      <c r="AQO23"/>
      <c r="AQP23"/>
      <c r="AQQ23"/>
      <c r="AQR23"/>
      <c r="AQS23"/>
      <c r="AQT23"/>
      <c r="AQU23"/>
      <c r="AQV23"/>
      <c r="AQW23"/>
      <c r="AQX23"/>
      <c r="AQY23"/>
      <c r="AQZ23"/>
      <c r="ARA23"/>
      <c r="ARB23"/>
      <c r="ARC23"/>
      <c r="ARD23"/>
      <c r="ARE23"/>
      <c r="ARF23"/>
      <c r="ARG23"/>
      <c r="ARH23"/>
      <c r="ARI23"/>
      <c r="ARJ23"/>
      <c r="ARK23"/>
      <c r="ARL23"/>
      <c r="ARM23"/>
      <c r="ARN23"/>
      <c r="ARO23"/>
      <c r="ARP23"/>
      <c r="ARQ23"/>
      <c r="ARR23"/>
      <c r="ARS23"/>
      <c r="ART23"/>
      <c r="ARU23"/>
      <c r="ARV23"/>
      <c r="ARW23"/>
      <c r="ARX23"/>
      <c r="ARY23"/>
      <c r="ARZ23"/>
      <c r="ASA23"/>
      <c r="ASB23"/>
      <c r="ASC23"/>
      <c r="ASD23"/>
      <c r="ASE23"/>
      <c r="ASF23"/>
      <c r="ASG23"/>
      <c r="ASH23"/>
      <c r="ASI23"/>
      <c r="ASJ23"/>
      <c r="ASK23"/>
      <c r="ASL23"/>
      <c r="ASM23"/>
      <c r="ASN23"/>
      <c r="ASO23"/>
      <c r="ASP23"/>
      <c r="ASQ23"/>
      <c r="ASR23"/>
      <c r="ASS23"/>
      <c r="AST23"/>
      <c r="ASU23"/>
      <c r="ASV23"/>
      <c r="ASW23"/>
      <c r="ASX23"/>
      <c r="ASY23"/>
      <c r="ASZ23"/>
      <c r="ATA23"/>
      <c r="ATB23"/>
      <c r="ATC23"/>
      <c r="ATD23"/>
      <c r="ATE23"/>
      <c r="ATF23"/>
      <c r="ATG23"/>
      <c r="ATH23"/>
      <c r="ATI23"/>
      <c r="ATJ23"/>
      <c r="ATK23"/>
      <c r="ATL23"/>
      <c r="ATM23"/>
      <c r="ATN23"/>
      <c r="ATO23"/>
      <c r="ATP23"/>
      <c r="ATQ23"/>
      <c r="ATR23"/>
      <c r="ATS23"/>
      <c r="ATT23"/>
      <c r="ATU23"/>
      <c r="ATV23"/>
      <c r="ATW23"/>
      <c r="ATX23"/>
      <c r="ATY23"/>
      <c r="ATZ23"/>
      <c r="AUA23"/>
      <c r="AUB23"/>
      <c r="AUC23"/>
      <c r="AUD23"/>
      <c r="AUE23"/>
      <c r="AUF23"/>
      <c r="AUG23"/>
      <c r="AUH23"/>
      <c r="AUI23"/>
      <c r="AUJ23"/>
      <c r="AUK23"/>
      <c r="AUL23"/>
      <c r="AUM23"/>
      <c r="AUN23"/>
      <c r="AUO23"/>
      <c r="AUP23"/>
      <c r="AUQ23"/>
      <c r="AUR23"/>
      <c r="AUS23"/>
      <c r="AUT23"/>
      <c r="AUU23"/>
      <c r="AUV23"/>
      <c r="AUW23"/>
      <c r="AUX23"/>
      <c r="AUY23"/>
      <c r="AUZ23"/>
      <c r="AVA23"/>
      <c r="AVB23"/>
      <c r="AVC23"/>
      <c r="AVD23"/>
      <c r="AVE23"/>
      <c r="AVF23"/>
      <c r="AVG23"/>
      <c r="AVH23"/>
      <c r="AVI23"/>
      <c r="AVJ23"/>
      <c r="AVK23"/>
      <c r="AVL23"/>
      <c r="AVM23"/>
      <c r="AVN23"/>
      <c r="AVO23"/>
      <c r="AVP23"/>
      <c r="AVQ23"/>
      <c r="AVR23"/>
      <c r="AVS23"/>
      <c r="AVT23"/>
      <c r="AVU23"/>
      <c r="AVV23"/>
      <c r="AVW23"/>
      <c r="AVX23"/>
      <c r="AVY23"/>
      <c r="AVZ23"/>
      <c r="AWA23"/>
      <c r="AWB23"/>
      <c r="AWC23"/>
      <c r="AWD23"/>
      <c r="AWE23"/>
      <c r="AWF23"/>
      <c r="AWG23"/>
      <c r="AWH23"/>
      <c r="AWI23"/>
      <c r="AWJ23"/>
      <c r="AWK23"/>
      <c r="AWL23"/>
      <c r="AWM23"/>
      <c r="AWN23"/>
      <c r="AWO23"/>
      <c r="AWP23"/>
      <c r="AWQ23"/>
      <c r="AWR23"/>
      <c r="AWS23"/>
      <c r="AWT23"/>
      <c r="AWU23"/>
      <c r="AWV23"/>
      <c r="AWW23"/>
      <c r="AWX23"/>
      <c r="AWY23"/>
      <c r="AWZ23"/>
      <c r="AXA23"/>
      <c r="AXB23"/>
      <c r="AXC23"/>
      <c r="AXD23"/>
      <c r="AXE23"/>
      <c r="AXF23"/>
      <c r="AXG23"/>
      <c r="AXH23"/>
      <c r="AXI23"/>
      <c r="AXJ23"/>
      <c r="AXK23"/>
      <c r="AXL23"/>
      <c r="AXM23"/>
      <c r="AXN23"/>
      <c r="AXO23"/>
      <c r="AXP23"/>
      <c r="AXQ23"/>
      <c r="AXR23"/>
      <c r="AXS23"/>
      <c r="AXT23"/>
      <c r="AXU23"/>
      <c r="AXV23"/>
      <c r="AXW23"/>
      <c r="AXX23"/>
      <c r="AXY23"/>
      <c r="AXZ23"/>
      <c r="AYA23"/>
      <c r="AYB23"/>
      <c r="AYC23"/>
      <c r="AYD23"/>
      <c r="AYE23"/>
      <c r="AYF23"/>
      <c r="AYG23"/>
      <c r="AYH23"/>
      <c r="AYI23"/>
      <c r="AYJ23"/>
      <c r="AYK23"/>
      <c r="AYL23"/>
      <c r="AYM23"/>
      <c r="AYN23"/>
      <c r="AYO23"/>
      <c r="AYP23"/>
      <c r="AYQ23"/>
      <c r="AYR23"/>
      <c r="AYS23"/>
      <c r="AYT23"/>
      <c r="AYU23"/>
      <c r="AYV23"/>
      <c r="AYW23"/>
      <c r="AYX23"/>
      <c r="AYY23"/>
      <c r="AYZ23"/>
      <c r="AZA23"/>
      <c r="AZB23"/>
      <c r="AZC23"/>
      <c r="AZD23"/>
      <c r="AZE23"/>
      <c r="AZF23"/>
      <c r="AZG23"/>
      <c r="AZH23"/>
      <c r="AZI23"/>
      <c r="AZJ23"/>
      <c r="AZK23"/>
      <c r="AZL23"/>
      <c r="AZM23"/>
      <c r="AZN23"/>
      <c r="AZO23"/>
      <c r="AZP23"/>
      <c r="AZQ23"/>
      <c r="AZR23"/>
      <c r="AZS23"/>
      <c r="AZT23"/>
      <c r="AZU23"/>
      <c r="AZV23"/>
      <c r="AZW23"/>
      <c r="AZX23"/>
      <c r="AZY23"/>
      <c r="AZZ23"/>
      <c r="BAA23"/>
      <c r="BAB23"/>
      <c r="BAC23"/>
      <c r="BAD23"/>
      <c r="BAE23"/>
      <c r="BAF23"/>
      <c r="BAG23"/>
      <c r="BAH23"/>
      <c r="BAI23"/>
      <c r="BAJ23"/>
      <c r="BAK23"/>
      <c r="BAL23"/>
      <c r="BAM23"/>
      <c r="BAN23"/>
      <c r="BAO23"/>
      <c r="BAP23"/>
      <c r="BAQ23"/>
      <c r="BAR23"/>
      <c r="BAS23"/>
      <c r="BAT23"/>
      <c r="BAU23"/>
      <c r="BAV23"/>
      <c r="BAW23"/>
      <c r="BAX23"/>
      <c r="BAY23"/>
      <c r="BAZ23"/>
      <c r="BBA23"/>
      <c r="BBB23"/>
      <c r="BBC23"/>
      <c r="BBD23"/>
      <c r="BBE23"/>
      <c r="BBF23"/>
      <c r="BBG23"/>
      <c r="BBH23"/>
      <c r="BBI23"/>
      <c r="BBJ23"/>
      <c r="BBK23"/>
      <c r="BBL23"/>
      <c r="BBM23"/>
      <c r="BBN23"/>
      <c r="BBO23"/>
      <c r="BBP23"/>
      <c r="BBQ23"/>
      <c r="BBR23"/>
      <c r="BBS23"/>
      <c r="BBT23"/>
      <c r="BBU23"/>
      <c r="BBV23"/>
      <c r="BBW23"/>
      <c r="BBX23"/>
      <c r="BBY23"/>
      <c r="BBZ23"/>
      <c r="BCA23"/>
      <c r="BCB23"/>
      <c r="BCC23"/>
      <c r="BCD23"/>
      <c r="BCE23"/>
      <c r="BCF23"/>
      <c r="BCG23"/>
      <c r="BCH23"/>
      <c r="BCI23"/>
      <c r="BCJ23"/>
      <c r="BCK23"/>
      <c r="BCL23"/>
      <c r="BCM23"/>
      <c r="BCN23"/>
      <c r="BCO23"/>
      <c r="BCP23"/>
      <c r="BCQ23"/>
      <c r="BCR23"/>
      <c r="BCS23"/>
      <c r="BCT23"/>
      <c r="BCU23"/>
      <c r="BCV23"/>
      <c r="BCW23"/>
      <c r="BCX23"/>
      <c r="BCY23"/>
      <c r="BCZ23"/>
      <c r="BDA23"/>
      <c r="BDB23"/>
      <c r="BDC23"/>
      <c r="BDD23"/>
      <c r="BDE23"/>
      <c r="BDF23"/>
      <c r="BDG23"/>
      <c r="BDH23"/>
      <c r="BDI23"/>
      <c r="BDJ23"/>
      <c r="BDK23"/>
      <c r="BDL23"/>
      <c r="BDM23"/>
      <c r="BDN23"/>
      <c r="BDO23"/>
      <c r="BDP23"/>
      <c r="BDQ23"/>
      <c r="BDR23"/>
      <c r="BDS23"/>
      <c r="BDT23"/>
      <c r="BDU23"/>
      <c r="BDV23"/>
      <c r="BDW23"/>
      <c r="BDX23"/>
      <c r="BDY23"/>
      <c r="BDZ23"/>
      <c r="BEA23"/>
      <c r="BEB23"/>
      <c r="BEC23"/>
      <c r="BED23"/>
      <c r="BEE23"/>
      <c r="BEF23"/>
      <c r="BEG23"/>
      <c r="BEH23"/>
      <c r="BEI23"/>
      <c r="BEJ23"/>
      <c r="BEK23"/>
      <c r="BEL23"/>
      <c r="BEM23"/>
      <c r="BEN23"/>
      <c r="BEO23"/>
      <c r="BEP23"/>
      <c r="BEQ23"/>
      <c r="BER23"/>
      <c r="BES23"/>
      <c r="BET23"/>
      <c r="BEU23"/>
      <c r="BEV23"/>
      <c r="BEW23"/>
      <c r="BEX23"/>
      <c r="BEY23"/>
      <c r="BEZ23"/>
      <c r="BFA23"/>
      <c r="BFB23"/>
      <c r="BFC23"/>
      <c r="BFD23"/>
      <c r="BFE23"/>
      <c r="BFF23"/>
      <c r="BFG23"/>
      <c r="BFH23"/>
      <c r="BFI23"/>
      <c r="BFJ23"/>
      <c r="BFK23"/>
      <c r="BFL23"/>
      <c r="BFM23"/>
      <c r="BFN23"/>
      <c r="BFO23"/>
      <c r="BFP23"/>
      <c r="BFQ23"/>
      <c r="BFR23"/>
      <c r="BFS23"/>
      <c r="BFT23"/>
      <c r="BFU23"/>
      <c r="BFV23"/>
      <c r="BFW23"/>
      <c r="BFX23"/>
      <c r="BFY23"/>
      <c r="BFZ23"/>
      <c r="BGA23"/>
      <c r="BGB23"/>
      <c r="BGC23"/>
      <c r="BGD23"/>
      <c r="BGE23"/>
      <c r="BGF23"/>
      <c r="BGG23"/>
      <c r="BGH23"/>
      <c r="BGI23"/>
      <c r="BGJ23"/>
      <c r="BGK23"/>
      <c r="BGL23"/>
      <c r="BGM23"/>
      <c r="BGN23"/>
      <c r="BGO23"/>
      <c r="BGP23"/>
      <c r="BGQ23"/>
      <c r="BGR23"/>
      <c r="BGS23"/>
      <c r="BGT23"/>
      <c r="BGU23"/>
      <c r="BGV23"/>
      <c r="BGW23"/>
      <c r="BGX23"/>
      <c r="BGY23"/>
      <c r="BGZ23"/>
      <c r="BHA23"/>
      <c r="BHB23"/>
      <c r="BHC23"/>
      <c r="BHD23"/>
      <c r="BHE23"/>
      <c r="BHF23"/>
      <c r="BHG23"/>
      <c r="BHH23"/>
      <c r="BHI23"/>
      <c r="BHJ23"/>
      <c r="BHK23"/>
      <c r="BHL23"/>
      <c r="BHM23"/>
      <c r="BHN23"/>
      <c r="BHO23"/>
      <c r="BHP23"/>
      <c r="BHQ23"/>
      <c r="BHR23"/>
      <c r="BHS23"/>
      <c r="BHT23"/>
      <c r="BHU23"/>
      <c r="BHV23"/>
      <c r="BHW23"/>
      <c r="BHX23"/>
      <c r="BHY23"/>
      <c r="BHZ23"/>
      <c r="BIA23"/>
      <c r="BIB23"/>
      <c r="BIC23"/>
      <c r="BID23"/>
      <c r="BIE23"/>
      <c r="BIF23"/>
      <c r="BIG23"/>
      <c r="BIH23"/>
      <c r="BII23"/>
      <c r="BIJ23"/>
      <c r="BIK23"/>
      <c r="BIL23"/>
      <c r="BIM23"/>
      <c r="BIN23"/>
      <c r="BIO23"/>
      <c r="BIP23"/>
      <c r="BIQ23"/>
      <c r="BIR23"/>
      <c r="BIS23"/>
      <c r="BIT23"/>
      <c r="BIU23"/>
      <c r="BIV23"/>
      <c r="BIW23"/>
      <c r="BIX23"/>
      <c r="BIY23"/>
      <c r="BIZ23"/>
      <c r="BJA23"/>
      <c r="BJB23"/>
      <c r="BJC23"/>
      <c r="BJD23"/>
      <c r="BJE23"/>
      <c r="BJF23"/>
      <c r="BJG23"/>
      <c r="BJH23"/>
      <c r="BJI23"/>
      <c r="BJJ23"/>
      <c r="BJK23"/>
      <c r="BJL23"/>
      <c r="BJM23"/>
      <c r="BJN23"/>
      <c r="BJO23"/>
      <c r="BJP23"/>
      <c r="BJQ23"/>
      <c r="BJR23"/>
      <c r="BJS23"/>
      <c r="BJT23"/>
      <c r="BJU23"/>
      <c r="BJV23"/>
      <c r="BJW23"/>
      <c r="BJX23"/>
      <c r="BJY23"/>
      <c r="BJZ23"/>
      <c r="BKA23"/>
      <c r="BKB23"/>
      <c r="BKC23"/>
      <c r="BKD23"/>
      <c r="BKE23"/>
      <c r="BKF23"/>
      <c r="BKG23"/>
      <c r="BKH23"/>
      <c r="BKI23"/>
      <c r="BKJ23"/>
      <c r="BKK23"/>
      <c r="BKL23"/>
      <c r="BKM23"/>
      <c r="BKN23"/>
      <c r="BKO23"/>
      <c r="BKP23"/>
      <c r="BKQ23"/>
      <c r="BKR23"/>
      <c r="BKS23"/>
      <c r="BKT23"/>
      <c r="BKU23"/>
      <c r="BKV23"/>
      <c r="BKW23"/>
      <c r="BKX23"/>
      <c r="BKY23"/>
      <c r="BKZ23"/>
      <c r="BLA23"/>
      <c r="BLB23"/>
      <c r="BLC23"/>
      <c r="BLD23"/>
      <c r="BLE23"/>
      <c r="BLF23"/>
      <c r="BLG23"/>
      <c r="BLH23"/>
      <c r="BLI23"/>
      <c r="BLJ23"/>
      <c r="BLK23"/>
      <c r="BLL23"/>
      <c r="BLM23"/>
      <c r="BLN23"/>
      <c r="BLO23"/>
      <c r="BLP23"/>
      <c r="BLQ23"/>
      <c r="BLR23"/>
      <c r="BLS23"/>
      <c r="BLT23"/>
      <c r="BLU23"/>
      <c r="BLV23"/>
      <c r="BLW23"/>
      <c r="BLX23"/>
      <c r="BLY23"/>
      <c r="BLZ23"/>
      <c r="BMA23"/>
      <c r="BMB23"/>
      <c r="BMC23"/>
      <c r="BMD23"/>
      <c r="BME23"/>
      <c r="BMF23"/>
      <c r="BMG23"/>
      <c r="BMH23"/>
      <c r="BMI23"/>
      <c r="BMJ23"/>
      <c r="BMK23"/>
      <c r="BML23"/>
      <c r="BMM23"/>
      <c r="BMN23"/>
      <c r="BMO23"/>
      <c r="BMP23"/>
      <c r="BMQ23"/>
      <c r="BMR23"/>
      <c r="BMS23"/>
      <c r="BMT23"/>
      <c r="BMU23"/>
      <c r="BMV23"/>
      <c r="BMW23"/>
      <c r="BMX23"/>
      <c r="BMY23"/>
      <c r="BMZ23"/>
      <c r="BNA23"/>
      <c r="BNB23"/>
      <c r="BNC23"/>
      <c r="BND23"/>
      <c r="BNE23"/>
      <c r="BNF23"/>
      <c r="BNG23"/>
      <c r="BNH23"/>
      <c r="BNI23"/>
      <c r="BNJ23"/>
      <c r="BNK23"/>
      <c r="BNL23"/>
      <c r="BNM23"/>
      <c r="BNN23"/>
      <c r="BNO23"/>
      <c r="BNP23"/>
      <c r="BNQ23"/>
      <c r="BNR23"/>
      <c r="BNS23"/>
      <c r="BNT23"/>
      <c r="BNU23"/>
      <c r="BNV23"/>
      <c r="BNW23"/>
      <c r="BNX23"/>
      <c r="BNY23"/>
      <c r="BNZ23"/>
      <c r="BOA23"/>
      <c r="BOB23"/>
      <c r="BOC23"/>
      <c r="BOD23"/>
      <c r="BOE23"/>
      <c r="BOF23"/>
      <c r="BOG23"/>
      <c r="BOH23"/>
      <c r="BOI23"/>
      <c r="BOJ23"/>
      <c r="BOK23"/>
      <c r="BOL23"/>
      <c r="BOM23"/>
      <c r="BON23"/>
      <c r="BOO23"/>
      <c r="BOP23"/>
      <c r="BOQ23"/>
      <c r="BOR23"/>
      <c r="BOS23"/>
      <c r="BOT23"/>
      <c r="BOU23"/>
      <c r="BOV23"/>
      <c r="BOW23"/>
      <c r="BOX23"/>
      <c r="BOY23"/>
      <c r="BOZ23"/>
      <c r="BPA23"/>
      <c r="BPB23"/>
      <c r="BPC23"/>
      <c r="BPD23"/>
      <c r="BPE23"/>
      <c r="BPF23"/>
      <c r="BPG23"/>
      <c r="BPH23"/>
      <c r="BPI23"/>
      <c r="BPJ23"/>
      <c r="BPK23"/>
      <c r="BPL23"/>
      <c r="BPM23"/>
      <c r="BPN23"/>
      <c r="BPO23"/>
      <c r="BPP23"/>
      <c r="BPQ23"/>
      <c r="BPR23"/>
      <c r="BPS23"/>
      <c r="BPT23"/>
      <c r="BPU23"/>
      <c r="BPV23"/>
      <c r="BPW23"/>
      <c r="BPX23"/>
      <c r="BPY23"/>
      <c r="BPZ23"/>
      <c r="BQA23"/>
      <c r="BQB23"/>
      <c r="BQC23"/>
      <c r="BQD23"/>
      <c r="BQE23"/>
      <c r="BQF23"/>
      <c r="BQG23"/>
      <c r="BQH23"/>
      <c r="BQI23"/>
      <c r="BQJ23"/>
      <c r="BQK23"/>
      <c r="BQL23"/>
      <c r="BQM23"/>
      <c r="BQN23"/>
      <c r="BQO23"/>
      <c r="BQP23"/>
      <c r="BQQ23"/>
      <c r="BQR23"/>
      <c r="BQS23"/>
      <c r="BQT23"/>
      <c r="BQU23"/>
      <c r="BQV23"/>
      <c r="BQW23"/>
      <c r="BQX23"/>
      <c r="BQY23"/>
      <c r="BQZ23"/>
      <c r="BRA23"/>
      <c r="BRB23"/>
      <c r="BRC23"/>
      <c r="BRD23"/>
      <c r="BRE23"/>
      <c r="BRF23"/>
      <c r="BRG23"/>
      <c r="BRH23"/>
      <c r="BRI23"/>
      <c r="BRJ23"/>
      <c r="BRK23"/>
      <c r="BRL23"/>
      <c r="BRM23"/>
      <c r="BRN23"/>
      <c r="BRO23"/>
      <c r="BRP23"/>
      <c r="BRQ23"/>
      <c r="BRR23"/>
      <c r="BRS23"/>
      <c r="BRT23"/>
      <c r="BRU23"/>
      <c r="BRV23"/>
      <c r="BRW23"/>
      <c r="BRX23"/>
      <c r="BRY23"/>
      <c r="BRZ23"/>
      <c r="BSA23"/>
      <c r="BSB23"/>
      <c r="BSC23"/>
      <c r="BSD23"/>
      <c r="BSE23"/>
      <c r="BSF23"/>
      <c r="BSG23"/>
      <c r="BSH23"/>
      <c r="BSI23"/>
      <c r="BSJ23"/>
      <c r="BSK23"/>
      <c r="BSL23"/>
      <c r="BSM23"/>
      <c r="BSN23"/>
      <c r="BSO23"/>
      <c r="BSP23"/>
      <c r="BSQ23"/>
      <c r="BSR23"/>
      <c r="BSS23"/>
      <c r="BST23"/>
      <c r="BSU23"/>
      <c r="BSV23"/>
      <c r="BSW23"/>
      <c r="BSX23"/>
      <c r="BSY23"/>
      <c r="BSZ23"/>
      <c r="BTA23"/>
      <c r="BTB23"/>
      <c r="BTC23"/>
      <c r="BTD23"/>
      <c r="BTE23"/>
      <c r="BTF23"/>
      <c r="BTG23"/>
      <c r="BTH23"/>
      <c r="BTI23"/>
      <c r="BTJ23"/>
      <c r="BTK23"/>
      <c r="BTL23"/>
      <c r="BTM23"/>
      <c r="BTN23"/>
      <c r="BTO23"/>
      <c r="BTP23"/>
      <c r="BTQ23"/>
      <c r="BTR23"/>
      <c r="BTS23"/>
      <c r="BTT23"/>
      <c r="BTU23"/>
      <c r="BTV23"/>
      <c r="BTW23"/>
      <c r="BTX23"/>
      <c r="BTY23"/>
      <c r="BTZ23"/>
      <c r="BUA23"/>
      <c r="BUB23"/>
      <c r="BUC23"/>
      <c r="BUD23"/>
      <c r="BUE23"/>
      <c r="BUF23"/>
      <c r="BUG23"/>
      <c r="BUH23"/>
      <c r="BUI23"/>
      <c r="BUJ23"/>
      <c r="BUK23"/>
      <c r="BUL23"/>
      <c r="BUM23"/>
      <c r="BUN23"/>
      <c r="BUO23"/>
      <c r="BUP23"/>
      <c r="BUQ23"/>
      <c r="BUR23"/>
      <c r="BUS23"/>
      <c r="BUT23"/>
      <c r="BUU23"/>
      <c r="BUV23"/>
      <c r="BUW23"/>
      <c r="BUX23"/>
      <c r="BUY23"/>
      <c r="BUZ23"/>
      <c r="BVA23"/>
      <c r="BVB23"/>
      <c r="BVC23"/>
      <c r="BVD23"/>
      <c r="BVE23"/>
      <c r="BVF23"/>
      <c r="BVG23"/>
      <c r="BVH23"/>
      <c r="BVI23"/>
      <c r="BVJ23"/>
      <c r="BVK23"/>
      <c r="BVL23"/>
      <c r="BVM23"/>
      <c r="BVN23"/>
      <c r="BVO23"/>
      <c r="BVP23"/>
      <c r="BVQ23"/>
      <c r="BVR23"/>
      <c r="BVS23"/>
      <c r="BVT23"/>
      <c r="BVU23"/>
      <c r="BVV23"/>
      <c r="BVW23"/>
      <c r="BVX23"/>
      <c r="BVY23"/>
      <c r="BVZ23"/>
      <c r="BWA23"/>
      <c r="BWB23"/>
      <c r="BWC23"/>
      <c r="BWD23"/>
      <c r="BWE23"/>
      <c r="BWF23"/>
      <c r="BWG23"/>
      <c r="BWH23"/>
      <c r="BWI23"/>
      <c r="BWJ23"/>
      <c r="BWK23"/>
      <c r="BWL23"/>
      <c r="BWM23"/>
      <c r="BWN23"/>
      <c r="BWO23"/>
      <c r="BWP23"/>
      <c r="BWQ23"/>
      <c r="BWR23"/>
      <c r="BWS23"/>
      <c r="BWT23"/>
      <c r="BWU23"/>
      <c r="BWV23"/>
      <c r="BWW23"/>
      <c r="BWX23"/>
      <c r="BWY23"/>
      <c r="BWZ23"/>
      <c r="BXA23"/>
      <c r="BXB23"/>
      <c r="BXC23"/>
      <c r="BXD23"/>
      <c r="BXE23"/>
      <c r="BXF23"/>
      <c r="BXG23"/>
      <c r="BXH23"/>
      <c r="BXI23"/>
      <c r="BXJ23"/>
      <c r="BXK23"/>
      <c r="BXL23"/>
      <c r="BXM23"/>
      <c r="BXN23"/>
      <c r="BXO23"/>
      <c r="BXP23"/>
      <c r="BXQ23"/>
      <c r="BXR23"/>
      <c r="BXS23"/>
      <c r="BXT23"/>
      <c r="BXU23"/>
      <c r="BXV23"/>
      <c r="BXW23"/>
      <c r="BXX23"/>
      <c r="BXY23"/>
      <c r="BXZ23"/>
      <c r="BYA23"/>
      <c r="BYB23"/>
      <c r="BYC23"/>
      <c r="BYD23"/>
      <c r="BYE23"/>
      <c r="BYF23"/>
      <c r="BYG23"/>
      <c r="BYH23"/>
      <c r="BYI23"/>
      <c r="BYJ23"/>
      <c r="BYK23"/>
      <c r="BYL23"/>
      <c r="BYM23"/>
      <c r="BYN23"/>
      <c r="BYO23"/>
      <c r="BYP23"/>
      <c r="BYQ23"/>
      <c r="BYR23"/>
      <c r="BYS23"/>
      <c r="BYT23"/>
      <c r="BYU23"/>
      <c r="BYV23"/>
      <c r="BYW23"/>
      <c r="BYX23"/>
      <c r="BYY23"/>
      <c r="BYZ23"/>
      <c r="BZA23"/>
      <c r="BZB23"/>
      <c r="BZC23"/>
      <c r="BZD23"/>
      <c r="BZE23"/>
      <c r="BZF23"/>
      <c r="BZG23"/>
      <c r="BZH23"/>
      <c r="BZI23"/>
      <c r="BZJ23"/>
      <c r="BZK23"/>
      <c r="BZL23"/>
      <c r="BZM23"/>
      <c r="BZN23"/>
      <c r="BZO23"/>
      <c r="BZP23"/>
      <c r="BZQ23"/>
      <c r="BZR23"/>
      <c r="BZS23"/>
      <c r="BZT23"/>
      <c r="BZU23"/>
      <c r="BZV23"/>
      <c r="BZW23"/>
      <c r="BZX23"/>
      <c r="BZY23"/>
      <c r="BZZ23"/>
      <c r="CAA23"/>
      <c r="CAB23"/>
      <c r="CAC23"/>
      <c r="CAD23"/>
      <c r="CAE23"/>
      <c r="CAF23"/>
      <c r="CAG23"/>
      <c r="CAH23"/>
      <c r="CAI23"/>
      <c r="CAJ23"/>
      <c r="CAK23"/>
      <c r="CAL23"/>
      <c r="CAM23"/>
      <c r="CAN23"/>
      <c r="CAO23"/>
      <c r="CAP23"/>
      <c r="CAQ23"/>
      <c r="CAR23"/>
      <c r="CAS23"/>
      <c r="CAT23"/>
      <c r="CAU23"/>
      <c r="CAV23"/>
      <c r="CAW23"/>
      <c r="CAX23"/>
      <c r="CAY23"/>
      <c r="CAZ23"/>
      <c r="CBA23"/>
      <c r="CBB23"/>
      <c r="CBC23"/>
      <c r="CBD23"/>
      <c r="CBE23"/>
      <c r="CBF23"/>
      <c r="CBG23"/>
      <c r="CBH23"/>
      <c r="CBI23"/>
      <c r="CBJ23"/>
      <c r="CBK23"/>
      <c r="CBL23"/>
      <c r="CBM23"/>
      <c r="CBN23"/>
      <c r="CBO23"/>
      <c r="CBP23"/>
      <c r="CBQ23"/>
      <c r="CBR23"/>
      <c r="CBS23"/>
      <c r="CBT23"/>
      <c r="CBU23"/>
      <c r="CBV23"/>
      <c r="CBW23"/>
      <c r="CBX23"/>
      <c r="CBY23"/>
      <c r="CBZ23"/>
      <c r="CCA23"/>
      <c r="CCB23"/>
      <c r="CCC23"/>
      <c r="CCD23"/>
      <c r="CCE23"/>
      <c r="CCF23"/>
      <c r="CCG23"/>
      <c r="CCH23"/>
      <c r="CCI23"/>
      <c r="CCJ23"/>
      <c r="CCK23"/>
      <c r="CCL23"/>
      <c r="CCM23"/>
      <c r="CCN23"/>
      <c r="CCO23"/>
      <c r="CCP23"/>
      <c r="CCQ23"/>
      <c r="CCR23"/>
      <c r="CCS23"/>
      <c r="CCT23"/>
      <c r="CCU23"/>
      <c r="CCV23"/>
      <c r="CCW23"/>
      <c r="CCX23"/>
      <c r="CCY23"/>
      <c r="CCZ23"/>
      <c r="CDA23"/>
      <c r="CDB23"/>
      <c r="CDC23"/>
      <c r="CDD23"/>
      <c r="CDE23"/>
      <c r="CDF23"/>
      <c r="CDG23"/>
      <c r="CDH23"/>
      <c r="CDI23"/>
      <c r="CDJ23"/>
      <c r="CDK23"/>
      <c r="CDL23"/>
      <c r="CDM23"/>
      <c r="CDN23"/>
      <c r="CDO23"/>
      <c r="CDP23"/>
      <c r="CDQ23"/>
      <c r="CDR23"/>
      <c r="CDS23"/>
      <c r="CDT23"/>
      <c r="CDU23"/>
      <c r="CDV23"/>
      <c r="CDW23"/>
      <c r="CDX23"/>
      <c r="CDY23"/>
      <c r="CDZ23"/>
      <c r="CEA23"/>
      <c r="CEB23"/>
      <c r="CEC23"/>
      <c r="CED23"/>
      <c r="CEE23"/>
      <c r="CEF23"/>
      <c r="CEG23"/>
      <c r="CEH23"/>
      <c r="CEI23"/>
      <c r="CEJ23"/>
      <c r="CEK23"/>
      <c r="CEL23"/>
      <c r="CEM23"/>
      <c r="CEN23"/>
      <c r="CEO23"/>
      <c r="CEP23"/>
      <c r="CEQ23"/>
      <c r="CER23"/>
      <c r="CES23"/>
      <c r="CET23"/>
      <c r="CEU23"/>
      <c r="CEV23"/>
      <c r="CEW23"/>
      <c r="CEX23"/>
      <c r="CEY23"/>
      <c r="CEZ23"/>
      <c r="CFA23"/>
      <c r="CFB23"/>
      <c r="CFC23"/>
      <c r="CFD23"/>
      <c r="CFE23"/>
      <c r="CFF23"/>
      <c r="CFG23"/>
      <c r="CFH23"/>
      <c r="CFI23"/>
      <c r="CFJ23"/>
      <c r="CFK23"/>
      <c r="CFL23"/>
      <c r="CFM23"/>
      <c r="CFN23"/>
      <c r="CFO23"/>
      <c r="CFP23"/>
      <c r="CFQ23"/>
      <c r="CFR23"/>
      <c r="CFS23"/>
      <c r="CFT23"/>
      <c r="CFU23"/>
      <c r="CFV23"/>
      <c r="CFW23"/>
      <c r="CFX23"/>
      <c r="CFY23"/>
      <c r="CFZ23"/>
      <c r="CGA23"/>
      <c r="CGB23"/>
      <c r="CGC23"/>
      <c r="CGD23"/>
      <c r="CGE23"/>
      <c r="CGF23"/>
      <c r="CGG23"/>
      <c r="CGH23"/>
      <c r="CGI23"/>
      <c r="CGJ23"/>
      <c r="CGK23"/>
      <c r="CGL23"/>
      <c r="CGM23"/>
      <c r="CGN23"/>
      <c r="CGO23"/>
      <c r="CGP23"/>
      <c r="CGQ23"/>
      <c r="CGR23"/>
      <c r="CGS23"/>
      <c r="CGT23"/>
      <c r="CGU23"/>
      <c r="CGV23"/>
      <c r="CGW23"/>
      <c r="CGX23"/>
      <c r="CGY23"/>
      <c r="CGZ23"/>
      <c r="CHA23"/>
      <c r="CHB23"/>
      <c r="CHC23"/>
      <c r="CHD23"/>
      <c r="CHE23"/>
      <c r="CHF23"/>
      <c r="CHG23"/>
      <c r="CHH23"/>
      <c r="CHI23"/>
      <c r="CHJ23"/>
      <c r="CHK23"/>
      <c r="CHL23"/>
      <c r="CHM23"/>
      <c r="CHN23"/>
      <c r="CHO23"/>
      <c r="CHP23"/>
      <c r="CHQ23"/>
      <c r="CHR23"/>
      <c r="CHS23"/>
      <c r="CHT23"/>
      <c r="CHU23"/>
      <c r="CHV23"/>
      <c r="CHW23"/>
      <c r="CHX23"/>
      <c r="CHY23"/>
      <c r="CHZ23"/>
      <c r="CIA23"/>
      <c r="CIB23"/>
      <c r="CIC23"/>
      <c r="CID23"/>
      <c r="CIE23"/>
      <c r="CIF23"/>
      <c r="CIG23"/>
      <c r="CIH23"/>
      <c r="CII23"/>
      <c r="CIJ23"/>
      <c r="CIK23"/>
      <c r="CIL23"/>
      <c r="CIM23"/>
      <c r="CIN23"/>
      <c r="CIO23"/>
      <c r="CIP23"/>
      <c r="CIQ23"/>
      <c r="CIR23"/>
      <c r="CIS23"/>
      <c r="CIT23"/>
      <c r="CIU23"/>
      <c r="CIV23"/>
      <c r="CIW23"/>
      <c r="CIX23"/>
      <c r="CIY23"/>
      <c r="CIZ23"/>
      <c r="CJA23"/>
      <c r="CJB23"/>
      <c r="CJC23"/>
      <c r="CJD23"/>
      <c r="CJE23"/>
      <c r="CJF23"/>
      <c r="CJG23"/>
      <c r="CJH23"/>
      <c r="CJI23"/>
      <c r="CJJ23"/>
      <c r="CJK23"/>
      <c r="CJL23"/>
      <c r="CJM23"/>
      <c r="CJN23"/>
      <c r="CJO23"/>
      <c r="CJP23"/>
      <c r="CJQ23"/>
      <c r="CJR23"/>
      <c r="CJS23"/>
      <c r="CJT23"/>
      <c r="CJU23"/>
      <c r="CJV23"/>
      <c r="CJW23"/>
      <c r="CJX23"/>
      <c r="CJY23"/>
      <c r="CJZ23"/>
      <c r="CKA23"/>
      <c r="CKB23"/>
      <c r="CKC23"/>
      <c r="CKD23"/>
      <c r="CKE23"/>
      <c r="CKF23"/>
      <c r="CKG23"/>
      <c r="CKH23"/>
      <c r="CKI23"/>
      <c r="CKJ23"/>
      <c r="CKK23"/>
      <c r="CKL23"/>
      <c r="CKM23"/>
      <c r="CKN23"/>
      <c r="CKO23"/>
      <c r="CKP23"/>
      <c r="CKQ23"/>
      <c r="CKR23"/>
      <c r="CKS23"/>
      <c r="CKT23"/>
      <c r="CKU23"/>
      <c r="CKV23"/>
      <c r="CKW23"/>
      <c r="CKX23"/>
      <c r="CKY23"/>
      <c r="CKZ23"/>
      <c r="CLA23"/>
      <c r="CLB23"/>
      <c r="CLC23"/>
      <c r="CLD23"/>
      <c r="CLE23"/>
      <c r="CLF23"/>
      <c r="CLG23"/>
      <c r="CLH23"/>
      <c r="CLI23"/>
      <c r="CLJ23"/>
      <c r="CLK23"/>
      <c r="CLL23"/>
      <c r="CLM23"/>
      <c r="CLN23"/>
      <c r="CLO23"/>
      <c r="CLP23"/>
      <c r="CLQ23"/>
      <c r="CLR23"/>
      <c r="CLS23"/>
      <c r="CLT23"/>
      <c r="CLU23"/>
      <c r="CLV23"/>
      <c r="CLW23"/>
      <c r="CLX23"/>
      <c r="CLY23"/>
      <c r="CLZ23"/>
      <c r="CMA23"/>
      <c r="CMB23"/>
      <c r="CMC23"/>
      <c r="CMD23"/>
      <c r="CME23"/>
      <c r="CMF23"/>
      <c r="CMG23"/>
      <c r="CMH23"/>
      <c r="CMI23"/>
      <c r="CMJ23"/>
      <c r="CMK23"/>
      <c r="CML23"/>
      <c r="CMM23"/>
      <c r="CMN23"/>
      <c r="CMO23"/>
      <c r="CMP23"/>
      <c r="CMQ23"/>
      <c r="CMR23"/>
      <c r="CMS23"/>
      <c r="CMT23"/>
      <c r="CMU23"/>
      <c r="CMV23"/>
      <c r="CMW23"/>
      <c r="CMX23"/>
      <c r="CMY23"/>
      <c r="CMZ23"/>
      <c r="CNA23"/>
      <c r="CNB23"/>
      <c r="CNC23"/>
      <c r="CND23"/>
      <c r="CNE23"/>
      <c r="CNF23"/>
      <c r="CNG23"/>
      <c r="CNH23"/>
      <c r="CNI23"/>
      <c r="CNJ23"/>
      <c r="CNK23"/>
      <c r="CNL23"/>
      <c r="CNM23"/>
      <c r="CNN23"/>
      <c r="CNO23"/>
      <c r="CNP23"/>
      <c r="CNQ23"/>
      <c r="CNR23"/>
      <c r="CNS23"/>
      <c r="CNT23"/>
      <c r="CNU23"/>
      <c r="CNV23"/>
      <c r="CNW23"/>
      <c r="CNX23"/>
      <c r="CNY23"/>
      <c r="CNZ23"/>
      <c r="COA23"/>
      <c r="COB23"/>
      <c r="COC23"/>
      <c r="COD23"/>
      <c r="COE23"/>
      <c r="COF23"/>
      <c r="COG23"/>
      <c r="COH23"/>
      <c r="COI23"/>
      <c r="COJ23"/>
      <c r="COK23"/>
      <c r="COL23"/>
      <c r="COM23"/>
      <c r="CON23"/>
      <c r="COO23"/>
      <c r="COP23"/>
      <c r="COQ23"/>
      <c r="COR23"/>
      <c r="COS23"/>
      <c r="COT23"/>
      <c r="COU23"/>
      <c r="COV23"/>
      <c r="COW23"/>
      <c r="COX23"/>
      <c r="COY23"/>
      <c r="COZ23"/>
      <c r="CPA23"/>
      <c r="CPB23"/>
      <c r="CPC23"/>
      <c r="CPD23"/>
      <c r="CPE23"/>
      <c r="CPF23"/>
      <c r="CPG23"/>
      <c r="CPH23"/>
      <c r="CPI23"/>
      <c r="CPJ23"/>
      <c r="CPK23"/>
      <c r="CPL23"/>
      <c r="CPM23"/>
      <c r="CPN23"/>
      <c r="CPO23"/>
      <c r="CPP23"/>
      <c r="CPQ23"/>
      <c r="CPR23"/>
      <c r="CPS23"/>
      <c r="CPT23"/>
      <c r="CPU23"/>
      <c r="CPV23"/>
      <c r="CPW23"/>
      <c r="CPX23"/>
      <c r="CPY23"/>
      <c r="CPZ23"/>
      <c r="CQA23"/>
      <c r="CQB23"/>
      <c r="CQC23"/>
      <c r="CQD23"/>
      <c r="CQE23"/>
      <c r="CQF23"/>
      <c r="CQG23"/>
      <c r="CQH23"/>
      <c r="CQI23"/>
      <c r="CQJ23"/>
      <c r="CQK23"/>
      <c r="CQL23"/>
      <c r="CQM23"/>
      <c r="CQN23"/>
      <c r="CQO23"/>
      <c r="CQP23"/>
      <c r="CQQ23"/>
      <c r="CQR23"/>
      <c r="CQS23"/>
      <c r="CQT23"/>
      <c r="CQU23"/>
      <c r="CQV23"/>
      <c r="CQW23"/>
      <c r="CQX23"/>
      <c r="CQY23"/>
      <c r="CQZ23"/>
      <c r="CRA23"/>
      <c r="CRB23"/>
      <c r="CRC23"/>
      <c r="CRD23"/>
      <c r="CRE23"/>
      <c r="CRF23"/>
      <c r="CRG23"/>
      <c r="CRH23"/>
      <c r="CRI23"/>
      <c r="CRJ23"/>
      <c r="CRK23"/>
      <c r="CRL23"/>
      <c r="CRM23"/>
      <c r="CRN23"/>
      <c r="CRO23"/>
      <c r="CRP23"/>
      <c r="CRQ23"/>
      <c r="CRR23"/>
      <c r="CRS23"/>
      <c r="CRT23"/>
      <c r="CRU23"/>
      <c r="CRV23"/>
      <c r="CRW23"/>
      <c r="CRX23"/>
      <c r="CRY23"/>
      <c r="CRZ23"/>
      <c r="CSA23"/>
      <c r="CSB23"/>
      <c r="CSC23"/>
      <c r="CSD23"/>
      <c r="CSE23"/>
      <c r="CSF23"/>
      <c r="CSG23"/>
      <c r="CSH23"/>
      <c r="CSI23"/>
      <c r="CSJ23"/>
      <c r="CSK23"/>
      <c r="CSL23"/>
      <c r="CSM23"/>
      <c r="CSN23"/>
      <c r="CSO23"/>
      <c r="CSP23"/>
      <c r="CSQ23"/>
      <c r="CSR23"/>
      <c r="CSS23"/>
      <c r="CST23"/>
      <c r="CSU23"/>
      <c r="CSV23"/>
      <c r="CSW23"/>
      <c r="CSX23"/>
      <c r="CSY23"/>
      <c r="CSZ23"/>
      <c r="CTA23"/>
      <c r="CTB23"/>
      <c r="CTC23"/>
      <c r="CTD23"/>
      <c r="CTE23"/>
      <c r="CTF23"/>
      <c r="CTG23"/>
      <c r="CTH23"/>
      <c r="CTI23"/>
      <c r="CTJ23"/>
      <c r="CTK23"/>
      <c r="CTL23"/>
      <c r="CTM23"/>
      <c r="CTN23"/>
      <c r="CTO23"/>
      <c r="CTP23"/>
      <c r="CTQ23"/>
      <c r="CTR23"/>
      <c r="CTS23"/>
      <c r="CTT23"/>
      <c r="CTU23"/>
      <c r="CTV23"/>
      <c r="CTW23"/>
      <c r="CTX23"/>
      <c r="CTY23"/>
      <c r="CTZ23"/>
      <c r="CUA23"/>
      <c r="CUB23"/>
      <c r="CUC23"/>
      <c r="CUD23"/>
      <c r="CUE23"/>
      <c r="CUF23"/>
      <c r="CUG23"/>
      <c r="CUH23"/>
      <c r="CUI23"/>
      <c r="CUJ23"/>
      <c r="CUK23"/>
      <c r="CUL23"/>
      <c r="CUM23"/>
      <c r="CUN23"/>
      <c r="CUO23"/>
      <c r="CUP23"/>
      <c r="CUQ23"/>
      <c r="CUR23"/>
      <c r="CUS23"/>
      <c r="CUT23"/>
      <c r="CUU23"/>
      <c r="CUV23"/>
      <c r="CUW23"/>
      <c r="CUX23"/>
      <c r="CUY23"/>
      <c r="CUZ23"/>
      <c r="CVA23"/>
      <c r="CVB23"/>
      <c r="CVC23"/>
      <c r="CVD23"/>
      <c r="CVE23"/>
      <c r="CVF23"/>
      <c r="CVG23"/>
      <c r="CVH23"/>
      <c r="CVI23"/>
      <c r="CVJ23"/>
      <c r="CVK23"/>
      <c r="CVL23"/>
      <c r="CVM23"/>
      <c r="CVN23"/>
      <c r="CVO23"/>
      <c r="CVP23"/>
      <c r="CVQ23"/>
      <c r="CVR23"/>
      <c r="CVS23"/>
      <c r="CVT23"/>
      <c r="CVU23"/>
      <c r="CVV23"/>
      <c r="CVW23"/>
      <c r="CVX23"/>
      <c r="CVY23"/>
      <c r="CVZ23"/>
      <c r="CWA23"/>
      <c r="CWB23"/>
      <c r="CWC23"/>
      <c r="CWD23"/>
      <c r="CWE23"/>
      <c r="CWF23"/>
      <c r="CWG23"/>
      <c r="CWH23"/>
      <c r="CWI23"/>
      <c r="CWJ23"/>
      <c r="CWK23"/>
      <c r="CWL23"/>
      <c r="CWM23"/>
      <c r="CWN23"/>
      <c r="CWO23"/>
      <c r="CWP23"/>
      <c r="CWQ23"/>
      <c r="CWR23"/>
      <c r="CWS23"/>
      <c r="CWT23"/>
      <c r="CWU23"/>
      <c r="CWV23"/>
      <c r="CWW23"/>
      <c r="CWX23"/>
      <c r="CWY23"/>
      <c r="CWZ23"/>
      <c r="CXA23"/>
      <c r="CXB23"/>
      <c r="CXC23"/>
      <c r="CXD23"/>
      <c r="CXE23"/>
      <c r="CXF23"/>
      <c r="CXG23"/>
      <c r="CXH23"/>
      <c r="CXI23"/>
      <c r="CXJ23"/>
      <c r="CXK23"/>
      <c r="CXL23"/>
      <c r="CXM23"/>
      <c r="CXN23"/>
      <c r="CXO23"/>
      <c r="CXP23"/>
      <c r="CXQ23"/>
      <c r="CXR23"/>
      <c r="CXS23"/>
      <c r="CXT23"/>
      <c r="CXU23"/>
      <c r="CXV23"/>
      <c r="CXW23"/>
      <c r="CXX23"/>
      <c r="CXY23"/>
      <c r="CXZ23"/>
      <c r="CYA23"/>
      <c r="CYB23"/>
      <c r="CYC23"/>
      <c r="CYD23"/>
      <c r="CYE23"/>
      <c r="CYF23"/>
      <c r="CYG23"/>
      <c r="CYH23"/>
      <c r="CYI23"/>
      <c r="CYJ23"/>
      <c r="CYK23"/>
      <c r="CYL23"/>
      <c r="CYM23"/>
      <c r="CYN23"/>
      <c r="CYO23"/>
      <c r="CYP23"/>
      <c r="CYQ23"/>
      <c r="CYR23"/>
      <c r="CYS23"/>
      <c r="CYT23"/>
      <c r="CYU23"/>
      <c r="CYV23"/>
      <c r="CYW23"/>
      <c r="CYX23"/>
      <c r="CYY23"/>
      <c r="CYZ23"/>
      <c r="CZA23"/>
      <c r="CZB23"/>
      <c r="CZC23"/>
      <c r="CZD23"/>
      <c r="CZE23"/>
      <c r="CZF23"/>
      <c r="CZG23"/>
      <c r="CZH23"/>
      <c r="CZI23"/>
      <c r="CZJ23"/>
      <c r="CZK23"/>
      <c r="CZL23"/>
      <c r="CZM23"/>
      <c r="CZN23"/>
      <c r="CZO23"/>
      <c r="CZP23"/>
      <c r="CZQ23"/>
      <c r="CZR23"/>
      <c r="CZS23"/>
      <c r="CZT23"/>
      <c r="CZU23"/>
      <c r="CZV23"/>
      <c r="CZW23"/>
      <c r="CZX23"/>
      <c r="CZY23"/>
      <c r="CZZ23"/>
      <c r="DAA23"/>
      <c r="DAB23"/>
      <c r="DAC23"/>
      <c r="DAD23"/>
      <c r="DAE23"/>
      <c r="DAF23"/>
      <c r="DAG23"/>
      <c r="DAH23"/>
      <c r="DAI23"/>
      <c r="DAJ23"/>
      <c r="DAK23"/>
      <c r="DAL23"/>
      <c r="DAM23"/>
      <c r="DAN23"/>
      <c r="DAO23"/>
      <c r="DAP23"/>
      <c r="DAQ23"/>
      <c r="DAR23"/>
      <c r="DAS23"/>
      <c r="DAT23"/>
      <c r="DAU23"/>
      <c r="DAV23"/>
      <c r="DAW23"/>
      <c r="DAX23"/>
      <c r="DAY23"/>
      <c r="DAZ23"/>
      <c r="DBA23"/>
      <c r="DBB23"/>
      <c r="DBC23"/>
      <c r="DBD23"/>
      <c r="DBE23"/>
      <c r="DBF23"/>
      <c r="DBG23"/>
      <c r="DBH23"/>
      <c r="DBI23"/>
      <c r="DBJ23"/>
      <c r="DBK23"/>
      <c r="DBL23"/>
      <c r="DBM23"/>
      <c r="DBN23"/>
      <c r="DBO23"/>
      <c r="DBP23"/>
      <c r="DBQ23"/>
      <c r="DBR23"/>
      <c r="DBS23"/>
      <c r="DBT23"/>
      <c r="DBU23"/>
      <c r="DBV23"/>
      <c r="DBW23"/>
      <c r="DBX23"/>
      <c r="DBY23"/>
      <c r="DBZ23"/>
      <c r="DCA23"/>
      <c r="DCB23"/>
      <c r="DCC23"/>
      <c r="DCD23"/>
      <c r="DCE23"/>
      <c r="DCF23"/>
      <c r="DCG23"/>
      <c r="DCH23"/>
      <c r="DCI23"/>
      <c r="DCJ23"/>
      <c r="DCK23"/>
      <c r="DCL23"/>
      <c r="DCM23"/>
      <c r="DCN23"/>
      <c r="DCO23"/>
      <c r="DCP23"/>
      <c r="DCQ23"/>
      <c r="DCR23"/>
      <c r="DCS23"/>
      <c r="DCT23"/>
      <c r="DCU23"/>
      <c r="DCV23"/>
      <c r="DCW23"/>
      <c r="DCX23"/>
      <c r="DCY23"/>
      <c r="DCZ23"/>
      <c r="DDA23"/>
      <c r="DDB23"/>
      <c r="DDC23"/>
      <c r="DDD23"/>
      <c r="DDE23"/>
      <c r="DDF23"/>
      <c r="DDG23"/>
      <c r="DDH23"/>
      <c r="DDI23"/>
      <c r="DDJ23"/>
      <c r="DDK23"/>
      <c r="DDL23"/>
      <c r="DDM23"/>
      <c r="DDN23"/>
      <c r="DDO23"/>
      <c r="DDP23"/>
      <c r="DDQ23"/>
      <c r="DDR23"/>
      <c r="DDS23"/>
      <c r="DDT23"/>
      <c r="DDU23"/>
      <c r="DDV23"/>
      <c r="DDW23"/>
      <c r="DDX23"/>
      <c r="DDY23"/>
      <c r="DDZ23"/>
      <c r="DEA23"/>
      <c r="DEB23"/>
      <c r="DEC23"/>
      <c r="DED23"/>
      <c r="DEE23"/>
      <c r="DEF23"/>
      <c r="DEG23"/>
      <c r="DEH23"/>
      <c r="DEI23"/>
      <c r="DEJ23"/>
      <c r="DEK23"/>
      <c r="DEL23"/>
      <c r="DEM23"/>
      <c r="DEN23"/>
      <c r="DEO23"/>
      <c r="DEP23"/>
      <c r="DEQ23"/>
      <c r="DER23"/>
      <c r="DES23"/>
      <c r="DET23"/>
      <c r="DEU23"/>
      <c r="DEV23"/>
      <c r="DEW23"/>
      <c r="DEX23"/>
      <c r="DEY23"/>
      <c r="DEZ23"/>
      <c r="DFA23"/>
      <c r="DFB23"/>
      <c r="DFC23"/>
      <c r="DFD23"/>
      <c r="DFE23"/>
      <c r="DFF23"/>
      <c r="DFG23"/>
      <c r="DFH23"/>
      <c r="DFI23"/>
      <c r="DFJ23"/>
      <c r="DFK23"/>
      <c r="DFL23"/>
      <c r="DFM23"/>
      <c r="DFN23"/>
      <c r="DFO23"/>
      <c r="DFP23"/>
      <c r="DFQ23"/>
      <c r="DFR23"/>
      <c r="DFS23"/>
      <c r="DFT23"/>
      <c r="DFU23"/>
      <c r="DFV23"/>
      <c r="DFW23"/>
      <c r="DFX23"/>
      <c r="DFY23"/>
      <c r="DFZ23"/>
      <c r="DGA23"/>
      <c r="DGB23"/>
      <c r="DGC23"/>
      <c r="DGD23"/>
      <c r="DGE23"/>
      <c r="DGF23"/>
      <c r="DGG23"/>
      <c r="DGH23"/>
      <c r="DGI23"/>
      <c r="DGJ23"/>
      <c r="DGK23"/>
      <c r="DGL23"/>
      <c r="DGM23"/>
      <c r="DGN23"/>
      <c r="DGO23"/>
      <c r="DGP23"/>
      <c r="DGQ23"/>
      <c r="DGR23"/>
      <c r="DGS23"/>
      <c r="DGT23"/>
      <c r="DGU23"/>
      <c r="DGV23"/>
      <c r="DGW23"/>
      <c r="DGX23"/>
      <c r="DGY23"/>
      <c r="DGZ23"/>
      <c r="DHA23"/>
      <c r="DHB23"/>
      <c r="DHC23"/>
      <c r="DHD23"/>
      <c r="DHE23"/>
      <c r="DHF23"/>
      <c r="DHG23"/>
      <c r="DHH23"/>
      <c r="DHI23"/>
      <c r="DHJ23"/>
      <c r="DHK23"/>
      <c r="DHL23"/>
      <c r="DHM23"/>
      <c r="DHN23"/>
      <c r="DHO23"/>
      <c r="DHP23"/>
      <c r="DHQ23"/>
      <c r="DHR23"/>
      <c r="DHS23"/>
      <c r="DHT23"/>
      <c r="DHU23"/>
      <c r="DHV23"/>
      <c r="DHW23"/>
      <c r="DHX23"/>
      <c r="DHY23"/>
      <c r="DHZ23"/>
      <c r="DIA23"/>
      <c r="DIB23"/>
      <c r="DIC23"/>
      <c r="DID23"/>
      <c r="DIE23"/>
      <c r="DIF23"/>
      <c r="DIG23"/>
      <c r="DIH23"/>
      <c r="DII23"/>
      <c r="DIJ23"/>
      <c r="DIK23"/>
      <c r="DIL23"/>
      <c r="DIM23"/>
      <c r="DIN23"/>
      <c r="DIO23"/>
      <c r="DIP23"/>
      <c r="DIQ23"/>
      <c r="DIR23"/>
      <c r="DIS23"/>
      <c r="DIT23"/>
      <c r="DIU23"/>
      <c r="DIV23"/>
      <c r="DIW23"/>
      <c r="DIX23"/>
      <c r="DIY23"/>
      <c r="DIZ23"/>
      <c r="DJA23"/>
      <c r="DJB23"/>
      <c r="DJC23"/>
      <c r="DJD23"/>
      <c r="DJE23"/>
      <c r="DJF23"/>
      <c r="DJG23"/>
      <c r="DJH23"/>
      <c r="DJI23"/>
      <c r="DJJ23"/>
      <c r="DJK23"/>
      <c r="DJL23"/>
      <c r="DJM23"/>
      <c r="DJN23"/>
      <c r="DJO23"/>
      <c r="DJP23"/>
      <c r="DJQ23"/>
      <c r="DJR23"/>
      <c r="DJS23"/>
      <c r="DJT23"/>
      <c r="DJU23"/>
      <c r="DJV23"/>
      <c r="DJW23"/>
      <c r="DJX23"/>
      <c r="DJY23"/>
      <c r="DJZ23"/>
      <c r="DKA23"/>
      <c r="DKB23"/>
      <c r="DKC23"/>
      <c r="DKD23"/>
      <c r="DKE23"/>
      <c r="DKF23"/>
      <c r="DKG23"/>
      <c r="DKH23"/>
      <c r="DKI23"/>
      <c r="DKJ23"/>
      <c r="DKK23"/>
      <c r="DKL23"/>
      <c r="DKM23"/>
      <c r="DKN23"/>
      <c r="DKO23"/>
      <c r="DKP23"/>
      <c r="DKQ23"/>
      <c r="DKR23"/>
      <c r="DKS23"/>
      <c r="DKT23"/>
      <c r="DKU23"/>
      <c r="DKV23"/>
      <c r="DKW23"/>
      <c r="DKX23"/>
      <c r="DKY23"/>
      <c r="DKZ23"/>
      <c r="DLA23"/>
      <c r="DLB23"/>
      <c r="DLC23"/>
      <c r="DLD23"/>
      <c r="DLE23"/>
      <c r="DLF23"/>
      <c r="DLG23"/>
      <c r="DLH23"/>
      <c r="DLI23"/>
      <c r="DLJ23"/>
      <c r="DLK23"/>
      <c r="DLL23"/>
      <c r="DLM23"/>
      <c r="DLN23"/>
      <c r="DLO23"/>
      <c r="DLP23"/>
      <c r="DLQ23"/>
      <c r="DLR23"/>
      <c r="DLS23"/>
      <c r="DLT23"/>
      <c r="DLU23"/>
      <c r="DLV23"/>
      <c r="DLW23"/>
      <c r="DLX23"/>
      <c r="DLY23"/>
      <c r="DLZ23"/>
      <c r="DMA23"/>
      <c r="DMB23"/>
      <c r="DMC23"/>
      <c r="DMD23"/>
      <c r="DME23"/>
      <c r="DMF23"/>
      <c r="DMG23"/>
      <c r="DMH23"/>
      <c r="DMI23"/>
      <c r="DMJ23"/>
      <c r="DMK23"/>
      <c r="DML23"/>
      <c r="DMM23"/>
      <c r="DMN23"/>
      <c r="DMO23"/>
      <c r="DMP23"/>
      <c r="DMQ23"/>
      <c r="DMR23"/>
      <c r="DMS23"/>
      <c r="DMT23"/>
      <c r="DMU23"/>
      <c r="DMV23"/>
      <c r="DMW23"/>
      <c r="DMX23"/>
      <c r="DMY23"/>
      <c r="DMZ23"/>
      <c r="DNA23"/>
      <c r="DNB23"/>
      <c r="DNC23"/>
      <c r="DND23"/>
      <c r="DNE23"/>
      <c r="DNF23"/>
      <c r="DNG23"/>
      <c r="DNH23"/>
      <c r="DNI23"/>
      <c r="DNJ23"/>
      <c r="DNK23"/>
      <c r="DNL23"/>
      <c r="DNM23"/>
      <c r="DNN23"/>
      <c r="DNO23"/>
      <c r="DNP23"/>
      <c r="DNQ23"/>
      <c r="DNR23"/>
      <c r="DNS23"/>
      <c r="DNT23"/>
      <c r="DNU23"/>
      <c r="DNV23"/>
      <c r="DNW23"/>
      <c r="DNX23"/>
      <c r="DNY23"/>
      <c r="DNZ23"/>
      <c r="DOA23"/>
      <c r="DOB23"/>
      <c r="DOC23"/>
      <c r="DOD23"/>
      <c r="DOE23"/>
      <c r="DOF23"/>
      <c r="DOG23"/>
      <c r="DOH23"/>
      <c r="DOI23"/>
      <c r="DOJ23"/>
      <c r="DOK23"/>
      <c r="DOL23"/>
      <c r="DOM23"/>
      <c r="DON23"/>
      <c r="DOO23"/>
      <c r="DOP23"/>
      <c r="DOQ23"/>
      <c r="DOR23"/>
      <c r="DOS23"/>
      <c r="DOT23"/>
      <c r="DOU23"/>
      <c r="DOV23"/>
      <c r="DOW23"/>
      <c r="DOX23"/>
      <c r="DOY23"/>
      <c r="DOZ23"/>
      <c r="DPA23"/>
      <c r="DPB23"/>
      <c r="DPC23"/>
      <c r="DPD23"/>
      <c r="DPE23"/>
      <c r="DPF23"/>
      <c r="DPG23"/>
      <c r="DPH23"/>
      <c r="DPI23"/>
      <c r="DPJ23"/>
      <c r="DPK23"/>
      <c r="DPL23"/>
      <c r="DPM23"/>
      <c r="DPN23"/>
      <c r="DPO23"/>
      <c r="DPP23"/>
      <c r="DPQ23"/>
      <c r="DPR23"/>
      <c r="DPS23"/>
      <c r="DPT23"/>
      <c r="DPU23"/>
      <c r="DPV23"/>
      <c r="DPW23"/>
      <c r="DPX23"/>
      <c r="DPY23"/>
      <c r="DPZ23"/>
      <c r="DQA23"/>
      <c r="DQB23"/>
      <c r="DQC23"/>
      <c r="DQD23"/>
      <c r="DQE23"/>
      <c r="DQF23"/>
      <c r="DQG23"/>
      <c r="DQH23"/>
      <c r="DQI23"/>
      <c r="DQJ23"/>
      <c r="DQK23"/>
      <c r="DQL23"/>
      <c r="DQM23"/>
      <c r="DQN23"/>
      <c r="DQO23"/>
      <c r="DQP23"/>
      <c r="DQQ23"/>
      <c r="DQR23"/>
      <c r="DQS23"/>
      <c r="DQT23"/>
      <c r="DQU23"/>
      <c r="DQV23"/>
      <c r="DQW23"/>
      <c r="DQX23"/>
      <c r="DQY23"/>
      <c r="DQZ23"/>
      <c r="DRA23"/>
      <c r="DRB23"/>
      <c r="DRC23"/>
      <c r="DRD23"/>
      <c r="DRE23"/>
      <c r="DRF23"/>
      <c r="DRG23"/>
      <c r="DRH23"/>
      <c r="DRI23"/>
      <c r="DRJ23"/>
      <c r="DRK23"/>
      <c r="DRL23"/>
      <c r="DRM23"/>
      <c r="DRN23"/>
      <c r="DRO23"/>
      <c r="DRP23"/>
      <c r="DRQ23"/>
      <c r="DRR23"/>
      <c r="DRS23"/>
      <c r="DRT23"/>
      <c r="DRU23"/>
      <c r="DRV23"/>
      <c r="DRW23"/>
      <c r="DRX23"/>
      <c r="DRY23"/>
      <c r="DRZ23"/>
      <c r="DSA23"/>
      <c r="DSB23"/>
      <c r="DSC23"/>
      <c r="DSD23"/>
      <c r="DSE23"/>
      <c r="DSF23"/>
      <c r="DSG23"/>
      <c r="DSH23"/>
      <c r="DSI23"/>
      <c r="DSJ23"/>
      <c r="DSK23"/>
      <c r="DSL23"/>
      <c r="DSM23"/>
      <c r="DSN23"/>
      <c r="DSO23"/>
      <c r="DSP23"/>
      <c r="DSQ23"/>
      <c r="DSR23"/>
      <c r="DSS23"/>
      <c r="DST23"/>
      <c r="DSU23"/>
      <c r="DSV23"/>
      <c r="DSW23"/>
      <c r="DSX23"/>
      <c r="DSY23"/>
      <c r="DSZ23"/>
      <c r="DTA23"/>
      <c r="DTB23"/>
      <c r="DTC23"/>
      <c r="DTD23"/>
      <c r="DTE23"/>
      <c r="DTF23"/>
      <c r="DTG23"/>
      <c r="DTH23"/>
      <c r="DTI23"/>
      <c r="DTJ23"/>
      <c r="DTK23"/>
      <c r="DTL23"/>
      <c r="DTM23"/>
      <c r="DTN23"/>
      <c r="DTO23"/>
      <c r="DTP23"/>
      <c r="DTQ23"/>
      <c r="DTR23"/>
      <c r="DTS23"/>
      <c r="DTT23"/>
      <c r="DTU23"/>
      <c r="DTV23"/>
      <c r="DTW23"/>
      <c r="DTX23"/>
      <c r="DTY23"/>
      <c r="DTZ23"/>
      <c r="DUA23"/>
      <c r="DUB23"/>
      <c r="DUC23"/>
      <c r="DUD23"/>
      <c r="DUE23"/>
      <c r="DUF23"/>
      <c r="DUG23"/>
      <c r="DUH23"/>
      <c r="DUI23"/>
      <c r="DUJ23"/>
      <c r="DUK23"/>
      <c r="DUL23"/>
      <c r="DUM23"/>
      <c r="DUN23"/>
      <c r="DUO23"/>
      <c r="DUP23"/>
      <c r="DUQ23"/>
      <c r="DUR23"/>
      <c r="DUS23"/>
      <c r="DUT23"/>
      <c r="DUU23"/>
      <c r="DUV23"/>
      <c r="DUW23"/>
      <c r="DUX23"/>
      <c r="DUY23"/>
      <c r="DUZ23"/>
      <c r="DVA23"/>
      <c r="DVB23"/>
      <c r="DVC23"/>
      <c r="DVD23"/>
      <c r="DVE23"/>
      <c r="DVF23"/>
      <c r="DVG23"/>
      <c r="DVH23"/>
      <c r="DVI23"/>
      <c r="DVJ23"/>
      <c r="DVK23"/>
      <c r="DVL23"/>
      <c r="DVM23"/>
      <c r="DVN23"/>
      <c r="DVO23"/>
      <c r="DVP23"/>
      <c r="DVQ23"/>
      <c r="DVR23"/>
      <c r="DVS23"/>
      <c r="DVT23"/>
      <c r="DVU23"/>
      <c r="DVV23"/>
      <c r="DVW23"/>
      <c r="DVX23"/>
      <c r="DVY23"/>
      <c r="DVZ23"/>
      <c r="DWA23"/>
      <c r="DWB23"/>
      <c r="DWC23"/>
      <c r="DWD23"/>
      <c r="DWE23"/>
      <c r="DWF23"/>
      <c r="DWG23"/>
      <c r="DWH23"/>
      <c r="DWI23"/>
      <c r="DWJ23"/>
      <c r="DWK23"/>
      <c r="DWL23"/>
      <c r="DWM23"/>
      <c r="DWN23"/>
      <c r="DWO23"/>
      <c r="DWP23"/>
      <c r="DWQ23"/>
      <c r="DWR23"/>
      <c r="DWS23"/>
      <c r="DWT23"/>
      <c r="DWU23"/>
      <c r="DWV23"/>
      <c r="DWW23"/>
      <c r="DWX23"/>
      <c r="DWY23"/>
      <c r="DWZ23"/>
      <c r="DXA23"/>
      <c r="DXB23"/>
      <c r="DXC23"/>
      <c r="DXD23"/>
      <c r="DXE23"/>
      <c r="DXF23"/>
      <c r="DXG23"/>
      <c r="DXH23"/>
      <c r="DXI23"/>
      <c r="DXJ23"/>
      <c r="DXK23"/>
      <c r="DXL23"/>
      <c r="DXM23"/>
      <c r="DXN23"/>
      <c r="DXO23"/>
      <c r="DXP23"/>
      <c r="DXQ23"/>
      <c r="DXR23"/>
      <c r="DXS23"/>
      <c r="DXT23"/>
      <c r="DXU23"/>
      <c r="DXV23"/>
      <c r="DXW23"/>
      <c r="DXX23"/>
      <c r="DXY23"/>
      <c r="DXZ23"/>
      <c r="DYA23"/>
      <c r="DYB23"/>
      <c r="DYC23"/>
      <c r="DYD23"/>
      <c r="DYE23"/>
      <c r="DYF23"/>
      <c r="DYG23"/>
      <c r="DYH23"/>
      <c r="DYI23"/>
      <c r="DYJ23"/>
      <c r="DYK23"/>
      <c r="DYL23"/>
      <c r="DYM23"/>
      <c r="DYN23"/>
      <c r="DYO23"/>
      <c r="DYP23"/>
      <c r="DYQ23"/>
      <c r="DYR23"/>
      <c r="DYS23"/>
      <c r="DYT23"/>
      <c r="DYU23"/>
      <c r="DYV23"/>
      <c r="DYW23"/>
      <c r="DYX23"/>
      <c r="DYY23"/>
      <c r="DYZ23"/>
      <c r="DZA23"/>
      <c r="DZB23"/>
      <c r="DZC23"/>
      <c r="DZD23"/>
      <c r="DZE23"/>
      <c r="DZF23"/>
      <c r="DZG23"/>
      <c r="DZH23"/>
      <c r="DZI23"/>
      <c r="DZJ23"/>
      <c r="DZK23"/>
      <c r="DZL23"/>
      <c r="DZM23"/>
      <c r="DZN23"/>
      <c r="DZO23"/>
      <c r="DZP23"/>
      <c r="DZQ23"/>
      <c r="DZR23"/>
      <c r="DZS23"/>
      <c r="DZT23"/>
      <c r="DZU23"/>
      <c r="DZV23"/>
      <c r="DZW23"/>
      <c r="DZX23"/>
      <c r="DZY23"/>
      <c r="DZZ23"/>
      <c r="EAA23"/>
      <c r="EAB23"/>
      <c r="EAC23"/>
      <c r="EAD23"/>
      <c r="EAE23"/>
      <c r="EAF23"/>
      <c r="EAG23"/>
      <c r="EAH23"/>
      <c r="EAI23"/>
      <c r="EAJ23"/>
      <c r="EAK23"/>
      <c r="EAL23"/>
      <c r="EAM23"/>
      <c r="EAN23"/>
      <c r="EAO23"/>
      <c r="EAP23"/>
      <c r="EAQ23"/>
      <c r="EAR23"/>
      <c r="EAS23"/>
      <c r="EAT23"/>
      <c r="EAU23"/>
      <c r="EAV23"/>
      <c r="EAW23"/>
      <c r="EAX23"/>
      <c r="EAY23"/>
      <c r="EAZ23"/>
      <c r="EBA23"/>
      <c r="EBB23"/>
      <c r="EBC23"/>
      <c r="EBD23"/>
      <c r="EBE23"/>
      <c r="EBF23"/>
      <c r="EBG23"/>
      <c r="EBH23"/>
      <c r="EBI23"/>
      <c r="EBJ23"/>
      <c r="EBK23"/>
      <c r="EBL23"/>
      <c r="EBM23"/>
      <c r="EBN23"/>
      <c r="EBO23"/>
      <c r="EBP23"/>
      <c r="EBQ23"/>
      <c r="EBR23"/>
      <c r="EBS23"/>
      <c r="EBT23"/>
      <c r="EBU23"/>
      <c r="EBV23"/>
      <c r="EBW23"/>
      <c r="EBX23"/>
      <c r="EBY23"/>
      <c r="EBZ23"/>
      <c r="ECA23"/>
      <c r="ECB23"/>
      <c r="ECC23"/>
      <c r="ECD23"/>
      <c r="ECE23"/>
      <c r="ECF23"/>
      <c r="ECG23"/>
      <c r="ECH23"/>
      <c r="ECI23"/>
      <c r="ECJ23"/>
      <c r="ECK23"/>
      <c r="ECL23"/>
      <c r="ECM23"/>
      <c r="ECN23"/>
      <c r="ECO23"/>
      <c r="ECP23"/>
      <c r="ECQ23"/>
      <c r="ECR23"/>
      <c r="ECS23"/>
      <c r="ECT23"/>
      <c r="ECU23"/>
      <c r="ECV23"/>
      <c r="ECW23"/>
      <c r="ECX23"/>
      <c r="ECY23"/>
      <c r="ECZ23"/>
      <c r="EDA23"/>
      <c r="EDB23"/>
      <c r="EDC23"/>
      <c r="EDD23"/>
      <c r="EDE23"/>
      <c r="EDF23"/>
      <c r="EDG23"/>
      <c r="EDH23"/>
      <c r="EDI23"/>
      <c r="EDJ23"/>
      <c r="EDK23"/>
      <c r="EDL23"/>
      <c r="EDM23"/>
      <c r="EDN23"/>
      <c r="EDO23"/>
      <c r="EDP23"/>
      <c r="EDQ23"/>
      <c r="EDR23"/>
      <c r="EDS23"/>
      <c r="EDT23"/>
      <c r="EDU23"/>
      <c r="EDV23"/>
      <c r="EDW23"/>
      <c r="EDX23"/>
      <c r="EDY23"/>
      <c r="EDZ23"/>
      <c r="EEA23"/>
      <c r="EEB23"/>
      <c r="EEC23"/>
      <c r="EED23"/>
      <c r="EEE23"/>
      <c r="EEF23"/>
      <c r="EEG23"/>
      <c r="EEH23"/>
      <c r="EEI23"/>
      <c r="EEJ23"/>
      <c r="EEK23"/>
      <c r="EEL23"/>
      <c r="EEM23"/>
      <c r="EEN23"/>
      <c r="EEO23"/>
      <c r="EEP23"/>
      <c r="EEQ23"/>
      <c r="EER23"/>
      <c r="EES23"/>
      <c r="EET23"/>
      <c r="EEU23"/>
      <c r="EEV23"/>
      <c r="EEW23"/>
      <c r="EEX23"/>
      <c r="EEY23"/>
      <c r="EEZ23"/>
      <c r="EFA23"/>
      <c r="EFB23"/>
      <c r="EFC23"/>
      <c r="EFD23"/>
      <c r="EFE23"/>
      <c r="EFF23"/>
      <c r="EFG23"/>
      <c r="EFH23"/>
      <c r="EFI23"/>
      <c r="EFJ23"/>
      <c r="EFK23"/>
      <c r="EFL23"/>
      <c r="EFM23"/>
      <c r="EFN23"/>
      <c r="EFO23"/>
      <c r="EFP23"/>
      <c r="EFQ23"/>
      <c r="EFR23"/>
      <c r="EFS23"/>
      <c r="EFT23"/>
      <c r="EFU23"/>
      <c r="EFV23"/>
      <c r="EFW23"/>
      <c r="EFX23"/>
      <c r="EFY23"/>
      <c r="EFZ23"/>
      <c r="EGA23"/>
      <c r="EGB23"/>
      <c r="EGC23"/>
      <c r="EGD23"/>
      <c r="EGE23"/>
      <c r="EGF23"/>
      <c r="EGG23"/>
      <c r="EGH23"/>
      <c r="EGI23"/>
      <c r="EGJ23"/>
      <c r="EGK23"/>
      <c r="EGL23"/>
      <c r="EGM23"/>
      <c r="EGN23"/>
      <c r="EGO23"/>
      <c r="EGP23"/>
      <c r="EGQ23"/>
      <c r="EGR23"/>
      <c r="EGS23"/>
      <c r="EGT23"/>
      <c r="EGU23"/>
      <c r="EGV23"/>
      <c r="EGW23"/>
      <c r="EGX23"/>
      <c r="EGY23"/>
      <c r="EGZ23"/>
      <c r="EHA23"/>
      <c r="EHB23"/>
      <c r="EHC23"/>
      <c r="EHD23"/>
      <c r="EHE23"/>
      <c r="EHF23"/>
      <c r="EHG23"/>
      <c r="EHH23"/>
      <c r="EHI23"/>
      <c r="EHJ23"/>
      <c r="EHK23"/>
      <c r="EHL23"/>
      <c r="EHM23"/>
      <c r="EHN23"/>
      <c r="EHO23"/>
      <c r="EHP23"/>
      <c r="EHQ23"/>
      <c r="EHR23"/>
      <c r="EHS23"/>
      <c r="EHT23"/>
      <c r="EHU23"/>
      <c r="EHV23"/>
      <c r="EHW23"/>
      <c r="EHX23"/>
      <c r="EHY23"/>
      <c r="EHZ23"/>
      <c r="EIA23"/>
      <c r="EIB23"/>
      <c r="EIC23"/>
      <c r="EID23"/>
      <c r="EIE23"/>
      <c r="EIF23"/>
      <c r="EIG23"/>
      <c r="EIH23"/>
      <c r="EII23"/>
      <c r="EIJ23"/>
      <c r="EIK23"/>
      <c r="EIL23"/>
      <c r="EIM23"/>
      <c r="EIN23"/>
      <c r="EIO23"/>
      <c r="EIP23"/>
      <c r="EIQ23"/>
      <c r="EIR23"/>
      <c r="EIS23"/>
      <c r="EIT23"/>
      <c r="EIU23"/>
      <c r="EIV23"/>
      <c r="EIW23"/>
      <c r="EIX23"/>
      <c r="EIY23"/>
      <c r="EIZ23"/>
      <c r="EJA23"/>
      <c r="EJB23"/>
      <c r="EJC23"/>
      <c r="EJD23"/>
      <c r="EJE23"/>
      <c r="EJF23"/>
      <c r="EJG23"/>
      <c r="EJH23"/>
      <c r="EJI23"/>
      <c r="EJJ23"/>
      <c r="EJK23"/>
      <c r="EJL23"/>
      <c r="EJM23"/>
      <c r="EJN23"/>
      <c r="EJO23"/>
      <c r="EJP23"/>
      <c r="EJQ23"/>
      <c r="EJR23"/>
      <c r="EJS23"/>
      <c r="EJT23"/>
      <c r="EJU23"/>
      <c r="EJV23"/>
      <c r="EJW23"/>
      <c r="EJX23"/>
      <c r="EJY23"/>
      <c r="EJZ23"/>
      <c r="EKA23"/>
      <c r="EKB23"/>
      <c r="EKC23"/>
      <c r="EKD23"/>
      <c r="EKE23"/>
      <c r="EKF23"/>
      <c r="EKG23"/>
      <c r="EKH23"/>
      <c r="EKI23"/>
      <c r="EKJ23"/>
      <c r="EKK23"/>
      <c r="EKL23"/>
      <c r="EKM23"/>
      <c r="EKN23"/>
      <c r="EKO23"/>
      <c r="EKP23"/>
      <c r="EKQ23"/>
      <c r="EKR23"/>
      <c r="EKS23"/>
      <c r="EKT23"/>
      <c r="EKU23"/>
      <c r="EKV23"/>
      <c r="EKW23"/>
      <c r="EKX23"/>
      <c r="EKY23"/>
      <c r="EKZ23"/>
      <c r="ELA23"/>
      <c r="ELB23"/>
      <c r="ELC23"/>
      <c r="ELD23"/>
      <c r="ELE23"/>
      <c r="ELF23"/>
      <c r="ELG23"/>
      <c r="ELH23"/>
      <c r="ELI23"/>
      <c r="ELJ23"/>
      <c r="ELK23"/>
      <c r="ELL23"/>
      <c r="ELM23"/>
      <c r="ELN23"/>
      <c r="ELO23"/>
      <c r="ELP23"/>
      <c r="ELQ23"/>
      <c r="ELR23"/>
      <c r="ELS23"/>
      <c r="ELT23"/>
      <c r="ELU23"/>
      <c r="ELV23"/>
      <c r="ELW23"/>
      <c r="ELX23"/>
      <c r="ELY23"/>
      <c r="ELZ23"/>
      <c r="EMA23"/>
      <c r="EMB23"/>
      <c r="EMC23"/>
      <c r="EMD23"/>
      <c r="EME23"/>
      <c r="EMF23"/>
      <c r="EMG23"/>
      <c r="EMH23"/>
      <c r="EMI23"/>
      <c r="EMJ23"/>
      <c r="EMK23"/>
      <c r="EML23"/>
      <c r="EMM23"/>
      <c r="EMN23"/>
      <c r="EMO23"/>
      <c r="EMP23"/>
      <c r="EMQ23"/>
      <c r="EMR23"/>
      <c r="EMS23"/>
      <c r="EMT23"/>
      <c r="EMU23"/>
      <c r="EMV23"/>
      <c r="EMW23"/>
      <c r="EMX23"/>
      <c r="EMY23"/>
      <c r="EMZ23"/>
      <c r="ENA23"/>
      <c r="ENB23"/>
      <c r="ENC23"/>
      <c r="END23"/>
      <c r="ENE23"/>
      <c r="ENF23"/>
      <c r="ENG23"/>
      <c r="ENH23"/>
      <c r="ENI23"/>
      <c r="ENJ23"/>
      <c r="ENK23"/>
      <c r="ENL23"/>
      <c r="ENM23"/>
      <c r="ENN23"/>
      <c r="ENO23"/>
      <c r="ENP23"/>
      <c r="ENQ23"/>
      <c r="ENR23"/>
      <c r="ENS23"/>
      <c r="ENT23"/>
      <c r="ENU23"/>
      <c r="ENV23"/>
      <c r="ENW23"/>
      <c r="ENX23"/>
      <c r="ENY23"/>
      <c r="ENZ23"/>
      <c r="EOA23"/>
      <c r="EOB23"/>
      <c r="EOC23"/>
      <c r="EOD23"/>
      <c r="EOE23"/>
      <c r="EOF23"/>
      <c r="EOG23"/>
      <c r="EOH23"/>
      <c r="EOI23"/>
      <c r="EOJ23"/>
      <c r="EOK23"/>
      <c r="EOL23"/>
      <c r="EOM23"/>
      <c r="EON23"/>
      <c r="EOO23"/>
      <c r="EOP23"/>
      <c r="EOQ23"/>
      <c r="EOR23"/>
      <c r="EOS23"/>
      <c r="EOT23"/>
      <c r="EOU23"/>
      <c r="EOV23"/>
      <c r="EOW23"/>
      <c r="EOX23"/>
      <c r="EOY23"/>
      <c r="EOZ23"/>
      <c r="EPA23"/>
      <c r="EPB23"/>
      <c r="EPC23"/>
      <c r="EPD23"/>
      <c r="EPE23"/>
      <c r="EPF23"/>
      <c r="EPG23"/>
      <c r="EPH23"/>
      <c r="EPI23"/>
      <c r="EPJ23"/>
      <c r="EPK23"/>
      <c r="EPL23"/>
      <c r="EPM23"/>
      <c r="EPN23"/>
      <c r="EPO23"/>
      <c r="EPP23"/>
      <c r="EPQ23"/>
      <c r="EPR23"/>
      <c r="EPS23"/>
      <c r="EPT23"/>
      <c r="EPU23"/>
      <c r="EPV23"/>
      <c r="EPW23"/>
      <c r="EPX23"/>
      <c r="EPY23"/>
      <c r="EPZ23"/>
      <c r="EQA23"/>
      <c r="EQB23"/>
      <c r="EQC23"/>
      <c r="EQD23"/>
      <c r="EQE23"/>
      <c r="EQF23"/>
      <c r="EQG23"/>
      <c r="EQH23"/>
      <c r="EQI23"/>
      <c r="EQJ23"/>
      <c r="EQK23"/>
      <c r="EQL23"/>
      <c r="EQM23"/>
      <c r="EQN23"/>
      <c r="EQO23"/>
      <c r="EQP23"/>
      <c r="EQQ23"/>
      <c r="EQR23"/>
      <c r="EQS23"/>
      <c r="EQT23"/>
      <c r="EQU23"/>
      <c r="EQV23"/>
      <c r="EQW23"/>
      <c r="EQX23"/>
      <c r="EQY23"/>
      <c r="EQZ23"/>
      <c r="ERA23"/>
      <c r="ERB23"/>
      <c r="ERC23"/>
      <c r="ERD23"/>
      <c r="ERE23"/>
      <c r="ERF23"/>
      <c r="ERG23"/>
      <c r="ERH23"/>
      <c r="ERI23"/>
      <c r="ERJ23"/>
      <c r="ERK23"/>
      <c r="ERL23"/>
      <c r="ERM23"/>
      <c r="ERN23"/>
      <c r="ERO23"/>
      <c r="ERP23"/>
      <c r="ERQ23"/>
      <c r="ERR23"/>
      <c r="ERS23"/>
      <c r="ERT23"/>
      <c r="ERU23"/>
      <c r="ERV23"/>
      <c r="ERW23"/>
      <c r="ERX23"/>
      <c r="ERY23"/>
      <c r="ERZ23"/>
      <c r="ESA23"/>
      <c r="ESB23"/>
      <c r="ESC23"/>
      <c r="ESD23"/>
      <c r="ESE23"/>
      <c r="ESF23"/>
      <c r="ESG23"/>
      <c r="ESH23"/>
      <c r="ESI23"/>
      <c r="ESJ23"/>
      <c r="ESK23"/>
      <c r="ESL23"/>
      <c r="ESM23"/>
      <c r="ESN23"/>
      <c r="ESO23"/>
      <c r="ESP23"/>
      <c r="ESQ23"/>
      <c r="ESR23"/>
      <c r="ESS23"/>
      <c r="EST23"/>
      <c r="ESU23"/>
      <c r="ESV23"/>
      <c r="ESW23"/>
      <c r="ESX23"/>
      <c r="ESY23"/>
      <c r="ESZ23"/>
      <c r="ETA23"/>
      <c r="ETB23"/>
      <c r="ETC23"/>
      <c r="ETD23"/>
      <c r="ETE23"/>
      <c r="ETF23"/>
      <c r="ETG23"/>
      <c r="ETH23"/>
      <c r="ETI23"/>
      <c r="ETJ23"/>
      <c r="ETK23"/>
      <c r="ETL23"/>
      <c r="ETM23"/>
      <c r="ETN23"/>
      <c r="ETO23"/>
      <c r="ETP23"/>
      <c r="ETQ23"/>
      <c r="ETR23"/>
      <c r="ETS23"/>
      <c r="ETT23"/>
      <c r="ETU23"/>
      <c r="ETV23"/>
      <c r="ETW23"/>
      <c r="ETX23"/>
      <c r="ETY23"/>
      <c r="ETZ23"/>
      <c r="EUA23"/>
      <c r="EUB23"/>
      <c r="EUC23"/>
      <c r="EUD23"/>
      <c r="EUE23"/>
      <c r="EUF23"/>
      <c r="EUG23"/>
      <c r="EUH23"/>
      <c r="EUI23"/>
      <c r="EUJ23"/>
      <c r="EUK23"/>
      <c r="EUL23"/>
      <c r="EUM23"/>
      <c r="EUN23"/>
      <c r="EUO23"/>
      <c r="EUP23"/>
      <c r="EUQ23"/>
      <c r="EUR23"/>
      <c r="EUS23"/>
      <c r="EUT23"/>
      <c r="EUU23"/>
      <c r="EUV23"/>
      <c r="EUW23"/>
      <c r="EUX23"/>
      <c r="EUY23"/>
      <c r="EUZ23"/>
      <c r="EVA23"/>
      <c r="EVB23"/>
      <c r="EVC23"/>
      <c r="EVD23"/>
      <c r="EVE23"/>
      <c r="EVF23"/>
      <c r="EVG23"/>
      <c r="EVH23"/>
      <c r="EVI23"/>
      <c r="EVJ23"/>
      <c r="EVK23"/>
      <c r="EVL23"/>
      <c r="EVM23"/>
      <c r="EVN23"/>
      <c r="EVO23"/>
      <c r="EVP23"/>
      <c r="EVQ23"/>
      <c r="EVR23"/>
      <c r="EVS23"/>
      <c r="EVT23"/>
      <c r="EVU23"/>
      <c r="EVV23"/>
      <c r="EVW23"/>
      <c r="EVX23"/>
      <c r="EVY23"/>
      <c r="EVZ23"/>
      <c r="EWA23"/>
      <c r="EWB23"/>
      <c r="EWC23"/>
      <c r="EWD23"/>
      <c r="EWE23"/>
      <c r="EWF23"/>
      <c r="EWG23"/>
      <c r="EWH23"/>
      <c r="EWI23"/>
      <c r="EWJ23"/>
      <c r="EWK23"/>
      <c r="EWL23"/>
      <c r="EWM23"/>
      <c r="EWN23"/>
      <c r="EWO23"/>
      <c r="EWP23"/>
      <c r="EWQ23"/>
      <c r="EWR23"/>
      <c r="EWS23"/>
      <c r="EWT23"/>
      <c r="EWU23"/>
      <c r="EWV23"/>
      <c r="EWW23"/>
      <c r="EWX23"/>
      <c r="EWY23"/>
      <c r="EWZ23"/>
      <c r="EXA23"/>
      <c r="EXB23"/>
      <c r="EXC23"/>
      <c r="EXD23"/>
      <c r="EXE23"/>
      <c r="EXF23"/>
      <c r="EXG23"/>
      <c r="EXH23"/>
      <c r="EXI23"/>
      <c r="EXJ23"/>
      <c r="EXK23"/>
      <c r="EXL23"/>
      <c r="EXM23"/>
      <c r="EXN23"/>
      <c r="EXO23"/>
      <c r="EXP23"/>
      <c r="EXQ23"/>
      <c r="EXR23"/>
      <c r="EXS23"/>
      <c r="EXT23"/>
      <c r="EXU23"/>
      <c r="EXV23"/>
      <c r="EXW23"/>
      <c r="EXX23"/>
      <c r="EXY23"/>
      <c r="EXZ23"/>
      <c r="EYA23"/>
      <c r="EYB23"/>
      <c r="EYC23"/>
      <c r="EYD23"/>
      <c r="EYE23"/>
      <c r="EYF23"/>
      <c r="EYG23"/>
      <c r="EYH23"/>
      <c r="EYI23"/>
      <c r="EYJ23"/>
      <c r="EYK23"/>
      <c r="EYL23"/>
      <c r="EYM23"/>
      <c r="EYN23"/>
      <c r="EYO23"/>
      <c r="EYP23"/>
      <c r="EYQ23"/>
      <c r="EYR23"/>
      <c r="EYS23"/>
      <c r="EYT23"/>
      <c r="EYU23"/>
      <c r="EYV23"/>
      <c r="EYW23"/>
      <c r="EYX23"/>
      <c r="EYY23"/>
      <c r="EYZ23"/>
      <c r="EZA23"/>
      <c r="EZB23"/>
      <c r="EZC23"/>
      <c r="EZD23"/>
      <c r="EZE23"/>
      <c r="EZF23"/>
      <c r="EZG23"/>
      <c r="EZH23"/>
      <c r="EZI23"/>
      <c r="EZJ23"/>
      <c r="EZK23"/>
      <c r="EZL23"/>
      <c r="EZM23"/>
      <c r="EZN23"/>
      <c r="EZO23"/>
      <c r="EZP23"/>
      <c r="EZQ23"/>
      <c r="EZR23"/>
      <c r="EZS23"/>
      <c r="EZT23"/>
      <c r="EZU23"/>
      <c r="EZV23"/>
      <c r="EZW23"/>
      <c r="EZX23"/>
      <c r="EZY23"/>
      <c r="EZZ23"/>
      <c r="FAA23"/>
      <c r="FAB23"/>
      <c r="FAC23"/>
      <c r="FAD23"/>
      <c r="FAE23"/>
      <c r="FAF23"/>
      <c r="FAG23"/>
      <c r="FAH23"/>
      <c r="FAI23"/>
      <c r="FAJ23"/>
      <c r="FAK23"/>
      <c r="FAL23"/>
      <c r="FAM23"/>
      <c r="FAN23"/>
      <c r="FAO23"/>
      <c r="FAP23"/>
      <c r="FAQ23"/>
      <c r="FAR23"/>
      <c r="FAS23"/>
      <c r="FAT23"/>
      <c r="FAU23"/>
      <c r="FAV23"/>
      <c r="FAW23"/>
      <c r="FAX23"/>
      <c r="FAY23"/>
      <c r="FAZ23"/>
      <c r="FBA23"/>
      <c r="FBB23"/>
      <c r="FBC23"/>
      <c r="FBD23"/>
      <c r="FBE23"/>
      <c r="FBF23"/>
      <c r="FBG23"/>
      <c r="FBH23"/>
      <c r="FBI23"/>
      <c r="FBJ23"/>
      <c r="FBK23"/>
      <c r="FBL23"/>
      <c r="FBM23"/>
      <c r="FBN23"/>
      <c r="FBO23"/>
      <c r="FBP23"/>
      <c r="FBQ23"/>
      <c r="FBR23"/>
      <c r="FBS23"/>
      <c r="FBT23"/>
      <c r="FBU23"/>
      <c r="FBV23"/>
      <c r="FBW23"/>
      <c r="FBX23"/>
      <c r="FBY23"/>
      <c r="FBZ23"/>
      <c r="FCA23"/>
      <c r="FCB23"/>
      <c r="FCC23"/>
      <c r="FCD23"/>
      <c r="FCE23"/>
      <c r="FCF23"/>
      <c r="FCG23"/>
      <c r="FCH23"/>
      <c r="FCI23"/>
      <c r="FCJ23"/>
      <c r="FCK23"/>
      <c r="FCL23"/>
      <c r="FCM23"/>
      <c r="FCN23"/>
      <c r="FCO23"/>
      <c r="FCP23"/>
      <c r="FCQ23"/>
      <c r="FCR23"/>
      <c r="FCS23"/>
      <c r="FCT23"/>
      <c r="FCU23"/>
      <c r="FCV23"/>
      <c r="FCW23"/>
      <c r="FCX23"/>
      <c r="FCY23"/>
      <c r="FCZ23"/>
      <c r="FDA23"/>
      <c r="FDB23"/>
      <c r="FDC23"/>
      <c r="FDD23"/>
      <c r="FDE23"/>
      <c r="FDF23"/>
      <c r="FDG23"/>
      <c r="FDH23"/>
      <c r="FDI23"/>
      <c r="FDJ23"/>
      <c r="FDK23"/>
      <c r="FDL23"/>
      <c r="FDM23"/>
      <c r="FDN23"/>
      <c r="FDO23"/>
      <c r="FDP23"/>
      <c r="FDQ23"/>
      <c r="FDR23"/>
      <c r="FDS23"/>
      <c r="FDT23"/>
      <c r="FDU23"/>
      <c r="FDV23"/>
      <c r="FDW23"/>
      <c r="FDX23"/>
      <c r="FDY23"/>
      <c r="FDZ23"/>
      <c r="FEA23"/>
      <c r="FEB23"/>
      <c r="FEC23"/>
      <c r="FED23"/>
      <c r="FEE23"/>
      <c r="FEF23"/>
      <c r="FEG23"/>
      <c r="FEH23"/>
      <c r="FEI23"/>
      <c r="FEJ23"/>
      <c r="FEK23"/>
      <c r="FEL23"/>
      <c r="FEM23"/>
      <c r="FEN23"/>
      <c r="FEO23"/>
      <c r="FEP23"/>
      <c r="FEQ23"/>
      <c r="FER23"/>
      <c r="FES23"/>
      <c r="FET23"/>
      <c r="FEU23"/>
      <c r="FEV23"/>
      <c r="FEW23"/>
      <c r="FEX23"/>
      <c r="FEY23"/>
      <c r="FEZ23"/>
      <c r="FFA23"/>
      <c r="FFB23"/>
      <c r="FFC23"/>
      <c r="FFD23"/>
      <c r="FFE23"/>
      <c r="FFF23"/>
      <c r="FFG23"/>
      <c r="FFH23"/>
      <c r="FFI23"/>
      <c r="FFJ23"/>
      <c r="FFK23"/>
      <c r="FFL23"/>
      <c r="FFM23"/>
      <c r="FFN23"/>
      <c r="FFO23"/>
      <c r="FFP23"/>
      <c r="FFQ23"/>
      <c r="FFR23"/>
      <c r="FFS23"/>
      <c r="FFT23"/>
      <c r="FFU23"/>
      <c r="FFV23"/>
      <c r="FFW23"/>
      <c r="FFX23"/>
      <c r="FFY23"/>
      <c r="FFZ23"/>
      <c r="FGA23"/>
      <c r="FGB23"/>
      <c r="FGC23"/>
      <c r="FGD23"/>
      <c r="FGE23"/>
      <c r="FGF23"/>
      <c r="FGG23"/>
      <c r="FGH23"/>
      <c r="FGI23"/>
      <c r="FGJ23"/>
      <c r="FGK23"/>
      <c r="FGL23"/>
      <c r="FGM23"/>
      <c r="FGN23"/>
      <c r="FGO23"/>
      <c r="FGP23"/>
      <c r="FGQ23"/>
      <c r="FGR23"/>
      <c r="FGS23"/>
      <c r="FGT23"/>
      <c r="FGU23"/>
      <c r="FGV23"/>
      <c r="FGW23"/>
      <c r="FGX23"/>
      <c r="FGY23"/>
      <c r="FGZ23"/>
      <c r="FHA23"/>
      <c r="FHB23"/>
      <c r="FHC23"/>
      <c r="FHD23"/>
      <c r="FHE23"/>
      <c r="FHF23"/>
      <c r="FHG23"/>
      <c r="FHH23"/>
      <c r="FHI23"/>
      <c r="FHJ23"/>
      <c r="FHK23"/>
      <c r="FHL23"/>
      <c r="FHM23"/>
      <c r="FHN23"/>
      <c r="FHO23"/>
      <c r="FHP23"/>
      <c r="FHQ23"/>
      <c r="FHR23"/>
      <c r="FHS23"/>
      <c r="FHT23"/>
      <c r="FHU23"/>
      <c r="FHV23"/>
      <c r="FHW23"/>
      <c r="FHX23"/>
      <c r="FHY23"/>
      <c r="FHZ23"/>
      <c r="FIA23"/>
      <c r="FIB23"/>
      <c r="FIC23"/>
      <c r="FID23"/>
      <c r="FIE23"/>
      <c r="FIF23"/>
      <c r="FIG23"/>
      <c r="FIH23"/>
      <c r="FII23"/>
      <c r="FIJ23"/>
      <c r="FIK23"/>
      <c r="FIL23"/>
      <c r="FIM23"/>
      <c r="FIN23"/>
      <c r="FIO23"/>
      <c r="FIP23"/>
      <c r="FIQ23"/>
      <c r="FIR23"/>
      <c r="FIS23"/>
      <c r="FIT23"/>
      <c r="FIU23"/>
      <c r="FIV23"/>
      <c r="FIW23"/>
      <c r="FIX23"/>
      <c r="FIY23"/>
      <c r="FIZ23"/>
      <c r="FJA23"/>
      <c r="FJB23"/>
      <c r="FJC23"/>
      <c r="FJD23"/>
      <c r="FJE23"/>
      <c r="FJF23"/>
      <c r="FJG23"/>
      <c r="FJH23"/>
      <c r="FJI23"/>
      <c r="FJJ23"/>
      <c r="FJK23"/>
      <c r="FJL23"/>
      <c r="FJM23"/>
      <c r="FJN23"/>
      <c r="FJO23"/>
      <c r="FJP23"/>
      <c r="FJQ23"/>
      <c r="FJR23"/>
      <c r="FJS23"/>
      <c r="FJT23"/>
      <c r="FJU23"/>
      <c r="FJV23"/>
      <c r="FJW23"/>
      <c r="FJX23"/>
      <c r="FJY23"/>
      <c r="FJZ23"/>
      <c r="FKA23"/>
      <c r="FKB23"/>
      <c r="FKC23"/>
      <c r="FKD23"/>
      <c r="FKE23"/>
      <c r="FKF23"/>
      <c r="FKG23"/>
      <c r="FKH23"/>
      <c r="FKI23"/>
      <c r="FKJ23"/>
      <c r="FKK23"/>
      <c r="FKL23"/>
      <c r="FKM23"/>
      <c r="FKN23"/>
      <c r="FKO23"/>
      <c r="FKP23"/>
      <c r="FKQ23"/>
      <c r="FKR23"/>
      <c r="FKS23"/>
      <c r="FKT23"/>
      <c r="FKU23"/>
      <c r="FKV23"/>
      <c r="FKW23"/>
      <c r="FKX23"/>
      <c r="FKY23"/>
      <c r="FKZ23"/>
      <c r="FLA23"/>
      <c r="FLB23"/>
      <c r="FLC23"/>
      <c r="FLD23"/>
      <c r="FLE23"/>
      <c r="FLF23"/>
      <c r="FLG23"/>
      <c r="FLH23"/>
      <c r="FLI23"/>
      <c r="FLJ23"/>
      <c r="FLK23"/>
      <c r="FLL23"/>
      <c r="FLM23"/>
      <c r="FLN23"/>
      <c r="FLO23"/>
      <c r="FLP23"/>
      <c r="FLQ23"/>
      <c r="FLR23"/>
      <c r="FLS23"/>
      <c r="FLT23"/>
      <c r="FLU23"/>
      <c r="FLV23"/>
      <c r="FLW23"/>
      <c r="FLX23"/>
      <c r="FLY23"/>
      <c r="FLZ23"/>
      <c r="FMA23"/>
      <c r="FMB23"/>
      <c r="FMC23"/>
      <c r="FMD23"/>
      <c r="FME23"/>
      <c r="FMF23"/>
      <c r="FMG23"/>
      <c r="FMH23"/>
      <c r="FMI23"/>
      <c r="FMJ23"/>
      <c r="FMK23"/>
      <c r="FML23"/>
      <c r="FMM23"/>
      <c r="FMN23"/>
      <c r="FMO23"/>
      <c r="FMP23"/>
      <c r="FMQ23"/>
      <c r="FMR23"/>
      <c r="FMS23"/>
      <c r="FMT23"/>
      <c r="FMU23"/>
      <c r="FMV23"/>
      <c r="FMW23"/>
      <c r="FMX23"/>
      <c r="FMY23"/>
      <c r="FMZ23"/>
      <c r="FNA23"/>
      <c r="FNB23"/>
      <c r="FNC23"/>
      <c r="FND23"/>
      <c r="FNE23"/>
      <c r="FNF23"/>
      <c r="FNG23"/>
      <c r="FNH23"/>
      <c r="FNI23"/>
      <c r="FNJ23"/>
      <c r="FNK23"/>
      <c r="FNL23"/>
      <c r="FNM23"/>
      <c r="FNN23"/>
      <c r="FNO23"/>
      <c r="FNP23"/>
      <c r="FNQ23"/>
      <c r="FNR23"/>
      <c r="FNS23"/>
      <c r="FNT23"/>
      <c r="FNU23"/>
      <c r="FNV23"/>
      <c r="FNW23"/>
      <c r="FNX23"/>
      <c r="FNY23"/>
      <c r="FNZ23"/>
      <c r="FOA23"/>
      <c r="FOB23"/>
      <c r="FOC23"/>
      <c r="FOD23"/>
      <c r="FOE23"/>
      <c r="FOF23"/>
      <c r="FOG23"/>
      <c r="FOH23"/>
      <c r="FOI23"/>
      <c r="FOJ23"/>
      <c r="FOK23"/>
      <c r="FOL23"/>
      <c r="FOM23"/>
      <c r="FON23"/>
      <c r="FOO23"/>
      <c r="FOP23"/>
      <c r="FOQ23"/>
      <c r="FOR23"/>
      <c r="FOS23"/>
      <c r="FOT23"/>
      <c r="FOU23"/>
      <c r="FOV23"/>
      <c r="FOW23"/>
      <c r="FOX23"/>
      <c r="FOY23"/>
      <c r="FOZ23"/>
      <c r="FPA23"/>
      <c r="FPB23"/>
      <c r="FPC23"/>
      <c r="FPD23"/>
      <c r="FPE23"/>
      <c r="FPF23"/>
      <c r="FPG23"/>
      <c r="FPH23"/>
      <c r="FPI23"/>
      <c r="FPJ23"/>
      <c r="FPK23"/>
      <c r="FPL23"/>
      <c r="FPM23"/>
      <c r="FPN23"/>
      <c r="FPO23"/>
      <c r="FPP23"/>
      <c r="FPQ23"/>
      <c r="FPR23"/>
      <c r="FPS23"/>
      <c r="FPT23"/>
      <c r="FPU23"/>
      <c r="FPV23"/>
      <c r="FPW23"/>
      <c r="FPX23"/>
      <c r="FPY23"/>
      <c r="FPZ23"/>
      <c r="FQA23"/>
      <c r="FQB23"/>
      <c r="FQC23"/>
      <c r="FQD23"/>
      <c r="FQE23"/>
      <c r="FQF23"/>
      <c r="FQG23"/>
      <c r="FQH23"/>
      <c r="FQI23"/>
      <c r="FQJ23"/>
      <c r="FQK23"/>
      <c r="FQL23"/>
      <c r="FQM23"/>
      <c r="FQN23"/>
      <c r="FQO23"/>
      <c r="FQP23"/>
      <c r="FQQ23"/>
      <c r="FQR23"/>
      <c r="FQS23"/>
      <c r="FQT23"/>
      <c r="FQU23"/>
      <c r="FQV23"/>
      <c r="FQW23"/>
      <c r="FQX23"/>
      <c r="FQY23"/>
      <c r="FQZ23"/>
      <c r="FRA23"/>
      <c r="FRB23"/>
      <c r="FRC23"/>
      <c r="FRD23"/>
      <c r="FRE23"/>
      <c r="FRF23"/>
      <c r="FRG23"/>
      <c r="FRH23"/>
      <c r="FRI23"/>
      <c r="FRJ23"/>
      <c r="FRK23"/>
      <c r="FRL23"/>
      <c r="FRM23"/>
      <c r="FRN23"/>
      <c r="FRO23"/>
      <c r="FRP23"/>
      <c r="FRQ23"/>
      <c r="FRR23"/>
      <c r="FRS23"/>
      <c r="FRT23"/>
      <c r="FRU23"/>
      <c r="FRV23"/>
      <c r="FRW23"/>
      <c r="FRX23"/>
      <c r="FRY23"/>
      <c r="FRZ23"/>
      <c r="FSA23"/>
      <c r="FSB23"/>
      <c r="FSC23"/>
      <c r="FSD23"/>
      <c r="FSE23"/>
      <c r="FSF23"/>
      <c r="FSG23"/>
      <c r="FSH23"/>
      <c r="FSI23"/>
      <c r="FSJ23"/>
      <c r="FSK23"/>
      <c r="FSL23"/>
      <c r="FSM23"/>
      <c r="FSN23"/>
      <c r="FSO23"/>
      <c r="FSP23"/>
      <c r="FSQ23"/>
      <c r="FSR23"/>
      <c r="FSS23"/>
      <c r="FST23"/>
      <c r="FSU23"/>
      <c r="FSV23"/>
      <c r="FSW23"/>
      <c r="FSX23"/>
      <c r="FSY23"/>
      <c r="FSZ23"/>
      <c r="FTA23"/>
      <c r="FTB23"/>
      <c r="FTC23"/>
      <c r="FTD23"/>
      <c r="FTE23"/>
      <c r="FTF23"/>
      <c r="FTG23"/>
      <c r="FTH23"/>
      <c r="FTI23"/>
      <c r="FTJ23"/>
      <c r="FTK23"/>
      <c r="FTL23"/>
      <c r="FTM23"/>
      <c r="FTN23"/>
      <c r="FTO23"/>
      <c r="FTP23"/>
      <c r="FTQ23"/>
      <c r="FTR23"/>
      <c r="FTS23"/>
      <c r="FTT23"/>
      <c r="FTU23"/>
      <c r="FTV23"/>
      <c r="FTW23"/>
      <c r="FTX23"/>
      <c r="FTY23"/>
      <c r="FTZ23"/>
      <c r="FUA23"/>
      <c r="FUB23"/>
      <c r="FUC23"/>
      <c r="FUD23"/>
      <c r="FUE23"/>
      <c r="FUF23"/>
      <c r="FUG23"/>
      <c r="FUH23"/>
      <c r="FUI23"/>
      <c r="FUJ23"/>
      <c r="FUK23"/>
      <c r="FUL23"/>
      <c r="FUM23"/>
      <c r="FUN23"/>
      <c r="FUO23"/>
      <c r="FUP23"/>
      <c r="FUQ23"/>
      <c r="FUR23"/>
      <c r="FUS23"/>
      <c r="FUT23"/>
      <c r="FUU23"/>
      <c r="FUV23"/>
      <c r="FUW23"/>
      <c r="FUX23"/>
      <c r="FUY23"/>
      <c r="FUZ23"/>
      <c r="FVA23"/>
      <c r="FVB23"/>
      <c r="FVC23"/>
      <c r="FVD23"/>
      <c r="FVE23"/>
      <c r="FVF23"/>
      <c r="FVG23"/>
      <c r="FVH23"/>
      <c r="FVI23"/>
      <c r="FVJ23"/>
      <c r="FVK23"/>
      <c r="FVL23"/>
      <c r="FVM23"/>
      <c r="FVN23"/>
      <c r="FVO23"/>
      <c r="FVP23"/>
      <c r="FVQ23"/>
      <c r="FVR23"/>
      <c r="FVS23"/>
      <c r="FVT23"/>
      <c r="FVU23"/>
      <c r="FVV23"/>
      <c r="FVW23"/>
      <c r="FVX23"/>
      <c r="FVY23"/>
      <c r="FVZ23"/>
      <c r="FWA23"/>
      <c r="FWB23"/>
      <c r="FWC23"/>
      <c r="FWD23"/>
      <c r="FWE23"/>
      <c r="FWF23"/>
      <c r="FWG23"/>
      <c r="FWH23"/>
      <c r="FWI23"/>
      <c r="FWJ23"/>
      <c r="FWK23"/>
      <c r="FWL23"/>
      <c r="FWM23"/>
      <c r="FWN23"/>
      <c r="FWO23"/>
      <c r="FWP23"/>
      <c r="FWQ23"/>
      <c r="FWR23"/>
      <c r="FWS23"/>
      <c r="FWT23"/>
      <c r="FWU23"/>
      <c r="FWV23"/>
      <c r="FWW23"/>
      <c r="FWX23"/>
      <c r="FWY23"/>
      <c r="FWZ23"/>
      <c r="FXA23"/>
      <c r="FXB23"/>
      <c r="FXC23"/>
      <c r="FXD23"/>
      <c r="FXE23"/>
      <c r="FXF23"/>
      <c r="FXG23"/>
      <c r="FXH23"/>
      <c r="FXI23"/>
      <c r="FXJ23"/>
      <c r="FXK23"/>
      <c r="FXL23"/>
      <c r="FXM23"/>
      <c r="FXN23"/>
      <c r="FXO23"/>
      <c r="FXP23"/>
      <c r="FXQ23"/>
      <c r="FXR23"/>
      <c r="FXS23"/>
      <c r="FXT23"/>
      <c r="FXU23"/>
      <c r="FXV23"/>
      <c r="FXW23"/>
      <c r="FXX23"/>
      <c r="FXY23"/>
      <c r="FXZ23"/>
      <c r="FYA23"/>
      <c r="FYB23"/>
      <c r="FYC23"/>
      <c r="FYD23"/>
      <c r="FYE23"/>
      <c r="FYF23"/>
      <c r="FYG23"/>
      <c r="FYH23"/>
      <c r="FYI23"/>
      <c r="FYJ23"/>
      <c r="FYK23"/>
      <c r="FYL23"/>
      <c r="FYM23"/>
      <c r="FYN23"/>
      <c r="FYO23"/>
      <c r="FYP23"/>
      <c r="FYQ23"/>
      <c r="FYR23"/>
      <c r="FYS23"/>
      <c r="FYT23"/>
      <c r="FYU23"/>
      <c r="FYV23"/>
      <c r="FYW23"/>
      <c r="FYX23"/>
      <c r="FYY23"/>
      <c r="FYZ23"/>
      <c r="FZA23"/>
      <c r="FZB23"/>
      <c r="FZC23"/>
      <c r="FZD23"/>
      <c r="FZE23"/>
      <c r="FZF23"/>
      <c r="FZG23"/>
      <c r="FZH23"/>
      <c r="FZI23"/>
      <c r="FZJ23"/>
      <c r="FZK23"/>
      <c r="FZL23"/>
      <c r="FZM23"/>
      <c r="FZN23"/>
      <c r="FZO23"/>
      <c r="FZP23"/>
      <c r="FZQ23"/>
      <c r="FZR23"/>
      <c r="FZS23"/>
      <c r="FZT23"/>
      <c r="FZU23"/>
      <c r="FZV23"/>
      <c r="FZW23"/>
      <c r="FZX23"/>
      <c r="FZY23"/>
      <c r="FZZ23"/>
      <c r="GAA23"/>
      <c r="GAB23"/>
      <c r="GAC23"/>
      <c r="GAD23"/>
      <c r="GAE23"/>
      <c r="GAF23"/>
      <c r="GAG23"/>
      <c r="GAH23"/>
      <c r="GAI23"/>
      <c r="GAJ23"/>
      <c r="GAK23"/>
      <c r="GAL23"/>
      <c r="GAM23"/>
      <c r="GAN23"/>
      <c r="GAO23"/>
      <c r="GAP23"/>
      <c r="GAQ23"/>
      <c r="GAR23"/>
      <c r="GAS23"/>
      <c r="GAT23"/>
      <c r="GAU23"/>
      <c r="GAV23"/>
      <c r="GAW23"/>
      <c r="GAX23"/>
      <c r="GAY23"/>
      <c r="GAZ23"/>
      <c r="GBA23"/>
      <c r="GBB23"/>
      <c r="GBC23"/>
      <c r="GBD23"/>
      <c r="GBE23"/>
      <c r="GBF23"/>
      <c r="GBG23"/>
      <c r="GBH23"/>
      <c r="GBI23"/>
      <c r="GBJ23"/>
      <c r="GBK23"/>
      <c r="GBL23"/>
      <c r="GBM23"/>
      <c r="GBN23"/>
      <c r="GBO23"/>
      <c r="GBP23"/>
      <c r="GBQ23"/>
      <c r="GBR23"/>
      <c r="GBS23"/>
      <c r="GBT23"/>
      <c r="GBU23"/>
      <c r="GBV23"/>
      <c r="GBW23"/>
      <c r="GBX23"/>
      <c r="GBY23"/>
      <c r="GBZ23"/>
      <c r="GCA23"/>
      <c r="GCB23"/>
      <c r="GCC23"/>
      <c r="GCD23"/>
      <c r="GCE23"/>
      <c r="GCF23"/>
      <c r="GCG23"/>
      <c r="GCH23"/>
      <c r="GCI23"/>
      <c r="GCJ23"/>
      <c r="GCK23"/>
      <c r="GCL23"/>
      <c r="GCM23"/>
      <c r="GCN23"/>
      <c r="GCO23"/>
      <c r="GCP23"/>
      <c r="GCQ23"/>
      <c r="GCR23"/>
      <c r="GCS23"/>
      <c r="GCT23"/>
      <c r="GCU23"/>
      <c r="GCV23"/>
      <c r="GCW23"/>
      <c r="GCX23"/>
      <c r="GCY23"/>
      <c r="GCZ23"/>
      <c r="GDA23"/>
      <c r="GDB23"/>
      <c r="GDC23"/>
      <c r="GDD23"/>
      <c r="GDE23"/>
      <c r="GDF23"/>
      <c r="GDG23"/>
      <c r="GDH23"/>
      <c r="GDI23"/>
      <c r="GDJ23"/>
      <c r="GDK23"/>
      <c r="GDL23"/>
      <c r="GDM23"/>
      <c r="GDN23"/>
      <c r="GDO23"/>
      <c r="GDP23"/>
      <c r="GDQ23"/>
      <c r="GDR23"/>
      <c r="GDS23"/>
      <c r="GDT23"/>
      <c r="GDU23"/>
      <c r="GDV23"/>
      <c r="GDW23"/>
      <c r="GDX23"/>
      <c r="GDY23"/>
      <c r="GDZ23"/>
      <c r="GEA23"/>
      <c r="GEB23"/>
      <c r="GEC23"/>
      <c r="GED23"/>
      <c r="GEE23"/>
      <c r="GEF23"/>
      <c r="GEG23"/>
      <c r="GEH23"/>
      <c r="GEI23"/>
      <c r="GEJ23"/>
      <c r="GEK23"/>
      <c r="GEL23"/>
      <c r="GEM23"/>
      <c r="GEN23"/>
      <c r="GEO23"/>
      <c r="GEP23"/>
      <c r="GEQ23"/>
      <c r="GER23"/>
      <c r="GES23"/>
      <c r="GET23"/>
      <c r="GEU23"/>
      <c r="GEV23"/>
      <c r="GEW23"/>
      <c r="GEX23"/>
      <c r="GEY23"/>
      <c r="GEZ23"/>
      <c r="GFA23"/>
      <c r="GFB23"/>
      <c r="GFC23"/>
      <c r="GFD23"/>
      <c r="GFE23"/>
      <c r="GFF23"/>
      <c r="GFG23"/>
      <c r="GFH23"/>
      <c r="GFI23"/>
      <c r="GFJ23"/>
      <c r="GFK23"/>
      <c r="GFL23"/>
      <c r="GFM23"/>
      <c r="GFN23"/>
      <c r="GFO23"/>
      <c r="GFP23"/>
      <c r="GFQ23"/>
      <c r="GFR23"/>
      <c r="GFS23"/>
      <c r="GFT23"/>
      <c r="GFU23"/>
      <c r="GFV23"/>
      <c r="GFW23"/>
      <c r="GFX23"/>
      <c r="GFY23"/>
      <c r="GFZ23"/>
      <c r="GGA23"/>
      <c r="GGB23"/>
      <c r="GGC23"/>
      <c r="GGD23"/>
      <c r="GGE23"/>
      <c r="GGF23"/>
      <c r="GGG23"/>
      <c r="GGH23"/>
      <c r="GGI23"/>
      <c r="GGJ23"/>
      <c r="GGK23"/>
      <c r="GGL23"/>
      <c r="GGM23"/>
      <c r="GGN23"/>
      <c r="GGO23"/>
      <c r="GGP23"/>
      <c r="GGQ23"/>
      <c r="GGR23"/>
      <c r="GGS23"/>
      <c r="GGT23"/>
      <c r="GGU23"/>
      <c r="GGV23"/>
      <c r="GGW23"/>
      <c r="GGX23"/>
      <c r="GGY23"/>
      <c r="GGZ23"/>
      <c r="GHA23"/>
      <c r="GHB23"/>
      <c r="GHC23"/>
      <c r="GHD23"/>
      <c r="GHE23"/>
      <c r="GHF23"/>
      <c r="GHG23"/>
      <c r="GHH23"/>
      <c r="GHI23"/>
      <c r="GHJ23"/>
      <c r="GHK23"/>
      <c r="GHL23"/>
      <c r="GHM23"/>
      <c r="GHN23"/>
      <c r="GHO23"/>
      <c r="GHP23"/>
      <c r="GHQ23"/>
      <c r="GHR23"/>
      <c r="GHS23"/>
      <c r="GHT23"/>
      <c r="GHU23"/>
      <c r="GHV23"/>
      <c r="GHW23"/>
      <c r="GHX23"/>
      <c r="GHY23"/>
      <c r="GHZ23"/>
      <c r="GIA23"/>
      <c r="GIB23"/>
      <c r="GIC23"/>
      <c r="GID23"/>
      <c r="GIE23"/>
      <c r="GIF23"/>
      <c r="GIG23"/>
      <c r="GIH23"/>
      <c r="GII23"/>
      <c r="GIJ23"/>
      <c r="GIK23"/>
      <c r="GIL23"/>
      <c r="GIM23"/>
      <c r="GIN23"/>
      <c r="GIO23"/>
      <c r="GIP23"/>
      <c r="GIQ23"/>
      <c r="GIR23"/>
      <c r="GIS23"/>
      <c r="GIT23"/>
      <c r="GIU23"/>
      <c r="GIV23"/>
      <c r="GIW23"/>
      <c r="GIX23"/>
      <c r="GIY23"/>
      <c r="GIZ23"/>
      <c r="GJA23"/>
      <c r="GJB23"/>
      <c r="GJC23"/>
      <c r="GJD23"/>
      <c r="GJE23"/>
      <c r="GJF23"/>
      <c r="GJG23"/>
      <c r="GJH23"/>
      <c r="GJI23"/>
      <c r="GJJ23"/>
      <c r="GJK23"/>
      <c r="GJL23"/>
      <c r="GJM23"/>
      <c r="GJN23"/>
      <c r="GJO23"/>
      <c r="GJP23"/>
      <c r="GJQ23"/>
      <c r="GJR23"/>
      <c r="GJS23"/>
      <c r="GJT23"/>
      <c r="GJU23"/>
      <c r="GJV23"/>
      <c r="GJW23"/>
      <c r="GJX23"/>
      <c r="GJY23"/>
      <c r="GJZ23"/>
      <c r="GKA23"/>
      <c r="GKB23"/>
      <c r="GKC23"/>
      <c r="GKD23"/>
      <c r="GKE23"/>
      <c r="GKF23"/>
      <c r="GKG23"/>
      <c r="GKH23"/>
      <c r="GKI23"/>
      <c r="GKJ23"/>
      <c r="GKK23"/>
      <c r="GKL23"/>
      <c r="GKM23"/>
      <c r="GKN23"/>
      <c r="GKO23"/>
      <c r="GKP23"/>
      <c r="GKQ23"/>
      <c r="GKR23"/>
      <c r="GKS23"/>
      <c r="GKT23"/>
      <c r="GKU23"/>
      <c r="GKV23"/>
      <c r="GKW23"/>
      <c r="GKX23"/>
      <c r="GKY23"/>
      <c r="GKZ23"/>
      <c r="GLA23"/>
      <c r="GLB23"/>
      <c r="GLC23"/>
      <c r="GLD23"/>
      <c r="GLE23"/>
      <c r="GLF23"/>
      <c r="GLG23"/>
      <c r="GLH23"/>
      <c r="GLI23"/>
      <c r="GLJ23"/>
      <c r="GLK23"/>
      <c r="GLL23"/>
      <c r="GLM23"/>
      <c r="GLN23"/>
      <c r="GLO23"/>
      <c r="GLP23"/>
      <c r="GLQ23"/>
      <c r="GLR23"/>
      <c r="GLS23"/>
      <c r="GLT23"/>
      <c r="GLU23"/>
      <c r="GLV23"/>
      <c r="GLW23"/>
      <c r="GLX23"/>
      <c r="GLY23"/>
      <c r="GLZ23"/>
      <c r="GMA23"/>
      <c r="GMB23"/>
      <c r="GMC23"/>
      <c r="GMD23"/>
      <c r="GME23"/>
      <c r="GMF23"/>
      <c r="GMG23"/>
      <c r="GMH23"/>
      <c r="GMI23"/>
      <c r="GMJ23"/>
      <c r="GMK23"/>
      <c r="GML23"/>
      <c r="GMM23"/>
      <c r="GMN23"/>
      <c r="GMO23"/>
      <c r="GMP23"/>
      <c r="GMQ23"/>
      <c r="GMR23"/>
      <c r="GMS23"/>
      <c r="GMT23"/>
      <c r="GMU23"/>
      <c r="GMV23"/>
      <c r="GMW23"/>
      <c r="GMX23"/>
      <c r="GMY23"/>
      <c r="GMZ23"/>
      <c r="GNA23"/>
      <c r="GNB23"/>
      <c r="GNC23"/>
      <c r="GND23"/>
      <c r="GNE23"/>
      <c r="GNF23"/>
      <c r="GNG23"/>
      <c r="GNH23"/>
      <c r="GNI23"/>
      <c r="GNJ23"/>
      <c r="GNK23"/>
      <c r="GNL23"/>
      <c r="GNM23"/>
      <c r="GNN23"/>
      <c r="GNO23"/>
      <c r="GNP23"/>
      <c r="GNQ23"/>
      <c r="GNR23"/>
      <c r="GNS23"/>
      <c r="GNT23"/>
      <c r="GNU23"/>
      <c r="GNV23"/>
      <c r="GNW23"/>
      <c r="GNX23"/>
      <c r="GNY23"/>
      <c r="GNZ23"/>
      <c r="GOA23"/>
      <c r="GOB23"/>
      <c r="GOC23"/>
      <c r="GOD23"/>
      <c r="GOE23"/>
      <c r="GOF23"/>
      <c r="GOG23"/>
      <c r="GOH23"/>
      <c r="GOI23"/>
      <c r="GOJ23"/>
      <c r="GOK23"/>
      <c r="GOL23"/>
      <c r="GOM23"/>
      <c r="GON23"/>
      <c r="GOO23"/>
      <c r="GOP23"/>
      <c r="GOQ23"/>
      <c r="GOR23"/>
      <c r="GOS23"/>
      <c r="GOT23"/>
      <c r="GOU23"/>
      <c r="GOV23"/>
      <c r="GOW23"/>
      <c r="GOX23"/>
      <c r="GOY23"/>
      <c r="GOZ23"/>
      <c r="GPA23"/>
      <c r="GPB23"/>
      <c r="GPC23"/>
      <c r="GPD23"/>
      <c r="GPE23"/>
      <c r="GPF23"/>
      <c r="GPG23"/>
      <c r="GPH23"/>
      <c r="GPI23"/>
      <c r="GPJ23"/>
      <c r="GPK23"/>
      <c r="GPL23"/>
      <c r="GPM23"/>
      <c r="GPN23"/>
      <c r="GPO23"/>
      <c r="GPP23"/>
      <c r="GPQ23"/>
      <c r="GPR23"/>
      <c r="GPS23"/>
      <c r="GPT23"/>
      <c r="GPU23"/>
      <c r="GPV23"/>
      <c r="GPW23"/>
      <c r="GPX23"/>
      <c r="GPY23"/>
      <c r="GPZ23"/>
      <c r="GQA23"/>
      <c r="GQB23"/>
      <c r="GQC23"/>
      <c r="GQD23"/>
      <c r="GQE23"/>
      <c r="GQF23"/>
      <c r="GQG23"/>
      <c r="GQH23"/>
      <c r="GQI23"/>
      <c r="GQJ23"/>
      <c r="GQK23"/>
      <c r="GQL23"/>
      <c r="GQM23"/>
      <c r="GQN23"/>
      <c r="GQO23"/>
      <c r="GQP23"/>
      <c r="GQQ23"/>
      <c r="GQR23"/>
      <c r="GQS23"/>
      <c r="GQT23"/>
      <c r="GQU23"/>
      <c r="GQV23"/>
      <c r="GQW23"/>
      <c r="GQX23"/>
      <c r="GQY23"/>
      <c r="GQZ23"/>
      <c r="GRA23"/>
      <c r="GRB23"/>
      <c r="GRC23"/>
      <c r="GRD23"/>
      <c r="GRE23"/>
      <c r="GRF23"/>
      <c r="GRG23"/>
      <c r="GRH23"/>
      <c r="GRI23"/>
      <c r="GRJ23"/>
      <c r="GRK23"/>
      <c r="GRL23"/>
      <c r="GRM23"/>
      <c r="GRN23"/>
      <c r="GRO23"/>
      <c r="GRP23"/>
      <c r="GRQ23"/>
      <c r="GRR23"/>
      <c r="GRS23"/>
      <c r="GRT23"/>
      <c r="GRU23"/>
      <c r="GRV23"/>
      <c r="GRW23"/>
      <c r="GRX23"/>
      <c r="GRY23"/>
      <c r="GRZ23"/>
      <c r="GSA23"/>
      <c r="GSB23"/>
      <c r="GSC23"/>
      <c r="GSD23"/>
      <c r="GSE23"/>
      <c r="GSF23"/>
      <c r="GSG23"/>
      <c r="GSH23"/>
      <c r="GSI23"/>
      <c r="GSJ23"/>
      <c r="GSK23"/>
      <c r="GSL23"/>
      <c r="GSM23"/>
      <c r="GSN23"/>
      <c r="GSO23"/>
      <c r="GSP23"/>
      <c r="GSQ23"/>
      <c r="GSR23"/>
      <c r="GSS23"/>
      <c r="GST23"/>
      <c r="GSU23"/>
      <c r="GSV23"/>
      <c r="GSW23"/>
      <c r="GSX23"/>
      <c r="GSY23"/>
      <c r="GSZ23"/>
      <c r="GTA23"/>
      <c r="GTB23"/>
      <c r="GTC23"/>
      <c r="GTD23"/>
      <c r="GTE23"/>
      <c r="GTF23"/>
      <c r="GTG23"/>
      <c r="GTH23"/>
      <c r="GTI23"/>
      <c r="GTJ23"/>
      <c r="GTK23"/>
      <c r="GTL23"/>
      <c r="GTM23"/>
      <c r="GTN23"/>
      <c r="GTO23"/>
      <c r="GTP23"/>
      <c r="GTQ23"/>
      <c r="GTR23"/>
      <c r="GTS23"/>
      <c r="GTT23"/>
      <c r="GTU23"/>
      <c r="GTV23"/>
      <c r="GTW23"/>
      <c r="GTX23"/>
      <c r="GTY23"/>
      <c r="GTZ23"/>
      <c r="GUA23"/>
      <c r="GUB23"/>
      <c r="GUC23"/>
      <c r="GUD23"/>
      <c r="GUE23"/>
      <c r="GUF23"/>
      <c r="GUG23"/>
      <c r="GUH23"/>
      <c r="GUI23"/>
      <c r="GUJ23"/>
      <c r="GUK23"/>
      <c r="GUL23"/>
      <c r="GUM23"/>
      <c r="GUN23"/>
      <c r="GUO23"/>
      <c r="GUP23"/>
      <c r="GUQ23"/>
      <c r="GUR23"/>
      <c r="GUS23"/>
      <c r="GUT23"/>
      <c r="GUU23"/>
      <c r="GUV23"/>
      <c r="GUW23"/>
      <c r="GUX23"/>
      <c r="GUY23"/>
      <c r="GUZ23"/>
      <c r="GVA23"/>
      <c r="GVB23"/>
      <c r="GVC23"/>
      <c r="GVD23"/>
      <c r="GVE23"/>
      <c r="GVF23"/>
      <c r="GVG23"/>
      <c r="GVH23"/>
      <c r="GVI23"/>
      <c r="GVJ23"/>
      <c r="GVK23"/>
      <c r="GVL23"/>
      <c r="GVM23"/>
      <c r="GVN23"/>
      <c r="GVO23"/>
      <c r="GVP23"/>
      <c r="GVQ23"/>
      <c r="GVR23"/>
      <c r="GVS23"/>
      <c r="GVT23"/>
      <c r="GVU23"/>
      <c r="GVV23"/>
      <c r="GVW23"/>
      <c r="GVX23"/>
      <c r="GVY23"/>
      <c r="GVZ23"/>
      <c r="GWA23"/>
      <c r="GWB23"/>
      <c r="GWC23"/>
      <c r="GWD23"/>
      <c r="GWE23"/>
      <c r="GWF23"/>
      <c r="GWG23"/>
      <c r="GWH23"/>
      <c r="GWI23"/>
      <c r="GWJ23"/>
      <c r="GWK23"/>
      <c r="GWL23"/>
      <c r="GWM23"/>
      <c r="GWN23"/>
      <c r="GWO23"/>
      <c r="GWP23"/>
      <c r="GWQ23"/>
      <c r="GWR23"/>
      <c r="GWS23"/>
      <c r="GWT23"/>
      <c r="GWU23"/>
      <c r="GWV23"/>
      <c r="GWW23"/>
      <c r="GWX23"/>
      <c r="GWY23"/>
      <c r="GWZ23"/>
      <c r="GXA23"/>
      <c r="GXB23"/>
      <c r="GXC23"/>
      <c r="GXD23"/>
      <c r="GXE23"/>
      <c r="GXF23"/>
      <c r="GXG23"/>
      <c r="GXH23"/>
      <c r="GXI23"/>
      <c r="GXJ23"/>
      <c r="GXK23"/>
      <c r="GXL23"/>
      <c r="GXM23"/>
      <c r="GXN23"/>
      <c r="GXO23"/>
      <c r="GXP23"/>
      <c r="GXQ23"/>
      <c r="GXR23"/>
      <c r="GXS23"/>
      <c r="GXT23"/>
      <c r="GXU23"/>
      <c r="GXV23"/>
      <c r="GXW23"/>
      <c r="GXX23"/>
      <c r="GXY23"/>
      <c r="GXZ23"/>
      <c r="GYA23"/>
      <c r="GYB23"/>
      <c r="GYC23"/>
      <c r="GYD23"/>
      <c r="GYE23"/>
      <c r="GYF23"/>
      <c r="GYG23"/>
      <c r="GYH23"/>
      <c r="GYI23"/>
      <c r="GYJ23"/>
      <c r="GYK23"/>
      <c r="GYL23"/>
      <c r="GYM23"/>
      <c r="GYN23"/>
      <c r="GYO23"/>
      <c r="GYP23"/>
      <c r="GYQ23"/>
      <c r="GYR23"/>
      <c r="GYS23"/>
      <c r="GYT23"/>
      <c r="GYU23"/>
      <c r="GYV23"/>
      <c r="GYW23"/>
      <c r="GYX23"/>
      <c r="GYY23"/>
      <c r="GYZ23"/>
      <c r="GZA23"/>
      <c r="GZB23"/>
      <c r="GZC23"/>
      <c r="GZD23"/>
      <c r="GZE23"/>
      <c r="GZF23"/>
      <c r="GZG23"/>
      <c r="GZH23"/>
      <c r="GZI23"/>
      <c r="GZJ23"/>
      <c r="GZK23"/>
      <c r="GZL23"/>
      <c r="GZM23"/>
      <c r="GZN23"/>
      <c r="GZO23"/>
      <c r="GZP23"/>
      <c r="GZQ23"/>
      <c r="GZR23"/>
      <c r="GZS23"/>
      <c r="GZT23"/>
      <c r="GZU23"/>
      <c r="GZV23"/>
      <c r="GZW23"/>
      <c r="GZX23"/>
      <c r="GZY23"/>
      <c r="GZZ23"/>
      <c r="HAA23"/>
      <c r="HAB23"/>
      <c r="HAC23"/>
      <c r="HAD23"/>
      <c r="HAE23"/>
      <c r="HAF23"/>
      <c r="HAG23"/>
      <c r="HAH23"/>
      <c r="HAI23"/>
      <c r="HAJ23"/>
      <c r="HAK23"/>
      <c r="HAL23"/>
      <c r="HAM23"/>
      <c r="HAN23"/>
      <c r="HAO23"/>
      <c r="HAP23"/>
      <c r="HAQ23"/>
      <c r="HAR23"/>
      <c r="HAS23"/>
      <c r="HAT23"/>
      <c r="HAU23"/>
      <c r="HAV23"/>
      <c r="HAW23"/>
      <c r="HAX23"/>
      <c r="HAY23"/>
      <c r="HAZ23"/>
      <c r="HBA23"/>
      <c r="HBB23"/>
      <c r="HBC23"/>
      <c r="HBD23"/>
      <c r="HBE23"/>
      <c r="HBF23"/>
      <c r="HBG23"/>
      <c r="HBH23"/>
      <c r="HBI23"/>
      <c r="HBJ23"/>
      <c r="HBK23"/>
      <c r="HBL23"/>
      <c r="HBM23"/>
      <c r="HBN23"/>
      <c r="HBO23"/>
      <c r="HBP23"/>
      <c r="HBQ23"/>
      <c r="HBR23"/>
      <c r="HBS23"/>
      <c r="HBT23"/>
      <c r="HBU23"/>
      <c r="HBV23"/>
      <c r="HBW23"/>
      <c r="HBX23"/>
      <c r="HBY23"/>
      <c r="HBZ23"/>
      <c r="HCA23"/>
      <c r="HCB23"/>
      <c r="HCC23"/>
      <c r="HCD23"/>
      <c r="HCE23"/>
      <c r="HCF23"/>
      <c r="HCG23"/>
      <c r="HCH23"/>
      <c r="HCI23"/>
      <c r="HCJ23"/>
      <c r="HCK23"/>
      <c r="HCL23"/>
      <c r="HCM23"/>
      <c r="HCN23"/>
      <c r="HCO23"/>
      <c r="HCP23"/>
      <c r="HCQ23"/>
      <c r="HCR23"/>
      <c r="HCS23"/>
      <c r="HCT23"/>
      <c r="HCU23"/>
      <c r="HCV23"/>
      <c r="HCW23"/>
      <c r="HCX23"/>
      <c r="HCY23"/>
      <c r="HCZ23"/>
      <c r="HDA23"/>
      <c r="HDB23"/>
      <c r="HDC23"/>
      <c r="HDD23"/>
      <c r="HDE23"/>
      <c r="HDF23"/>
      <c r="HDG23"/>
      <c r="HDH23"/>
      <c r="HDI23"/>
      <c r="HDJ23"/>
      <c r="HDK23"/>
      <c r="HDL23"/>
      <c r="HDM23"/>
      <c r="HDN23"/>
      <c r="HDO23"/>
      <c r="HDP23"/>
      <c r="HDQ23"/>
      <c r="HDR23"/>
      <c r="HDS23"/>
      <c r="HDT23"/>
      <c r="HDU23"/>
      <c r="HDV23"/>
      <c r="HDW23"/>
      <c r="HDX23"/>
      <c r="HDY23"/>
      <c r="HDZ23"/>
      <c r="HEA23"/>
      <c r="HEB23"/>
      <c r="HEC23"/>
      <c r="HED23"/>
      <c r="HEE23"/>
      <c r="HEF23"/>
      <c r="HEG23"/>
      <c r="HEH23"/>
      <c r="HEI23"/>
      <c r="HEJ23"/>
      <c r="HEK23"/>
      <c r="HEL23"/>
      <c r="HEM23"/>
      <c r="HEN23"/>
      <c r="HEO23"/>
      <c r="HEP23"/>
      <c r="HEQ23"/>
      <c r="HER23"/>
      <c r="HES23"/>
      <c r="HET23"/>
      <c r="HEU23"/>
      <c r="HEV23"/>
      <c r="HEW23"/>
      <c r="HEX23"/>
      <c r="HEY23"/>
      <c r="HEZ23"/>
      <c r="HFA23"/>
      <c r="HFB23"/>
      <c r="HFC23"/>
      <c r="HFD23"/>
      <c r="HFE23"/>
      <c r="HFF23"/>
      <c r="HFG23"/>
      <c r="HFH23"/>
      <c r="HFI23"/>
      <c r="HFJ23"/>
      <c r="HFK23"/>
      <c r="HFL23"/>
      <c r="HFM23"/>
      <c r="HFN23"/>
      <c r="HFO23"/>
      <c r="HFP23"/>
      <c r="HFQ23"/>
      <c r="HFR23"/>
      <c r="HFS23"/>
      <c r="HFT23"/>
      <c r="HFU23"/>
      <c r="HFV23"/>
      <c r="HFW23"/>
      <c r="HFX23"/>
      <c r="HFY23"/>
      <c r="HFZ23"/>
      <c r="HGA23"/>
      <c r="HGB23"/>
      <c r="HGC23"/>
      <c r="HGD23"/>
      <c r="HGE23"/>
      <c r="HGF23"/>
      <c r="HGG23"/>
      <c r="HGH23"/>
      <c r="HGI23"/>
      <c r="HGJ23"/>
      <c r="HGK23"/>
      <c r="HGL23"/>
      <c r="HGM23"/>
      <c r="HGN23"/>
      <c r="HGO23"/>
      <c r="HGP23"/>
      <c r="HGQ23"/>
      <c r="HGR23"/>
      <c r="HGS23"/>
      <c r="HGT23"/>
      <c r="HGU23"/>
      <c r="HGV23"/>
      <c r="HGW23"/>
      <c r="HGX23"/>
      <c r="HGY23"/>
      <c r="HGZ23"/>
      <c r="HHA23"/>
      <c r="HHB23"/>
      <c r="HHC23"/>
      <c r="HHD23"/>
      <c r="HHE23"/>
      <c r="HHF23"/>
      <c r="HHG23"/>
      <c r="HHH23"/>
      <c r="HHI23"/>
      <c r="HHJ23"/>
      <c r="HHK23"/>
      <c r="HHL23"/>
      <c r="HHM23"/>
      <c r="HHN23"/>
      <c r="HHO23"/>
      <c r="HHP23"/>
      <c r="HHQ23"/>
      <c r="HHR23"/>
      <c r="HHS23"/>
      <c r="HHT23"/>
      <c r="HHU23"/>
      <c r="HHV23"/>
      <c r="HHW23"/>
      <c r="HHX23"/>
      <c r="HHY23"/>
      <c r="HHZ23"/>
      <c r="HIA23"/>
      <c r="HIB23"/>
      <c r="HIC23"/>
      <c r="HID23"/>
      <c r="HIE23"/>
      <c r="HIF23"/>
      <c r="HIG23"/>
      <c r="HIH23"/>
      <c r="HII23"/>
      <c r="HIJ23"/>
      <c r="HIK23"/>
      <c r="HIL23"/>
      <c r="HIM23"/>
      <c r="HIN23"/>
      <c r="HIO23"/>
      <c r="HIP23"/>
      <c r="HIQ23"/>
      <c r="HIR23"/>
      <c r="HIS23"/>
      <c r="HIT23"/>
      <c r="HIU23"/>
      <c r="HIV23"/>
      <c r="HIW23"/>
      <c r="HIX23"/>
      <c r="HIY23"/>
      <c r="HIZ23"/>
      <c r="HJA23"/>
      <c r="HJB23"/>
      <c r="HJC23"/>
      <c r="HJD23"/>
      <c r="HJE23"/>
      <c r="HJF23"/>
      <c r="HJG23"/>
      <c r="HJH23"/>
      <c r="HJI23"/>
      <c r="HJJ23"/>
      <c r="HJK23"/>
      <c r="HJL23"/>
      <c r="HJM23"/>
      <c r="HJN23"/>
      <c r="HJO23"/>
      <c r="HJP23"/>
      <c r="HJQ23"/>
      <c r="HJR23"/>
      <c r="HJS23"/>
      <c r="HJT23"/>
      <c r="HJU23"/>
      <c r="HJV23"/>
      <c r="HJW23"/>
      <c r="HJX23"/>
      <c r="HJY23"/>
      <c r="HJZ23"/>
      <c r="HKA23"/>
      <c r="HKB23"/>
      <c r="HKC23"/>
      <c r="HKD23"/>
      <c r="HKE23"/>
      <c r="HKF23"/>
      <c r="HKG23"/>
      <c r="HKH23"/>
      <c r="HKI23"/>
      <c r="HKJ23"/>
      <c r="HKK23"/>
      <c r="HKL23"/>
      <c r="HKM23"/>
      <c r="HKN23"/>
      <c r="HKO23"/>
      <c r="HKP23"/>
      <c r="HKQ23"/>
      <c r="HKR23"/>
      <c r="HKS23"/>
      <c r="HKT23"/>
      <c r="HKU23"/>
      <c r="HKV23"/>
      <c r="HKW23"/>
      <c r="HKX23"/>
      <c r="HKY23"/>
      <c r="HKZ23"/>
      <c r="HLA23"/>
      <c r="HLB23"/>
      <c r="HLC23"/>
      <c r="HLD23"/>
      <c r="HLE23"/>
      <c r="HLF23"/>
      <c r="HLG23"/>
      <c r="HLH23"/>
      <c r="HLI23"/>
      <c r="HLJ23"/>
      <c r="HLK23"/>
      <c r="HLL23"/>
      <c r="HLM23"/>
      <c r="HLN23"/>
      <c r="HLO23"/>
      <c r="HLP23"/>
      <c r="HLQ23"/>
      <c r="HLR23"/>
      <c r="HLS23"/>
      <c r="HLT23"/>
      <c r="HLU23"/>
      <c r="HLV23"/>
      <c r="HLW23"/>
      <c r="HLX23"/>
      <c r="HLY23"/>
      <c r="HLZ23"/>
      <c r="HMA23"/>
      <c r="HMB23"/>
      <c r="HMC23"/>
      <c r="HMD23"/>
      <c r="HME23"/>
      <c r="HMF23"/>
      <c r="HMG23"/>
      <c r="HMH23"/>
      <c r="HMI23"/>
      <c r="HMJ23"/>
      <c r="HMK23"/>
      <c r="HML23"/>
      <c r="HMM23"/>
      <c r="HMN23"/>
      <c r="HMO23"/>
      <c r="HMP23"/>
      <c r="HMQ23"/>
      <c r="HMR23"/>
      <c r="HMS23"/>
      <c r="HMT23"/>
      <c r="HMU23"/>
      <c r="HMV23"/>
      <c r="HMW23"/>
      <c r="HMX23"/>
      <c r="HMY23"/>
      <c r="HMZ23"/>
      <c r="HNA23"/>
      <c r="HNB23"/>
      <c r="HNC23"/>
      <c r="HND23"/>
      <c r="HNE23"/>
      <c r="HNF23"/>
      <c r="HNG23"/>
      <c r="HNH23"/>
      <c r="HNI23"/>
      <c r="HNJ23"/>
      <c r="HNK23"/>
      <c r="HNL23"/>
      <c r="HNM23"/>
      <c r="HNN23"/>
      <c r="HNO23"/>
      <c r="HNP23"/>
      <c r="HNQ23"/>
      <c r="HNR23"/>
      <c r="HNS23"/>
      <c r="HNT23"/>
      <c r="HNU23"/>
      <c r="HNV23"/>
      <c r="HNW23"/>
      <c r="HNX23"/>
      <c r="HNY23"/>
      <c r="HNZ23"/>
      <c r="HOA23"/>
      <c r="HOB23"/>
      <c r="HOC23"/>
      <c r="HOD23"/>
      <c r="HOE23"/>
      <c r="HOF23"/>
      <c r="HOG23"/>
      <c r="HOH23"/>
      <c r="HOI23"/>
      <c r="HOJ23"/>
      <c r="HOK23"/>
      <c r="HOL23"/>
      <c r="HOM23"/>
      <c r="HON23"/>
      <c r="HOO23"/>
      <c r="HOP23"/>
      <c r="HOQ23"/>
      <c r="HOR23"/>
      <c r="HOS23"/>
      <c r="HOT23"/>
      <c r="HOU23"/>
      <c r="HOV23"/>
      <c r="HOW23"/>
      <c r="HOX23"/>
      <c r="HOY23"/>
      <c r="HOZ23"/>
      <c r="HPA23"/>
      <c r="HPB23"/>
      <c r="HPC23"/>
      <c r="HPD23"/>
      <c r="HPE23"/>
      <c r="HPF23"/>
      <c r="HPG23"/>
      <c r="HPH23"/>
      <c r="HPI23"/>
      <c r="HPJ23"/>
      <c r="HPK23"/>
      <c r="HPL23"/>
      <c r="HPM23"/>
      <c r="HPN23"/>
      <c r="HPO23"/>
      <c r="HPP23"/>
      <c r="HPQ23"/>
      <c r="HPR23"/>
      <c r="HPS23"/>
      <c r="HPT23"/>
      <c r="HPU23"/>
      <c r="HPV23"/>
      <c r="HPW23"/>
      <c r="HPX23"/>
      <c r="HPY23"/>
      <c r="HPZ23"/>
      <c r="HQA23"/>
      <c r="HQB23"/>
      <c r="HQC23"/>
      <c r="HQD23"/>
      <c r="HQE23"/>
      <c r="HQF23"/>
      <c r="HQG23"/>
      <c r="HQH23"/>
      <c r="HQI23"/>
      <c r="HQJ23"/>
      <c r="HQK23"/>
      <c r="HQL23"/>
      <c r="HQM23"/>
      <c r="HQN23"/>
      <c r="HQO23"/>
      <c r="HQP23"/>
      <c r="HQQ23"/>
      <c r="HQR23"/>
      <c r="HQS23"/>
      <c r="HQT23"/>
      <c r="HQU23"/>
      <c r="HQV23"/>
      <c r="HQW23"/>
      <c r="HQX23"/>
      <c r="HQY23"/>
      <c r="HQZ23"/>
      <c r="HRA23"/>
      <c r="HRB23"/>
      <c r="HRC23"/>
      <c r="HRD23"/>
      <c r="HRE23"/>
      <c r="HRF23"/>
      <c r="HRG23"/>
      <c r="HRH23"/>
      <c r="HRI23"/>
      <c r="HRJ23"/>
      <c r="HRK23"/>
      <c r="HRL23"/>
      <c r="HRM23"/>
      <c r="HRN23"/>
      <c r="HRO23"/>
      <c r="HRP23"/>
      <c r="HRQ23"/>
      <c r="HRR23"/>
      <c r="HRS23"/>
      <c r="HRT23"/>
      <c r="HRU23"/>
      <c r="HRV23"/>
      <c r="HRW23"/>
      <c r="HRX23"/>
      <c r="HRY23"/>
      <c r="HRZ23"/>
      <c r="HSA23"/>
      <c r="HSB23"/>
      <c r="HSC23"/>
      <c r="HSD23"/>
      <c r="HSE23"/>
      <c r="HSF23"/>
      <c r="HSG23"/>
      <c r="HSH23"/>
      <c r="HSI23"/>
      <c r="HSJ23"/>
      <c r="HSK23"/>
      <c r="HSL23"/>
      <c r="HSM23"/>
      <c r="HSN23"/>
      <c r="HSO23"/>
      <c r="HSP23"/>
      <c r="HSQ23"/>
      <c r="HSR23"/>
      <c r="HSS23"/>
      <c r="HST23"/>
      <c r="HSU23"/>
      <c r="HSV23"/>
      <c r="HSW23"/>
      <c r="HSX23"/>
      <c r="HSY23"/>
      <c r="HSZ23"/>
      <c r="HTA23"/>
      <c r="HTB23"/>
      <c r="HTC23"/>
      <c r="HTD23"/>
      <c r="HTE23"/>
      <c r="HTF23"/>
      <c r="HTG23"/>
      <c r="HTH23"/>
      <c r="HTI23"/>
      <c r="HTJ23"/>
      <c r="HTK23"/>
      <c r="HTL23"/>
      <c r="HTM23"/>
      <c r="HTN23"/>
      <c r="HTO23"/>
      <c r="HTP23"/>
      <c r="HTQ23"/>
      <c r="HTR23"/>
      <c r="HTS23"/>
      <c r="HTT23"/>
      <c r="HTU23"/>
      <c r="HTV23"/>
      <c r="HTW23"/>
      <c r="HTX23"/>
      <c r="HTY23"/>
      <c r="HTZ23"/>
      <c r="HUA23"/>
      <c r="HUB23"/>
      <c r="HUC23"/>
      <c r="HUD23"/>
      <c r="HUE23"/>
      <c r="HUF23"/>
      <c r="HUG23"/>
      <c r="HUH23"/>
      <c r="HUI23"/>
      <c r="HUJ23"/>
      <c r="HUK23"/>
      <c r="HUL23"/>
      <c r="HUM23"/>
      <c r="HUN23"/>
      <c r="HUO23"/>
      <c r="HUP23"/>
      <c r="HUQ23"/>
      <c r="HUR23"/>
      <c r="HUS23"/>
      <c r="HUT23"/>
      <c r="HUU23"/>
      <c r="HUV23"/>
      <c r="HUW23"/>
      <c r="HUX23"/>
      <c r="HUY23"/>
      <c r="HUZ23"/>
      <c r="HVA23"/>
      <c r="HVB23"/>
      <c r="HVC23"/>
      <c r="HVD23"/>
      <c r="HVE23"/>
      <c r="HVF23"/>
      <c r="HVG23"/>
      <c r="HVH23"/>
      <c r="HVI23"/>
      <c r="HVJ23"/>
      <c r="HVK23"/>
      <c r="HVL23"/>
      <c r="HVM23"/>
      <c r="HVN23"/>
      <c r="HVO23"/>
      <c r="HVP23"/>
      <c r="HVQ23"/>
      <c r="HVR23"/>
      <c r="HVS23"/>
      <c r="HVT23"/>
      <c r="HVU23"/>
      <c r="HVV23"/>
      <c r="HVW23"/>
      <c r="HVX23"/>
      <c r="HVY23"/>
      <c r="HVZ23"/>
      <c r="HWA23"/>
      <c r="HWB23"/>
      <c r="HWC23"/>
      <c r="HWD23"/>
      <c r="HWE23"/>
      <c r="HWF23"/>
      <c r="HWG23"/>
      <c r="HWH23"/>
      <c r="HWI23"/>
      <c r="HWJ23"/>
      <c r="HWK23"/>
      <c r="HWL23"/>
      <c r="HWM23"/>
      <c r="HWN23"/>
      <c r="HWO23"/>
      <c r="HWP23"/>
      <c r="HWQ23"/>
      <c r="HWR23"/>
      <c r="HWS23"/>
      <c r="HWT23"/>
      <c r="HWU23"/>
      <c r="HWV23"/>
      <c r="HWW23"/>
      <c r="HWX23"/>
      <c r="HWY23"/>
      <c r="HWZ23"/>
      <c r="HXA23"/>
      <c r="HXB23"/>
      <c r="HXC23"/>
      <c r="HXD23"/>
      <c r="HXE23"/>
      <c r="HXF23"/>
      <c r="HXG23"/>
      <c r="HXH23"/>
      <c r="HXI23"/>
      <c r="HXJ23"/>
      <c r="HXK23"/>
      <c r="HXL23"/>
      <c r="HXM23"/>
      <c r="HXN23"/>
      <c r="HXO23"/>
      <c r="HXP23"/>
      <c r="HXQ23"/>
      <c r="HXR23"/>
      <c r="HXS23"/>
      <c r="HXT23"/>
      <c r="HXU23"/>
      <c r="HXV23"/>
      <c r="HXW23"/>
      <c r="HXX23"/>
      <c r="HXY23"/>
      <c r="HXZ23"/>
      <c r="HYA23"/>
      <c r="HYB23"/>
      <c r="HYC23"/>
      <c r="HYD23"/>
      <c r="HYE23"/>
      <c r="HYF23"/>
      <c r="HYG23"/>
      <c r="HYH23"/>
      <c r="HYI23"/>
      <c r="HYJ23"/>
      <c r="HYK23"/>
      <c r="HYL23"/>
      <c r="HYM23"/>
      <c r="HYN23"/>
      <c r="HYO23"/>
      <c r="HYP23"/>
      <c r="HYQ23"/>
      <c r="HYR23"/>
      <c r="HYS23"/>
      <c r="HYT23"/>
      <c r="HYU23"/>
      <c r="HYV23"/>
      <c r="HYW23"/>
      <c r="HYX23"/>
      <c r="HYY23"/>
      <c r="HYZ23"/>
      <c r="HZA23"/>
      <c r="HZB23"/>
      <c r="HZC23"/>
      <c r="HZD23"/>
      <c r="HZE23"/>
      <c r="HZF23"/>
      <c r="HZG23"/>
      <c r="HZH23"/>
      <c r="HZI23"/>
      <c r="HZJ23"/>
      <c r="HZK23"/>
      <c r="HZL23"/>
      <c r="HZM23"/>
      <c r="HZN23"/>
      <c r="HZO23"/>
      <c r="HZP23"/>
      <c r="HZQ23"/>
      <c r="HZR23"/>
      <c r="HZS23"/>
      <c r="HZT23"/>
      <c r="HZU23"/>
      <c r="HZV23"/>
      <c r="HZW23"/>
      <c r="HZX23"/>
      <c r="HZY23"/>
      <c r="HZZ23"/>
      <c r="IAA23"/>
      <c r="IAB23"/>
      <c r="IAC23"/>
      <c r="IAD23"/>
      <c r="IAE23"/>
      <c r="IAF23"/>
      <c r="IAG23"/>
      <c r="IAH23"/>
      <c r="IAI23"/>
      <c r="IAJ23"/>
      <c r="IAK23"/>
      <c r="IAL23"/>
      <c r="IAM23"/>
      <c r="IAN23"/>
      <c r="IAO23"/>
      <c r="IAP23"/>
      <c r="IAQ23"/>
      <c r="IAR23"/>
      <c r="IAS23"/>
      <c r="IAT23"/>
      <c r="IAU23"/>
      <c r="IAV23"/>
      <c r="IAW23"/>
      <c r="IAX23"/>
      <c r="IAY23"/>
      <c r="IAZ23"/>
      <c r="IBA23"/>
      <c r="IBB23"/>
      <c r="IBC23"/>
      <c r="IBD23"/>
      <c r="IBE23"/>
      <c r="IBF23"/>
      <c r="IBG23"/>
      <c r="IBH23"/>
      <c r="IBI23"/>
      <c r="IBJ23"/>
      <c r="IBK23"/>
      <c r="IBL23"/>
      <c r="IBM23"/>
      <c r="IBN23"/>
      <c r="IBO23"/>
      <c r="IBP23"/>
      <c r="IBQ23"/>
      <c r="IBR23"/>
      <c r="IBS23"/>
      <c r="IBT23"/>
      <c r="IBU23"/>
      <c r="IBV23"/>
      <c r="IBW23"/>
      <c r="IBX23"/>
      <c r="IBY23"/>
      <c r="IBZ23"/>
      <c r="ICA23"/>
      <c r="ICB23"/>
      <c r="ICC23"/>
      <c r="ICD23"/>
      <c r="ICE23"/>
      <c r="ICF23"/>
      <c r="ICG23"/>
      <c r="ICH23"/>
      <c r="ICI23"/>
      <c r="ICJ23"/>
      <c r="ICK23"/>
      <c r="ICL23"/>
      <c r="ICM23"/>
      <c r="ICN23"/>
      <c r="ICO23"/>
      <c r="ICP23"/>
      <c r="ICQ23"/>
      <c r="ICR23"/>
      <c r="ICS23"/>
      <c r="ICT23"/>
      <c r="ICU23"/>
      <c r="ICV23"/>
      <c r="ICW23"/>
      <c r="ICX23"/>
      <c r="ICY23"/>
      <c r="ICZ23"/>
      <c r="IDA23"/>
      <c r="IDB23"/>
      <c r="IDC23"/>
      <c r="IDD23"/>
      <c r="IDE23"/>
      <c r="IDF23"/>
      <c r="IDG23"/>
      <c r="IDH23"/>
      <c r="IDI23"/>
      <c r="IDJ23"/>
      <c r="IDK23"/>
      <c r="IDL23"/>
      <c r="IDM23"/>
      <c r="IDN23"/>
      <c r="IDO23"/>
      <c r="IDP23"/>
      <c r="IDQ23"/>
      <c r="IDR23"/>
      <c r="IDS23"/>
      <c r="IDT23"/>
      <c r="IDU23"/>
      <c r="IDV23"/>
      <c r="IDW23"/>
      <c r="IDX23"/>
      <c r="IDY23"/>
      <c r="IDZ23"/>
      <c r="IEA23"/>
      <c r="IEB23"/>
      <c r="IEC23"/>
      <c r="IED23"/>
      <c r="IEE23"/>
      <c r="IEF23"/>
      <c r="IEG23"/>
      <c r="IEH23"/>
      <c r="IEI23"/>
      <c r="IEJ23"/>
      <c r="IEK23"/>
      <c r="IEL23"/>
      <c r="IEM23"/>
      <c r="IEN23"/>
      <c r="IEO23"/>
      <c r="IEP23"/>
      <c r="IEQ23"/>
      <c r="IER23"/>
      <c r="IES23"/>
      <c r="IET23"/>
      <c r="IEU23"/>
      <c r="IEV23"/>
      <c r="IEW23"/>
      <c r="IEX23"/>
      <c r="IEY23"/>
      <c r="IEZ23"/>
      <c r="IFA23"/>
      <c r="IFB23"/>
      <c r="IFC23"/>
      <c r="IFD23"/>
      <c r="IFE23"/>
      <c r="IFF23"/>
      <c r="IFG23"/>
      <c r="IFH23"/>
      <c r="IFI23"/>
      <c r="IFJ23"/>
      <c r="IFK23"/>
      <c r="IFL23"/>
      <c r="IFM23"/>
      <c r="IFN23"/>
      <c r="IFO23"/>
      <c r="IFP23"/>
      <c r="IFQ23"/>
      <c r="IFR23"/>
      <c r="IFS23"/>
      <c r="IFT23"/>
      <c r="IFU23"/>
      <c r="IFV23"/>
      <c r="IFW23"/>
      <c r="IFX23"/>
      <c r="IFY23"/>
      <c r="IFZ23"/>
      <c r="IGA23"/>
      <c r="IGB23"/>
      <c r="IGC23"/>
      <c r="IGD23"/>
      <c r="IGE23"/>
      <c r="IGF23"/>
      <c r="IGG23"/>
      <c r="IGH23"/>
      <c r="IGI23"/>
      <c r="IGJ23"/>
      <c r="IGK23"/>
      <c r="IGL23"/>
      <c r="IGM23"/>
      <c r="IGN23"/>
      <c r="IGO23"/>
      <c r="IGP23"/>
      <c r="IGQ23"/>
      <c r="IGR23"/>
      <c r="IGS23"/>
      <c r="IGT23"/>
      <c r="IGU23"/>
      <c r="IGV23"/>
      <c r="IGW23"/>
      <c r="IGX23"/>
      <c r="IGY23"/>
      <c r="IGZ23"/>
      <c r="IHA23"/>
      <c r="IHB23"/>
      <c r="IHC23"/>
      <c r="IHD23"/>
      <c r="IHE23"/>
      <c r="IHF23"/>
      <c r="IHG23"/>
      <c r="IHH23"/>
      <c r="IHI23"/>
      <c r="IHJ23"/>
      <c r="IHK23"/>
      <c r="IHL23"/>
      <c r="IHM23"/>
      <c r="IHN23"/>
      <c r="IHO23"/>
      <c r="IHP23"/>
      <c r="IHQ23"/>
      <c r="IHR23"/>
      <c r="IHS23"/>
      <c r="IHT23"/>
      <c r="IHU23"/>
      <c r="IHV23"/>
      <c r="IHW23"/>
      <c r="IHX23"/>
      <c r="IHY23"/>
      <c r="IHZ23"/>
      <c r="IIA23"/>
      <c r="IIB23"/>
      <c r="IIC23"/>
      <c r="IID23"/>
      <c r="IIE23"/>
      <c r="IIF23"/>
      <c r="IIG23"/>
      <c r="IIH23"/>
      <c r="III23"/>
      <c r="IIJ23"/>
      <c r="IIK23"/>
      <c r="IIL23"/>
      <c r="IIM23"/>
      <c r="IIN23"/>
      <c r="IIO23"/>
      <c r="IIP23"/>
      <c r="IIQ23"/>
      <c r="IIR23"/>
      <c r="IIS23"/>
      <c r="IIT23"/>
      <c r="IIU23"/>
      <c r="IIV23"/>
      <c r="IIW23"/>
      <c r="IIX23"/>
      <c r="IIY23"/>
      <c r="IIZ23"/>
      <c r="IJA23"/>
      <c r="IJB23"/>
      <c r="IJC23"/>
      <c r="IJD23"/>
      <c r="IJE23"/>
      <c r="IJF23"/>
      <c r="IJG23"/>
      <c r="IJH23"/>
      <c r="IJI23"/>
      <c r="IJJ23"/>
      <c r="IJK23"/>
      <c r="IJL23"/>
      <c r="IJM23"/>
      <c r="IJN23"/>
      <c r="IJO23"/>
      <c r="IJP23"/>
      <c r="IJQ23"/>
      <c r="IJR23"/>
      <c r="IJS23"/>
      <c r="IJT23"/>
      <c r="IJU23"/>
      <c r="IJV23"/>
      <c r="IJW23"/>
      <c r="IJX23"/>
      <c r="IJY23"/>
      <c r="IJZ23"/>
      <c r="IKA23"/>
      <c r="IKB23"/>
      <c r="IKC23"/>
      <c r="IKD23"/>
      <c r="IKE23"/>
      <c r="IKF23"/>
      <c r="IKG23"/>
      <c r="IKH23"/>
      <c r="IKI23"/>
      <c r="IKJ23"/>
      <c r="IKK23"/>
      <c r="IKL23"/>
      <c r="IKM23"/>
      <c r="IKN23"/>
      <c r="IKO23"/>
      <c r="IKP23"/>
      <c r="IKQ23"/>
      <c r="IKR23"/>
      <c r="IKS23"/>
      <c r="IKT23"/>
      <c r="IKU23"/>
      <c r="IKV23"/>
      <c r="IKW23"/>
      <c r="IKX23"/>
      <c r="IKY23"/>
      <c r="IKZ23"/>
      <c r="ILA23"/>
      <c r="ILB23"/>
      <c r="ILC23"/>
      <c r="ILD23"/>
      <c r="ILE23"/>
      <c r="ILF23"/>
      <c r="ILG23"/>
      <c r="ILH23"/>
      <c r="ILI23"/>
      <c r="ILJ23"/>
      <c r="ILK23"/>
      <c r="ILL23"/>
      <c r="ILM23"/>
      <c r="ILN23"/>
      <c r="ILO23"/>
      <c r="ILP23"/>
      <c r="ILQ23"/>
      <c r="ILR23"/>
      <c r="ILS23"/>
      <c r="ILT23"/>
      <c r="ILU23"/>
      <c r="ILV23"/>
      <c r="ILW23"/>
      <c r="ILX23"/>
      <c r="ILY23"/>
      <c r="ILZ23"/>
      <c r="IMA23"/>
      <c r="IMB23"/>
      <c r="IMC23"/>
      <c r="IMD23"/>
      <c r="IME23"/>
      <c r="IMF23"/>
      <c r="IMG23"/>
      <c r="IMH23"/>
      <c r="IMI23"/>
      <c r="IMJ23"/>
      <c r="IMK23"/>
      <c r="IML23"/>
      <c r="IMM23"/>
      <c r="IMN23"/>
      <c r="IMO23"/>
      <c r="IMP23"/>
      <c r="IMQ23"/>
      <c r="IMR23"/>
      <c r="IMS23"/>
      <c r="IMT23"/>
      <c r="IMU23"/>
      <c r="IMV23"/>
      <c r="IMW23"/>
      <c r="IMX23"/>
      <c r="IMY23"/>
      <c r="IMZ23"/>
      <c r="INA23"/>
      <c r="INB23"/>
      <c r="INC23"/>
      <c r="IND23"/>
      <c r="INE23"/>
      <c r="INF23"/>
      <c r="ING23"/>
      <c r="INH23"/>
      <c r="INI23"/>
      <c r="INJ23"/>
      <c r="INK23"/>
      <c r="INL23"/>
      <c r="INM23"/>
      <c r="INN23"/>
      <c r="INO23"/>
      <c r="INP23"/>
      <c r="INQ23"/>
      <c r="INR23"/>
      <c r="INS23"/>
      <c r="INT23"/>
      <c r="INU23"/>
      <c r="INV23"/>
      <c r="INW23"/>
      <c r="INX23"/>
      <c r="INY23"/>
      <c r="INZ23"/>
      <c r="IOA23"/>
      <c r="IOB23"/>
      <c r="IOC23"/>
      <c r="IOD23"/>
      <c r="IOE23"/>
      <c r="IOF23"/>
      <c r="IOG23"/>
      <c r="IOH23"/>
      <c r="IOI23"/>
      <c r="IOJ23"/>
      <c r="IOK23"/>
      <c r="IOL23"/>
      <c r="IOM23"/>
      <c r="ION23"/>
      <c r="IOO23"/>
      <c r="IOP23"/>
      <c r="IOQ23"/>
      <c r="IOR23"/>
      <c r="IOS23"/>
      <c r="IOT23"/>
      <c r="IOU23"/>
      <c r="IOV23"/>
      <c r="IOW23"/>
      <c r="IOX23"/>
      <c r="IOY23"/>
      <c r="IOZ23"/>
      <c r="IPA23"/>
      <c r="IPB23"/>
      <c r="IPC23"/>
      <c r="IPD23"/>
      <c r="IPE23"/>
      <c r="IPF23"/>
      <c r="IPG23"/>
      <c r="IPH23"/>
      <c r="IPI23"/>
      <c r="IPJ23"/>
      <c r="IPK23"/>
      <c r="IPL23"/>
      <c r="IPM23"/>
      <c r="IPN23"/>
      <c r="IPO23"/>
      <c r="IPP23"/>
      <c r="IPQ23"/>
      <c r="IPR23"/>
      <c r="IPS23"/>
      <c r="IPT23"/>
      <c r="IPU23"/>
      <c r="IPV23"/>
      <c r="IPW23"/>
      <c r="IPX23"/>
      <c r="IPY23"/>
      <c r="IPZ23"/>
      <c r="IQA23"/>
      <c r="IQB23"/>
      <c r="IQC23"/>
      <c r="IQD23"/>
      <c r="IQE23"/>
      <c r="IQF23"/>
      <c r="IQG23"/>
      <c r="IQH23"/>
      <c r="IQI23"/>
      <c r="IQJ23"/>
      <c r="IQK23"/>
      <c r="IQL23"/>
      <c r="IQM23"/>
      <c r="IQN23"/>
      <c r="IQO23"/>
      <c r="IQP23"/>
      <c r="IQQ23"/>
      <c r="IQR23"/>
      <c r="IQS23"/>
      <c r="IQT23"/>
      <c r="IQU23"/>
      <c r="IQV23"/>
      <c r="IQW23"/>
      <c r="IQX23"/>
      <c r="IQY23"/>
      <c r="IQZ23"/>
      <c r="IRA23"/>
      <c r="IRB23"/>
      <c r="IRC23"/>
      <c r="IRD23"/>
      <c r="IRE23"/>
      <c r="IRF23"/>
      <c r="IRG23"/>
      <c r="IRH23"/>
      <c r="IRI23"/>
      <c r="IRJ23"/>
      <c r="IRK23"/>
      <c r="IRL23"/>
      <c r="IRM23"/>
      <c r="IRN23"/>
      <c r="IRO23"/>
      <c r="IRP23"/>
      <c r="IRQ23"/>
      <c r="IRR23"/>
      <c r="IRS23"/>
      <c r="IRT23"/>
      <c r="IRU23"/>
      <c r="IRV23"/>
      <c r="IRW23"/>
      <c r="IRX23"/>
      <c r="IRY23"/>
      <c r="IRZ23"/>
      <c r="ISA23"/>
      <c r="ISB23"/>
      <c r="ISC23"/>
      <c r="ISD23"/>
      <c r="ISE23"/>
      <c r="ISF23"/>
      <c r="ISG23"/>
      <c r="ISH23"/>
      <c r="ISI23"/>
      <c r="ISJ23"/>
      <c r="ISK23"/>
      <c r="ISL23"/>
      <c r="ISM23"/>
      <c r="ISN23"/>
      <c r="ISO23"/>
      <c r="ISP23"/>
      <c r="ISQ23"/>
      <c r="ISR23"/>
      <c r="ISS23"/>
      <c r="IST23"/>
      <c r="ISU23"/>
      <c r="ISV23"/>
      <c r="ISW23"/>
      <c r="ISX23"/>
      <c r="ISY23"/>
      <c r="ISZ23"/>
      <c r="ITA23"/>
      <c r="ITB23"/>
      <c r="ITC23"/>
      <c r="ITD23"/>
      <c r="ITE23"/>
      <c r="ITF23"/>
      <c r="ITG23"/>
      <c r="ITH23"/>
      <c r="ITI23"/>
      <c r="ITJ23"/>
      <c r="ITK23"/>
      <c r="ITL23"/>
      <c r="ITM23"/>
      <c r="ITN23"/>
      <c r="ITO23"/>
      <c r="ITP23"/>
      <c r="ITQ23"/>
      <c r="ITR23"/>
      <c r="ITS23"/>
      <c r="ITT23"/>
      <c r="ITU23"/>
      <c r="ITV23"/>
      <c r="ITW23"/>
      <c r="ITX23"/>
      <c r="ITY23"/>
      <c r="ITZ23"/>
      <c r="IUA23"/>
      <c r="IUB23"/>
      <c r="IUC23"/>
      <c r="IUD23"/>
      <c r="IUE23"/>
      <c r="IUF23"/>
      <c r="IUG23"/>
      <c r="IUH23"/>
      <c r="IUI23"/>
      <c r="IUJ23"/>
      <c r="IUK23"/>
      <c r="IUL23"/>
      <c r="IUM23"/>
      <c r="IUN23"/>
      <c r="IUO23"/>
      <c r="IUP23"/>
      <c r="IUQ23"/>
      <c r="IUR23"/>
      <c r="IUS23"/>
      <c r="IUT23"/>
      <c r="IUU23"/>
      <c r="IUV23"/>
      <c r="IUW23"/>
      <c r="IUX23"/>
      <c r="IUY23"/>
      <c r="IUZ23"/>
      <c r="IVA23"/>
      <c r="IVB23"/>
      <c r="IVC23"/>
      <c r="IVD23"/>
      <c r="IVE23"/>
      <c r="IVF23"/>
      <c r="IVG23"/>
      <c r="IVH23"/>
      <c r="IVI23"/>
      <c r="IVJ23"/>
      <c r="IVK23"/>
      <c r="IVL23"/>
      <c r="IVM23"/>
      <c r="IVN23"/>
      <c r="IVO23"/>
      <c r="IVP23"/>
      <c r="IVQ23"/>
      <c r="IVR23"/>
      <c r="IVS23"/>
      <c r="IVT23"/>
      <c r="IVU23"/>
      <c r="IVV23"/>
      <c r="IVW23"/>
      <c r="IVX23"/>
      <c r="IVY23"/>
      <c r="IVZ23"/>
      <c r="IWA23"/>
      <c r="IWB23"/>
      <c r="IWC23"/>
      <c r="IWD23"/>
      <c r="IWE23"/>
      <c r="IWF23"/>
      <c r="IWG23"/>
      <c r="IWH23"/>
      <c r="IWI23"/>
      <c r="IWJ23"/>
      <c r="IWK23"/>
      <c r="IWL23"/>
      <c r="IWM23"/>
      <c r="IWN23"/>
      <c r="IWO23"/>
      <c r="IWP23"/>
      <c r="IWQ23"/>
      <c r="IWR23"/>
      <c r="IWS23"/>
      <c r="IWT23"/>
      <c r="IWU23"/>
      <c r="IWV23"/>
      <c r="IWW23"/>
      <c r="IWX23"/>
      <c r="IWY23"/>
      <c r="IWZ23"/>
      <c r="IXA23"/>
      <c r="IXB23"/>
      <c r="IXC23"/>
      <c r="IXD23"/>
      <c r="IXE23"/>
      <c r="IXF23"/>
      <c r="IXG23"/>
      <c r="IXH23"/>
      <c r="IXI23"/>
      <c r="IXJ23"/>
      <c r="IXK23"/>
      <c r="IXL23"/>
      <c r="IXM23"/>
      <c r="IXN23"/>
      <c r="IXO23"/>
      <c r="IXP23"/>
      <c r="IXQ23"/>
      <c r="IXR23"/>
      <c r="IXS23"/>
      <c r="IXT23"/>
      <c r="IXU23"/>
      <c r="IXV23"/>
      <c r="IXW23"/>
      <c r="IXX23"/>
      <c r="IXY23"/>
      <c r="IXZ23"/>
      <c r="IYA23"/>
      <c r="IYB23"/>
      <c r="IYC23"/>
      <c r="IYD23"/>
      <c r="IYE23"/>
      <c r="IYF23"/>
      <c r="IYG23"/>
      <c r="IYH23"/>
      <c r="IYI23"/>
      <c r="IYJ23"/>
      <c r="IYK23"/>
      <c r="IYL23"/>
      <c r="IYM23"/>
      <c r="IYN23"/>
      <c r="IYO23"/>
      <c r="IYP23"/>
      <c r="IYQ23"/>
      <c r="IYR23"/>
      <c r="IYS23"/>
      <c r="IYT23"/>
      <c r="IYU23"/>
      <c r="IYV23"/>
      <c r="IYW23"/>
      <c r="IYX23"/>
      <c r="IYY23"/>
      <c r="IYZ23"/>
      <c r="IZA23"/>
      <c r="IZB23"/>
      <c r="IZC23"/>
      <c r="IZD23"/>
      <c r="IZE23"/>
      <c r="IZF23"/>
      <c r="IZG23"/>
      <c r="IZH23"/>
      <c r="IZI23"/>
      <c r="IZJ23"/>
      <c r="IZK23"/>
      <c r="IZL23"/>
      <c r="IZM23"/>
      <c r="IZN23"/>
      <c r="IZO23"/>
      <c r="IZP23"/>
      <c r="IZQ23"/>
      <c r="IZR23"/>
      <c r="IZS23"/>
      <c r="IZT23"/>
      <c r="IZU23"/>
      <c r="IZV23"/>
      <c r="IZW23"/>
      <c r="IZX23"/>
      <c r="IZY23"/>
      <c r="IZZ23"/>
      <c r="JAA23"/>
      <c r="JAB23"/>
      <c r="JAC23"/>
      <c r="JAD23"/>
      <c r="JAE23"/>
      <c r="JAF23"/>
      <c r="JAG23"/>
      <c r="JAH23"/>
      <c r="JAI23"/>
      <c r="JAJ23"/>
      <c r="JAK23"/>
      <c r="JAL23"/>
      <c r="JAM23"/>
      <c r="JAN23"/>
      <c r="JAO23"/>
      <c r="JAP23"/>
      <c r="JAQ23"/>
      <c r="JAR23"/>
      <c r="JAS23"/>
      <c r="JAT23"/>
      <c r="JAU23"/>
      <c r="JAV23"/>
      <c r="JAW23"/>
      <c r="JAX23"/>
      <c r="JAY23"/>
      <c r="JAZ23"/>
      <c r="JBA23"/>
      <c r="JBB23"/>
      <c r="JBC23"/>
      <c r="JBD23"/>
      <c r="JBE23"/>
      <c r="JBF23"/>
      <c r="JBG23"/>
      <c r="JBH23"/>
      <c r="JBI23"/>
      <c r="JBJ23"/>
      <c r="JBK23"/>
      <c r="JBL23"/>
      <c r="JBM23"/>
      <c r="JBN23"/>
      <c r="JBO23"/>
      <c r="JBP23"/>
      <c r="JBQ23"/>
      <c r="JBR23"/>
      <c r="JBS23"/>
      <c r="JBT23"/>
      <c r="JBU23"/>
      <c r="JBV23"/>
      <c r="JBW23"/>
      <c r="JBX23"/>
      <c r="JBY23"/>
      <c r="JBZ23"/>
      <c r="JCA23"/>
      <c r="JCB23"/>
      <c r="JCC23"/>
      <c r="JCD23"/>
      <c r="JCE23"/>
      <c r="JCF23"/>
      <c r="JCG23"/>
      <c r="JCH23"/>
      <c r="JCI23"/>
      <c r="JCJ23"/>
      <c r="JCK23"/>
      <c r="JCL23"/>
      <c r="JCM23"/>
      <c r="JCN23"/>
      <c r="JCO23"/>
      <c r="JCP23"/>
      <c r="JCQ23"/>
      <c r="JCR23"/>
      <c r="JCS23"/>
      <c r="JCT23"/>
      <c r="JCU23"/>
      <c r="JCV23"/>
      <c r="JCW23"/>
      <c r="JCX23"/>
      <c r="JCY23"/>
      <c r="JCZ23"/>
      <c r="JDA23"/>
      <c r="JDB23"/>
      <c r="JDC23"/>
      <c r="JDD23"/>
      <c r="JDE23"/>
      <c r="JDF23"/>
      <c r="JDG23"/>
      <c r="JDH23"/>
      <c r="JDI23"/>
      <c r="JDJ23"/>
      <c r="JDK23"/>
      <c r="JDL23"/>
      <c r="JDM23"/>
      <c r="JDN23"/>
      <c r="JDO23"/>
      <c r="JDP23"/>
      <c r="JDQ23"/>
      <c r="JDR23"/>
      <c r="JDS23"/>
      <c r="JDT23"/>
      <c r="JDU23"/>
      <c r="JDV23"/>
      <c r="JDW23"/>
      <c r="JDX23"/>
      <c r="JDY23"/>
      <c r="JDZ23"/>
      <c r="JEA23"/>
      <c r="JEB23"/>
      <c r="JEC23"/>
      <c r="JED23"/>
      <c r="JEE23"/>
      <c r="JEF23"/>
      <c r="JEG23"/>
      <c r="JEH23"/>
      <c r="JEI23"/>
      <c r="JEJ23"/>
      <c r="JEK23"/>
      <c r="JEL23"/>
      <c r="JEM23"/>
      <c r="JEN23"/>
      <c r="JEO23"/>
      <c r="JEP23"/>
      <c r="JEQ23"/>
      <c r="JER23"/>
      <c r="JES23"/>
      <c r="JET23"/>
      <c r="JEU23"/>
      <c r="JEV23"/>
      <c r="JEW23"/>
      <c r="JEX23"/>
      <c r="JEY23"/>
      <c r="JEZ23"/>
      <c r="JFA23"/>
      <c r="JFB23"/>
      <c r="JFC23"/>
      <c r="JFD23"/>
      <c r="JFE23"/>
      <c r="JFF23"/>
      <c r="JFG23"/>
      <c r="JFH23"/>
      <c r="JFI23"/>
      <c r="JFJ23"/>
      <c r="JFK23"/>
      <c r="JFL23"/>
      <c r="JFM23"/>
      <c r="JFN23"/>
      <c r="JFO23"/>
      <c r="JFP23"/>
      <c r="JFQ23"/>
      <c r="JFR23"/>
      <c r="JFS23"/>
      <c r="JFT23"/>
      <c r="JFU23"/>
      <c r="JFV23"/>
      <c r="JFW23"/>
      <c r="JFX23"/>
      <c r="JFY23"/>
      <c r="JFZ23"/>
      <c r="JGA23"/>
      <c r="JGB23"/>
      <c r="JGC23"/>
      <c r="JGD23"/>
      <c r="JGE23"/>
      <c r="JGF23"/>
      <c r="JGG23"/>
      <c r="JGH23"/>
      <c r="JGI23"/>
      <c r="JGJ23"/>
      <c r="JGK23"/>
      <c r="JGL23"/>
      <c r="JGM23"/>
      <c r="JGN23"/>
      <c r="JGO23"/>
      <c r="JGP23"/>
      <c r="JGQ23"/>
      <c r="JGR23"/>
      <c r="JGS23"/>
      <c r="JGT23"/>
      <c r="JGU23"/>
      <c r="JGV23"/>
      <c r="JGW23"/>
      <c r="JGX23"/>
      <c r="JGY23"/>
      <c r="JGZ23"/>
      <c r="JHA23"/>
      <c r="JHB23"/>
      <c r="JHC23"/>
      <c r="JHD23"/>
      <c r="JHE23"/>
      <c r="JHF23"/>
      <c r="JHG23"/>
      <c r="JHH23"/>
      <c r="JHI23"/>
      <c r="JHJ23"/>
      <c r="JHK23"/>
      <c r="JHL23"/>
      <c r="JHM23"/>
      <c r="JHN23"/>
      <c r="JHO23"/>
      <c r="JHP23"/>
      <c r="JHQ23"/>
      <c r="JHR23"/>
      <c r="JHS23"/>
      <c r="JHT23"/>
      <c r="JHU23"/>
      <c r="JHV23"/>
      <c r="JHW23"/>
      <c r="JHX23"/>
      <c r="JHY23"/>
      <c r="JHZ23"/>
      <c r="JIA23"/>
      <c r="JIB23"/>
      <c r="JIC23"/>
      <c r="JID23"/>
      <c r="JIE23"/>
      <c r="JIF23"/>
      <c r="JIG23"/>
      <c r="JIH23"/>
      <c r="JII23"/>
      <c r="JIJ23"/>
      <c r="JIK23"/>
      <c r="JIL23"/>
      <c r="JIM23"/>
      <c r="JIN23"/>
      <c r="JIO23"/>
      <c r="JIP23"/>
      <c r="JIQ23"/>
      <c r="JIR23"/>
      <c r="JIS23"/>
      <c r="JIT23"/>
      <c r="JIU23"/>
      <c r="JIV23"/>
      <c r="JIW23"/>
      <c r="JIX23"/>
      <c r="JIY23"/>
      <c r="JIZ23"/>
      <c r="JJA23"/>
      <c r="JJB23"/>
      <c r="JJC23"/>
      <c r="JJD23"/>
      <c r="JJE23"/>
      <c r="JJF23"/>
      <c r="JJG23"/>
      <c r="JJH23"/>
      <c r="JJI23"/>
      <c r="JJJ23"/>
      <c r="JJK23"/>
      <c r="JJL23"/>
      <c r="JJM23"/>
      <c r="JJN23"/>
      <c r="JJO23"/>
      <c r="JJP23"/>
      <c r="JJQ23"/>
      <c r="JJR23"/>
      <c r="JJS23"/>
      <c r="JJT23"/>
      <c r="JJU23"/>
      <c r="JJV23"/>
      <c r="JJW23"/>
      <c r="JJX23"/>
      <c r="JJY23"/>
      <c r="JJZ23"/>
      <c r="JKA23"/>
      <c r="JKB23"/>
      <c r="JKC23"/>
      <c r="JKD23"/>
      <c r="JKE23"/>
      <c r="JKF23"/>
      <c r="JKG23"/>
      <c r="JKH23"/>
      <c r="JKI23"/>
      <c r="JKJ23"/>
      <c r="JKK23"/>
      <c r="JKL23"/>
      <c r="JKM23"/>
      <c r="JKN23"/>
      <c r="JKO23"/>
      <c r="JKP23"/>
      <c r="JKQ23"/>
      <c r="JKR23"/>
      <c r="JKS23"/>
      <c r="JKT23"/>
      <c r="JKU23"/>
      <c r="JKV23"/>
      <c r="JKW23"/>
      <c r="JKX23"/>
      <c r="JKY23"/>
      <c r="JKZ23"/>
      <c r="JLA23"/>
      <c r="JLB23"/>
      <c r="JLC23"/>
      <c r="JLD23"/>
      <c r="JLE23"/>
      <c r="JLF23"/>
      <c r="JLG23"/>
      <c r="JLH23"/>
      <c r="JLI23"/>
      <c r="JLJ23"/>
      <c r="JLK23"/>
      <c r="JLL23"/>
      <c r="JLM23"/>
      <c r="JLN23"/>
      <c r="JLO23"/>
      <c r="JLP23"/>
      <c r="JLQ23"/>
      <c r="JLR23"/>
      <c r="JLS23"/>
      <c r="JLT23"/>
      <c r="JLU23"/>
      <c r="JLV23"/>
      <c r="JLW23"/>
      <c r="JLX23"/>
      <c r="JLY23"/>
      <c r="JLZ23"/>
      <c r="JMA23"/>
      <c r="JMB23"/>
      <c r="JMC23"/>
      <c r="JMD23"/>
      <c r="JME23"/>
      <c r="JMF23"/>
      <c r="JMG23"/>
      <c r="JMH23"/>
      <c r="JMI23"/>
      <c r="JMJ23"/>
      <c r="JMK23"/>
      <c r="JML23"/>
      <c r="JMM23"/>
      <c r="JMN23"/>
      <c r="JMO23"/>
      <c r="JMP23"/>
      <c r="JMQ23"/>
      <c r="JMR23"/>
      <c r="JMS23"/>
      <c r="JMT23"/>
      <c r="JMU23"/>
      <c r="JMV23"/>
      <c r="JMW23"/>
      <c r="JMX23"/>
      <c r="JMY23"/>
      <c r="JMZ23"/>
      <c r="JNA23"/>
      <c r="JNB23"/>
      <c r="JNC23"/>
      <c r="JND23"/>
      <c r="JNE23"/>
      <c r="JNF23"/>
      <c r="JNG23"/>
      <c r="JNH23"/>
      <c r="JNI23"/>
      <c r="JNJ23"/>
      <c r="JNK23"/>
      <c r="JNL23"/>
      <c r="JNM23"/>
      <c r="JNN23"/>
      <c r="JNO23"/>
      <c r="JNP23"/>
      <c r="JNQ23"/>
      <c r="JNR23"/>
      <c r="JNS23"/>
      <c r="JNT23"/>
      <c r="JNU23"/>
      <c r="JNV23"/>
      <c r="JNW23"/>
      <c r="JNX23"/>
      <c r="JNY23"/>
      <c r="JNZ23"/>
      <c r="JOA23"/>
      <c r="JOB23"/>
      <c r="JOC23"/>
      <c r="JOD23"/>
      <c r="JOE23"/>
      <c r="JOF23"/>
      <c r="JOG23"/>
      <c r="JOH23"/>
      <c r="JOI23"/>
      <c r="JOJ23"/>
      <c r="JOK23"/>
      <c r="JOL23"/>
      <c r="JOM23"/>
      <c r="JON23"/>
      <c r="JOO23"/>
      <c r="JOP23"/>
      <c r="JOQ23"/>
      <c r="JOR23"/>
      <c r="JOS23"/>
      <c r="JOT23"/>
      <c r="JOU23"/>
      <c r="JOV23"/>
      <c r="JOW23"/>
      <c r="JOX23"/>
      <c r="JOY23"/>
      <c r="JOZ23"/>
      <c r="JPA23"/>
      <c r="JPB23"/>
      <c r="JPC23"/>
      <c r="JPD23"/>
      <c r="JPE23"/>
      <c r="JPF23"/>
      <c r="JPG23"/>
      <c r="JPH23"/>
      <c r="JPI23"/>
      <c r="JPJ23"/>
      <c r="JPK23"/>
      <c r="JPL23"/>
      <c r="JPM23"/>
      <c r="JPN23"/>
      <c r="JPO23"/>
      <c r="JPP23"/>
      <c r="JPQ23"/>
      <c r="JPR23"/>
      <c r="JPS23"/>
      <c r="JPT23"/>
      <c r="JPU23"/>
      <c r="JPV23"/>
      <c r="JPW23"/>
      <c r="JPX23"/>
      <c r="JPY23"/>
      <c r="JPZ23"/>
      <c r="JQA23"/>
      <c r="JQB23"/>
      <c r="JQC23"/>
      <c r="JQD23"/>
      <c r="JQE23"/>
      <c r="JQF23"/>
      <c r="JQG23"/>
      <c r="JQH23"/>
      <c r="JQI23"/>
      <c r="JQJ23"/>
      <c r="JQK23"/>
      <c r="JQL23"/>
      <c r="JQM23"/>
      <c r="JQN23"/>
      <c r="JQO23"/>
      <c r="JQP23"/>
      <c r="JQQ23"/>
      <c r="JQR23"/>
      <c r="JQS23"/>
      <c r="JQT23"/>
      <c r="JQU23"/>
      <c r="JQV23"/>
      <c r="JQW23"/>
      <c r="JQX23"/>
      <c r="JQY23"/>
      <c r="JQZ23"/>
      <c r="JRA23"/>
      <c r="JRB23"/>
      <c r="JRC23"/>
      <c r="JRD23"/>
      <c r="JRE23"/>
      <c r="JRF23"/>
      <c r="JRG23"/>
      <c r="JRH23"/>
      <c r="JRI23"/>
      <c r="JRJ23"/>
      <c r="JRK23"/>
      <c r="JRL23"/>
      <c r="JRM23"/>
      <c r="JRN23"/>
      <c r="JRO23"/>
      <c r="JRP23"/>
      <c r="JRQ23"/>
      <c r="JRR23"/>
      <c r="JRS23"/>
      <c r="JRT23"/>
      <c r="JRU23"/>
      <c r="JRV23"/>
      <c r="JRW23"/>
      <c r="JRX23"/>
      <c r="JRY23"/>
      <c r="JRZ23"/>
      <c r="JSA23"/>
      <c r="JSB23"/>
      <c r="JSC23"/>
      <c r="JSD23"/>
      <c r="JSE23"/>
      <c r="JSF23"/>
      <c r="JSG23"/>
      <c r="JSH23"/>
      <c r="JSI23"/>
      <c r="JSJ23"/>
      <c r="JSK23"/>
      <c r="JSL23"/>
      <c r="JSM23"/>
      <c r="JSN23"/>
      <c r="JSO23"/>
      <c r="JSP23"/>
      <c r="JSQ23"/>
      <c r="JSR23"/>
      <c r="JSS23"/>
      <c r="JST23"/>
      <c r="JSU23"/>
      <c r="JSV23"/>
      <c r="JSW23"/>
      <c r="JSX23"/>
      <c r="JSY23"/>
      <c r="JSZ23"/>
      <c r="JTA23"/>
      <c r="JTB23"/>
      <c r="JTC23"/>
      <c r="JTD23"/>
      <c r="JTE23"/>
      <c r="JTF23"/>
      <c r="JTG23"/>
      <c r="JTH23"/>
      <c r="JTI23"/>
      <c r="JTJ23"/>
      <c r="JTK23"/>
      <c r="JTL23"/>
      <c r="JTM23"/>
      <c r="JTN23"/>
      <c r="JTO23"/>
      <c r="JTP23"/>
      <c r="JTQ23"/>
      <c r="JTR23"/>
      <c r="JTS23"/>
      <c r="JTT23"/>
      <c r="JTU23"/>
      <c r="JTV23"/>
      <c r="JTW23"/>
      <c r="JTX23"/>
      <c r="JTY23"/>
      <c r="JTZ23"/>
      <c r="JUA23"/>
      <c r="JUB23"/>
      <c r="JUC23"/>
      <c r="JUD23"/>
      <c r="JUE23"/>
      <c r="JUF23"/>
      <c r="JUG23"/>
      <c r="JUH23"/>
      <c r="JUI23"/>
      <c r="JUJ23"/>
      <c r="JUK23"/>
      <c r="JUL23"/>
      <c r="JUM23"/>
      <c r="JUN23"/>
      <c r="JUO23"/>
      <c r="JUP23"/>
      <c r="JUQ23"/>
      <c r="JUR23"/>
      <c r="JUS23"/>
      <c r="JUT23"/>
      <c r="JUU23"/>
      <c r="JUV23"/>
      <c r="JUW23"/>
      <c r="JUX23"/>
      <c r="JUY23"/>
      <c r="JUZ23"/>
      <c r="JVA23"/>
      <c r="JVB23"/>
      <c r="JVC23"/>
      <c r="JVD23"/>
      <c r="JVE23"/>
      <c r="JVF23"/>
      <c r="JVG23"/>
      <c r="JVH23"/>
      <c r="JVI23"/>
      <c r="JVJ23"/>
      <c r="JVK23"/>
      <c r="JVL23"/>
      <c r="JVM23"/>
      <c r="JVN23"/>
      <c r="JVO23"/>
      <c r="JVP23"/>
      <c r="JVQ23"/>
      <c r="JVR23"/>
      <c r="JVS23"/>
      <c r="JVT23"/>
      <c r="JVU23"/>
      <c r="JVV23"/>
      <c r="JVW23"/>
      <c r="JVX23"/>
      <c r="JVY23"/>
      <c r="JVZ23"/>
      <c r="JWA23"/>
      <c r="JWB23"/>
      <c r="JWC23"/>
      <c r="JWD23"/>
      <c r="JWE23"/>
      <c r="JWF23"/>
      <c r="JWG23"/>
      <c r="JWH23"/>
      <c r="JWI23"/>
      <c r="JWJ23"/>
      <c r="JWK23"/>
      <c r="JWL23"/>
      <c r="JWM23"/>
      <c r="JWN23"/>
      <c r="JWO23"/>
      <c r="JWP23"/>
      <c r="JWQ23"/>
      <c r="JWR23"/>
      <c r="JWS23"/>
      <c r="JWT23"/>
      <c r="JWU23"/>
      <c r="JWV23"/>
      <c r="JWW23"/>
      <c r="JWX23"/>
      <c r="JWY23"/>
      <c r="JWZ23"/>
      <c r="JXA23"/>
      <c r="JXB23"/>
      <c r="JXC23"/>
      <c r="JXD23"/>
      <c r="JXE23"/>
      <c r="JXF23"/>
      <c r="JXG23"/>
      <c r="JXH23"/>
      <c r="JXI23"/>
      <c r="JXJ23"/>
      <c r="JXK23"/>
      <c r="JXL23"/>
      <c r="JXM23"/>
      <c r="JXN23"/>
      <c r="JXO23"/>
      <c r="JXP23"/>
      <c r="JXQ23"/>
      <c r="JXR23"/>
      <c r="JXS23"/>
      <c r="JXT23"/>
      <c r="JXU23"/>
      <c r="JXV23"/>
      <c r="JXW23"/>
      <c r="JXX23"/>
      <c r="JXY23"/>
      <c r="JXZ23"/>
      <c r="JYA23"/>
      <c r="JYB23"/>
      <c r="JYC23"/>
      <c r="JYD23"/>
      <c r="JYE23"/>
      <c r="JYF23"/>
      <c r="JYG23"/>
      <c r="JYH23"/>
      <c r="JYI23"/>
      <c r="JYJ23"/>
      <c r="JYK23"/>
      <c r="JYL23"/>
      <c r="JYM23"/>
      <c r="JYN23"/>
      <c r="JYO23"/>
      <c r="JYP23"/>
      <c r="JYQ23"/>
      <c r="JYR23"/>
      <c r="JYS23"/>
      <c r="JYT23"/>
      <c r="JYU23"/>
      <c r="JYV23"/>
      <c r="JYW23"/>
      <c r="JYX23"/>
      <c r="JYY23"/>
      <c r="JYZ23"/>
      <c r="JZA23"/>
      <c r="JZB23"/>
      <c r="JZC23"/>
      <c r="JZD23"/>
      <c r="JZE23"/>
      <c r="JZF23"/>
      <c r="JZG23"/>
      <c r="JZH23"/>
      <c r="JZI23"/>
      <c r="JZJ23"/>
      <c r="JZK23"/>
      <c r="JZL23"/>
      <c r="JZM23"/>
      <c r="JZN23"/>
      <c r="JZO23"/>
      <c r="JZP23"/>
      <c r="JZQ23"/>
      <c r="JZR23"/>
      <c r="JZS23"/>
      <c r="JZT23"/>
      <c r="JZU23"/>
      <c r="JZV23"/>
      <c r="JZW23"/>
      <c r="JZX23"/>
      <c r="JZY23"/>
      <c r="JZZ23"/>
      <c r="KAA23"/>
      <c r="KAB23"/>
      <c r="KAC23"/>
      <c r="KAD23"/>
      <c r="KAE23"/>
      <c r="KAF23"/>
      <c r="KAG23"/>
      <c r="KAH23"/>
      <c r="KAI23"/>
      <c r="KAJ23"/>
      <c r="KAK23"/>
      <c r="KAL23"/>
      <c r="KAM23"/>
      <c r="KAN23"/>
      <c r="KAO23"/>
      <c r="KAP23"/>
      <c r="KAQ23"/>
      <c r="KAR23"/>
      <c r="KAS23"/>
      <c r="KAT23"/>
      <c r="KAU23"/>
      <c r="KAV23"/>
      <c r="KAW23"/>
      <c r="KAX23"/>
      <c r="KAY23"/>
      <c r="KAZ23"/>
      <c r="KBA23"/>
      <c r="KBB23"/>
      <c r="KBC23"/>
      <c r="KBD23"/>
      <c r="KBE23"/>
      <c r="KBF23"/>
      <c r="KBG23"/>
      <c r="KBH23"/>
      <c r="KBI23"/>
      <c r="KBJ23"/>
      <c r="KBK23"/>
      <c r="KBL23"/>
      <c r="KBM23"/>
      <c r="KBN23"/>
      <c r="KBO23"/>
      <c r="KBP23"/>
      <c r="KBQ23"/>
      <c r="KBR23"/>
      <c r="KBS23"/>
      <c r="KBT23"/>
      <c r="KBU23"/>
      <c r="KBV23"/>
      <c r="KBW23"/>
      <c r="KBX23"/>
      <c r="KBY23"/>
      <c r="KBZ23"/>
      <c r="KCA23"/>
      <c r="KCB23"/>
      <c r="KCC23"/>
      <c r="KCD23"/>
      <c r="KCE23"/>
      <c r="KCF23"/>
      <c r="KCG23"/>
      <c r="KCH23"/>
      <c r="KCI23"/>
      <c r="KCJ23"/>
      <c r="KCK23"/>
      <c r="KCL23"/>
      <c r="KCM23"/>
      <c r="KCN23"/>
      <c r="KCO23"/>
      <c r="KCP23"/>
      <c r="KCQ23"/>
      <c r="KCR23"/>
      <c r="KCS23"/>
      <c r="KCT23"/>
      <c r="KCU23"/>
      <c r="KCV23"/>
      <c r="KCW23"/>
      <c r="KCX23"/>
      <c r="KCY23"/>
      <c r="KCZ23"/>
      <c r="KDA23"/>
      <c r="KDB23"/>
      <c r="KDC23"/>
      <c r="KDD23"/>
      <c r="KDE23"/>
      <c r="KDF23"/>
      <c r="KDG23"/>
      <c r="KDH23"/>
      <c r="KDI23"/>
      <c r="KDJ23"/>
      <c r="KDK23"/>
      <c r="KDL23"/>
      <c r="KDM23"/>
      <c r="KDN23"/>
      <c r="KDO23"/>
      <c r="KDP23"/>
      <c r="KDQ23"/>
      <c r="KDR23"/>
      <c r="KDS23"/>
      <c r="KDT23"/>
      <c r="KDU23"/>
      <c r="KDV23"/>
      <c r="KDW23"/>
      <c r="KDX23"/>
      <c r="KDY23"/>
      <c r="KDZ23"/>
      <c r="KEA23"/>
      <c r="KEB23"/>
      <c r="KEC23"/>
      <c r="KED23"/>
      <c r="KEE23"/>
      <c r="KEF23"/>
      <c r="KEG23"/>
      <c r="KEH23"/>
      <c r="KEI23"/>
      <c r="KEJ23"/>
      <c r="KEK23"/>
      <c r="KEL23"/>
      <c r="KEM23"/>
      <c r="KEN23"/>
      <c r="KEO23"/>
      <c r="KEP23"/>
      <c r="KEQ23"/>
      <c r="KER23"/>
      <c r="KES23"/>
      <c r="KET23"/>
      <c r="KEU23"/>
      <c r="KEV23"/>
      <c r="KEW23"/>
      <c r="KEX23"/>
      <c r="KEY23"/>
      <c r="KEZ23"/>
      <c r="KFA23"/>
      <c r="KFB23"/>
      <c r="KFC23"/>
      <c r="KFD23"/>
      <c r="KFE23"/>
      <c r="KFF23"/>
      <c r="KFG23"/>
      <c r="KFH23"/>
      <c r="KFI23"/>
      <c r="KFJ23"/>
      <c r="KFK23"/>
      <c r="KFL23"/>
      <c r="KFM23"/>
      <c r="KFN23"/>
      <c r="KFO23"/>
      <c r="KFP23"/>
      <c r="KFQ23"/>
      <c r="KFR23"/>
      <c r="KFS23"/>
      <c r="KFT23"/>
      <c r="KFU23"/>
      <c r="KFV23"/>
      <c r="KFW23"/>
      <c r="KFX23"/>
      <c r="KFY23"/>
      <c r="KFZ23"/>
      <c r="KGA23"/>
      <c r="KGB23"/>
      <c r="KGC23"/>
      <c r="KGD23"/>
      <c r="KGE23"/>
      <c r="KGF23"/>
      <c r="KGG23"/>
      <c r="KGH23"/>
      <c r="KGI23"/>
      <c r="KGJ23"/>
      <c r="KGK23"/>
      <c r="KGL23"/>
      <c r="KGM23"/>
      <c r="KGN23"/>
      <c r="KGO23"/>
      <c r="KGP23"/>
      <c r="KGQ23"/>
      <c r="KGR23"/>
      <c r="KGS23"/>
      <c r="KGT23"/>
      <c r="KGU23"/>
      <c r="KGV23"/>
      <c r="KGW23"/>
      <c r="KGX23"/>
      <c r="KGY23"/>
      <c r="KGZ23"/>
      <c r="KHA23"/>
      <c r="KHB23"/>
      <c r="KHC23"/>
      <c r="KHD23"/>
      <c r="KHE23"/>
      <c r="KHF23"/>
      <c r="KHG23"/>
      <c r="KHH23"/>
      <c r="KHI23"/>
      <c r="KHJ23"/>
      <c r="KHK23"/>
      <c r="KHL23"/>
      <c r="KHM23"/>
      <c r="KHN23"/>
      <c r="KHO23"/>
      <c r="KHP23"/>
      <c r="KHQ23"/>
      <c r="KHR23"/>
      <c r="KHS23"/>
      <c r="KHT23"/>
      <c r="KHU23"/>
      <c r="KHV23"/>
      <c r="KHW23"/>
      <c r="KHX23"/>
      <c r="KHY23"/>
      <c r="KHZ23"/>
      <c r="KIA23"/>
      <c r="KIB23"/>
      <c r="KIC23"/>
      <c r="KID23"/>
      <c r="KIE23"/>
      <c r="KIF23"/>
      <c r="KIG23"/>
      <c r="KIH23"/>
      <c r="KII23"/>
      <c r="KIJ23"/>
      <c r="KIK23"/>
      <c r="KIL23"/>
      <c r="KIM23"/>
      <c r="KIN23"/>
      <c r="KIO23"/>
      <c r="KIP23"/>
      <c r="KIQ23"/>
      <c r="KIR23"/>
      <c r="KIS23"/>
      <c r="KIT23"/>
      <c r="KIU23"/>
      <c r="KIV23"/>
      <c r="KIW23"/>
      <c r="KIX23"/>
      <c r="KIY23"/>
      <c r="KIZ23"/>
      <c r="KJA23"/>
      <c r="KJB23"/>
      <c r="KJC23"/>
      <c r="KJD23"/>
      <c r="KJE23"/>
      <c r="KJF23"/>
      <c r="KJG23"/>
      <c r="KJH23"/>
      <c r="KJI23"/>
      <c r="KJJ23"/>
      <c r="KJK23"/>
      <c r="KJL23"/>
      <c r="KJM23"/>
      <c r="KJN23"/>
      <c r="KJO23"/>
      <c r="KJP23"/>
      <c r="KJQ23"/>
      <c r="KJR23"/>
      <c r="KJS23"/>
      <c r="KJT23"/>
      <c r="KJU23"/>
      <c r="KJV23"/>
      <c r="KJW23"/>
      <c r="KJX23"/>
      <c r="KJY23"/>
      <c r="KJZ23"/>
      <c r="KKA23"/>
      <c r="KKB23"/>
      <c r="KKC23"/>
      <c r="KKD23"/>
      <c r="KKE23"/>
      <c r="KKF23"/>
      <c r="KKG23"/>
      <c r="KKH23"/>
      <c r="KKI23"/>
      <c r="KKJ23"/>
      <c r="KKK23"/>
      <c r="KKL23"/>
      <c r="KKM23"/>
      <c r="KKN23"/>
      <c r="KKO23"/>
      <c r="KKP23"/>
      <c r="KKQ23"/>
      <c r="KKR23"/>
      <c r="KKS23"/>
      <c r="KKT23"/>
      <c r="KKU23"/>
      <c r="KKV23"/>
      <c r="KKW23"/>
      <c r="KKX23"/>
      <c r="KKY23"/>
      <c r="KKZ23"/>
      <c r="KLA23"/>
      <c r="KLB23"/>
      <c r="KLC23"/>
      <c r="KLD23"/>
      <c r="KLE23"/>
      <c r="KLF23"/>
      <c r="KLG23"/>
      <c r="KLH23"/>
      <c r="KLI23"/>
      <c r="KLJ23"/>
      <c r="KLK23"/>
      <c r="KLL23"/>
      <c r="KLM23"/>
      <c r="KLN23"/>
      <c r="KLO23"/>
      <c r="KLP23"/>
      <c r="KLQ23"/>
      <c r="KLR23"/>
      <c r="KLS23"/>
      <c r="KLT23"/>
      <c r="KLU23"/>
      <c r="KLV23"/>
      <c r="KLW23"/>
      <c r="KLX23"/>
      <c r="KLY23"/>
      <c r="KLZ23"/>
      <c r="KMA23"/>
      <c r="KMB23"/>
      <c r="KMC23"/>
      <c r="KMD23"/>
      <c r="KME23"/>
      <c r="KMF23"/>
      <c r="KMG23"/>
      <c r="KMH23"/>
      <c r="KMI23"/>
      <c r="KMJ23"/>
      <c r="KMK23"/>
      <c r="KML23"/>
      <c r="KMM23"/>
      <c r="KMN23"/>
      <c r="KMO23"/>
      <c r="KMP23"/>
      <c r="KMQ23"/>
      <c r="KMR23"/>
      <c r="KMS23"/>
      <c r="KMT23"/>
      <c r="KMU23"/>
      <c r="KMV23"/>
      <c r="KMW23"/>
      <c r="KMX23"/>
      <c r="KMY23"/>
      <c r="KMZ23"/>
      <c r="KNA23"/>
      <c r="KNB23"/>
      <c r="KNC23"/>
      <c r="KND23"/>
      <c r="KNE23"/>
      <c r="KNF23"/>
      <c r="KNG23"/>
      <c r="KNH23"/>
      <c r="KNI23"/>
      <c r="KNJ23"/>
      <c r="KNK23"/>
      <c r="KNL23"/>
      <c r="KNM23"/>
      <c r="KNN23"/>
      <c r="KNO23"/>
      <c r="KNP23"/>
      <c r="KNQ23"/>
      <c r="KNR23"/>
      <c r="KNS23"/>
      <c r="KNT23"/>
      <c r="KNU23"/>
      <c r="KNV23"/>
      <c r="KNW23"/>
      <c r="KNX23"/>
      <c r="KNY23"/>
      <c r="KNZ23"/>
      <c r="KOA23"/>
      <c r="KOB23"/>
      <c r="KOC23"/>
      <c r="KOD23"/>
      <c r="KOE23"/>
      <c r="KOF23"/>
      <c r="KOG23"/>
      <c r="KOH23"/>
      <c r="KOI23"/>
      <c r="KOJ23"/>
      <c r="KOK23"/>
      <c r="KOL23"/>
      <c r="KOM23"/>
      <c r="KON23"/>
      <c r="KOO23"/>
      <c r="KOP23"/>
      <c r="KOQ23"/>
      <c r="KOR23"/>
      <c r="KOS23"/>
      <c r="KOT23"/>
      <c r="KOU23"/>
      <c r="KOV23"/>
      <c r="KOW23"/>
      <c r="KOX23"/>
      <c r="KOY23"/>
      <c r="KOZ23"/>
      <c r="KPA23"/>
      <c r="KPB23"/>
      <c r="KPC23"/>
      <c r="KPD23"/>
      <c r="KPE23"/>
      <c r="KPF23"/>
      <c r="KPG23"/>
      <c r="KPH23"/>
      <c r="KPI23"/>
      <c r="KPJ23"/>
      <c r="KPK23"/>
      <c r="KPL23"/>
      <c r="KPM23"/>
      <c r="KPN23"/>
      <c r="KPO23"/>
      <c r="KPP23"/>
      <c r="KPQ23"/>
      <c r="KPR23"/>
      <c r="KPS23"/>
      <c r="KPT23"/>
      <c r="KPU23"/>
      <c r="KPV23"/>
      <c r="KPW23"/>
      <c r="KPX23"/>
      <c r="KPY23"/>
      <c r="KPZ23"/>
      <c r="KQA23"/>
      <c r="KQB23"/>
      <c r="KQC23"/>
      <c r="KQD23"/>
      <c r="KQE23"/>
      <c r="KQF23"/>
      <c r="KQG23"/>
      <c r="KQH23"/>
      <c r="KQI23"/>
      <c r="KQJ23"/>
      <c r="KQK23"/>
      <c r="KQL23"/>
      <c r="KQM23"/>
      <c r="KQN23"/>
      <c r="KQO23"/>
      <c r="KQP23"/>
      <c r="KQQ23"/>
      <c r="KQR23"/>
      <c r="KQS23"/>
      <c r="KQT23"/>
      <c r="KQU23"/>
      <c r="KQV23"/>
      <c r="KQW23"/>
      <c r="KQX23"/>
      <c r="KQY23"/>
      <c r="KQZ23"/>
      <c r="KRA23"/>
      <c r="KRB23"/>
      <c r="KRC23"/>
      <c r="KRD23"/>
      <c r="KRE23"/>
      <c r="KRF23"/>
      <c r="KRG23"/>
      <c r="KRH23"/>
      <c r="KRI23"/>
      <c r="KRJ23"/>
      <c r="KRK23"/>
      <c r="KRL23"/>
      <c r="KRM23"/>
      <c r="KRN23"/>
      <c r="KRO23"/>
      <c r="KRP23"/>
      <c r="KRQ23"/>
      <c r="KRR23"/>
      <c r="KRS23"/>
      <c r="KRT23"/>
      <c r="KRU23"/>
      <c r="KRV23"/>
      <c r="KRW23"/>
      <c r="KRX23"/>
      <c r="KRY23"/>
      <c r="KRZ23"/>
      <c r="KSA23"/>
      <c r="KSB23"/>
      <c r="KSC23"/>
      <c r="KSD23"/>
      <c r="KSE23"/>
      <c r="KSF23"/>
      <c r="KSG23"/>
      <c r="KSH23"/>
      <c r="KSI23"/>
      <c r="KSJ23"/>
      <c r="KSK23"/>
      <c r="KSL23"/>
      <c r="KSM23"/>
      <c r="KSN23"/>
      <c r="KSO23"/>
      <c r="KSP23"/>
      <c r="KSQ23"/>
      <c r="KSR23"/>
      <c r="KSS23"/>
      <c r="KST23"/>
      <c r="KSU23"/>
      <c r="KSV23"/>
      <c r="KSW23"/>
      <c r="KSX23"/>
      <c r="KSY23"/>
      <c r="KSZ23"/>
      <c r="KTA23"/>
      <c r="KTB23"/>
      <c r="KTC23"/>
      <c r="KTD23"/>
      <c r="KTE23"/>
      <c r="KTF23"/>
      <c r="KTG23"/>
      <c r="KTH23"/>
      <c r="KTI23"/>
      <c r="KTJ23"/>
      <c r="KTK23"/>
      <c r="KTL23"/>
      <c r="KTM23"/>
      <c r="KTN23"/>
      <c r="KTO23"/>
      <c r="KTP23"/>
      <c r="KTQ23"/>
      <c r="KTR23"/>
      <c r="KTS23"/>
      <c r="KTT23"/>
      <c r="KTU23"/>
      <c r="KTV23"/>
      <c r="KTW23"/>
      <c r="KTX23"/>
      <c r="KTY23"/>
      <c r="KTZ23"/>
      <c r="KUA23"/>
      <c r="KUB23"/>
      <c r="KUC23"/>
      <c r="KUD23"/>
      <c r="KUE23"/>
      <c r="KUF23"/>
      <c r="KUG23"/>
      <c r="KUH23"/>
      <c r="KUI23"/>
      <c r="KUJ23"/>
      <c r="KUK23"/>
      <c r="KUL23"/>
      <c r="KUM23"/>
      <c r="KUN23"/>
      <c r="KUO23"/>
      <c r="KUP23"/>
      <c r="KUQ23"/>
      <c r="KUR23"/>
      <c r="KUS23"/>
      <c r="KUT23"/>
      <c r="KUU23"/>
      <c r="KUV23"/>
      <c r="KUW23"/>
      <c r="KUX23"/>
      <c r="KUY23"/>
      <c r="KUZ23"/>
      <c r="KVA23"/>
      <c r="KVB23"/>
      <c r="KVC23"/>
      <c r="KVD23"/>
      <c r="KVE23"/>
      <c r="KVF23"/>
      <c r="KVG23"/>
      <c r="KVH23"/>
      <c r="KVI23"/>
      <c r="KVJ23"/>
      <c r="KVK23"/>
      <c r="KVL23"/>
      <c r="KVM23"/>
      <c r="KVN23"/>
      <c r="KVO23"/>
      <c r="KVP23"/>
      <c r="KVQ23"/>
      <c r="KVR23"/>
      <c r="KVS23"/>
      <c r="KVT23"/>
      <c r="KVU23"/>
      <c r="KVV23"/>
      <c r="KVW23"/>
      <c r="KVX23"/>
      <c r="KVY23"/>
      <c r="KVZ23"/>
      <c r="KWA23"/>
      <c r="KWB23"/>
      <c r="KWC23"/>
      <c r="KWD23"/>
      <c r="KWE23"/>
      <c r="KWF23"/>
      <c r="KWG23"/>
      <c r="KWH23"/>
      <c r="KWI23"/>
      <c r="KWJ23"/>
      <c r="KWK23"/>
      <c r="KWL23"/>
      <c r="KWM23"/>
      <c r="KWN23"/>
      <c r="KWO23"/>
      <c r="KWP23"/>
      <c r="KWQ23"/>
      <c r="KWR23"/>
      <c r="KWS23"/>
      <c r="KWT23"/>
      <c r="KWU23"/>
      <c r="KWV23"/>
      <c r="KWW23"/>
      <c r="KWX23"/>
      <c r="KWY23"/>
      <c r="KWZ23"/>
      <c r="KXA23"/>
      <c r="KXB23"/>
      <c r="KXC23"/>
      <c r="KXD23"/>
      <c r="KXE23"/>
      <c r="KXF23"/>
      <c r="KXG23"/>
      <c r="KXH23"/>
      <c r="KXI23"/>
      <c r="KXJ23"/>
      <c r="KXK23"/>
      <c r="KXL23"/>
      <c r="KXM23"/>
      <c r="KXN23"/>
      <c r="KXO23"/>
      <c r="KXP23"/>
      <c r="KXQ23"/>
      <c r="KXR23"/>
      <c r="KXS23"/>
      <c r="KXT23"/>
      <c r="KXU23"/>
      <c r="KXV23"/>
      <c r="KXW23"/>
      <c r="KXX23"/>
      <c r="KXY23"/>
      <c r="KXZ23"/>
      <c r="KYA23"/>
      <c r="KYB23"/>
      <c r="KYC23"/>
      <c r="KYD23"/>
      <c r="KYE23"/>
      <c r="KYF23"/>
      <c r="KYG23"/>
      <c r="KYH23"/>
      <c r="KYI23"/>
      <c r="KYJ23"/>
      <c r="KYK23"/>
      <c r="KYL23"/>
      <c r="KYM23"/>
      <c r="KYN23"/>
      <c r="KYO23"/>
      <c r="KYP23"/>
      <c r="KYQ23"/>
      <c r="KYR23"/>
      <c r="KYS23"/>
      <c r="KYT23"/>
      <c r="KYU23"/>
      <c r="KYV23"/>
      <c r="KYW23"/>
      <c r="KYX23"/>
      <c r="KYY23"/>
      <c r="KYZ23"/>
      <c r="KZA23"/>
      <c r="KZB23"/>
      <c r="KZC23"/>
      <c r="KZD23"/>
      <c r="KZE23"/>
      <c r="KZF23"/>
      <c r="KZG23"/>
      <c r="KZH23"/>
      <c r="KZI23"/>
      <c r="KZJ23"/>
      <c r="KZK23"/>
      <c r="KZL23"/>
      <c r="KZM23"/>
      <c r="KZN23"/>
      <c r="KZO23"/>
      <c r="KZP23"/>
      <c r="KZQ23"/>
      <c r="KZR23"/>
      <c r="KZS23"/>
      <c r="KZT23"/>
      <c r="KZU23"/>
      <c r="KZV23"/>
      <c r="KZW23"/>
      <c r="KZX23"/>
      <c r="KZY23"/>
      <c r="KZZ23"/>
      <c r="LAA23"/>
      <c r="LAB23"/>
      <c r="LAC23"/>
      <c r="LAD23"/>
      <c r="LAE23"/>
      <c r="LAF23"/>
      <c r="LAG23"/>
      <c r="LAH23"/>
      <c r="LAI23"/>
      <c r="LAJ23"/>
      <c r="LAK23"/>
      <c r="LAL23"/>
      <c r="LAM23"/>
      <c r="LAN23"/>
      <c r="LAO23"/>
      <c r="LAP23"/>
      <c r="LAQ23"/>
      <c r="LAR23"/>
      <c r="LAS23"/>
      <c r="LAT23"/>
      <c r="LAU23"/>
      <c r="LAV23"/>
      <c r="LAW23"/>
      <c r="LAX23"/>
      <c r="LAY23"/>
      <c r="LAZ23"/>
      <c r="LBA23"/>
      <c r="LBB23"/>
      <c r="LBC23"/>
      <c r="LBD23"/>
      <c r="LBE23"/>
      <c r="LBF23"/>
      <c r="LBG23"/>
      <c r="LBH23"/>
      <c r="LBI23"/>
      <c r="LBJ23"/>
      <c r="LBK23"/>
      <c r="LBL23"/>
      <c r="LBM23"/>
      <c r="LBN23"/>
      <c r="LBO23"/>
      <c r="LBP23"/>
      <c r="LBQ23"/>
      <c r="LBR23"/>
      <c r="LBS23"/>
      <c r="LBT23"/>
      <c r="LBU23"/>
      <c r="LBV23"/>
      <c r="LBW23"/>
      <c r="LBX23"/>
      <c r="LBY23"/>
      <c r="LBZ23"/>
      <c r="LCA23"/>
      <c r="LCB23"/>
      <c r="LCC23"/>
      <c r="LCD23"/>
      <c r="LCE23"/>
      <c r="LCF23"/>
      <c r="LCG23"/>
      <c r="LCH23"/>
      <c r="LCI23"/>
      <c r="LCJ23"/>
      <c r="LCK23"/>
      <c r="LCL23"/>
      <c r="LCM23"/>
      <c r="LCN23"/>
      <c r="LCO23"/>
      <c r="LCP23"/>
      <c r="LCQ23"/>
      <c r="LCR23"/>
      <c r="LCS23"/>
      <c r="LCT23"/>
      <c r="LCU23"/>
      <c r="LCV23"/>
      <c r="LCW23"/>
      <c r="LCX23"/>
      <c r="LCY23"/>
      <c r="LCZ23"/>
      <c r="LDA23"/>
      <c r="LDB23"/>
      <c r="LDC23"/>
      <c r="LDD23"/>
      <c r="LDE23"/>
      <c r="LDF23"/>
      <c r="LDG23"/>
      <c r="LDH23"/>
      <c r="LDI23"/>
      <c r="LDJ23"/>
      <c r="LDK23"/>
      <c r="LDL23"/>
      <c r="LDM23"/>
      <c r="LDN23"/>
      <c r="LDO23"/>
      <c r="LDP23"/>
      <c r="LDQ23"/>
      <c r="LDR23"/>
      <c r="LDS23"/>
      <c r="LDT23"/>
      <c r="LDU23"/>
      <c r="LDV23"/>
      <c r="LDW23"/>
      <c r="LDX23"/>
      <c r="LDY23"/>
      <c r="LDZ23"/>
      <c r="LEA23"/>
      <c r="LEB23"/>
      <c r="LEC23"/>
      <c r="LED23"/>
      <c r="LEE23"/>
      <c r="LEF23"/>
      <c r="LEG23"/>
      <c r="LEH23"/>
      <c r="LEI23"/>
      <c r="LEJ23"/>
      <c r="LEK23"/>
      <c r="LEL23"/>
      <c r="LEM23"/>
      <c r="LEN23"/>
      <c r="LEO23"/>
      <c r="LEP23"/>
      <c r="LEQ23"/>
      <c r="LER23"/>
      <c r="LES23"/>
      <c r="LET23"/>
      <c r="LEU23"/>
      <c r="LEV23"/>
      <c r="LEW23"/>
      <c r="LEX23"/>
      <c r="LEY23"/>
      <c r="LEZ23"/>
      <c r="LFA23"/>
      <c r="LFB23"/>
      <c r="LFC23"/>
      <c r="LFD23"/>
      <c r="LFE23"/>
      <c r="LFF23"/>
      <c r="LFG23"/>
      <c r="LFH23"/>
      <c r="LFI23"/>
      <c r="LFJ23"/>
      <c r="LFK23"/>
      <c r="LFL23"/>
      <c r="LFM23"/>
      <c r="LFN23"/>
      <c r="LFO23"/>
      <c r="LFP23"/>
      <c r="LFQ23"/>
      <c r="LFR23"/>
      <c r="LFS23"/>
      <c r="LFT23"/>
      <c r="LFU23"/>
      <c r="LFV23"/>
      <c r="LFW23"/>
      <c r="LFX23"/>
      <c r="LFY23"/>
      <c r="LFZ23"/>
      <c r="LGA23"/>
      <c r="LGB23"/>
      <c r="LGC23"/>
      <c r="LGD23"/>
      <c r="LGE23"/>
      <c r="LGF23"/>
      <c r="LGG23"/>
      <c r="LGH23"/>
      <c r="LGI23"/>
      <c r="LGJ23"/>
      <c r="LGK23"/>
      <c r="LGL23"/>
      <c r="LGM23"/>
      <c r="LGN23"/>
      <c r="LGO23"/>
      <c r="LGP23"/>
      <c r="LGQ23"/>
      <c r="LGR23"/>
      <c r="LGS23"/>
      <c r="LGT23"/>
      <c r="LGU23"/>
      <c r="LGV23"/>
      <c r="LGW23"/>
      <c r="LGX23"/>
      <c r="LGY23"/>
      <c r="LGZ23"/>
      <c r="LHA23"/>
      <c r="LHB23"/>
      <c r="LHC23"/>
      <c r="LHD23"/>
      <c r="LHE23"/>
      <c r="LHF23"/>
      <c r="LHG23"/>
      <c r="LHH23"/>
      <c r="LHI23"/>
      <c r="LHJ23"/>
      <c r="LHK23"/>
      <c r="LHL23"/>
      <c r="LHM23"/>
      <c r="LHN23"/>
      <c r="LHO23"/>
      <c r="LHP23"/>
      <c r="LHQ23"/>
      <c r="LHR23"/>
      <c r="LHS23"/>
      <c r="LHT23"/>
      <c r="LHU23"/>
      <c r="LHV23"/>
      <c r="LHW23"/>
      <c r="LHX23"/>
      <c r="LHY23"/>
      <c r="LHZ23"/>
      <c r="LIA23"/>
      <c r="LIB23"/>
      <c r="LIC23"/>
      <c r="LID23"/>
      <c r="LIE23"/>
      <c r="LIF23"/>
      <c r="LIG23"/>
      <c r="LIH23"/>
      <c r="LII23"/>
      <c r="LIJ23"/>
      <c r="LIK23"/>
      <c r="LIL23"/>
      <c r="LIM23"/>
      <c r="LIN23"/>
      <c r="LIO23"/>
      <c r="LIP23"/>
      <c r="LIQ23"/>
      <c r="LIR23"/>
      <c r="LIS23"/>
      <c r="LIT23"/>
      <c r="LIU23"/>
      <c r="LIV23"/>
      <c r="LIW23"/>
      <c r="LIX23"/>
      <c r="LIY23"/>
      <c r="LIZ23"/>
      <c r="LJA23"/>
      <c r="LJB23"/>
      <c r="LJC23"/>
      <c r="LJD23"/>
      <c r="LJE23"/>
      <c r="LJF23"/>
      <c r="LJG23"/>
      <c r="LJH23"/>
      <c r="LJI23"/>
      <c r="LJJ23"/>
      <c r="LJK23"/>
      <c r="LJL23"/>
      <c r="LJM23"/>
      <c r="LJN23"/>
      <c r="LJO23"/>
      <c r="LJP23"/>
      <c r="LJQ23"/>
      <c r="LJR23"/>
      <c r="LJS23"/>
      <c r="LJT23"/>
      <c r="LJU23"/>
      <c r="LJV23"/>
      <c r="LJW23"/>
      <c r="LJX23"/>
      <c r="LJY23"/>
      <c r="LJZ23"/>
      <c r="LKA23"/>
      <c r="LKB23"/>
      <c r="LKC23"/>
      <c r="LKD23"/>
      <c r="LKE23"/>
      <c r="LKF23"/>
      <c r="LKG23"/>
      <c r="LKH23"/>
      <c r="LKI23"/>
      <c r="LKJ23"/>
      <c r="LKK23"/>
      <c r="LKL23"/>
      <c r="LKM23"/>
      <c r="LKN23"/>
      <c r="LKO23"/>
      <c r="LKP23"/>
      <c r="LKQ23"/>
      <c r="LKR23"/>
      <c r="LKS23"/>
      <c r="LKT23"/>
      <c r="LKU23"/>
      <c r="LKV23"/>
      <c r="LKW23"/>
      <c r="LKX23"/>
      <c r="LKY23"/>
      <c r="LKZ23"/>
      <c r="LLA23"/>
      <c r="LLB23"/>
      <c r="LLC23"/>
      <c r="LLD23"/>
      <c r="LLE23"/>
      <c r="LLF23"/>
      <c r="LLG23"/>
      <c r="LLH23"/>
      <c r="LLI23"/>
      <c r="LLJ23"/>
      <c r="LLK23"/>
      <c r="LLL23"/>
      <c r="LLM23"/>
      <c r="LLN23"/>
      <c r="LLO23"/>
      <c r="LLP23"/>
      <c r="LLQ23"/>
      <c r="LLR23"/>
      <c r="LLS23"/>
      <c r="LLT23"/>
      <c r="LLU23"/>
      <c r="LLV23"/>
      <c r="LLW23"/>
      <c r="LLX23"/>
      <c r="LLY23"/>
      <c r="LLZ23"/>
      <c r="LMA23"/>
      <c r="LMB23"/>
      <c r="LMC23"/>
      <c r="LMD23"/>
      <c r="LME23"/>
      <c r="LMF23"/>
      <c r="LMG23"/>
      <c r="LMH23"/>
      <c r="LMI23"/>
      <c r="LMJ23"/>
      <c r="LMK23"/>
      <c r="LML23"/>
      <c r="LMM23"/>
      <c r="LMN23"/>
      <c r="LMO23"/>
      <c r="LMP23"/>
      <c r="LMQ23"/>
      <c r="LMR23"/>
      <c r="LMS23"/>
      <c r="LMT23"/>
      <c r="LMU23"/>
      <c r="LMV23"/>
      <c r="LMW23"/>
      <c r="LMX23"/>
      <c r="LMY23"/>
      <c r="LMZ23"/>
      <c r="LNA23"/>
      <c r="LNB23"/>
      <c r="LNC23"/>
      <c r="LND23"/>
      <c r="LNE23"/>
      <c r="LNF23"/>
      <c r="LNG23"/>
      <c r="LNH23"/>
      <c r="LNI23"/>
      <c r="LNJ23"/>
      <c r="LNK23"/>
      <c r="LNL23"/>
      <c r="LNM23"/>
      <c r="LNN23"/>
      <c r="LNO23"/>
      <c r="LNP23"/>
      <c r="LNQ23"/>
      <c r="LNR23"/>
      <c r="LNS23"/>
      <c r="LNT23"/>
      <c r="LNU23"/>
      <c r="LNV23"/>
      <c r="LNW23"/>
      <c r="LNX23"/>
      <c r="LNY23"/>
      <c r="LNZ23"/>
      <c r="LOA23"/>
      <c r="LOB23"/>
      <c r="LOC23"/>
      <c r="LOD23"/>
      <c r="LOE23"/>
      <c r="LOF23"/>
      <c r="LOG23"/>
      <c r="LOH23"/>
      <c r="LOI23"/>
      <c r="LOJ23"/>
      <c r="LOK23"/>
      <c r="LOL23"/>
      <c r="LOM23"/>
      <c r="LON23"/>
      <c r="LOO23"/>
      <c r="LOP23"/>
      <c r="LOQ23"/>
      <c r="LOR23"/>
      <c r="LOS23"/>
      <c r="LOT23"/>
      <c r="LOU23"/>
      <c r="LOV23"/>
      <c r="LOW23"/>
      <c r="LOX23"/>
      <c r="LOY23"/>
      <c r="LOZ23"/>
      <c r="LPA23"/>
      <c r="LPB23"/>
      <c r="LPC23"/>
      <c r="LPD23"/>
      <c r="LPE23"/>
      <c r="LPF23"/>
      <c r="LPG23"/>
      <c r="LPH23"/>
      <c r="LPI23"/>
      <c r="LPJ23"/>
      <c r="LPK23"/>
      <c r="LPL23"/>
      <c r="LPM23"/>
      <c r="LPN23"/>
      <c r="LPO23"/>
      <c r="LPP23"/>
      <c r="LPQ23"/>
      <c r="LPR23"/>
      <c r="LPS23"/>
      <c r="LPT23"/>
      <c r="LPU23"/>
      <c r="LPV23"/>
      <c r="LPW23"/>
      <c r="LPX23"/>
      <c r="LPY23"/>
      <c r="LPZ23"/>
      <c r="LQA23"/>
      <c r="LQB23"/>
      <c r="LQC23"/>
      <c r="LQD23"/>
      <c r="LQE23"/>
      <c r="LQF23"/>
      <c r="LQG23"/>
      <c r="LQH23"/>
      <c r="LQI23"/>
      <c r="LQJ23"/>
      <c r="LQK23"/>
      <c r="LQL23"/>
      <c r="LQM23"/>
      <c r="LQN23"/>
      <c r="LQO23"/>
      <c r="LQP23"/>
      <c r="LQQ23"/>
      <c r="LQR23"/>
      <c r="LQS23"/>
      <c r="LQT23"/>
      <c r="LQU23"/>
      <c r="LQV23"/>
      <c r="LQW23"/>
      <c r="LQX23"/>
      <c r="LQY23"/>
      <c r="LQZ23"/>
      <c r="LRA23"/>
      <c r="LRB23"/>
      <c r="LRC23"/>
      <c r="LRD23"/>
      <c r="LRE23"/>
      <c r="LRF23"/>
      <c r="LRG23"/>
      <c r="LRH23"/>
      <c r="LRI23"/>
      <c r="LRJ23"/>
      <c r="LRK23"/>
      <c r="LRL23"/>
      <c r="LRM23"/>
      <c r="LRN23"/>
      <c r="LRO23"/>
      <c r="LRP23"/>
      <c r="LRQ23"/>
      <c r="LRR23"/>
      <c r="LRS23"/>
      <c r="LRT23"/>
      <c r="LRU23"/>
      <c r="LRV23"/>
      <c r="LRW23"/>
      <c r="LRX23"/>
      <c r="LRY23"/>
      <c r="LRZ23"/>
      <c r="LSA23"/>
      <c r="LSB23"/>
      <c r="LSC23"/>
      <c r="LSD23"/>
      <c r="LSE23"/>
      <c r="LSF23"/>
      <c r="LSG23"/>
      <c r="LSH23"/>
      <c r="LSI23"/>
      <c r="LSJ23"/>
      <c r="LSK23"/>
      <c r="LSL23"/>
      <c r="LSM23"/>
      <c r="LSN23"/>
      <c r="LSO23"/>
      <c r="LSP23"/>
      <c r="LSQ23"/>
      <c r="LSR23"/>
      <c r="LSS23"/>
      <c r="LST23"/>
      <c r="LSU23"/>
      <c r="LSV23"/>
      <c r="LSW23"/>
      <c r="LSX23"/>
      <c r="LSY23"/>
      <c r="LSZ23"/>
      <c r="LTA23"/>
      <c r="LTB23"/>
      <c r="LTC23"/>
      <c r="LTD23"/>
      <c r="LTE23"/>
      <c r="LTF23"/>
      <c r="LTG23"/>
      <c r="LTH23"/>
      <c r="LTI23"/>
      <c r="LTJ23"/>
      <c r="LTK23"/>
      <c r="LTL23"/>
      <c r="LTM23"/>
      <c r="LTN23"/>
      <c r="LTO23"/>
      <c r="LTP23"/>
      <c r="LTQ23"/>
      <c r="LTR23"/>
      <c r="LTS23"/>
      <c r="LTT23"/>
      <c r="LTU23"/>
      <c r="LTV23"/>
      <c r="LTW23"/>
      <c r="LTX23"/>
      <c r="LTY23"/>
      <c r="LTZ23"/>
      <c r="LUA23"/>
      <c r="LUB23"/>
      <c r="LUC23"/>
      <c r="LUD23"/>
      <c r="LUE23"/>
      <c r="LUF23"/>
      <c r="LUG23"/>
      <c r="LUH23"/>
      <c r="LUI23"/>
      <c r="LUJ23"/>
      <c r="LUK23"/>
      <c r="LUL23"/>
      <c r="LUM23"/>
      <c r="LUN23"/>
      <c r="LUO23"/>
      <c r="LUP23"/>
      <c r="LUQ23"/>
      <c r="LUR23"/>
      <c r="LUS23"/>
      <c r="LUT23"/>
      <c r="LUU23"/>
      <c r="LUV23"/>
      <c r="LUW23"/>
      <c r="LUX23"/>
      <c r="LUY23"/>
      <c r="LUZ23"/>
      <c r="LVA23"/>
      <c r="LVB23"/>
      <c r="LVC23"/>
      <c r="LVD23"/>
      <c r="LVE23"/>
      <c r="LVF23"/>
      <c r="LVG23"/>
      <c r="LVH23"/>
      <c r="LVI23"/>
      <c r="LVJ23"/>
      <c r="LVK23"/>
      <c r="LVL23"/>
      <c r="LVM23"/>
      <c r="LVN23"/>
      <c r="LVO23"/>
      <c r="LVP23"/>
      <c r="LVQ23"/>
      <c r="LVR23"/>
      <c r="LVS23"/>
      <c r="LVT23"/>
      <c r="LVU23"/>
      <c r="LVV23"/>
      <c r="LVW23"/>
      <c r="LVX23"/>
      <c r="LVY23"/>
      <c r="LVZ23"/>
      <c r="LWA23"/>
      <c r="LWB23"/>
      <c r="LWC23"/>
      <c r="LWD23"/>
      <c r="LWE23"/>
      <c r="LWF23"/>
      <c r="LWG23"/>
      <c r="LWH23"/>
      <c r="LWI23"/>
      <c r="LWJ23"/>
      <c r="LWK23"/>
      <c r="LWL23"/>
      <c r="LWM23"/>
      <c r="LWN23"/>
      <c r="LWO23"/>
      <c r="LWP23"/>
      <c r="LWQ23"/>
      <c r="LWR23"/>
      <c r="LWS23"/>
      <c r="LWT23"/>
      <c r="LWU23"/>
      <c r="LWV23"/>
      <c r="LWW23"/>
      <c r="LWX23"/>
      <c r="LWY23"/>
      <c r="LWZ23"/>
      <c r="LXA23"/>
      <c r="LXB23"/>
      <c r="LXC23"/>
      <c r="LXD23"/>
      <c r="LXE23"/>
      <c r="LXF23"/>
      <c r="LXG23"/>
      <c r="LXH23"/>
      <c r="LXI23"/>
      <c r="LXJ23"/>
      <c r="LXK23"/>
      <c r="LXL23"/>
      <c r="LXM23"/>
      <c r="LXN23"/>
      <c r="LXO23"/>
      <c r="LXP23"/>
      <c r="LXQ23"/>
      <c r="LXR23"/>
      <c r="LXS23"/>
      <c r="LXT23"/>
      <c r="LXU23"/>
      <c r="LXV23"/>
      <c r="LXW23"/>
      <c r="LXX23"/>
      <c r="LXY23"/>
      <c r="LXZ23"/>
      <c r="LYA23"/>
      <c r="LYB23"/>
      <c r="LYC23"/>
      <c r="LYD23"/>
      <c r="LYE23"/>
      <c r="LYF23"/>
      <c r="LYG23"/>
      <c r="LYH23"/>
      <c r="LYI23"/>
      <c r="LYJ23"/>
      <c r="LYK23"/>
      <c r="LYL23"/>
      <c r="LYM23"/>
      <c r="LYN23"/>
      <c r="LYO23"/>
      <c r="LYP23"/>
      <c r="LYQ23"/>
      <c r="LYR23"/>
      <c r="LYS23"/>
      <c r="LYT23"/>
      <c r="LYU23"/>
      <c r="LYV23"/>
      <c r="LYW23"/>
      <c r="LYX23"/>
      <c r="LYY23"/>
      <c r="LYZ23"/>
      <c r="LZA23"/>
      <c r="LZB23"/>
      <c r="LZC23"/>
      <c r="LZD23"/>
      <c r="LZE23"/>
      <c r="LZF23"/>
      <c r="LZG23"/>
      <c r="LZH23"/>
      <c r="LZI23"/>
      <c r="LZJ23"/>
      <c r="LZK23"/>
      <c r="LZL23"/>
      <c r="LZM23"/>
      <c r="LZN23"/>
      <c r="LZO23"/>
      <c r="LZP23"/>
      <c r="LZQ23"/>
      <c r="LZR23"/>
      <c r="LZS23"/>
      <c r="LZT23"/>
      <c r="LZU23"/>
      <c r="LZV23"/>
      <c r="LZW23"/>
      <c r="LZX23"/>
      <c r="LZY23"/>
      <c r="LZZ23"/>
      <c r="MAA23"/>
      <c r="MAB23"/>
      <c r="MAC23"/>
      <c r="MAD23"/>
      <c r="MAE23"/>
      <c r="MAF23"/>
      <c r="MAG23"/>
      <c r="MAH23"/>
      <c r="MAI23"/>
      <c r="MAJ23"/>
      <c r="MAK23"/>
      <c r="MAL23"/>
      <c r="MAM23"/>
      <c r="MAN23"/>
      <c r="MAO23"/>
      <c r="MAP23"/>
      <c r="MAQ23"/>
      <c r="MAR23"/>
      <c r="MAS23"/>
      <c r="MAT23"/>
      <c r="MAU23"/>
      <c r="MAV23"/>
      <c r="MAW23"/>
      <c r="MAX23"/>
      <c r="MAY23"/>
      <c r="MAZ23"/>
      <c r="MBA23"/>
      <c r="MBB23"/>
      <c r="MBC23"/>
      <c r="MBD23"/>
      <c r="MBE23"/>
      <c r="MBF23"/>
      <c r="MBG23"/>
      <c r="MBH23"/>
      <c r="MBI23"/>
      <c r="MBJ23"/>
      <c r="MBK23"/>
      <c r="MBL23"/>
      <c r="MBM23"/>
      <c r="MBN23"/>
      <c r="MBO23"/>
      <c r="MBP23"/>
      <c r="MBQ23"/>
      <c r="MBR23"/>
      <c r="MBS23"/>
      <c r="MBT23"/>
      <c r="MBU23"/>
      <c r="MBV23"/>
      <c r="MBW23"/>
      <c r="MBX23"/>
      <c r="MBY23"/>
      <c r="MBZ23"/>
      <c r="MCA23"/>
      <c r="MCB23"/>
      <c r="MCC23"/>
      <c r="MCD23"/>
      <c r="MCE23"/>
      <c r="MCF23"/>
      <c r="MCG23"/>
      <c r="MCH23"/>
      <c r="MCI23"/>
      <c r="MCJ23"/>
      <c r="MCK23"/>
      <c r="MCL23"/>
      <c r="MCM23"/>
      <c r="MCN23"/>
      <c r="MCO23"/>
      <c r="MCP23"/>
      <c r="MCQ23"/>
      <c r="MCR23"/>
      <c r="MCS23"/>
      <c r="MCT23"/>
      <c r="MCU23"/>
      <c r="MCV23"/>
      <c r="MCW23"/>
      <c r="MCX23"/>
      <c r="MCY23"/>
      <c r="MCZ23"/>
      <c r="MDA23"/>
      <c r="MDB23"/>
      <c r="MDC23"/>
      <c r="MDD23"/>
      <c r="MDE23"/>
      <c r="MDF23"/>
      <c r="MDG23"/>
      <c r="MDH23"/>
      <c r="MDI23"/>
      <c r="MDJ23"/>
      <c r="MDK23"/>
      <c r="MDL23"/>
      <c r="MDM23"/>
      <c r="MDN23"/>
      <c r="MDO23"/>
      <c r="MDP23"/>
      <c r="MDQ23"/>
      <c r="MDR23"/>
      <c r="MDS23"/>
      <c r="MDT23"/>
      <c r="MDU23"/>
      <c r="MDV23"/>
      <c r="MDW23"/>
      <c r="MDX23"/>
      <c r="MDY23"/>
      <c r="MDZ23"/>
      <c r="MEA23"/>
      <c r="MEB23"/>
      <c r="MEC23"/>
      <c r="MED23"/>
      <c r="MEE23"/>
      <c r="MEF23"/>
      <c r="MEG23"/>
      <c r="MEH23"/>
      <c r="MEI23"/>
      <c r="MEJ23"/>
      <c r="MEK23"/>
      <c r="MEL23"/>
      <c r="MEM23"/>
      <c r="MEN23"/>
      <c r="MEO23"/>
      <c r="MEP23"/>
      <c r="MEQ23"/>
      <c r="MER23"/>
      <c r="MES23"/>
      <c r="MET23"/>
      <c r="MEU23"/>
      <c r="MEV23"/>
      <c r="MEW23"/>
      <c r="MEX23"/>
      <c r="MEY23"/>
      <c r="MEZ23"/>
      <c r="MFA23"/>
      <c r="MFB23"/>
      <c r="MFC23"/>
      <c r="MFD23"/>
      <c r="MFE23"/>
      <c r="MFF23"/>
      <c r="MFG23"/>
      <c r="MFH23"/>
      <c r="MFI23"/>
      <c r="MFJ23"/>
      <c r="MFK23"/>
      <c r="MFL23"/>
      <c r="MFM23"/>
      <c r="MFN23"/>
      <c r="MFO23"/>
      <c r="MFP23"/>
      <c r="MFQ23"/>
      <c r="MFR23"/>
      <c r="MFS23"/>
      <c r="MFT23"/>
      <c r="MFU23"/>
      <c r="MFV23"/>
      <c r="MFW23"/>
      <c r="MFX23"/>
      <c r="MFY23"/>
      <c r="MFZ23"/>
      <c r="MGA23"/>
      <c r="MGB23"/>
      <c r="MGC23"/>
      <c r="MGD23"/>
      <c r="MGE23"/>
      <c r="MGF23"/>
      <c r="MGG23"/>
      <c r="MGH23"/>
      <c r="MGI23"/>
      <c r="MGJ23"/>
      <c r="MGK23"/>
      <c r="MGL23"/>
      <c r="MGM23"/>
      <c r="MGN23"/>
      <c r="MGO23"/>
      <c r="MGP23"/>
      <c r="MGQ23"/>
      <c r="MGR23"/>
      <c r="MGS23"/>
      <c r="MGT23"/>
      <c r="MGU23"/>
      <c r="MGV23"/>
      <c r="MGW23"/>
      <c r="MGX23"/>
      <c r="MGY23"/>
      <c r="MGZ23"/>
      <c r="MHA23"/>
      <c r="MHB23"/>
      <c r="MHC23"/>
      <c r="MHD23"/>
      <c r="MHE23"/>
      <c r="MHF23"/>
      <c r="MHG23"/>
      <c r="MHH23"/>
      <c r="MHI23"/>
      <c r="MHJ23"/>
      <c r="MHK23"/>
      <c r="MHL23"/>
      <c r="MHM23"/>
      <c r="MHN23"/>
      <c r="MHO23"/>
      <c r="MHP23"/>
      <c r="MHQ23"/>
      <c r="MHR23"/>
      <c r="MHS23"/>
      <c r="MHT23"/>
      <c r="MHU23"/>
      <c r="MHV23"/>
      <c r="MHW23"/>
      <c r="MHX23"/>
      <c r="MHY23"/>
      <c r="MHZ23"/>
      <c r="MIA23"/>
      <c r="MIB23"/>
      <c r="MIC23"/>
      <c r="MID23"/>
      <c r="MIE23"/>
      <c r="MIF23"/>
      <c r="MIG23"/>
      <c r="MIH23"/>
      <c r="MII23"/>
      <c r="MIJ23"/>
      <c r="MIK23"/>
      <c r="MIL23"/>
      <c r="MIM23"/>
      <c r="MIN23"/>
      <c r="MIO23"/>
      <c r="MIP23"/>
      <c r="MIQ23"/>
      <c r="MIR23"/>
      <c r="MIS23"/>
      <c r="MIT23"/>
      <c r="MIU23"/>
      <c r="MIV23"/>
      <c r="MIW23"/>
      <c r="MIX23"/>
      <c r="MIY23"/>
      <c r="MIZ23"/>
      <c r="MJA23"/>
      <c r="MJB23"/>
      <c r="MJC23"/>
      <c r="MJD23"/>
      <c r="MJE23"/>
      <c r="MJF23"/>
      <c r="MJG23"/>
      <c r="MJH23"/>
      <c r="MJI23"/>
      <c r="MJJ23"/>
      <c r="MJK23"/>
      <c r="MJL23"/>
      <c r="MJM23"/>
      <c r="MJN23"/>
      <c r="MJO23"/>
      <c r="MJP23"/>
      <c r="MJQ23"/>
      <c r="MJR23"/>
      <c r="MJS23"/>
      <c r="MJT23"/>
      <c r="MJU23"/>
      <c r="MJV23"/>
      <c r="MJW23"/>
      <c r="MJX23"/>
      <c r="MJY23"/>
      <c r="MJZ23"/>
      <c r="MKA23"/>
      <c r="MKB23"/>
      <c r="MKC23"/>
      <c r="MKD23"/>
      <c r="MKE23"/>
      <c r="MKF23"/>
      <c r="MKG23"/>
      <c r="MKH23"/>
      <c r="MKI23"/>
      <c r="MKJ23"/>
      <c r="MKK23"/>
      <c r="MKL23"/>
      <c r="MKM23"/>
      <c r="MKN23"/>
      <c r="MKO23"/>
      <c r="MKP23"/>
      <c r="MKQ23"/>
      <c r="MKR23"/>
      <c r="MKS23"/>
      <c r="MKT23"/>
      <c r="MKU23"/>
      <c r="MKV23"/>
      <c r="MKW23"/>
      <c r="MKX23"/>
      <c r="MKY23"/>
      <c r="MKZ23"/>
      <c r="MLA23"/>
      <c r="MLB23"/>
      <c r="MLC23"/>
      <c r="MLD23"/>
      <c r="MLE23"/>
      <c r="MLF23"/>
      <c r="MLG23"/>
      <c r="MLH23"/>
      <c r="MLI23"/>
      <c r="MLJ23"/>
      <c r="MLK23"/>
      <c r="MLL23"/>
      <c r="MLM23"/>
      <c r="MLN23"/>
      <c r="MLO23"/>
      <c r="MLP23"/>
      <c r="MLQ23"/>
      <c r="MLR23"/>
      <c r="MLS23"/>
      <c r="MLT23"/>
      <c r="MLU23"/>
      <c r="MLV23"/>
      <c r="MLW23"/>
      <c r="MLX23"/>
      <c r="MLY23"/>
      <c r="MLZ23"/>
      <c r="MMA23"/>
      <c r="MMB23"/>
      <c r="MMC23"/>
      <c r="MMD23"/>
      <c r="MME23"/>
      <c r="MMF23"/>
      <c r="MMG23"/>
      <c r="MMH23"/>
      <c r="MMI23"/>
      <c r="MMJ23"/>
      <c r="MMK23"/>
      <c r="MML23"/>
      <c r="MMM23"/>
      <c r="MMN23"/>
      <c r="MMO23"/>
      <c r="MMP23"/>
      <c r="MMQ23"/>
      <c r="MMR23"/>
      <c r="MMS23"/>
      <c r="MMT23"/>
      <c r="MMU23"/>
      <c r="MMV23"/>
      <c r="MMW23"/>
      <c r="MMX23"/>
      <c r="MMY23"/>
      <c r="MMZ23"/>
      <c r="MNA23"/>
      <c r="MNB23"/>
      <c r="MNC23"/>
      <c r="MND23"/>
      <c r="MNE23"/>
      <c r="MNF23"/>
      <c r="MNG23"/>
      <c r="MNH23"/>
      <c r="MNI23"/>
      <c r="MNJ23"/>
      <c r="MNK23"/>
      <c r="MNL23"/>
      <c r="MNM23"/>
      <c r="MNN23"/>
      <c r="MNO23"/>
      <c r="MNP23"/>
      <c r="MNQ23"/>
      <c r="MNR23"/>
      <c r="MNS23"/>
      <c r="MNT23"/>
      <c r="MNU23"/>
      <c r="MNV23"/>
      <c r="MNW23"/>
      <c r="MNX23"/>
      <c r="MNY23"/>
      <c r="MNZ23"/>
      <c r="MOA23"/>
      <c r="MOB23"/>
      <c r="MOC23"/>
      <c r="MOD23"/>
      <c r="MOE23"/>
      <c r="MOF23"/>
      <c r="MOG23"/>
      <c r="MOH23"/>
      <c r="MOI23"/>
      <c r="MOJ23"/>
      <c r="MOK23"/>
      <c r="MOL23"/>
      <c r="MOM23"/>
      <c r="MON23"/>
      <c r="MOO23"/>
      <c r="MOP23"/>
      <c r="MOQ23"/>
      <c r="MOR23"/>
      <c r="MOS23"/>
      <c r="MOT23"/>
      <c r="MOU23"/>
      <c r="MOV23"/>
      <c r="MOW23"/>
      <c r="MOX23"/>
      <c r="MOY23"/>
      <c r="MOZ23"/>
      <c r="MPA23"/>
      <c r="MPB23"/>
      <c r="MPC23"/>
      <c r="MPD23"/>
      <c r="MPE23"/>
      <c r="MPF23"/>
      <c r="MPG23"/>
      <c r="MPH23"/>
      <c r="MPI23"/>
      <c r="MPJ23"/>
      <c r="MPK23"/>
      <c r="MPL23"/>
      <c r="MPM23"/>
      <c r="MPN23"/>
      <c r="MPO23"/>
      <c r="MPP23"/>
      <c r="MPQ23"/>
      <c r="MPR23"/>
      <c r="MPS23"/>
      <c r="MPT23"/>
      <c r="MPU23"/>
      <c r="MPV23"/>
      <c r="MPW23"/>
      <c r="MPX23"/>
      <c r="MPY23"/>
      <c r="MPZ23"/>
      <c r="MQA23"/>
      <c r="MQB23"/>
      <c r="MQC23"/>
      <c r="MQD23"/>
      <c r="MQE23"/>
      <c r="MQF23"/>
      <c r="MQG23"/>
      <c r="MQH23"/>
      <c r="MQI23"/>
      <c r="MQJ23"/>
      <c r="MQK23"/>
      <c r="MQL23"/>
      <c r="MQM23"/>
      <c r="MQN23"/>
      <c r="MQO23"/>
      <c r="MQP23"/>
      <c r="MQQ23"/>
      <c r="MQR23"/>
      <c r="MQS23"/>
      <c r="MQT23"/>
      <c r="MQU23"/>
      <c r="MQV23"/>
      <c r="MQW23"/>
      <c r="MQX23"/>
      <c r="MQY23"/>
      <c r="MQZ23"/>
      <c r="MRA23"/>
      <c r="MRB23"/>
      <c r="MRC23"/>
      <c r="MRD23"/>
      <c r="MRE23"/>
      <c r="MRF23"/>
      <c r="MRG23"/>
      <c r="MRH23"/>
      <c r="MRI23"/>
      <c r="MRJ23"/>
      <c r="MRK23"/>
      <c r="MRL23"/>
      <c r="MRM23"/>
      <c r="MRN23"/>
      <c r="MRO23"/>
      <c r="MRP23"/>
      <c r="MRQ23"/>
      <c r="MRR23"/>
      <c r="MRS23"/>
      <c r="MRT23"/>
      <c r="MRU23"/>
      <c r="MRV23"/>
      <c r="MRW23"/>
      <c r="MRX23"/>
      <c r="MRY23"/>
      <c r="MRZ23"/>
      <c r="MSA23"/>
      <c r="MSB23"/>
      <c r="MSC23"/>
      <c r="MSD23"/>
      <c r="MSE23"/>
      <c r="MSF23"/>
      <c r="MSG23"/>
      <c r="MSH23"/>
      <c r="MSI23"/>
      <c r="MSJ23"/>
      <c r="MSK23"/>
      <c r="MSL23"/>
      <c r="MSM23"/>
      <c r="MSN23"/>
      <c r="MSO23"/>
      <c r="MSP23"/>
      <c r="MSQ23"/>
      <c r="MSR23"/>
      <c r="MSS23"/>
      <c r="MST23"/>
      <c r="MSU23"/>
      <c r="MSV23"/>
      <c r="MSW23"/>
      <c r="MSX23"/>
      <c r="MSY23"/>
      <c r="MSZ23"/>
      <c r="MTA23"/>
      <c r="MTB23"/>
      <c r="MTC23"/>
      <c r="MTD23"/>
      <c r="MTE23"/>
      <c r="MTF23"/>
      <c r="MTG23"/>
      <c r="MTH23"/>
      <c r="MTI23"/>
      <c r="MTJ23"/>
      <c r="MTK23"/>
      <c r="MTL23"/>
      <c r="MTM23"/>
      <c r="MTN23"/>
      <c r="MTO23"/>
      <c r="MTP23"/>
      <c r="MTQ23"/>
      <c r="MTR23"/>
      <c r="MTS23"/>
      <c r="MTT23"/>
      <c r="MTU23"/>
      <c r="MTV23"/>
      <c r="MTW23"/>
      <c r="MTX23"/>
      <c r="MTY23"/>
      <c r="MTZ23"/>
      <c r="MUA23"/>
      <c r="MUB23"/>
      <c r="MUC23"/>
      <c r="MUD23"/>
      <c r="MUE23"/>
      <c r="MUF23"/>
      <c r="MUG23"/>
      <c r="MUH23"/>
      <c r="MUI23"/>
      <c r="MUJ23"/>
      <c r="MUK23"/>
      <c r="MUL23"/>
      <c r="MUM23"/>
      <c r="MUN23"/>
      <c r="MUO23"/>
      <c r="MUP23"/>
      <c r="MUQ23"/>
      <c r="MUR23"/>
      <c r="MUS23"/>
      <c r="MUT23"/>
      <c r="MUU23"/>
      <c r="MUV23"/>
      <c r="MUW23"/>
      <c r="MUX23"/>
      <c r="MUY23"/>
      <c r="MUZ23"/>
      <c r="MVA23"/>
      <c r="MVB23"/>
      <c r="MVC23"/>
      <c r="MVD23"/>
      <c r="MVE23"/>
      <c r="MVF23"/>
      <c r="MVG23"/>
      <c r="MVH23"/>
      <c r="MVI23"/>
      <c r="MVJ23"/>
      <c r="MVK23"/>
      <c r="MVL23"/>
      <c r="MVM23"/>
      <c r="MVN23"/>
      <c r="MVO23"/>
      <c r="MVP23"/>
      <c r="MVQ23"/>
      <c r="MVR23"/>
      <c r="MVS23"/>
      <c r="MVT23"/>
      <c r="MVU23"/>
      <c r="MVV23"/>
      <c r="MVW23"/>
      <c r="MVX23"/>
      <c r="MVY23"/>
      <c r="MVZ23"/>
      <c r="MWA23"/>
      <c r="MWB23"/>
      <c r="MWC23"/>
      <c r="MWD23"/>
      <c r="MWE23"/>
      <c r="MWF23"/>
      <c r="MWG23"/>
      <c r="MWH23"/>
      <c r="MWI23"/>
      <c r="MWJ23"/>
      <c r="MWK23"/>
      <c r="MWL23"/>
      <c r="MWM23"/>
      <c r="MWN23"/>
      <c r="MWO23"/>
      <c r="MWP23"/>
      <c r="MWQ23"/>
      <c r="MWR23"/>
      <c r="MWS23"/>
      <c r="MWT23"/>
      <c r="MWU23"/>
      <c r="MWV23"/>
      <c r="MWW23"/>
      <c r="MWX23"/>
      <c r="MWY23"/>
      <c r="MWZ23"/>
      <c r="MXA23"/>
      <c r="MXB23"/>
      <c r="MXC23"/>
      <c r="MXD23"/>
      <c r="MXE23"/>
      <c r="MXF23"/>
      <c r="MXG23"/>
      <c r="MXH23"/>
      <c r="MXI23"/>
      <c r="MXJ23"/>
      <c r="MXK23"/>
      <c r="MXL23"/>
      <c r="MXM23"/>
      <c r="MXN23"/>
      <c r="MXO23"/>
      <c r="MXP23"/>
      <c r="MXQ23"/>
      <c r="MXR23"/>
      <c r="MXS23"/>
      <c r="MXT23"/>
      <c r="MXU23"/>
      <c r="MXV23"/>
      <c r="MXW23"/>
      <c r="MXX23"/>
      <c r="MXY23"/>
      <c r="MXZ23"/>
      <c r="MYA23"/>
      <c r="MYB23"/>
      <c r="MYC23"/>
      <c r="MYD23"/>
      <c r="MYE23"/>
      <c r="MYF23"/>
      <c r="MYG23"/>
      <c r="MYH23"/>
      <c r="MYI23"/>
      <c r="MYJ23"/>
      <c r="MYK23"/>
      <c r="MYL23"/>
      <c r="MYM23"/>
      <c r="MYN23"/>
      <c r="MYO23"/>
      <c r="MYP23"/>
      <c r="MYQ23"/>
      <c r="MYR23"/>
      <c r="MYS23"/>
      <c r="MYT23"/>
      <c r="MYU23"/>
      <c r="MYV23"/>
      <c r="MYW23"/>
      <c r="MYX23"/>
      <c r="MYY23"/>
      <c r="MYZ23"/>
      <c r="MZA23"/>
      <c r="MZB23"/>
      <c r="MZC23"/>
      <c r="MZD23"/>
      <c r="MZE23"/>
      <c r="MZF23"/>
      <c r="MZG23"/>
      <c r="MZH23"/>
      <c r="MZI23"/>
      <c r="MZJ23"/>
      <c r="MZK23"/>
      <c r="MZL23"/>
      <c r="MZM23"/>
      <c r="MZN23"/>
      <c r="MZO23"/>
      <c r="MZP23"/>
      <c r="MZQ23"/>
      <c r="MZR23"/>
      <c r="MZS23"/>
      <c r="MZT23"/>
      <c r="MZU23"/>
      <c r="MZV23"/>
      <c r="MZW23"/>
      <c r="MZX23"/>
      <c r="MZY23"/>
      <c r="MZZ23"/>
      <c r="NAA23"/>
      <c r="NAB23"/>
      <c r="NAC23"/>
      <c r="NAD23"/>
      <c r="NAE23"/>
      <c r="NAF23"/>
      <c r="NAG23"/>
      <c r="NAH23"/>
      <c r="NAI23"/>
      <c r="NAJ23"/>
      <c r="NAK23"/>
      <c r="NAL23"/>
      <c r="NAM23"/>
      <c r="NAN23"/>
      <c r="NAO23"/>
      <c r="NAP23"/>
      <c r="NAQ23"/>
      <c r="NAR23"/>
      <c r="NAS23"/>
      <c r="NAT23"/>
      <c r="NAU23"/>
      <c r="NAV23"/>
      <c r="NAW23"/>
      <c r="NAX23"/>
      <c r="NAY23"/>
      <c r="NAZ23"/>
      <c r="NBA23"/>
      <c r="NBB23"/>
      <c r="NBC23"/>
      <c r="NBD23"/>
      <c r="NBE23"/>
      <c r="NBF23"/>
      <c r="NBG23"/>
      <c r="NBH23"/>
      <c r="NBI23"/>
      <c r="NBJ23"/>
      <c r="NBK23"/>
      <c r="NBL23"/>
      <c r="NBM23"/>
      <c r="NBN23"/>
      <c r="NBO23"/>
      <c r="NBP23"/>
      <c r="NBQ23"/>
      <c r="NBR23"/>
      <c r="NBS23"/>
      <c r="NBT23"/>
      <c r="NBU23"/>
      <c r="NBV23"/>
      <c r="NBW23"/>
      <c r="NBX23"/>
      <c r="NBY23"/>
      <c r="NBZ23"/>
      <c r="NCA23"/>
      <c r="NCB23"/>
      <c r="NCC23"/>
      <c r="NCD23"/>
      <c r="NCE23"/>
      <c r="NCF23"/>
      <c r="NCG23"/>
      <c r="NCH23"/>
      <c r="NCI23"/>
      <c r="NCJ23"/>
      <c r="NCK23"/>
      <c r="NCL23"/>
      <c r="NCM23"/>
      <c r="NCN23"/>
      <c r="NCO23"/>
      <c r="NCP23"/>
      <c r="NCQ23"/>
      <c r="NCR23"/>
      <c r="NCS23"/>
      <c r="NCT23"/>
      <c r="NCU23"/>
      <c r="NCV23"/>
      <c r="NCW23"/>
      <c r="NCX23"/>
      <c r="NCY23"/>
      <c r="NCZ23"/>
      <c r="NDA23"/>
      <c r="NDB23"/>
      <c r="NDC23"/>
      <c r="NDD23"/>
      <c r="NDE23"/>
      <c r="NDF23"/>
      <c r="NDG23"/>
      <c r="NDH23"/>
      <c r="NDI23"/>
      <c r="NDJ23"/>
      <c r="NDK23"/>
      <c r="NDL23"/>
      <c r="NDM23"/>
      <c r="NDN23"/>
      <c r="NDO23"/>
      <c r="NDP23"/>
      <c r="NDQ23"/>
      <c r="NDR23"/>
      <c r="NDS23"/>
      <c r="NDT23"/>
      <c r="NDU23"/>
      <c r="NDV23"/>
      <c r="NDW23"/>
      <c r="NDX23"/>
      <c r="NDY23"/>
      <c r="NDZ23"/>
      <c r="NEA23"/>
      <c r="NEB23"/>
      <c r="NEC23"/>
      <c r="NED23"/>
      <c r="NEE23"/>
      <c r="NEF23"/>
      <c r="NEG23"/>
      <c r="NEH23"/>
      <c r="NEI23"/>
      <c r="NEJ23"/>
      <c r="NEK23"/>
      <c r="NEL23"/>
      <c r="NEM23"/>
      <c r="NEN23"/>
      <c r="NEO23"/>
      <c r="NEP23"/>
      <c r="NEQ23"/>
      <c r="NER23"/>
      <c r="NES23"/>
      <c r="NET23"/>
      <c r="NEU23"/>
      <c r="NEV23"/>
      <c r="NEW23"/>
      <c r="NEX23"/>
      <c r="NEY23"/>
      <c r="NEZ23"/>
      <c r="NFA23"/>
      <c r="NFB23"/>
      <c r="NFC23"/>
      <c r="NFD23"/>
      <c r="NFE23"/>
      <c r="NFF23"/>
      <c r="NFG23"/>
      <c r="NFH23"/>
      <c r="NFI23"/>
      <c r="NFJ23"/>
      <c r="NFK23"/>
      <c r="NFL23"/>
      <c r="NFM23"/>
      <c r="NFN23"/>
      <c r="NFO23"/>
      <c r="NFP23"/>
      <c r="NFQ23"/>
      <c r="NFR23"/>
      <c r="NFS23"/>
      <c r="NFT23"/>
      <c r="NFU23"/>
      <c r="NFV23"/>
      <c r="NFW23"/>
      <c r="NFX23"/>
      <c r="NFY23"/>
      <c r="NFZ23"/>
      <c r="NGA23"/>
      <c r="NGB23"/>
      <c r="NGC23"/>
      <c r="NGD23"/>
      <c r="NGE23"/>
      <c r="NGF23"/>
      <c r="NGG23"/>
      <c r="NGH23"/>
      <c r="NGI23"/>
      <c r="NGJ23"/>
      <c r="NGK23"/>
      <c r="NGL23"/>
      <c r="NGM23"/>
      <c r="NGN23"/>
      <c r="NGO23"/>
      <c r="NGP23"/>
      <c r="NGQ23"/>
      <c r="NGR23"/>
      <c r="NGS23"/>
      <c r="NGT23"/>
      <c r="NGU23"/>
      <c r="NGV23"/>
      <c r="NGW23"/>
      <c r="NGX23"/>
      <c r="NGY23"/>
      <c r="NGZ23"/>
      <c r="NHA23"/>
      <c r="NHB23"/>
      <c r="NHC23"/>
      <c r="NHD23"/>
      <c r="NHE23"/>
      <c r="NHF23"/>
      <c r="NHG23"/>
      <c r="NHH23"/>
      <c r="NHI23"/>
      <c r="NHJ23"/>
      <c r="NHK23"/>
      <c r="NHL23"/>
      <c r="NHM23"/>
      <c r="NHN23"/>
      <c r="NHO23"/>
      <c r="NHP23"/>
      <c r="NHQ23"/>
      <c r="NHR23"/>
      <c r="NHS23"/>
      <c r="NHT23"/>
      <c r="NHU23"/>
      <c r="NHV23"/>
      <c r="NHW23"/>
      <c r="NHX23"/>
      <c r="NHY23"/>
      <c r="NHZ23"/>
      <c r="NIA23"/>
      <c r="NIB23"/>
      <c r="NIC23"/>
      <c r="NID23"/>
      <c r="NIE23"/>
      <c r="NIF23"/>
      <c r="NIG23"/>
      <c r="NIH23"/>
      <c r="NII23"/>
      <c r="NIJ23"/>
      <c r="NIK23"/>
      <c r="NIL23"/>
      <c r="NIM23"/>
      <c r="NIN23"/>
      <c r="NIO23"/>
      <c r="NIP23"/>
      <c r="NIQ23"/>
      <c r="NIR23"/>
      <c r="NIS23"/>
      <c r="NIT23"/>
      <c r="NIU23"/>
      <c r="NIV23"/>
      <c r="NIW23"/>
      <c r="NIX23"/>
      <c r="NIY23"/>
      <c r="NIZ23"/>
      <c r="NJA23"/>
      <c r="NJB23"/>
      <c r="NJC23"/>
      <c r="NJD23"/>
      <c r="NJE23"/>
      <c r="NJF23"/>
      <c r="NJG23"/>
      <c r="NJH23"/>
      <c r="NJI23"/>
      <c r="NJJ23"/>
      <c r="NJK23"/>
      <c r="NJL23"/>
      <c r="NJM23"/>
      <c r="NJN23"/>
      <c r="NJO23"/>
      <c r="NJP23"/>
      <c r="NJQ23"/>
      <c r="NJR23"/>
      <c r="NJS23"/>
      <c r="NJT23"/>
      <c r="NJU23"/>
      <c r="NJV23"/>
      <c r="NJW23"/>
      <c r="NJX23"/>
      <c r="NJY23"/>
      <c r="NJZ23"/>
      <c r="NKA23"/>
      <c r="NKB23"/>
      <c r="NKC23"/>
      <c r="NKD23"/>
      <c r="NKE23"/>
      <c r="NKF23"/>
      <c r="NKG23"/>
      <c r="NKH23"/>
      <c r="NKI23"/>
      <c r="NKJ23"/>
      <c r="NKK23"/>
      <c r="NKL23"/>
      <c r="NKM23"/>
      <c r="NKN23"/>
      <c r="NKO23"/>
      <c r="NKP23"/>
      <c r="NKQ23"/>
      <c r="NKR23"/>
      <c r="NKS23"/>
      <c r="NKT23"/>
      <c r="NKU23"/>
      <c r="NKV23"/>
      <c r="NKW23"/>
      <c r="NKX23"/>
      <c r="NKY23"/>
      <c r="NKZ23"/>
      <c r="NLA23"/>
      <c r="NLB23"/>
      <c r="NLC23"/>
      <c r="NLD23"/>
      <c r="NLE23"/>
      <c r="NLF23"/>
      <c r="NLG23"/>
      <c r="NLH23"/>
      <c r="NLI23"/>
      <c r="NLJ23"/>
      <c r="NLK23"/>
      <c r="NLL23"/>
      <c r="NLM23"/>
      <c r="NLN23"/>
      <c r="NLO23"/>
      <c r="NLP23"/>
      <c r="NLQ23"/>
      <c r="NLR23"/>
      <c r="NLS23"/>
      <c r="NLT23"/>
      <c r="NLU23"/>
      <c r="NLV23"/>
      <c r="NLW23"/>
      <c r="NLX23"/>
      <c r="NLY23"/>
      <c r="NLZ23"/>
      <c r="NMA23"/>
      <c r="NMB23"/>
      <c r="NMC23"/>
      <c r="NMD23"/>
      <c r="NME23"/>
      <c r="NMF23"/>
      <c r="NMG23"/>
      <c r="NMH23"/>
      <c r="NMI23"/>
      <c r="NMJ23"/>
      <c r="NMK23"/>
      <c r="NML23"/>
      <c r="NMM23"/>
      <c r="NMN23"/>
      <c r="NMO23"/>
      <c r="NMP23"/>
      <c r="NMQ23"/>
      <c r="NMR23"/>
      <c r="NMS23"/>
      <c r="NMT23"/>
      <c r="NMU23"/>
      <c r="NMV23"/>
      <c r="NMW23"/>
      <c r="NMX23"/>
      <c r="NMY23"/>
      <c r="NMZ23"/>
      <c r="NNA23"/>
      <c r="NNB23"/>
      <c r="NNC23"/>
      <c r="NND23"/>
      <c r="NNE23"/>
      <c r="NNF23"/>
      <c r="NNG23"/>
      <c r="NNH23"/>
      <c r="NNI23"/>
      <c r="NNJ23"/>
      <c r="NNK23"/>
      <c r="NNL23"/>
      <c r="NNM23"/>
      <c r="NNN23"/>
      <c r="NNO23"/>
      <c r="NNP23"/>
      <c r="NNQ23"/>
      <c r="NNR23"/>
      <c r="NNS23"/>
      <c r="NNT23"/>
      <c r="NNU23"/>
      <c r="NNV23"/>
      <c r="NNW23"/>
      <c r="NNX23"/>
      <c r="NNY23"/>
      <c r="NNZ23"/>
      <c r="NOA23"/>
      <c r="NOB23"/>
      <c r="NOC23"/>
      <c r="NOD23"/>
      <c r="NOE23"/>
      <c r="NOF23"/>
      <c r="NOG23"/>
      <c r="NOH23"/>
      <c r="NOI23"/>
      <c r="NOJ23"/>
      <c r="NOK23"/>
      <c r="NOL23"/>
      <c r="NOM23"/>
      <c r="NON23"/>
      <c r="NOO23"/>
      <c r="NOP23"/>
      <c r="NOQ23"/>
      <c r="NOR23"/>
      <c r="NOS23"/>
      <c r="NOT23"/>
      <c r="NOU23"/>
      <c r="NOV23"/>
      <c r="NOW23"/>
      <c r="NOX23"/>
      <c r="NOY23"/>
      <c r="NOZ23"/>
      <c r="NPA23"/>
      <c r="NPB23"/>
      <c r="NPC23"/>
      <c r="NPD23"/>
      <c r="NPE23"/>
      <c r="NPF23"/>
      <c r="NPG23"/>
      <c r="NPH23"/>
      <c r="NPI23"/>
      <c r="NPJ23"/>
      <c r="NPK23"/>
      <c r="NPL23"/>
      <c r="NPM23"/>
      <c r="NPN23"/>
      <c r="NPO23"/>
      <c r="NPP23"/>
      <c r="NPQ23"/>
      <c r="NPR23"/>
      <c r="NPS23"/>
      <c r="NPT23"/>
      <c r="NPU23"/>
      <c r="NPV23"/>
      <c r="NPW23"/>
      <c r="NPX23"/>
      <c r="NPY23"/>
      <c r="NPZ23"/>
      <c r="NQA23"/>
      <c r="NQB23"/>
      <c r="NQC23"/>
      <c r="NQD23"/>
      <c r="NQE23"/>
      <c r="NQF23"/>
      <c r="NQG23"/>
      <c r="NQH23"/>
      <c r="NQI23"/>
      <c r="NQJ23"/>
      <c r="NQK23"/>
      <c r="NQL23"/>
      <c r="NQM23"/>
      <c r="NQN23"/>
      <c r="NQO23"/>
      <c r="NQP23"/>
      <c r="NQQ23"/>
      <c r="NQR23"/>
      <c r="NQS23"/>
      <c r="NQT23"/>
      <c r="NQU23"/>
      <c r="NQV23"/>
      <c r="NQW23"/>
      <c r="NQX23"/>
      <c r="NQY23"/>
      <c r="NQZ23"/>
      <c r="NRA23"/>
      <c r="NRB23"/>
      <c r="NRC23"/>
      <c r="NRD23"/>
      <c r="NRE23"/>
      <c r="NRF23"/>
      <c r="NRG23"/>
      <c r="NRH23"/>
      <c r="NRI23"/>
      <c r="NRJ23"/>
      <c r="NRK23"/>
      <c r="NRL23"/>
      <c r="NRM23"/>
      <c r="NRN23"/>
      <c r="NRO23"/>
      <c r="NRP23"/>
      <c r="NRQ23"/>
      <c r="NRR23"/>
      <c r="NRS23"/>
      <c r="NRT23"/>
      <c r="NRU23"/>
      <c r="NRV23"/>
      <c r="NRW23"/>
      <c r="NRX23"/>
      <c r="NRY23"/>
      <c r="NRZ23"/>
      <c r="NSA23"/>
      <c r="NSB23"/>
      <c r="NSC23"/>
      <c r="NSD23"/>
      <c r="NSE23"/>
      <c r="NSF23"/>
      <c r="NSG23"/>
      <c r="NSH23"/>
      <c r="NSI23"/>
      <c r="NSJ23"/>
      <c r="NSK23"/>
      <c r="NSL23"/>
      <c r="NSM23"/>
      <c r="NSN23"/>
      <c r="NSO23"/>
      <c r="NSP23"/>
      <c r="NSQ23"/>
      <c r="NSR23"/>
      <c r="NSS23"/>
      <c r="NST23"/>
      <c r="NSU23"/>
      <c r="NSV23"/>
      <c r="NSW23"/>
      <c r="NSX23"/>
      <c r="NSY23"/>
      <c r="NSZ23"/>
      <c r="NTA23"/>
      <c r="NTB23"/>
      <c r="NTC23"/>
      <c r="NTD23"/>
      <c r="NTE23"/>
      <c r="NTF23"/>
      <c r="NTG23"/>
      <c r="NTH23"/>
      <c r="NTI23"/>
      <c r="NTJ23"/>
      <c r="NTK23"/>
      <c r="NTL23"/>
      <c r="NTM23"/>
      <c r="NTN23"/>
      <c r="NTO23"/>
      <c r="NTP23"/>
      <c r="NTQ23"/>
      <c r="NTR23"/>
      <c r="NTS23"/>
      <c r="NTT23"/>
      <c r="NTU23"/>
      <c r="NTV23"/>
      <c r="NTW23"/>
      <c r="NTX23"/>
      <c r="NTY23"/>
      <c r="NTZ23"/>
      <c r="NUA23"/>
      <c r="NUB23"/>
      <c r="NUC23"/>
      <c r="NUD23"/>
      <c r="NUE23"/>
      <c r="NUF23"/>
      <c r="NUG23"/>
      <c r="NUH23"/>
      <c r="NUI23"/>
      <c r="NUJ23"/>
      <c r="NUK23"/>
      <c r="NUL23"/>
      <c r="NUM23"/>
      <c r="NUN23"/>
      <c r="NUO23"/>
      <c r="NUP23"/>
      <c r="NUQ23"/>
      <c r="NUR23"/>
      <c r="NUS23"/>
      <c r="NUT23"/>
      <c r="NUU23"/>
      <c r="NUV23"/>
      <c r="NUW23"/>
      <c r="NUX23"/>
      <c r="NUY23"/>
      <c r="NUZ23"/>
      <c r="NVA23"/>
      <c r="NVB23"/>
      <c r="NVC23"/>
      <c r="NVD23"/>
      <c r="NVE23"/>
      <c r="NVF23"/>
      <c r="NVG23"/>
      <c r="NVH23"/>
      <c r="NVI23"/>
      <c r="NVJ23"/>
      <c r="NVK23"/>
      <c r="NVL23"/>
      <c r="NVM23"/>
      <c r="NVN23"/>
      <c r="NVO23"/>
      <c r="NVP23"/>
      <c r="NVQ23"/>
      <c r="NVR23"/>
      <c r="NVS23"/>
      <c r="NVT23"/>
      <c r="NVU23"/>
      <c r="NVV23"/>
      <c r="NVW23"/>
      <c r="NVX23"/>
      <c r="NVY23"/>
      <c r="NVZ23"/>
      <c r="NWA23"/>
      <c r="NWB23"/>
      <c r="NWC23"/>
      <c r="NWD23"/>
      <c r="NWE23"/>
      <c r="NWF23"/>
      <c r="NWG23"/>
      <c r="NWH23"/>
      <c r="NWI23"/>
      <c r="NWJ23"/>
      <c r="NWK23"/>
      <c r="NWL23"/>
      <c r="NWM23"/>
      <c r="NWN23"/>
      <c r="NWO23"/>
      <c r="NWP23"/>
      <c r="NWQ23"/>
      <c r="NWR23"/>
      <c r="NWS23"/>
      <c r="NWT23"/>
      <c r="NWU23"/>
      <c r="NWV23"/>
      <c r="NWW23"/>
      <c r="NWX23"/>
      <c r="NWY23"/>
      <c r="NWZ23"/>
      <c r="NXA23"/>
      <c r="NXB23"/>
      <c r="NXC23"/>
      <c r="NXD23"/>
      <c r="NXE23"/>
      <c r="NXF23"/>
      <c r="NXG23"/>
      <c r="NXH23"/>
      <c r="NXI23"/>
      <c r="NXJ23"/>
      <c r="NXK23"/>
      <c r="NXL23"/>
      <c r="NXM23"/>
      <c r="NXN23"/>
      <c r="NXO23"/>
      <c r="NXP23"/>
      <c r="NXQ23"/>
      <c r="NXR23"/>
      <c r="NXS23"/>
      <c r="NXT23"/>
      <c r="NXU23"/>
      <c r="NXV23"/>
      <c r="NXW23"/>
      <c r="NXX23"/>
      <c r="NXY23"/>
      <c r="NXZ23"/>
      <c r="NYA23"/>
      <c r="NYB23"/>
      <c r="NYC23"/>
      <c r="NYD23"/>
      <c r="NYE23"/>
      <c r="NYF23"/>
      <c r="NYG23"/>
      <c r="NYH23"/>
      <c r="NYI23"/>
      <c r="NYJ23"/>
      <c r="NYK23"/>
      <c r="NYL23"/>
      <c r="NYM23"/>
      <c r="NYN23"/>
      <c r="NYO23"/>
      <c r="NYP23"/>
      <c r="NYQ23"/>
      <c r="NYR23"/>
      <c r="NYS23"/>
      <c r="NYT23"/>
      <c r="NYU23"/>
      <c r="NYV23"/>
      <c r="NYW23"/>
      <c r="NYX23"/>
      <c r="NYY23"/>
      <c r="NYZ23"/>
      <c r="NZA23"/>
      <c r="NZB23"/>
      <c r="NZC23"/>
      <c r="NZD23"/>
      <c r="NZE23"/>
      <c r="NZF23"/>
      <c r="NZG23"/>
      <c r="NZH23"/>
      <c r="NZI23"/>
      <c r="NZJ23"/>
      <c r="NZK23"/>
      <c r="NZL23"/>
      <c r="NZM23"/>
      <c r="NZN23"/>
      <c r="NZO23"/>
      <c r="NZP23"/>
      <c r="NZQ23"/>
      <c r="NZR23"/>
      <c r="NZS23"/>
      <c r="NZT23"/>
      <c r="NZU23"/>
      <c r="NZV23"/>
      <c r="NZW23"/>
      <c r="NZX23"/>
      <c r="NZY23"/>
      <c r="NZZ23"/>
      <c r="OAA23"/>
      <c r="OAB23"/>
      <c r="OAC23"/>
      <c r="OAD23"/>
      <c r="OAE23"/>
      <c r="OAF23"/>
      <c r="OAG23"/>
      <c r="OAH23"/>
      <c r="OAI23"/>
      <c r="OAJ23"/>
      <c r="OAK23"/>
      <c r="OAL23"/>
      <c r="OAM23"/>
      <c r="OAN23"/>
      <c r="OAO23"/>
      <c r="OAP23"/>
      <c r="OAQ23"/>
      <c r="OAR23"/>
      <c r="OAS23"/>
      <c r="OAT23"/>
      <c r="OAU23"/>
      <c r="OAV23"/>
      <c r="OAW23"/>
      <c r="OAX23"/>
      <c r="OAY23"/>
      <c r="OAZ23"/>
      <c r="OBA23"/>
      <c r="OBB23"/>
      <c r="OBC23"/>
      <c r="OBD23"/>
      <c r="OBE23"/>
      <c r="OBF23"/>
      <c r="OBG23"/>
      <c r="OBH23"/>
      <c r="OBI23"/>
      <c r="OBJ23"/>
      <c r="OBK23"/>
      <c r="OBL23"/>
      <c r="OBM23"/>
      <c r="OBN23"/>
      <c r="OBO23"/>
      <c r="OBP23"/>
      <c r="OBQ23"/>
      <c r="OBR23"/>
      <c r="OBS23"/>
      <c r="OBT23"/>
      <c r="OBU23"/>
      <c r="OBV23"/>
      <c r="OBW23"/>
      <c r="OBX23"/>
      <c r="OBY23"/>
      <c r="OBZ23"/>
      <c r="OCA23"/>
      <c r="OCB23"/>
      <c r="OCC23"/>
      <c r="OCD23"/>
      <c r="OCE23"/>
      <c r="OCF23"/>
      <c r="OCG23"/>
      <c r="OCH23"/>
      <c r="OCI23"/>
      <c r="OCJ23"/>
      <c r="OCK23"/>
      <c r="OCL23"/>
      <c r="OCM23"/>
      <c r="OCN23"/>
      <c r="OCO23"/>
      <c r="OCP23"/>
      <c r="OCQ23"/>
      <c r="OCR23"/>
      <c r="OCS23"/>
      <c r="OCT23"/>
      <c r="OCU23"/>
      <c r="OCV23"/>
      <c r="OCW23"/>
      <c r="OCX23"/>
      <c r="OCY23"/>
      <c r="OCZ23"/>
      <c r="ODA23"/>
      <c r="ODB23"/>
      <c r="ODC23"/>
      <c r="ODD23"/>
      <c r="ODE23"/>
      <c r="ODF23"/>
      <c r="ODG23"/>
      <c r="ODH23"/>
      <c r="ODI23"/>
      <c r="ODJ23"/>
      <c r="ODK23"/>
      <c r="ODL23"/>
      <c r="ODM23"/>
      <c r="ODN23"/>
      <c r="ODO23"/>
      <c r="ODP23"/>
      <c r="ODQ23"/>
      <c r="ODR23"/>
      <c r="ODS23"/>
      <c r="ODT23"/>
      <c r="ODU23"/>
      <c r="ODV23"/>
      <c r="ODW23"/>
      <c r="ODX23"/>
      <c r="ODY23"/>
      <c r="ODZ23"/>
      <c r="OEA23"/>
      <c r="OEB23"/>
      <c r="OEC23"/>
      <c r="OED23"/>
      <c r="OEE23"/>
      <c r="OEF23"/>
      <c r="OEG23"/>
      <c r="OEH23"/>
      <c r="OEI23"/>
      <c r="OEJ23"/>
      <c r="OEK23"/>
      <c r="OEL23"/>
      <c r="OEM23"/>
      <c r="OEN23"/>
      <c r="OEO23"/>
      <c r="OEP23"/>
      <c r="OEQ23"/>
      <c r="OER23"/>
      <c r="OES23"/>
      <c r="OET23"/>
      <c r="OEU23"/>
      <c r="OEV23"/>
      <c r="OEW23"/>
      <c r="OEX23"/>
      <c r="OEY23"/>
      <c r="OEZ23"/>
      <c r="OFA23"/>
      <c r="OFB23"/>
      <c r="OFC23"/>
      <c r="OFD23"/>
      <c r="OFE23"/>
      <c r="OFF23"/>
      <c r="OFG23"/>
      <c r="OFH23"/>
      <c r="OFI23"/>
      <c r="OFJ23"/>
      <c r="OFK23"/>
      <c r="OFL23"/>
      <c r="OFM23"/>
      <c r="OFN23"/>
      <c r="OFO23"/>
      <c r="OFP23"/>
      <c r="OFQ23"/>
      <c r="OFR23"/>
      <c r="OFS23"/>
      <c r="OFT23"/>
      <c r="OFU23"/>
      <c r="OFV23"/>
      <c r="OFW23"/>
      <c r="OFX23"/>
      <c r="OFY23"/>
      <c r="OFZ23"/>
      <c r="OGA23"/>
      <c r="OGB23"/>
      <c r="OGC23"/>
      <c r="OGD23"/>
      <c r="OGE23"/>
      <c r="OGF23"/>
      <c r="OGG23"/>
      <c r="OGH23"/>
      <c r="OGI23"/>
      <c r="OGJ23"/>
      <c r="OGK23"/>
      <c r="OGL23"/>
      <c r="OGM23"/>
      <c r="OGN23"/>
      <c r="OGO23"/>
      <c r="OGP23"/>
      <c r="OGQ23"/>
      <c r="OGR23"/>
      <c r="OGS23"/>
      <c r="OGT23"/>
      <c r="OGU23"/>
      <c r="OGV23"/>
      <c r="OGW23"/>
      <c r="OGX23"/>
      <c r="OGY23"/>
      <c r="OGZ23"/>
      <c r="OHA23"/>
      <c r="OHB23"/>
      <c r="OHC23"/>
      <c r="OHD23"/>
      <c r="OHE23"/>
      <c r="OHF23"/>
      <c r="OHG23"/>
      <c r="OHH23"/>
      <c r="OHI23"/>
      <c r="OHJ23"/>
      <c r="OHK23"/>
      <c r="OHL23"/>
      <c r="OHM23"/>
      <c r="OHN23"/>
      <c r="OHO23"/>
      <c r="OHP23"/>
      <c r="OHQ23"/>
      <c r="OHR23"/>
      <c r="OHS23"/>
      <c r="OHT23"/>
      <c r="OHU23"/>
      <c r="OHV23"/>
      <c r="OHW23"/>
      <c r="OHX23"/>
      <c r="OHY23"/>
      <c r="OHZ23"/>
      <c r="OIA23"/>
      <c r="OIB23"/>
      <c r="OIC23"/>
      <c r="OID23"/>
      <c r="OIE23"/>
      <c r="OIF23"/>
      <c r="OIG23"/>
      <c r="OIH23"/>
      <c r="OII23"/>
      <c r="OIJ23"/>
      <c r="OIK23"/>
      <c r="OIL23"/>
      <c r="OIM23"/>
      <c r="OIN23"/>
      <c r="OIO23"/>
      <c r="OIP23"/>
      <c r="OIQ23"/>
      <c r="OIR23"/>
      <c r="OIS23"/>
      <c r="OIT23"/>
      <c r="OIU23"/>
      <c r="OIV23"/>
      <c r="OIW23"/>
      <c r="OIX23"/>
      <c r="OIY23"/>
      <c r="OIZ23"/>
      <c r="OJA23"/>
      <c r="OJB23"/>
      <c r="OJC23"/>
      <c r="OJD23"/>
      <c r="OJE23"/>
      <c r="OJF23"/>
      <c r="OJG23"/>
      <c r="OJH23"/>
      <c r="OJI23"/>
      <c r="OJJ23"/>
      <c r="OJK23"/>
      <c r="OJL23"/>
      <c r="OJM23"/>
      <c r="OJN23"/>
      <c r="OJO23"/>
      <c r="OJP23"/>
      <c r="OJQ23"/>
      <c r="OJR23"/>
      <c r="OJS23"/>
      <c r="OJT23"/>
      <c r="OJU23"/>
      <c r="OJV23"/>
      <c r="OJW23"/>
      <c r="OJX23"/>
      <c r="OJY23"/>
      <c r="OJZ23"/>
      <c r="OKA23"/>
      <c r="OKB23"/>
      <c r="OKC23"/>
      <c r="OKD23"/>
      <c r="OKE23"/>
      <c r="OKF23"/>
      <c r="OKG23"/>
      <c r="OKH23"/>
      <c r="OKI23"/>
      <c r="OKJ23"/>
      <c r="OKK23"/>
      <c r="OKL23"/>
      <c r="OKM23"/>
      <c r="OKN23"/>
      <c r="OKO23"/>
      <c r="OKP23"/>
      <c r="OKQ23"/>
      <c r="OKR23"/>
      <c r="OKS23"/>
      <c r="OKT23"/>
      <c r="OKU23"/>
      <c r="OKV23"/>
      <c r="OKW23"/>
      <c r="OKX23"/>
      <c r="OKY23"/>
      <c r="OKZ23"/>
      <c r="OLA23"/>
      <c r="OLB23"/>
      <c r="OLC23"/>
      <c r="OLD23"/>
      <c r="OLE23"/>
      <c r="OLF23"/>
      <c r="OLG23"/>
      <c r="OLH23"/>
      <c r="OLI23"/>
      <c r="OLJ23"/>
      <c r="OLK23"/>
      <c r="OLL23"/>
      <c r="OLM23"/>
      <c r="OLN23"/>
      <c r="OLO23"/>
      <c r="OLP23"/>
      <c r="OLQ23"/>
      <c r="OLR23"/>
      <c r="OLS23"/>
      <c r="OLT23"/>
      <c r="OLU23"/>
      <c r="OLV23"/>
      <c r="OLW23"/>
      <c r="OLX23"/>
      <c r="OLY23"/>
      <c r="OLZ23"/>
      <c r="OMA23"/>
      <c r="OMB23"/>
      <c r="OMC23"/>
      <c r="OMD23"/>
      <c r="OME23"/>
      <c r="OMF23"/>
      <c r="OMG23"/>
      <c r="OMH23"/>
      <c r="OMI23"/>
      <c r="OMJ23"/>
      <c r="OMK23"/>
      <c r="OML23"/>
      <c r="OMM23"/>
      <c r="OMN23"/>
      <c r="OMO23"/>
      <c r="OMP23"/>
      <c r="OMQ23"/>
      <c r="OMR23"/>
      <c r="OMS23"/>
      <c r="OMT23"/>
      <c r="OMU23"/>
      <c r="OMV23"/>
      <c r="OMW23"/>
      <c r="OMX23"/>
      <c r="OMY23"/>
      <c r="OMZ23"/>
      <c r="ONA23"/>
      <c r="ONB23"/>
      <c r="ONC23"/>
      <c r="OND23"/>
      <c r="ONE23"/>
      <c r="ONF23"/>
      <c r="ONG23"/>
      <c r="ONH23"/>
      <c r="ONI23"/>
      <c r="ONJ23"/>
      <c r="ONK23"/>
      <c r="ONL23"/>
      <c r="ONM23"/>
      <c r="ONN23"/>
      <c r="ONO23"/>
      <c r="ONP23"/>
      <c r="ONQ23"/>
      <c r="ONR23"/>
      <c r="ONS23"/>
      <c r="ONT23"/>
      <c r="ONU23"/>
      <c r="ONV23"/>
      <c r="ONW23"/>
      <c r="ONX23"/>
      <c r="ONY23"/>
      <c r="ONZ23"/>
      <c r="OOA23"/>
      <c r="OOB23"/>
      <c r="OOC23"/>
      <c r="OOD23"/>
      <c r="OOE23"/>
      <c r="OOF23"/>
      <c r="OOG23"/>
      <c r="OOH23"/>
      <c r="OOI23"/>
      <c r="OOJ23"/>
      <c r="OOK23"/>
      <c r="OOL23"/>
      <c r="OOM23"/>
      <c r="OON23"/>
      <c r="OOO23"/>
      <c r="OOP23"/>
      <c r="OOQ23"/>
      <c r="OOR23"/>
      <c r="OOS23"/>
      <c r="OOT23"/>
      <c r="OOU23"/>
      <c r="OOV23"/>
      <c r="OOW23"/>
      <c r="OOX23"/>
      <c r="OOY23"/>
      <c r="OOZ23"/>
      <c r="OPA23"/>
      <c r="OPB23"/>
      <c r="OPC23"/>
      <c r="OPD23"/>
      <c r="OPE23"/>
      <c r="OPF23"/>
      <c r="OPG23"/>
      <c r="OPH23"/>
      <c r="OPI23"/>
      <c r="OPJ23"/>
      <c r="OPK23"/>
      <c r="OPL23"/>
      <c r="OPM23"/>
      <c r="OPN23"/>
      <c r="OPO23"/>
      <c r="OPP23"/>
      <c r="OPQ23"/>
      <c r="OPR23"/>
      <c r="OPS23"/>
      <c r="OPT23"/>
      <c r="OPU23"/>
      <c r="OPV23"/>
      <c r="OPW23"/>
      <c r="OPX23"/>
      <c r="OPY23"/>
      <c r="OPZ23"/>
      <c r="OQA23"/>
      <c r="OQB23"/>
      <c r="OQC23"/>
      <c r="OQD23"/>
      <c r="OQE23"/>
      <c r="OQF23"/>
      <c r="OQG23"/>
      <c r="OQH23"/>
      <c r="OQI23"/>
      <c r="OQJ23"/>
      <c r="OQK23"/>
      <c r="OQL23"/>
      <c r="OQM23"/>
      <c r="OQN23"/>
      <c r="OQO23"/>
      <c r="OQP23"/>
      <c r="OQQ23"/>
      <c r="OQR23"/>
      <c r="OQS23"/>
      <c r="OQT23"/>
      <c r="OQU23"/>
      <c r="OQV23"/>
      <c r="OQW23"/>
      <c r="OQX23"/>
      <c r="OQY23"/>
      <c r="OQZ23"/>
      <c r="ORA23"/>
      <c r="ORB23"/>
      <c r="ORC23"/>
      <c r="ORD23"/>
      <c r="ORE23"/>
      <c r="ORF23"/>
      <c r="ORG23"/>
      <c r="ORH23"/>
      <c r="ORI23"/>
      <c r="ORJ23"/>
      <c r="ORK23"/>
      <c r="ORL23"/>
      <c r="ORM23"/>
      <c r="ORN23"/>
      <c r="ORO23"/>
      <c r="ORP23"/>
      <c r="ORQ23"/>
      <c r="ORR23"/>
      <c r="ORS23"/>
      <c r="ORT23"/>
      <c r="ORU23"/>
      <c r="ORV23"/>
      <c r="ORW23"/>
      <c r="ORX23"/>
      <c r="ORY23"/>
      <c r="ORZ23"/>
      <c r="OSA23"/>
      <c r="OSB23"/>
      <c r="OSC23"/>
      <c r="OSD23"/>
      <c r="OSE23"/>
      <c r="OSF23"/>
      <c r="OSG23"/>
      <c r="OSH23"/>
      <c r="OSI23"/>
      <c r="OSJ23"/>
      <c r="OSK23"/>
      <c r="OSL23"/>
      <c r="OSM23"/>
      <c r="OSN23"/>
      <c r="OSO23"/>
      <c r="OSP23"/>
      <c r="OSQ23"/>
      <c r="OSR23"/>
      <c r="OSS23"/>
      <c r="OST23"/>
      <c r="OSU23"/>
      <c r="OSV23"/>
      <c r="OSW23"/>
      <c r="OSX23"/>
      <c r="OSY23"/>
      <c r="OSZ23"/>
      <c r="OTA23"/>
      <c r="OTB23"/>
      <c r="OTC23"/>
      <c r="OTD23"/>
      <c r="OTE23"/>
      <c r="OTF23"/>
      <c r="OTG23"/>
      <c r="OTH23"/>
      <c r="OTI23"/>
      <c r="OTJ23"/>
      <c r="OTK23"/>
      <c r="OTL23"/>
      <c r="OTM23"/>
      <c r="OTN23"/>
      <c r="OTO23"/>
      <c r="OTP23"/>
      <c r="OTQ23"/>
      <c r="OTR23"/>
      <c r="OTS23"/>
      <c r="OTT23"/>
      <c r="OTU23"/>
      <c r="OTV23"/>
      <c r="OTW23"/>
      <c r="OTX23"/>
      <c r="OTY23"/>
      <c r="OTZ23"/>
      <c r="OUA23"/>
      <c r="OUB23"/>
      <c r="OUC23"/>
      <c r="OUD23"/>
      <c r="OUE23"/>
      <c r="OUF23"/>
      <c r="OUG23"/>
      <c r="OUH23"/>
      <c r="OUI23"/>
      <c r="OUJ23"/>
      <c r="OUK23"/>
      <c r="OUL23"/>
      <c r="OUM23"/>
      <c r="OUN23"/>
      <c r="OUO23"/>
      <c r="OUP23"/>
      <c r="OUQ23"/>
      <c r="OUR23"/>
      <c r="OUS23"/>
      <c r="OUT23"/>
      <c r="OUU23"/>
      <c r="OUV23"/>
      <c r="OUW23"/>
      <c r="OUX23"/>
      <c r="OUY23"/>
      <c r="OUZ23"/>
      <c r="OVA23"/>
      <c r="OVB23"/>
      <c r="OVC23"/>
      <c r="OVD23"/>
      <c r="OVE23"/>
      <c r="OVF23"/>
      <c r="OVG23"/>
      <c r="OVH23"/>
      <c r="OVI23"/>
      <c r="OVJ23"/>
      <c r="OVK23"/>
      <c r="OVL23"/>
      <c r="OVM23"/>
      <c r="OVN23"/>
      <c r="OVO23"/>
      <c r="OVP23"/>
      <c r="OVQ23"/>
      <c r="OVR23"/>
      <c r="OVS23"/>
      <c r="OVT23"/>
      <c r="OVU23"/>
      <c r="OVV23"/>
      <c r="OVW23"/>
      <c r="OVX23"/>
      <c r="OVY23"/>
      <c r="OVZ23"/>
      <c r="OWA23"/>
      <c r="OWB23"/>
      <c r="OWC23"/>
      <c r="OWD23"/>
      <c r="OWE23"/>
      <c r="OWF23"/>
      <c r="OWG23"/>
      <c r="OWH23"/>
      <c r="OWI23"/>
      <c r="OWJ23"/>
      <c r="OWK23"/>
      <c r="OWL23"/>
      <c r="OWM23"/>
      <c r="OWN23"/>
      <c r="OWO23"/>
      <c r="OWP23"/>
      <c r="OWQ23"/>
      <c r="OWR23"/>
      <c r="OWS23"/>
      <c r="OWT23"/>
      <c r="OWU23"/>
      <c r="OWV23"/>
      <c r="OWW23"/>
      <c r="OWX23"/>
      <c r="OWY23"/>
      <c r="OWZ23"/>
      <c r="OXA23"/>
      <c r="OXB23"/>
      <c r="OXC23"/>
      <c r="OXD23"/>
      <c r="OXE23"/>
      <c r="OXF23"/>
      <c r="OXG23"/>
      <c r="OXH23"/>
      <c r="OXI23"/>
      <c r="OXJ23"/>
      <c r="OXK23"/>
      <c r="OXL23"/>
      <c r="OXM23"/>
      <c r="OXN23"/>
      <c r="OXO23"/>
      <c r="OXP23"/>
      <c r="OXQ23"/>
      <c r="OXR23"/>
      <c r="OXS23"/>
      <c r="OXT23"/>
      <c r="OXU23"/>
      <c r="OXV23"/>
      <c r="OXW23"/>
      <c r="OXX23"/>
      <c r="OXY23"/>
      <c r="OXZ23"/>
      <c r="OYA23"/>
      <c r="OYB23"/>
      <c r="OYC23"/>
      <c r="OYD23"/>
      <c r="OYE23"/>
      <c r="OYF23"/>
      <c r="OYG23"/>
      <c r="OYH23"/>
      <c r="OYI23"/>
      <c r="OYJ23"/>
      <c r="OYK23"/>
      <c r="OYL23"/>
      <c r="OYM23"/>
      <c r="OYN23"/>
      <c r="OYO23"/>
      <c r="OYP23"/>
      <c r="OYQ23"/>
      <c r="OYR23"/>
      <c r="OYS23"/>
      <c r="OYT23"/>
      <c r="OYU23"/>
      <c r="OYV23"/>
      <c r="OYW23"/>
      <c r="OYX23"/>
      <c r="OYY23"/>
      <c r="OYZ23"/>
      <c r="OZA23"/>
      <c r="OZB23"/>
      <c r="OZC23"/>
      <c r="OZD23"/>
      <c r="OZE23"/>
      <c r="OZF23"/>
      <c r="OZG23"/>
      <c r="OZH23"/>
      <c r="OZI23"/>
      <c r="OZJ23"/>
      <c r="OZK23"/>
      <c r="OZL23"/>
      <c r="OZM23"/>
      <c r="OZN23"/>
      <c r="OZO23"/>
      <c r="OZP23"/>
      <c r="OZQ23"/>
      <c r="OZR23"/>
      <c r="OZS23"/>
      <c r="OZT23"/>
      <c r="OZU23"/>
      <c r="OZV23"/>
      <c r="OZW23"/>
      <c r="OZX23"/>
      <c r="OZY23"/>
      <c r="OZZ23"/>
      <c r="PAA23"/>
      <c r="PAB23"/>
      <c r="PAC23"/>
      <c r="PAD23"/>
      <c r="PAE23"/>
      <c r="PAF23"/>
      <c r="PAG23"/>
      <c r="PAH23"/>
      <c r="PAI23"/>
      <c r="PAJ23"/>
      <c r="PAK23"/>
      <c r="PAL23"/>
      <c r="PAM23"/>
      <c r="PAN23"/>
      <c r="PAO23"/>
      <c r="PAP23"/>
      <c r="PAQ23"/>
      <c r="PAR23"/>
      <c r="PAS23"/>
      <c r="PAT23"/>
      <c r="PAU23"/>
      <c r="PAV23"/>
      <c r="PAW23"/>
      <c r="PAX23"/>
      <c r="PAY23"/>
      <c r="PAZ23"/>
      <c r="PBA23"/>
      <c r="PBB23"/>
      <c r="PBC23"/>
      <c r="PBD23"/>
      <c r="PBE23"/>
      <c r="PBF23"/>
      <c r="PBG23"/>
      <c r="PBH23"/>
      <c r="PBI23"/>
      <c r="PBJ23"/>
      <c r="PBK23"/>
      <c r="PBL23"/>
      <c r="PBM23"/>
      <c r="PBN23"/>
      <c r="PBO23"/>
      <c r="PBP23"/>
      <c r="PBQ23"/>
      <c r="PBR23"/>
      <c r="PBS23"/>
      <c r="PBT23"/>
      <c r="PBU23"/>
      <c r="PBV23"/>
      <c r="PBW23"/>
      <c r="PBX23"/>
      <c r="PBY23"/>
      <c r="PBZ23"/>
      <c r="PCA23"/>
      <c r="PCB23"/>
      <c r="PCC23"/>
      <c r="PCD23"/>
      <c r="PCE23"/>
      <c r="PCF23"/>
      <c r="PCG23"/>
      <c r="PCH23"/>
      <c r="PCI23"/>
      <c r="PCJ23"/>
      <c r="PCK23"/>
      <c r="PCL23"/>
      <c r="PCM23"/>
      <c r="PCN23"/>
      <c r="PCO23"/>
      <c r="PCP23"/>
      <c r="PCQ23"/>
      <c r="PCR23"/>
      <c r="PCS23"/>
      <c r="PCT23"/>
      <c r="PCU23"/>
      <c r="PCV23"/>
      <c r="PCW23"/>
      <c r="PCX23"/>
      <c r="PCY23"/>
      <c r="PCZ23"/>
      <c r="PDA23"/>
      <c r="PDB23"/>
      <c r="PDC23"/>
      <c r="PDD23"/>
      <c r="PDE23"/>
      <c r="PDF23"/>
      <c r="PDG23"/>
      <c r="PDH23"/>
      <c r="PDI23"/>
      <c r="PDJ23"/>
      <c r="PDK23"/>
      <c r="PDL23"/>
      <c r="PDM23"/>
      <c r="PDN23"/>
      <c r="PDO23"/>
      <c r="PDP23"/>
      <c r="PDQ23"/>
      <c r="PDR23"/>
      <c r="PDS23"/>
      <c r="PDT23"/>
      <c r="PDU23"/>
      <c r="PDV23"/>
      <c r="PDW23"/>
      <c r="PDX23"/>
      <c r="PDY23"/>
      <c r="PDZ23"/>
      <c r="PEA23"/>
      <c r="PEB23"/>
      <c r="PEC23"/>
      <c r="PED23"/>
      <c r="PEE23"/>
      <c r="PEF23"/>
      <c r="PEG23"/>
      <c r="PEH23"/>
      <c r="PEI23"/>
      <c r="PEJ23"/>
      <c r="PEK23"/>
      <c r="PEL23"/>
      <c r="PEM23"/>
      <c r="PEN23"/>
      <c r="PEO23"/>
      <c r="PEP23"/>
      <c r="PEQ23"/>
      <c r="PER23"/>
      <c r="PES23"/>
      <c r="PET23"/>
      <c r="PEU23"/>
      <c r="PEV23"/>
      <c r="PEW23"/>
      <c r="PEX23"/>
      <c r="PEY23"/>
      <c r="PEZ23"/>
      <c r="PFA23"/>
      <c r="PFB23"/>
      <c r="PFC23"/>
      <c r="PFD23"/>
      <c r="PFE23"/>
      <c r="PFF23"/>
      <c r="PFG23"/>
      <c r="PFH23"/>
      <c r="PFI23"/>
      <c r="PFJ23"/>
      <c r="PFK23"/>
      <c r="PFL23"/>
      <c r="PFM23"/>
      <c r="PFN23"/>
      <c r="PFO23"/>
      <c r="PFP23"/>
      <c r="PFQ23"/>
      <c r="PFR23"/>
      <c r="PFS23"/>
      <c r="PFT23"/>
      <c r="PFU23"/>
      <c r="PFV23"/>
      <c r="PFW23"/>
      <c r="PFX23"/>
      <c r="PFY23"/>
      <c r="PFZ23"/>
      <c r="PGA23"/>
      <c r="PGB23"/>
      <c r="PGC23"/>
      <c r="PGD23"/>
      <c r="PGE23"/>
      <c r="PGF23"/>
      <c r="PGG23"/>
      <c r="PGH23"/>
      <c r="PGI23"/>
      <c r="PGJ23"/>
      <c r="PGK23"/>
      <c r="PGL23"/>
      <c r="PGM23"/>
      <c r="PGN23"/>
      <c r="PGO23"/>
      <c r="PGP23"/>
      <c r="PGQ23"/>
      <c r="PGR23"/>
      <c r="PGS23"/>
      <c r="PGT23"/>
      <c r="PGU23"/>
      <c r="PGV23"/>
      <c r="PGW23"/>
      <c r="PGX23"/>
      <c r="PGY23"/>
      <c r="PGZ23"/>
      <c r="PHA23"/>
      <c r="PHB23"/>
      <c r="PHC23"/>
      <c r="PHD23"/>
      <c r="PHE23"/>
      <c r="PHF23"/>
      <c r="PHG23"/>
      <c r="PHH23"/>
      <c r="PHI23"/>
      <c r="PHJ23"/>
      <c r="PHK23"/>
      <c r="PHL23"/>
      <c r="PHM23"/>
      <c r="PHN23"/>
      <c r="PHO23"/>
      <c r="PHP23"/>
      <c r="PHQ23"/>
      <c r="PHR23"/>
      <c r="PHS23"/>
      <c r="PHT23"/>
      <c r="PHU23"/>
      <c r="PHV23"/>
      <c r="PHW23"/>
      <c r="PHX23"/>
      <c r="PHY23"/>
      <c r="PHZ23"/>
      <c r="PIA23"/>
      <c r="PIB23"/>
      <c r="PIC23"/>
      <c r="PID23"/>
      <c r="PIE23"/>
      <c r="PIF23"/>
      <c r="PIG23"/>
      <c r="PIH23"/>
      <c r="PII23"/>
      <c r="PIJ23"/>
      <c r="PIK23"/>
      <c r="PIL23"/>
      <c r="PIM23"/>
      <c r="PIN23"/>
      <c r="PIO23"/>
      <c r="PIP23"/>
      <c r="PIQ23"/>
      <c r="PIR23"/>
      <c r="PIS23"/>
      <c r="PIT23"/>
      <c r="PIU23"/>
      <c r="PIV23"/>
      <c r="PIW23"/>
      <c r="PIX23"/>
      <c r="PIY23"/>
      <c r="PIZ23"/>
      <c r="PJA23"/>
      <c r="PJB23"/>
      <c r="PJC23"/>
      <c r="PJD23"/>
      <c r="PJE23"/>
      <c r="PJF23"/>
      <c r="PJG23"/>
      <c r="PJH23"/>
      <c r="PJI23"/>
      <c r="PJJ23"/>
      <c r="PJK23"/>
      <c r="PJL23"/>
      <c r="PJM23"/>
      <c r="PJN23"/>
      <c r="PJO23"/>
      <c r="PJP23"/>
      <c r="PJQ23"/>
      <c r="PJR23"/>
      <c r="PJS23"/>
      <c r="PJT23"/>
      <c r="PJU23"/>
      <c r="PJV23"/>
      <c r="PJW23"/>
      <c r="PJX23"/>
      <c r="PJY23"/>
      <c r="PJZ23"/>
      <c r="PKA23"/>
      <c r="PKB23"/>
      <c r="PKC23"/>
      <c r="PKD23"/>
      <c r="PKE23"/>
      <c r="PKF23"/>
      <c r="PKG23"/>
      <c r="PKH23"/>
      <c r="PKI23"/>
      <c r="PKJ23"/>
      <c r="PKK23"/>
      <c r="PKL23"/>
      <c r="PKM23"/>
      <c r="PKN23"/>
      <c r="PKO23"/>
      <c r="PKP23"/>
      <c r="PKQ23"/>
      <c r="PKR23"/>
      <c r="PKS23"/>
      <c r="PKT23"/>
      <c r="PKU23"/>
      <c r="PKV23"/>
      <c r="PKW23"/>
      <c r="PKX23"/>
      <c r="PKY23"/>
      <c r="PKZ23"/>
      <c r="PLA23"/>
      <c r="PLB23"/>
      <c r="PLC23"/>
      <c r="PLD23"/>
      <c r="PLE23"/>
      <c r="PLF23"/>
      <c r="PLG23"/>
      <c r="PLH23"/>
      <c r="PLI23"/>
      <c r="PLJ23"/>
      <c r="PLK23"/>
      <c r="PLL23"/>
      <c r="PLM23"/>
      <c r="PLN23"/>
      <c r="PLO23"/>
      <c r="PLP23"/>
      <c r="PLQ23"/>
      <c r="PLR23"/>
      <c r="PLS23"/>
      <c r="PLT23"/>
      <c r="PLU23"/>
      <c r="PLV23"/>
      <c r="PLW23"/>
      <c r="PLX23"/>
      <c r="PLY23"/>
      <c r="PLZ23"/>
      <c r="PMA23"/>
      <c r="PMB23"/>
      <c r="PMC23"/>
      <c r="PMD23"/>
      <c r="PME23"/>
      <c r="PMF23"/>
      <c r="PMG23"/>
      <c r="PMH23"/>
      <c r="PMI23"/>
      <c r="PMJ23"/>
      <c r="PMK23"/>
      <c r="PML23"/>
      <c r="PMM23"/>
      <c r="PMN23"/>
      <c r="PMO23"/>
      <c r="PMP23"/>
      <c r="PMQ23"/>
      <c r="PMR23"/>
      <c r="PMS23"/>
      <c r="PMT23"/>
      <c r="PMU23"/>
      <c r="PMV23"/>
      <c r="PMW23"/>
      <c r="PMX23"/>
      <c r="PMY23"/>
      <c r="PMZ23"/>
      <c r="PNA23"/>
      <c r="PNB23"/>
      <c r="PNC23"/>
      <c r="PND23"/>
      <c r="PNE23"/>
      <c r="PNF23"/>
      <c r="PNG23"/>
      <c r="PNH23"/>
      <c r="PNI23"/>
      <c r="PNJ23"/>
      <c r="PNK23"/>
      <c r="PNL23"/>
      <c r="PNM23"/>
      <c r="PNN23"/>
      <c r="PNO23"/>
      <c r="PNP23"/>
      <c r="PNQ23"/>
      <c r="PNR23"/>
      <c r="PNS23"/>
      <c r="PNT23"/>
      <c r="PNU23"/>
      <c r="PNV23"/>
      <c r="PNW23"/>
      <c r="PNX23"/>
      <c r="PNY23"/>
      <c r="PNZ23"/>
      <c r="POA23"/>
      <c r="POB23"/>
      <c r="POC23"/>
      <c r="POD23"/>
      <c r="POE23"/>
      <c r="POF23"/>
      <c r="POG23"/>
      <c r="POH23"/>
      <c r="POI23"/>
      <c r="POJ23"/>
      <c r="POK23"/>
      <c r="POL23"/>
      <c r="POM23"/>
      <c r="PON23"/>
      <c r="POO23"/>
      <c r="POP23"/>
      <c r="POQ23"/>
      <c r="POR23"/>
      <c r="POS23"/>
      <c r="POT23"/>
      <c r="POU23"/>
      <c r="POV23"/>
      <c r="POW23"/>
      <c r="POX23"/>
      <c r="POY23"/>
      <c r="POZ23"/>
      <c r="PPA23"/>
      <c r="PPB23"/>
      <c r="PPC23"/>
      <c r="PPD23"/>
      <c r="PPE23"/>
      <c r="PPF23"/>
      <c r="PPG23"/>
      <c r="PPH23"/>
      <c r="PPI23"/>
      <c r="PPJ23"/>
      <c r="PPK23"/>
      <c r="PPL23"/>
      <c r="PPM23"/>
      <c r="PPN23"/>
      <c r="PPO23"/>
      <c r="PPP23"/>
      <c r="PPQ23"/>
      <c r="PPR23"/>
      <c r="PPS23"/>
      <c r="PPT23"/>
      <c r="PPU23"/>
      <c r="PPV23"/>
      <c r="PPW23"/>
      <c r="PPX23"/>
      <c r="PPY23"/>
      <c r="PPZ23"/>
      <c r="PQA23"/>
      <c r="PQB23"/>
      <c r="PQC23"/>
      <c r="PQD23"/>
      <c r="PQE23"/>
      <c r="PQF23"/>
      <c r="PQG23"/>
      <c r="PQH23"/>
      <c r="PQI23"/>
      <c r="PQJ23"/>
      <c r="PQK23"/>
      <c r="PQL23"/>
      <c r="PQM23"/>
      <c r="PQN23"/>
      <c r="PQO23"/>
      <c r="PQP23"/>
      <c r="PQQ23"/>
      <c r="PQR23"/>
      <c r="PQS23"/>
      <c r="PQT23"/>
      <c r="PQU23"/>
      <c r="PQV23"/>
      <c r="PQW23"/>
      <c r="PQX23"/>
      <c r="PQY23"/>
      <c r="PQZ23"/>
      <c r="PRA23"/>
      <c r="PRB23"/>
      <c r="PRC23"/>
      <c r="PRD23"/>
      <c r="PRE23"/>
      <c r="PRF23"/>
      <c r="PRG23"/>
      <c r="PRH23"/>
      <c r="PRI23"/>
      <c r="PRJ23"/>
      <c r="PRK23"/>
      <c r="PRL23"/>
      <c r="PRM23"/>
      <c r="PRN23"/>
      <c r="PRO23"/>
      <c r="PRP23"/>
      <c r="PRQ23"/>
      <c r="PRR23"/>
      <c r="PRS23"/>
      <c r="PRT23"/>
      <c r="PRU23"/>
      <c r="PRV23"/>
      <c r="PRW23"/>
      <c r="PRX23"/>
      <c r="PRY23"/>
      <c r="PRZ23"/>
      <c r="PSA23"/>
      <c r="PSB23"/>
      <c r="PSC23"/>
      <c r="PSD23"/>
      <c r="PSE23"/>
      <c r="PSF23"/>
      <c r="PSG23"/>
      <c r="PSH23"/>
      <c r="PSI23"/>
      <c r="PSJ23"/>
      <c r="PSK23"/>
      <c r="PSL23"/>
      <c r="PSM23"/>
      <c r="PSN23"/>
      <c r="PSO23"/>
      <c r="PSP23"/>
      <c r="PSQ23"/>
      <c r="PSR23"/>
      <c r="PSS23"/>
      <c r="PST23"/>
      <c r="PSU23"/>
      <c r="PSV23"/>
      <c r="PSW23"/>
      <c r="PSX23"/>
      <c r="PSY23"/>
      <c r="PSZ23"/>
      <c r="PTA23"/>
      <c r="PTB23"/>
      <c r="PTC23"/>
      <c r="PTD23"/>
      <c r="PTE23"/>
      <c r="PTF23"/>
      <c r="PTG23"/>
      <c r="PTH23"/>
      <c r="PTI23"/>
      <c r="PTJ23"/>
      <c r="PTK23"/>
      <c r="PTL23"/>
      <c r="PTM23"/>
      <c r="PTN23"/>
      <c r="PTO23"/>
      <c r="PTP23"/>
      <c r="PTQ23"/>
      <c r="PTR23"/>
      <c r="PTS23"/>
      <c r="PTT23"/>
      <c r="PTU23"/>
      <c r="PTV23"/>
      <c r="PTW23"/>
      <c r="PTX23"/>
      <c r="PTY23"/>
      <c r="PTZ23"/>
      <c r="PUA23"/>
      <c r="PUB23"/>
      <c r="PUC23"/>
      <c r="PUD23"/>
      <c r="PUE23"/>
      <c r="PUF23"/>
      <c r="PUG23"/>
      <c r="PUH23"/>
      <c r="PUI23"/>
      <c r="PUJ23"/>
      <c r="PUK23"/>
      <c r="PUL23"/>
      <c r="PUM23"/>
      <c r="PUN23"/>
      <c r="PUO23"/>
      <c r="PUP23"/>
      <c r="PUQ23"/>
      <c r="PUR23"/>
      <c r="PUS23"/>
      <c r="PUT23"/>
      <c r="PUU23"/>
      <c r="PUV23"/>
      <c r="PUW23"/>
      <c r="PUX23"/>
      <c r="PUY23"/>
      <c r="PUZ23"/>
      <c r="PVA23"/>
      <c r="PVB23"/>
      <c r="PVC23"/>
      <c r="PVD23"/>
      <c r="PVE23"/>
      <c r="PVF23"/>
      <c r="PVG23"/>
      <c r="PVH23"/>
      <c r="PVI23"/>
      <c r="PVJ23"/>
      <c r="PVK23"/>
      <c r="PVL23"/>
      <c r="PVM23"/>
      <c r="PVN23"/>
      <c r="PVO23"/>
      <c r="PVP23"/>
      <c r="PVQ23"/>
      <c r="PVR23"/>
      <c r="PVS23"/>
      <c r="PVT23"/>
      <c r="PVU23"/>
      <c r="PVV23"/>
      <c r="PVW23"/>
      <c r="PVX23"/>
      <c r="PVY23"/>
      <c r="PVZ23"/>
      <c r="PWA23"/>
      <c r="PWB23"/>
      <c r="PWC23"/>
      <c r="PWD23"/>
      <c r="PWE23"/>
      <c r="PWF23"/>
      <c r="PWG23"/>
      <c r="PWH23"/>
      <c r="PWI23"/>
      <c r="PWJ23"/>
      <c r="PWK23"/>
      <c r="PWL23"/>
      <c r="PWM23"/>
      <c r="PWN23"/>
      <c r="PWO23"/>
      <c r="PWP23"/>
      <c r="PWQ23"/>
      <c r="PWR23"/>
      <c r="PWS23"/>
      <c r="PWT23"/>
      <c r="PWU23"/>
      <c r="PWV23"/>
      <c r="PWW23"/>
      <c r="PWX23"/>
      <c r="PWY23"/>
      <c r="PWZ23"/>
      <c r="PXA23"/>
      <c r="PXB23"/>
      <c r="PXC23"/>
      <c r="PXD23"/>
      <c r="PXE23"/>
      <c r="PXF23"/>
      <c r="PXG23"/>
      <c r="PXH23"/>
      <c r="PXI23"/>
      <c r="PXJ23"/>
      <c r="PXK23"/>
      <c r="PXL23"/>
      <c r="PXM23"/>
      <c r="PXN23"/>
      <c r="PXO23"/>
      <c r="PXP23"/>
      <c r="PXQ23"/>
      <c r="PXR23"/>
      <c r="PXS23"/>
      <c r="PXT23"/>
      <c r="PXU23"/>
      <c r="PXV23"/>
      <c r="PXW23"/>
      <c r="PXX23"/>
      <c r="PXY23"/>
      <c r="PXZ23"/>
      <c r="PYA23"/>
      <c r="PYB23"/>
      <c r="PYC23"/>
      <c r="PYD23"/>
      <c r="PYE23"/>
      <c r="PYF23"/>
      <c r="PYG23"/>
      <c r="PYH23"/>
      <c r="PYI23"/>
      <c r="PYJ23"/>
      <c r="PYK23"/>
      <c r="PYL23"/>
      <c r="PYM23"/>
      <c r="PYN23"/>
      <c r="PYO23"/>
      <c r="PYP23"/>
      <c r="PYQ23"/>
      <c r="PYR23"/>
      <c r="PYS23"/>
      <c r="PYT23"/>
      <c r="PYU23"/>
      <c r="PYV23"/>
      <c r="PYW23"/>
      <c r="PYX23"/>
      <c r="PYY23"/>
      <c r="PYZ23"/>
      <c r="PZA23"/>
      <c r="PZB23"/>
      <c r="PZC23"/>
      <c r="PZD23"/>
      <c r="PZE23"/>
      <c r="PZF23"/>
      <c r="PZG23"/>
      <c r="PZH23"/>
      <c r="PZI23"/>
      <c r="PZJ23"/>
      <c r="PZK23"/>
      <c r="PZL23"/>
      <c r="PZM23"/>
      <c r="PZN23"/>
      <c r="PZO23"/>
      <c r="PZP23"/>
      <c r="PZQ23"/>
      <c r="PZR23"/>
      <c r="PZS23"/>
      <c r="PZT23"/>
      <c r="PZU23"/>
      <c r="PZV23"/>
      <c r="PZW23"/>
      <c r="PZX23"/>
      <c r="PZY23"/>
      <c r="PZZ23"/>
      <c r="QAA23"/>
      <c r="QAB23"/>
      <c r="QAC23"/>
      <c r="QAD23"/>
      <c r="QAE23"/>
      <c r="QAF23"/>
      <c r="QAG23"/>
      <c r="QAH23"/>
      <c r="QAI23"/>
      <c r="QAJ23"/>
      <c r="QAK23"/>
      <c r="QAL23"/>
      <c r="QAM23"/>
      <c r="QAN23"/>
      <c r="QAO23"/>
      <c r="QAP23"/>
      <c r="QAQ23"/>
      <c r="QAR23"/>
      <c r="QAS23"/>
      <c r="QAT23"/>
      <c r="QAU23"/>
      <c r="QAV23"/>
      <c r="QAW23"/>
      <c r="QAX23"/>
      <c r="QAY23"/>
      <c r="QAZ23"/>
      <c r="QBA23"/>
      <c r="QBB23"/>
      <c r="QBC23"/>
      <c r="QBD23"/>
      <c r="QBE23"/>
      <c r="QBF23"/>
      <c r="QBG23"/>
      <c r="QBH23"/>
      <c r="QBI23"/>
      <c r="QBJ23"/>
      <c r="QBK23"/>
      <c r="QBL23"/>
      <c r="QBM23"/>
      <c r="QBN23"/>
      <c r="QBO23"/>
      <c r="QBP23"/>
      <c r="QBQ23"/>
      <c r="QBR23"/>
      <c r="QBS23"/>
      <c r="QBT23"/>
      <c r="QBU23"/>
      <c r="QBV23"/>
      <c r="QBW23"/>
      <c r="QBX23"/>
      <c r="QBY23"/>
      <c r="QBZ23"/>
      <c r="QCA23"/>
      <c r="QCB23"/>
      <c r="QCC23"/>
      <c r="QCD23"/>
      <c r="QCE23"/>
      <c r="QCF23"/>
      <c r="QCG23"/>
      <c r="QCH23"/>
      <c r="QCI23"/>
      <c r="QCJ23"/>
      <c r="QCK23"/>
      <c r="QCL23"/>
      <c r="QCM23"/>
      <c r="QCN23"/>
      <c r="QCO23"/>
      <c r="QCP23"/>
      <c r="QCQ23"/>
      <c r="QCR23"/>
      <c r="QCS23"/>
      <c r="QCT23"/>
      <c r="QCU23"/>
      <c r="QCV23"/>
      <c r="QCW23"/>
      <c r="QCX23"/>
      <c r="QCY23"/>
      <c r="QCZ23"/>
      <c r="QDA23"/>
      <c r="QDB23"/>
      <c r="QDC23"/>
      <c r="QDD23"/>
      <c r="QDE23"/>
      <c r="QDF23"/>
      <c r="QDG23"/>
      <c r="QDH23"/>
      <c r="QDI23"/>
      <c r="QDJ23"/>
      <c r="QDK23"/>
      <c r="QDL23"/>
      <c r="QDM23"/>
      <c r="QDN23"/>
      <c r="QDO23"/>
      <c r="QDP23"/>
      <c r="QDQ23"/>
      <c r="QDR23"/>
      <c r="QDS23"/>
      <c r="QDT23"/>
      <c r="QDU23"/>
      <c r="QDV23"/>
      <c r="QDW23"/>
      <c r="QDX23"/>
      <c r="QDY23"/>
      <c r="QDZ23"/>
      <c r="QEA23"/>
      <c r="QEB23"/>
      <c r="QEC23"/>
      <c r="QED23"/>
      <c r="QEE23"/>
      <c r="QEF23"/>
      <c r="QEG23"/>
      <c r="QEH23"/>
      <c r="QEI23"/>
      <c r="QEJ23"/>
      <c r="QEK23"/>
      <c r="QEL23"/>
      <c r="QEM23"/>
      <c r="QEN23"/>
      <c r="QEO23"/>
      <c r="QEP23"/>
      <c r="QEQ23"/>
      <c r="QER23"/>
      <c r="QES23"/>
      <c r="QET23"/>
      <c r="QEU23"/>
      <c r="QEV23"/>
      <c r="QEW23"/>
      <c r="QEX23"/>
      <c r="QEY23"/>
      <c r="QEZ23"/>
      <c r="QFA23"/>
      <c r="QFB23"/>
      <c r="QFC23"/>
      <c r="QFD23"/>
      <c r="QFE23"/>
      <c r="QFF23"/>
      <c r="QFG23"/>
      <c r="QFH23"/>
      <c r="QFI23"/>
      <c r="QFJ23"/>
      <c r="QFK23"/>
      <c r="QFL23"/>
      <c r="QFM23"/>
      <c r="QFN23"/>
      <c r="QFO23"/>
      <c r="QFP23"/>
      <c r="QFQ23"/>
      <c r="QFR23"/>
      <c r="QFS23"/>
      <c r="QFT23"/>
      <c r="QFU23"/>
      <c r="QFV23"/>
      <c r="QFW23"/>
      <c r="QFX23"/>
      <c r="QFY23"/>
      <c r="QFZ23"/>
      <c r="QGA23"/>
      <c r="QGB23"/>
      <c r="QGC23"/>
      <c r="QGD23"/>
      <c r="QGE23"/>
      <c r="QGF23"/>
      <c r="QGG23"/>
      <c r="QGH23"/>
      <c r="QGI23"/>
      <c r="QGJ23"/>
      <c r="QGK23"/>
      <c r="QGL23"/>
      <c r="QGM23"/>
      <c r="QGN23"/>
      <c r="QGO23"/>
      <c r="QGP23"/>
      <c r="QGQ23"/>
      <c r="QGR23"/>
      <c r="QGS23"/>
      <c r="QGT23"/>
      <c r="QGU23"/>
      <c r="QGV23"/>
      <c r="QGW23"/>
      <c r="QGX23"/>
      <c r="QGY23"/>
      <c r="QGZ23"/>
      <c r="QHA23"/>
      <c r="QHB23"/>
      <c r="QHC23"/>
      <c r="QHD23"/>
      <c r="QHE23"/>
      <c r="QHF23"/>
      <c r="QHG23"/>
      <c r="QHH23"/>
      <c r="QHI23"/>
      <c r="QHJ23"/>
      <c r="QHK23"/>
      <c r="QHL23"/>
      <c r="QHM23"/>
      <c r="QHN23"/>
      <c r="QHO23"/>
      <c r="QHP23"/>
      <c r="QHQ23"/>
      <c r="QHR23"/>
      <c r="QHS23"/>
      <c r="QHT23"/>
      <c r="QHU23"/>
      <c r="QHV23"/>
      <c r="QHW23"/>
      <c r="QHX23"/>
      <c r="QHY23"/>
      <c r="QHZ23"/>
      <c r="QIA23"/>
      <c r="QIB23"/>
      <c r="QIC23"/>
      <c r="QID23"/>
      <c r="QIE23"/>
      <c r="QIF23"/>
      <c r="QIG23"/>
      <c r="QIH23"/>
      <c r="QII23"/>
      <c r="QIJ23"/>
      <c r="QIK23"/>
      <c r="QIL23"/>
      <c r="QIM23"/>
      <c r="QIN23"/>
      <c r="QIO23"/>
      <c r="QIP23"/>
      <c r="QIQ23"/>
      <c r="QIR23"/>
      <c r="QIS23"/>
      <c r="QIT23"/>
      <c r="QIU23"/>
      <c r="QIV23"/>
      <c r="QIW23"/>
      <c r="QIX23"/>
      <c r="QIY23"/>
      <c r="QIZ23"/>
      <c r="QJA23"/>
      <c r="QJB23"/>
      <c r="QJC23"/>
      <c r="QJD23"/>
      <c r="QJE23"/>
      <c r="QJF23"/>
      <c r="QJG23"/>
      <c r="QJH23"/>
      <c r="QJI23"/>
      <c r="QJJ23"/>
      <c r="QJK23"/>
      <c r="QJL23"/>
      <c r="QJM23"/>
      <c r="QJN23"/>
      <c r="QJO23"/>
      <c r="QJP23"/>
      <c r="QJQ23"/>
      <c r="QJR23"/>
      <c r="QJS23"/>
      <c r="QJT23"/>
      <c r="QJU23"/>
      <c r="QJV23"/>
      <c r="QJW23"/>
      <c r="QJX23"/>
      <c r="QJY23"/>
      <c r="QJZ23"/>
      <c r="QKA23"/>
      <c r="QKB23"/>
      <c r="QKC23"/>
      <c r="QKD23"/>
      <c r="QKE23"/>
      <c r="QKF23"/>
      <c r="QKG23"/>
      <c r="QKH23"/>
      <c r="QKI23"/>
      <c r="QKJ23"/>
      <c r="QKK23"/>
      <c r="QKL23"/>
      <c r="QKM23"/>
      <c r="QKN23"/>
      <c r="QKO23"/>
      <c r="QKP23"/>
      <c r="QKQ23"/>
      <c r="QKR23"/>
      <c r="QKS23"/>
      <c r="QKT23"/>
      <c r="QKU23"/>
      <c r="QKV23"/>
      <c r="QKW23"/>
      <c r="QKX23"/>
      <c r="QKY23"/>
      <c r="QKZ23"/>
      <c r="QLA23"/>
      <c r="QLB23"/>
      <c r="QLC23"/>
      <c r="QLD23"/>
      <c r="QLE23"/>
      <c r="QLF23"/>
      <c r="QLG23"/>
      <c r="QLH23"/>
      <c r="QLI23"/>
      <c r="QLJ23"/>
      <c r="QLK23"/>
      <c r="QLL23"/>
      <c r="QLM23"/>
      <c r="QLN23"/>
      <c r="QLO23"/>
      <c r="QLP23"/>
      <c r="QLQ23"/>
      <c r="QLR23"/>
      <c r="QLS23"/>
      <c r="QLT23"/>
      <c r="QLU23"/>
      <c r="QLV23"/>
      <c r="QLW23"/>
      <c r="QLX23"/>
      <c r="QLY23"/>
      <c r="QLZ23"/>
      <c r="QMA23"/>
      <c r="QMB23"/>
      <c r="QMC23"/>
      <c r="QMD23"/>
      <c r="QME23"/>
      <c r="QMF23"/>
      <c r="QMG23"/>
      <c r="QMH23"/>
      <c r="QMI23"/>
      <c r="QMJ23"/>
      <c r="QMK23"/>
      <c r="QML23"/>
      <c r="QMM23"/>
      <c r="QMN23"/>
      <c r="QMO23"/>
      <c r="QMP23"/>
      <c r="QMQ23"/>
      <c r="QMR23"/>
      <c r="QMS23"/>
      <c r="QMT23"/>
      <c r="QMU23"/>
      <c r="QMV23"/>
      <c r="QMW23"/>
      <c r="QMX23"/>
      <c r="QMY23"/>
      <c r="QMZ23"/>
      <c r="QNA23"/>
      <c r="QNB23"/>
      <c r="QNC23"/>
      <c r="QND23"/>
      <c r="QNE23"/>
      <c r="QNF23"/>
      <c r="QNG23"/>
      <c r="QNH23"/>
      <c r="QNI23"/>
      <c r="QNJ23"/>
      <c r="QNK23"/>
      <c r="QNL23"/>
      <c r="QNM23"/>
      <c r="QNN23"/>
      <c r="QNO23"/>
      <c r="QNP23"/>
      <c r="QNQ23"/>
      <c r="QNR23"/>
      <c r="QNS23"/>
      <c r="QNT23"/>
      <c r="QNU23"/>
      <c r="QNV23"/>
      <c r="QNW23"/>
      <c r="QNX23"/>
      <c r="QNY23"/>
      <c r="QNZ23"/>
      <c r="QOA23"/>
      <c r="QOB23"/>
      <c r="QOC23"/>
      <c r="QOD23"/>
      <c r="QOE23"/>
      <c r="QOF23"/>
      <c r="QOG23"/>
      <c r="QOH23"/>
      <c r="QOI23"/>
      <c r="QOJ23"/>
      <c r="QOK23"/>
      <c r="QOL23"/>
      <c r="QOM23"/>
      <c r="QON23"/>
      <c r="QOO23"/>
      <c r="QOP23"/>
      <c r="QOQ23"/>
      <c r="QOR23"/>
      <c r="QOS23"/>
      <c r="QOT23"/>
      <c r="QOU23"/>
      <c r="QOV23"/>
      <c r="QOW23"/>
      <c r="QOX23"/>
      <c r="QOY23"/>
      <c r="QOZ23"/>
      <c r="QPA23"/>
      <c r="QPB23"/>
      <c r="QPC23"/>
      <c r="QPD23"/>
      <c r="QPE23"/>
      <c r="QPF23"/>
      <c r="QPG23"/>
      <c r="QPH23"/>
      <c r="QPI23"/>
      <c r="QPJ23"/>
      <c r="QPK23"/>
      <c r="QPL23"/>
      <c r="QPM23"/>
      <c r="QPN23"/>
      <c r="QPO23"/>
      <c r="QPP23"/>
      <c r="QPQ23"/>
      <c r="QPR23"/>
      <c r="QPS23"/>
      <c r="QPT23"/>
      <c r="QPU23"/>
      <c r="QPV23"/>
      <c r="QPW23"/>
      <c r="QPX23"/>
      <c r="QPY23"/>
      <c r="QPZ23"/>
      <c r="QQA23"/>
      <c r="QQB23"/>
      <c r="QQC23"/>
      <c r="QQD23"/>
      <c r="QQE23"/>
      <c r="QQF23"/>
      <c r="QQG23"/>
      <c r="QQH23"/>
      <c r="QQI23"/>
      <c r="QQJ23"/>
      <c r="QQK23"/>
      <c r="QQL23"/>
      <c r="QQM23"/>
      <c r="QQN23"/>
      <c r="QQO23"/>
      <c r="QQP23"/>
      <c r="QQQ23"/>
      <c r="QQR23"/>
      <c r="QQS23"/>
      <c r="QQT23"/>
      <c r="QQU23"/>
      <c r="QQV23"/>
      <c r="QQW23"/>
      <c r="QQX23"/>
      <c r="QQY23"/>
      <c r="QQZ23"/>
      <c r="QRA23"/>
      <c r="QRB23"/>
      <c r="QRC23"/>
      <c r="QRD23"/>
      <c r="QRE23"/>
      <c r="QRF23"/>
      <c r="QRG23"/>
      <c r="QRH23"/>
      <c r="QRI23"/>
      <c r="QRJ23"/>
      <c r="QRK23"/>
      <c r="QRL23"/>
      <c r="QRM23"/>
      <c r="QRN23"/>
      <c r="QRO23"/>
      <c r="QRP23"/>
      <c r="QRQ23"/>
      <c r="QRR23"/>
      <c r="QRS23"/>
      <c r="QRT23"/>
      <c r="QRU23"/>
      <c r="QRV23"/>
      <c r="QRW23"/>
      <c r="QRX23"/>
      <c r="QRY23"/>
      <c r="QRZ23"/>
      <c r="QSA23"/>
      <c r="QSB23"/>
      <c r="QSC23"/>
      <c r="QSD23"/>
      <c r="QSE23"/>
      <c r="QSF23"/>
      <c r="QSG23"/>
      <c r="QSH23"/>
      <c r="QSI23"/>
      <c r="QSJ23"/>
      <c r="QSK23"/>
      <c r="QSL23"/>
      <c r="QSM23"/>
      <c r="QSN23"/>
      <c r="QSO23"/>
      <c r="QSP23"/>
      <c r="QSQ23"/>
      <c r="QSR23"/>
      <c r="QSS23"/>
      <c r="QST23"/>
      <c r="QSU23"/>
      <c r="QSV23"/>
      <c r="QSW23"/>
      <c r="QSX23"/>
      <c r="QSY23"/>
      <c r="QSZ23"/>
      <c r="QTA23"/>
      <c r="QTB23"/>
      <c r="QTC23"/>
      <c r="QTD23"/>
      <c r="QTE23"/>
      <c r="QTF23"/>
      <c r="QTG23"/>
      <c r="QTH23"/>
      <c r="QTI23"/>
      <c r="QTJ23"/>
      <c r="QTK23"/>
      <c r="QTL23"/>
      <c r="QTM23"/>
      <c r="QTN23"/>
      <c r="QTO23"/>
      <c r="QTP23"/>
      <c r="QTQ23"/>
      <c r="QTR23"/>
      <c r="QTS23"/>
      <c r="QTT23"/>
      <c r="QTU23"/>
      <c r="QTV23"/>
      <c r="QTW23"/>
      <c r="QTX23"/>
      <c r="QTY23"/>
      <c r="QTZ23"/>
      <c r="QUA23"/>
      <c r="QUB23"/>
      <c r="QUC23"/>
      <c r="QUD23"/>
      <c r="QUE23"/>
      <c r="QUF23"/>
      <c r="QUG23"/>
      <c r="QUH23"/>
      <c r="QUI23"/>
      <c r="QUJ23"/>
      <c r="QUK23"/>
      <c r="QUL23"/>
      <c r="QUM23"/>
      <c r="QUN23"/>
      <c r="QUO23"/>
      <c r="QUP23"/>
      <c r="QUQ23"/>
      <c r="QUR23"/>
      <c r="QUS23"/>
      <c r="QUT23"/>
      <c r="QUU23"/>
      <c r="QUV23"/>
      <c r="QUW23"/>
      <c r="QUX23"/>
      <c r="QUY23"/>
      <c r="QUZ23"/>
      <c r="QVA23"/>
      <c r="QVB23"/>
      <c r="QVC23"/>
      <c r="QVD23"/>
      <c r="QVE23"/>
      <c r="QVF23"/>
      <c r="QVG23"/>
      <c r="QVH23"/>
      <c r="QVI23"/>
      <c r="QVJ23"/>
      <c r="QVK23"/>
      <c r="QVL23"/>
      <c r="QVM23"/>
      <c r="QVN23"/>
      <c r="QVO23"/>
      <c r="QVP23"/>
      <c r="QVQ23"/>
      <c r="QVR23"/>
      <c r="QVS23"/>
      <c r="QVT23"/>
      <c r="QVU23"/>
      <c r="QVV23"/>
      <c r="QVW23"/>
      <c r="QVX23"/>
      <c r="QVY23"/>
      <c r="QVZ23"/>
      <c r="QWA23"/>
      <c r="QWB23"/>
      <c r="QWC23"/>
      <c r="QWD23"/>
      <c r="QWE23"/>
      <c r="QWF23"/>
      <c r="QWG23"/>
      <c r="QWH23"/>
      <c r="QWI23"/>
      <c r="QWJ23"/>
      <c r="QWK23"/>
      <c r="QWL23"/>
      <c r="QWM23"/>
      <c r="QWN23"/>
      <c r="QWO23"/>
      <c r="QWP23"/>
      <c r="QWQ23"/>
      <c r="QWR23"/>
      <c r="QWS23"/>
      <c r="QWT23"/>
      <c r="QWU23"/>
      <c r="QWV23"/>
      <c r="QWW23"/>
      <c r="QWX23"/>
      <c r="QWY23"/>
      <c r="QWZ23"/>
      <c r="QXA23"/>
      <c r="QXB23"/>
      <c r="QXC23"/>
      <c r="QXD23"/>
      <c r="QXE23"/>
      <c r="QXF23"/>
      <c r="QXG23"/>
      <c r="QXH23"/>
      <c r="QXI23"/>
      <c r="QXJ23"/>
      <c r="QXK23"/>
      <c r="QXL23"/>
      <c r="QXM23"/>
      <c r="QXN23"/>
      <c r="QXO23"/>
      <c r="QXP23"/>
      <c r="QXQ23"/>
      <c r="QXR23"/>
      <c r="QXS23"/>
      <c r="QXT23"/>
      <c r="QXU23"/>
      <c r="QXV23"/>
      <c r="QXW23"/>
      <c r="QXX23"/>
      <c r="QXY23"/>
      <c r="QXZ23"/>
      <c r="QYA23"/>
      <c r="QYB23"/>
      <c r="QYC23"/>
      <c r="QYD23"/>
      <c r="QYE23"/>
      <c r="QYF23"/>
      <c r="QYG23"/>
      <c r="QYH23"/>
      <c r="QYI23"/>
      <c r="QYJ23"/>
      <c r="QYK23"/>
      <c r="QYL23"/>
      <c r="QYM23"/>
      <c r="QYN23"/>
      <c r="QYO23"/>
      <c r="QYP23"/>
      <c r="QYQ23"/>
      <c r="QYR23"/>
      <c r="QYS23"/>
      <c r="QYT23"/>
      <c r="QYU23"/>
      <c r="QYV23"/>
      <c r="QYW23"/>
      <c r="QYX23"/>
      <c r="QYY23"/>
      <c r="QYZ23"/>
      <c r="QZA23"/>
      <c r="QZB23"/>
      <c r="QZC23"/>
      <c r="QZD23"/>
      <c r="QZE23"/>
      <c r="QZF23"/>
      <c r="QZG23"/>
      <c r="QZH23"/>
      <c r="QZI23"/>
      <c r="QZJ23"/>
      <c r="QZK23"/>
      <c r="QZL23"/>
      <c r="QZM23"/>
      <c r="QZN23"/>
      <c r="QZO23"/>
      <c r="QZP23"/>
      <c r="QZQ23"/>
      <c r="QZR23"/>
      <c r="QZS23"/>
      <c r="QZT23"/>
      <c r="QZU23"/>
      <c r="QZV23"/>
      <c r="QZW23"/>
      <c r="QZX23"/>
      <c r="QZY23"/>
      <c r="QZZ23"/>
      <c r="RAA23"/>
      <c r="RAB23"/>
      <c r="RAC23"/>
      <c r="RAD23"/>
      <c r="RAE23"/>
      <c r="RAF23"/>
      <c r="RAG23"/>
      <c r="RAH23"/>
      <c r="RAI23"/>
      <c r="RAJ23"/>
      <c r="RAK23"/>
      <c r="RAL23"/>
      <c r="RAM23"/>
      <c r="RAN23"/>
      <c r="RAO23"/>
      <c r="RAP23"/>
      <c r="RAQ23"/>
      <c r="RAR23"/>
      <c r="RAS23"/>
      <c r="RAT23"/>
      <c r="RAU23"/>
      <c r="RAV23"/>
      <c r="RAW23"/>
      <c r="RAX23"/>
      <c r="RAY23"/>
      <c r="RAZ23"/>
      <c r="RBA23"/>
      <c r="RBB23"/>
      <c r="RBC23"/>
      <c r="RBD23"/>
      <c r="RBE23"/>
      <c r="RBF23"/>
      <c r="RBG23"/>
      <c r="RBH23"/>
      <c r="RBI23"/>
      <c r="RBJ23"/>
      <c r="RBK23"/>
      <c r="RBL23"/>
      <c r="RBM23"/>
      <c r="RBN23"/>
      <c r="RBO23"/>
      <c r="RBP23"/>
      <c r="RBQ23"/>
      <c r="RBR23"/>
      <c r="RBS23"/>
      <c r="RBT23"/>
      <c r="RBU23"/>
      <c r="RBV23"/>
      <c r="RBW23"/>
      <c r="RBX23"/>
      <c r="RBY23"/>
      <c r="RBZ23"/>
      <c r="RCA23"/>
      <c r="RCB23"/>
      <c r="RCC23"/>
      <c r="RCD23"/>
      <c r="RCE23"/>
      <c r="RCF23"/>
      <c r="RCG23"/>
      <c r="RCH23"/>
      <c r="RCI23"/>
      <c r="RCJ23"/>
      <c r="RCK23"/>
      <c r="RCL23"/>
      <c r="RCM23"/>
      <c r="RCN23"/>
      <c r="RCO23"/>
      <c r="RCP23"/>
      <c r="RCQ23"/>
      <c r="RCR23"/>
      <c r="RCS23"/>
      <c r="RCT23"/>
      <c r="RCU23"/>
      <c r="RCV23"/>
      <c r="RCW23"/>
      <c r="RCX23"/>
      <c r="RCY23"/>
      <c r="RCZ23"/>
      <c r="RDA23"/>
      <c r="RDB23"/>
      <c r="RDC23"/>
      <c r="RDD23"/>
      <c r="RDE23"/>
      <c r="RDF23"/>
      <c r="RDG23"/>
      <c r="RDH23"/>
      <c r="RDI23"/>
      <c r="RDJ23"/>
      <c r="RDK23"/>
      <c r="RDL23"/>
      <c r="RDM23"/>
      <c r="RDN23"/>
      <c r="RDO23"/>
      <c r="RDP23"/>
      <c r="RDQ23"/>
      <c r="RDR23"/>
      <c r="RDS23"/>
      <c r="RDT23"/>
      <c r="RDU23"/>
      <c r="RDV23"/>
      <c r="RDW23"/>
      <c r="RDX23"/>
      <c r="RDY23"/>
      <c r="RDZ23"/>
      <c r="REA23"/>
      <c r="REB23"/>
      <c r="REC23"/>
      <c r="RED23"/>
      <c r="REE23"/>
      <c r="REF23"/>
      <c r="REG23"/>
      <c r="REH23"/>
      <c r="REI23"/>
      <c r="REJ23"/>
      <c r="REK23"/>
      <c r="REL23"/>
      <c r="REM23"/>
      <c r="REN23"/>
      <c r="REO23"/>
      <c r="REP23"/>
      <c r="REQ23"/>
      <c r="RER23"/>
      <c r="RES23"/>
      <c r="RET23"/>
      <c r="REU23"/>
      <c r="REV23"/>
      <c r="REW23"/>
      <c r="REX23"/>
      <c r="REY23"/>
      <c r="REZ23"/>
      <c r="RFA23"/>
      <c r="RFB23"/>
      <c r="RFC23"/>
      <c r="RFD23"/>
      <c r="RFE23"/>
      <c r="RFF23"/>
      <c r="RFG23"/>
      <c r="RFH23"/>
      <c r="RFI23"/>
      <c r="RFJ23"/>
      <c r="RFK23"/>
      <c r="RFL23"/>
      <c r="RFM23"/>
      <c r="RFN23"/>
      <c r="RFO23"/>
      <c r="RFP23"/>
      <c r="RFQ23"/>
      <c r="RFR23"/>
      <c r="RFS23"/>
      <c r="RFT23"/>
      <c r="RFU23"/>
      <c r="RFV23"/>
      <c r="RFW23"/>
      <c r="RFX23"/>
      <c r="RFY23"/>
      <c r="RFZ23"/>
      <c r="RGA23"/>
      <c r="RGB23"/>
      <c r="RGC23"/>
      <c r="RGD23"/>
      <c r="RGE23"/>
      <c r="RGF23"/>
      <c r="RGG23"/>
      <c r="RGH23"/>
      <c r="RGI23"/>
      <c r="RGJ23"/>
      <c r="RGK23"/>
      <c r="RGL23"/>
      <c r="RGM23"/>
      <c r="RGN23"/>
      <c r="RGO23"/>
      <c r="RGP23"/>
      <c r="RGQ23"/>
      <c r="RGR23"/>
      <c r="RGS23"/>
      <c r="RGT23"/>
      <c r="RGU23"/>
      <c r="RGV23"/>
      <c r="RGW23"/>
      <c r="RGX23"/>
      <c r="RGY23"/>
      <c r="RGZ23"/>
      <c r="RHA23"/>
      <c r="RHB23"/>
      <c r="RHC23"/>
      <c r="RHD23"/>
      <c r="RHE23"/>
      <c r="RHF23"/>
      <c r="RHG23"/>
      <c r="RHH23"/>
      <c r="RHI23"/>
      <c r="RHJ23"/>
      <c r="RHK23"/>
      <c r="RHL23"/>
      <c r="RHM23"/>
      <c r="RHN23"/>
      <c r="RHO23"/>
      <c r="RHP23"/>
      <c r="RHQ23"/>
      <c r="RHR23"/>
      <c r="RHS23"/>
      <c r="RHT23"/>
      <c r="RHU23"/>
      <c r="RHV23"/>
      <c r="RHW23"/>
      <c r="RHX23"/>
      <c r="RHY23"/>
      <c r="RHZ23"/>
      <c r="RIA23"/>
      <c r="RIB23"/>
      <c r="RIC23"/>
      <c r="RID23"/>
      <c r="RIE23"/>
      <c r="RIF23"/>
      <c r="RIG23"/>
      <c r="RIH23"/>
      <c r="RII23"/>
      <c r="RIJ23"/>
      <c r="RIK23"/>
      <c r="RIL23"/>
      <c r="RIM23"/>
      <c r="RIN23"/>
      <c r="RIO23"/>
      <c r="RIP23"/>
      <c r="RIQ23"/>
      <c r="RIR23"/>
      <c r="RIS23"/>
      <c r="RIT23"/>
      <c r="RIU23"/>
      <c r="RIV23"/>
      <c r="RIW23"/>
      <c r="RIX23"/>
      <c r="RIY23"/>
      <c r="RIZ23"/>
      <c r="RJA23"/>
      <c r="RJB23"/>
      <c r="RJC23"/>
      <c r="RJD23"/>
      <c r="RJE23"/>
      <c r="RJF23"/>
      <c r="RJG23"/>
      <c r="RJH23"/>
      <c r="RJI23"/>
      <c r="RJJ23"/>
      <c r="RJK23"/>
      <c r="RJL23"/>
      <c r="RJM23"/>
      <c r="RJN23"/>
      <c r="RJO23"/>
      <c r="RJP23"/>
      <c r="RJQ23"/>
      <c r="RJR23"/>
      <c r="RJS23"/>
      <c r="RJT23"/>
      <c r="RJU23"/>
      <c r="RJV23"/>
      <c r="RJW23"/>
      <c r="RJX23"/>
      <c r="RJY23"/>
      <c r="RJZ23"/>
      <c r="RKA23"/>
      <c r="RKB23"/>
      <c r="RKC23"/>
      <c r="RKD23"/>
      <c r="RKE23"/>
      <c r="RKF23"/>
      <c r="RKG23"/>
      <c r="RKH23"/>
      <c r="RKI23"/>
      <c r="RKJ23"/>
      <c r="RKK23"/>
      <c r="RKL23"/>
      <c r="RKM23"/>
      <c r="RKN23"/>
      <c r="RKO23"/>
      <c r="RKP23"/>
      <c r="RKQ23"/>
      <c r="RKR23"/>
      <c r="RKS23"/>
      <c r="RKT23"/>
      <c r="RKU23"/>
      <c r="RKV23"/>
      <c r="RKW23"/>
      <c r="RKX23"/>
      <c r="RKY23"/>
      <c r="RKZ23"/>
      <c r="RLA23"/>
      <c r="RLB23"/>
      <c r="RLC23"/>
      <c r="RLD23"/>
      <c r="RLE23"/>
      <c r="RLF23"/>
      <c r="RLG23"/>
      <c r="RLH23"/>
      <c r="RLI23"/>
      <c r="RLJ23"/>
      <c r="RLK23"/>
      <c r="RLL23"/>
      <c r="RLM23"/>
      <c r="RLN23"/>
      <c r="RLO23"/>
      <c r="RLP23"/>
      <c r="RLQ23"/>
      <c r="RLR23"/>
      <c r="RLS23"/>
      <c r="RLT23"/>
      <c r="RLU23"/>
      <c r="RLV23"/>
      <c r="RLW23"/>
      <c r="RLX23"/>
      <c r="RLY23"/>
      <c r="RLZ23"/>
      <c r="RMA23"/>
      <c r="RMB23"/>
      <c r="RMC23"/>
      <c r="RMD23"/>
      <c r="RME23"/>
      <c r="RMF23"/>
      <c r="RMG23"/>
      <c r="RMH23"/>
      <c r="RMI23"/>
      <c r="RMJ23"/>
      <c r="RMK23"/>
      <c r="RML23"/>
      <c r="RMM23"/>
      <c r="RMN23"/>
      <c r="RMO23"/>
      <c r="RMP23"/>
      <c r="RMQ23"/>
      <c r="RMR23"/>
      <c r="RMS23"/>
      <c r="RMT23"/>
      <c r="RMU23"/>
      <c r="RMV23"/>
      <c r="RMW23"/>
      <c r="RMX23"/>
      <c r="RMY23"/>
      <c r="RMZ23"/>
      <c r="RNA23"/>
      <c r="RNB23"/>
      <c r="RNC23"/>
      <c r="RND23"/>
      <c r="RNE23"/>
      <c r="RNF23"/>
      <c r="RNG23"/>
      <c r="RNH23"/>
      <c r="RNI23"/>
      <c r="RNJ23"/>
      <c r="RNK23"/>
      <c r="RNL23"/>
      <c r="RNM23"/>
      <c r="RNN23"/>
      <c r="RNO23"/>
      <c r="RNP23"/>
      <c r="RNQ23"/>
      <c r="RNR23"/>
      <c r="RNS23"/>
      <c r="RNT23"/>
      <c r="RNU23"/>
      <c r="RNV23"/>
      <c r="RNW23"/>
      <c r="RNX23"/>
      <c r="RNY23"/>
      <c r="RNZ23"/>
      <c r="ROA23"/>
      <c r="ROB23"/>
      <c r="ROC23"/>
      <c r="ROD23"/>
      <c r="ROE23"/>
      <c r="ROF23"/>
      <c r="ROG23"/>
      <c r="ROH23"/>
      <c r="ROI23"/>
      <c r="ROJ23"/>
      <c r="ROK23"/>
      <c r="ROL23"/>
      <c r="ROM23"/>
      <c r="RON23"/>
      <c r="ROO23"/>
      <c r="ROP23"/>
      <c r="ROQ23"/>
      <c r="ROR23"/>
      <c r="ROS23"/>
      <c r="ROT23"/>
      <c r="ROU23"/>
      <c r="ROV23"/>
      <c r="ROW23"/>
      <c r="ROX23"/>
      <c r="ROY23"/>
      <c r="ROZ23"/>
      <c r="RPA23"/>
      <c r="RPB23"/>
      <c r="RPC23"/>
      <c r="RPD23"/>
      <c r="RPE23"/>
      <c r="RPF23"/>
      <c r="RPG23"/>
      <c r="RPH23"/>
      <c r="RPI23"/>
      <c r="RPJ23"/>
      <c r="RPK23"/>
      <c r="RPL23"/>
      <c r="RPM23"/>
      <c r="RPN23"/>
      <c r="RPO23"/>
      <c r="RPP23"/>
      <c r="RPQ23"/>
      <c r="RPR23"/>
      <c r="RPS23"/>
      <c r="RPT23"/>
      <c r="RPU23"/>
      <c r="RPV23"/>
      <c r="RPW23"/>
      <c r="RPX23"/>
      <c r="RPY23"/>
      <c r="RPZ23"/>
      <c r="RQA23"/>
      <c r="RQB23"/>
      <c r="RQC23"/>
      <c r="RQD23"/>
      <c r="RQE23"/>
      <c r="RQF23"/>
      <c r="RQG23"/>
      <c r="RQH23"/>
      <c r="RQI23"/>
      <c r="RQJ23"/>
      <c r="RQK23"/>
      <c r="RQL23"/>
      <c r="RQM23"/>
      <c r="RQN23"/>
      <c r="RQO23"/>
      <c r="RQP23"/>
      <c r="RQQ23"/>
      <c r="RQR23"/>
      <c r="RQS23"/>
      <c r="RQT23"/>
      <c r="RQU23"/>
      <c r="RQV23"/>
      <c r="RQW23"/>
      <c r="RQX23"/>
      <c r="RQY23"/>
      <c r="RQZ23"/>
      <c r="RRA23"/>
      <c r="RRB23"/>
      <c r="RRC23"/>
      <c r="RRD23"/>
      <c r="RRE23"/>
      <c r="RRF23"/>
      <c r="RRG23"/>
      <c r="RRH23"/>
      <c r="RRI23"/>
      <c r="RRJ23"/>
      <c r="RRK23"/>
      <c r="RRL23"/>
      <c r="RRM23"/>
      <c r="RRN23"/>
      <c r="RRO23"/>
      <c r="RRP23"/>
      <c r="RRQ23"/>
      <c r="RRR23"/>
      <c r="RRS23"/>
      <c r="RRT23"/>
      <c r="RRU23"/>
      <c r="RRV23"/>
      <c r="RRW23"/>
      <c r="RRX23"/>
      <c r="RRY23"/>
      <c r="RRZ23"/>
      <c r="RSA23"/>
      <c r="RSB23"/>
      <c r="RSC23"/>
      <c r="RSD23"/>
      <c r="RSE23"/>
      <c r="RSF23"/>
      <c r="RSG23"/>
      <c r="RSH23"/>
      <c r="RSI23"/>
      <c r="RSJ23"/>
      <c r="RSK23"/>
      <c r="RSL23"/>
      <c r="RSM23"/>
      <c r="RSN23"/>
      <c r="RSO23"/>
      <c r="RSP23"/>
      <c r="RSQ23"/>
      <c r="RSR23"/>
      <c r="RSS23"/>
      <c r="RST23"/>
      <c r="RSU23"/>
      <c r="RSV23"/>
      <c r="RSW23"/>
      <c r="RSX23"/>
      <c r="RSY23"/>
      <c r="RSZ23"/>
      <c r="RTA23"/>
      <c r="RTB23"/>
      <c r="RTC23"/>
      <c r="RTD23"/>
      <c r="RTE23"/>
      <c r="RTF23"/>
      <c r="RTG23"/>
      <c r="RTH23"/>
      <c r="RTI23"/>
      <c r="RTJ23"/>
      <c r="RTK23"/>
      <c r="RTL23"/>
      <c r="RTM23"/>
      <c r="RTN23"/>
      <c r="RTO23"/>
      <c r="RTP23"/>
      <c r="RTQ23"/>
      <c r="RTR23"/>
      <c r="RTS23"/>
      <c r="RTT23"/>
      <c r="RTU23"/>
      <c r="RTV23"/>
      <c r="RTW23"/>
      <c r="RTX23"/>
      <c r="RTY23"/>
      <c r="RTZ23"/>
      <c r="RUA23"/>
      <c r="RUB23"/>
      <c r="RUC23"/>
      <c r="RUD23"/>
      <c r="RUE23"/>
      <c r="RUF23"/>
      <c r="RUG23"/>
      <c r="RUH23"/>
      <c r="RUI23"/>
      <c r="RUJ23"/>
      <c r="RUK23"/>
      <c r="RUL23"/>
      <c r="RUM23"/>
      <c r="RUN23"/>
      <c r="RUO23"/>
      <c r="RUP23"/>
      <c r="RUQ23"/>
      <c r="RUR23"/>
      <c r="RUS23"/>
      <c r="RUT23"/>
      <c r="RUU23"/>
      <c r="RUV23"/>
      <c r="RUW23"/>
      <c r="RUX23"/>
      <c r="RUY23"/>
      <c r="RUZ23"/>
      <c r="RVA23"/>
      <c r="RVB23"/>
      <c r="RVC23"/>
      <c r="RVD23"/>
      <c r="RVE23"/>
      <c r="RVF23"/>
      <c r="RVG23"/>
      <c r="RVH23"/>
      <c r="RVI23"/>
      <c r="RVJ23"/>
      <c r="RVK23"/>
      <c r="RVL23"/>
      <c r="RVM23"/>
      <c r="RVN23"/>
      <c r="RVO23"/>
      <c r="RVP23"/>
      <c r="RVQ23"/>
      <c r="RVR23"/>
      <c r="RVS23"/>
      <c r="RVT23"/>
      <c r="RVU23"/>
      <c r="RVV23"/>
      <c r="RVW23"/>
      <c r="RVX23"/>
      <c r="RVY23"/>
      <c r="RVZ23"/>
      <c r="RWA23"/>
      <c r="RWB23"/>
      <c r="RWC23"/>
      <c r="RWD23"/>
      <c r="RWE23"/>
      <c r="RWF23"/>
      <c r="RWG23"/>
      <c r="RWH23"/>
      <c r="RWI23"/>
      <c r="RWJ23"/>
      <c r="RWK23"/>
      <c r="RWL23"/>
      <c r="RWM23"/>
      <c r="RWN23"/>
      <c r="RWO23"/>
      <c r="RWP23"/>
      <c r="RWQ23"/>
      <c r="RWR23"/>
      <c r="RWS23"/>
      <c r="RWT23"/>
      <c r="RWU23"/>
      <c r="RWV23"/>
      <c r="RWW23"/>
      <c r="RWX23"/>
      <c r="RWY23"/>
      <c r="RWZ23"/>
      <c r="RXA23"/>
      <c r="RXB23"/>
      <c r="RXC23"/>
      <c r="RXD23"/>
      <c r="RXE23"/>
      <c r="RXF23"/>
      <c r="RXG23"/>
      <c r="RXH23"/>
      <c r="RXI23"/>
      <c r="RXJ23"/>
      <c r="RXK23"/>
      <c r="RXL23"/>
      <c r="RXM23"/>
      <c r="RXN23"/>
      <c r="RXO23"/>
      <c r="RXP23"/>
      <c r="RXQ23"/>
      <c r="RXR23"/>
      <c r="RXS23"/>
      <c r="RXT23"/>
      <c r="RXU23"/>
      <c r="RXV23"/>
      <c r="RXW23"/>
      <c r="RXX23"/>
      <c r="RXY23"/>
      <c r="RXZ23"/>
      <c r="RYA23"/>
      <c r="RYB23"/>
      <c r="RYC23"/>
      <c r="RYD23"/>
      <c r="RYE23"/>
      <c r="RYF23"/>
      <c r="RYG23"/>
      <c r="RYH23"/>
      <c r="RYI23"/>
      <c r="RYJ23"/>
      <c r="RYK23"/>
      <c r="RYL23"/>
      <c r="RYM23"/>
      <c r="RYN23"/>
      <c r="RYO23"/>
      <c r="RYP23"/>
      <c r="RYQ23"/>
      <c r="RYR23"/>
      <c r="RYS23"/>
      <c r="RYT23"/>
      <c r="RYU23"/>
      <c r="RYV23"/>
      <c r="RYW23"/>
      <c r="RYX23"/>
      <c r="RYY23"/>
      <c r="RYZ23"/>
      <c r="RZA23"/>
      <c r="RZB23"/>
      <c r="RZC23"/>
      <c r="RZD23"/>
      <c r="RZE23"/>
      <c r="RZF23"/>
      <c r="RZG23"/>
      <c r="RZH23"/>
      <c r="RZI23"/>
      <c r="RZJ23"/>
      <c r="RZK23"/>
      <c r="RZL23"/>
      <c r="RZM23"/>
      <c r="RZN23"/>
      <c r="RZO23"/>
      <c r="RZP23"/>
      <c r="RZQ23"/>
      <c r="RZR23"/>
      <c r="RZS23"/>
      <c r="RZT23"/>
      <c r="RZU23"/>
      <c r="RZV23"/>
      <c r="RZW23"/>
      <c r="RZX23"/>
      <c r="RZY23"/>
      <c r="RZZ23"/>
      <c r="SAA23"/>
      <c r="SAB23"/>
      <c r="SAC23"/>
      <c r="SAD23"/>
      <c r="SAE23"/>
      <c r="SAF23"/>
      <c r="SAG23"/>
      <c r="SAH23"/>
      <c r="SAI23"/>
      <c r="SAJ23"/>
      <c r="SAK23"/>
      <c r="SAL23"/>
      <c r="SAM23"/>
      <c r="SAN23"/>
      <c r="SAO23"/>
      <c r="SAP23"/>
      <c r="SAQ23"/>
      <c r="SAR23"/>
      <c r="SAS23"/>
      <c r="SAT23"/>
      <c r="SAU23"/>
      <c r="SAV23"/>
      <c r="SAW23"/>
      <c r="SAX23"/>
      <c r="SAY23"/>
      <c r="SAZ23"/>
      <c r="SBA23"/>
      <c r="SBB23"/>
      <c r="SBC23"/>
      <c r="SBD23"/>
      <c r="SBE23"/>
      <c r="SBF23"/>
      <c r="SBG23"/>
      <c r="SBH23"/>
      <c r="SBI23"/>
      <c r="SBJ23"/>
      <c r="SBK23"/>
      <c r="SBL23"/>
      <c r="SBM23"/>
      <c r="SBN23"/>
      <c r="SBO23"/>
      <c r="SBP23"/>
      <c r="SBQ23"/>
      <c r="SBR23"/>
      <c r="SBS23"/>
      <c r="SBT23"/>
      <c r="SBU23"/>
      <c r="SBV23"/>
      <c r="SBW23"/>
      <c r="SBX23"/>
      <c r="SBY23"/>
      <c r="SBZ23"/>
      <c r="SCA23"/>
      <c r="SCB23"/>
      <c r="SCC23"/>
      <c r="SCD23"/>
      <c r="SCE23"/>
      <c r="SCF23"/>
      <c r="SCG23"/>
      <c r="SCH23"/>
      <c r="SCI23"/>
      <c r="SCJ23"/>
      <c r="SCK23"/>
      <c r="SCL23"/>
      <c r="SCM23"/>
      <c r="SCN23"/>
      <c r="SCO23"/>
      <c r="SCP23"/>
      <c r="SCQ23"/>
      <c r="SCR23"/>
      <c r="SCS23"/>
      <c r="SCT23"/>
      <c r="SCU23"/>
      <c r="SCV23"/>
      <c r="SCW23"/>
      <c r="SCX23"/>
      <c r="SCY23"/>
      <c r="SCZ23"/>
      <c r="SDA23"/>
      <c r="SDB23"/>
      <c r="SDC23"/>
      <c r="SDD23"/>
      <c r="SDE23"/>
      <c r="SDF23"/>
      <c r="SDG23"/>
      <c r="SDH23"/>
      <c r="SDI23"/>
      <c r="SDJ23"/>
      <c r="SDK23"/>
      <c r="SDL23"/>
      <c r="SDM23"/>
      <c r="SDN23"/>
      <c r="SDO23"/>
      <c r="SDP23"/>
      <c r="SDQ23"/>
      <c r="SDR23"/>
      <c r="SDS23"/>
      <c r="SDT23"/>
      <c r="SDU23"/>
      <c r="SDV23"/>
      <c r="SDW23"/>
      <c r="SDX23"/>
      <c r="SDY23"/>
      <c r="SDZ23"/>
      <c r="SEA23"/>
      <c r="SEB23"/>
      <c r="SEC23"/>
      <c r="SED23"/>
      <c r="SEE23"/>
      <c r="SEF23"/>
      <c r="SEG23"/>
      <c r="SEH23"/>
      <c r="SEI23"/>
      <c r="SEJ23"/>
      <c r="SEK23"/>
      <c r="SEL23"/>
      <c r="SEM23"/>
      <c r="SEN23"/>
      <c r="SEO23"/>
      <c r="SEP23"/>
      <c r="SEQ23"/>
      <c r="SER23"/>
      <c r="SES23"/>
      <c r="SET23"/>
      <c r="SEU23"/>
      <c r="SEV23"/>
      <c r="SEW23"/>
      <c r="SEX23"/>
      <c r="SEY23"/>
      <c r="SEZ23"/>
      <c r="SFA23"/>
      <c r="SFB23"/>
      <c r="SFC23"/>
      <c r="SFD23"/>
      <c r="SFE23"/>
      <c r="SFF23"/>
      <c r="SFG23"/>
      <c r="SFH23"/>
      <c r="SFI23"/>
      <c r="SFJ23"/>
      <c r="SFK23"/>
      <c r="SFL23"/>
      <c r="SFM23"/>
      <c r="SFN23"/>
      <c r="SFO23"/>
      <c r="SFP23"/>
      <c r="SFQ23"/>
      <c r="SFR23"/>
      <c r="SFS23"/>
      <c r="SFT23"/>
      <c r="SFU23"/>
      <c r="SFV23"/>
      <c r="SFW23"/>
      <c r="SFX23"/>
      <c r="SFY23"/>
      <c r="SFZ23"/>
      <c r="SGA23"/>
      <c r="SGB23"/>
      <c r="SGC23"/>
      <c r="SGD23"/>
      <c r="SGE23"/>
      <c r="SGF23"/>
      <c r="SGG23"/>
      <c r="SGH23"/>
      <c r="SGI23"/>
      <c r="SGJ23"/>
      <c r="SGK23"/>
      <c r="SGL23"/>
      <c r="SGM23"/>
      <c r="SGN23"/>
      <c r="SGO23"/>
      <c r="SGP23"/>
      <c r="SGQ23"/>
      <c r="SGR23"/>
      <c r="SGS23"/>
      <c r="SGT23"/>
      <c r="SGU23"/>
      <c r="SGV23"/>
      <c r="SGW23"/>
      <c r="SGX23"/>
      <c r="SGY23"/>
      <c r="SGZ23"/>
      <c r="SHA23"/>
      <c r="SHB23"/>
      <c r="SHC23"/>
      <c r="SHD23"/>
      <c r="SHE23"/>
      <c r="SHF23"/>
      <c r="SHG23"/>
      <c r="SHH23"/>
      <c r="SHI23"/>
      <c r="SHJ23"/>
      <c r="SHK23"/>
      <c r="SHL23"/>
      <c r="SHM23"/>
      <c r="SHN23"/>
      <c r="SHO23"/>
      <c r="SHP23"/>
      <c r="SHQ23"/>
      <c r="SHR23"/>
      <c r="SHS23"/>
      <c r="SHT23"/>
      <c r="SHU23"/>
      <c r="SHV23"/>
      <c r="SHW23"/>
      <c r="SHX23"/>
      <c r="SHY23"/>
      <c r="SHZ23"/>
      <c r="SIA23"/>
      <c r="SIB23"/>
      <c r="SIC23"/>
      <c r="SID23"/>
      <c r="SIE23"/>
      <c r="SIF23"/>
      <c r="SIG23"/>
      <c r="SIH23"/>
      <c r="SII23"/>
      <c r="SIJ23"/>
      <c r="SIK23"/>
      <c r="SIL23"/>
      <c r="SIM23"/>
      <c r="SIN23"/>
      <c r="SIO23"/>
      <c r="SIP23"/>
      <c r="SIQ23"/>
      <c r="SIR23"/>
      <c r="SIS23"/>
      <c r="SIT23"/>
      <c r="SIU23"/>
      <c r="SIV23"/>
      <c r="SIW23"/>
      <c r="SIX23"/>
      <c r="SIY23"/>
      <c r="SIZ23"/>
      <c r="SJA23"/>
      <c r="SJB23"/>
      <c r="SJC23"/>
      <c r="SJD23"/>
      <c r="SJE23"/>
      <c r="SJF23"/>
      <c r="SJG23"/>
      <c r="SJH23"/>
      <c r="SJI23"/>
      <c r="SJJ23"/>
      <c r="SJK23"/>
      <c r="SJL23"/>
      <c r="SJM23"/>
      <c r="SJN23"/>
      <c r="SJO23"/>
      <c r="SJP23"/>
      <c r="SJQ23"/>
      <c r="SJR23"/>
      <c r="SJS23"/>
      <c r="SJT23"/>
      <c r="SJU23"/>
      <c r="SJV23"/>
      <c r="SJW23"/>
      <c r="SJX23"/>
      <c r="SJY23"/>
      <c r="SJZ23"/>
      <c r="SKA23"/>
      <c r="SKB23"/>
      <c r="SKC23"/>
      <c r="SKD23"/>
      <c r="SKE23"/>
      <c r="SKF23"/>
      <c r="SKG23"/>
      <c r="SKH23"/>
      <c r="SKI23"/>
      <c r="SKJ23"/>
      <c r="SKK23"/>
      <c r="SKL23"/>
      <c r="SKM23"/>
      <c r="SKN23"/>
      <c r="SKO23"/>
      <c r="SKP23"/>
      <c r="SKQ23"/>
      <c r="SKR23"/>
      <c r="SKS23"/>
      <c r="SKT23"/>
      <c r="SKU23"/>
      <c r="SKV23"/>
      <c r="SKW23"/>
      <c r="SKX23"/>
      <c r="SKY23"/>
      <c r="SKZ23"/>
      <c r="SLA23"/>
      <c r="SLB23"/>
      <c r="SLC23"/>
      <c r="SLD23"/>
      <c r="SLE23"/>
      <c r="SLF23"/>
      <c r="SLG23"/>
      <c r="SLH23"/>
      <c r="SLI23"/>
      <c r="SLJ23"/>
      <c r="SLK23"/>
      <c r="SLL23"/>
      <c r="SLM23"/>
      <c r="SLN23"/>
      <c r="SLO23"/>
      <c r="SLP23"/>
      <c r="SLQ23"/>
      <c r="SLR23"/>
      <c r="SLS23"/>
      <c r="SLT23"/>
      <c r="SLU23"/>
      <c r="SLV23"/>
      <c r="SLW23"/>
      <c r="SLX23"/>
      <c r="SLY23"/>
      <c r="SLZ23"/>
      <c r="SMA23"/>
      <c r="SMB23"/>
      <c r="SMC23"/>
      <c r="SMD23"/>
      <c r="SME23"/>
      <c r="SMF23"/>
      <c r="SMG23"/>
      <c r="SMH23"/>
      <c r="SMI23"/>
      <c r="SMJ23"/>
      <c r="SMK23"/>
      <c r="SML23"/>
      <c r="SMM23"/>
      <c r="SMN23"/>
      <c r="SMO23"/>
      <c r="SMP23"/>
      <c r="SMQ23"/>
      <c r="SMR23"/>
      <c r="SMS23"/>
      <c r="SMT23"/>
      <c r="SMU23"/>
      <c r="SMV23"/>
      <c r="SMW23"/>
      <c r="SMX23"/>
      <c r="SMY23"/>
      <c r="SMZ23"/>
      <c r="SNA23"/>
      <c r="SNB23"/>
      <c r="SNC23"/>
      <c r="SND23"/>
      <c r="SNE23"/>
      <c r="SNF23"/>
      <c r="SNG23"/>
      <c r="SNH23"/>
      <c r="SNI23"/>
      <c r="SNJ23"/>
      <c r="SNK23"/>
      <c r="SNL23"/>
      <c r="SNM23"/>
      <c r="SNN23"/>
      <c r="SNO23"/>
      <c r="SNP23"/>
      <c r="SNQ23"/>
      <c r="SNR23"/>
      <c r="SNS23"/>
      <c r="SNT23"/>
      <c r="SNU23"/>
      <c r="SNV23"/>
      <c r="SNW23"/>
      <c r="SNX23"/>
      <c r="SNY23"/>
      <c r="SNZ23"/>
      <c r="SOA23"/>
      <c r="SOB23"/>
      <c r="SOC23"/>
      <c r="SOD23"/>
      <c r="SOE23"/>
      <c r="SOF23"/>
      <c r="SOG23"/>
      <c r="SOH23"/>
      <c r="SOI23"/>
      <c r="SOJ23"/>
      <c r="SOK23"/>
      <c r="SOL23"/>
      <c r="SOM23"/>
      <c r="SON23"/>
      <c r="SOO23"/>
      <c r="SOP23"/>
      <c r="SOQ23"/>
      <c r="SOR23"/>
      <c r="SOS23"/>
      <c r="SOT23"/>
      <c r="SOU23"/>
      <c r="SOV23"/>
      <c r="SOW23"/>
      <c r="SOX23"/>
      <c r="SOY23"/>
      <c r="SOZ23"/>
      <c r="SPA23"/>
      <c r="SPB23"/>
      <c r="SPC23"/>
      <c r="SPD23"/>
      <c r="SPE23"/>
      <c r="SPF23"/>
      <c r="SPG23"/>
      <c r="SPH23"/>
      <c r="SPI23"/>
      <c r="SPJ23"/>
      <c r="SPK23"/>
      <c r="SPL23"/>
      <c r="SPM23"/>
      <c r="SPN23"/>
      <c r="SPO23"/>
      <c r="SPP23"/>
      <c r="SPQ23"/>
      <c r="SPR23"/>
      <c r="SPS23"/>
      <c r="SPT23"/>
      <c r="SPU23"/>
      <c r="SPV23"/>
      <c r="SPW23"/>
      <c r="SPX23"/>
      <c r="SPY23"/>
      <c r="SPZ23"/>
      <c r="SQA23"/>
      <c r="SQB23"/>
      <c r="SQC23"/>
      <c r="SQD23"/>
      <c r="SQE23"/>
      <c r="SQF23"/>
      <c r="SQG23"/>
      <c r="SQH23"/>
      <c r="SQI23"/>
      <c r="SQJ23"/>
      <c r="SQK23"/>
      <c r="SQL23"/>
      <c r="SQM23"/>
      <c r="SQN23"/>
      <c r="SQO23"/>
      <c r="SQP23"/>
      <c r="SQQ23"/>
      <c r="SQR23"/>
      <c r="SQS23"/>
      <c r="SQT23"/>
      <c r="SQU23"/>
      <c r="SQV23"/>
      <c r="SQW23"/>
      <c r="SQX23"/>
      <c r="SQY23"/>
      <c r="SQZ23"/>
      <c r="SRA23"/>
      <c r="SRB23"/>
      <c r="SRC23"/>
      <c r="SRD23"/>
      <c r="SRE23"/>
      <c r="SRF23"/>
      <c r="SRG23"/>
      <c r="SRH23"/>
      <c r="SRI23"/>
      <c r="SRJ23"/>
      <c r="SRK23"/>
      <c r="SRL23"/>
      <c r="SRM23"/>
      <c r="SRN23"/>
      <c r="SRO23"/>
      <c r="SRP23"/>
      <c r="SRQ23"/>
      <c r="SRR23"/>
      <c r="SRS23"/>
      <c r="SRT23"/>
      <c r="SRU23"/>
      <c r="SRV23"/>
      <c r="SRW23"/>
      <c r="SRX23"/>
      <c r="SRY23"/>
      <c r="SRZ23"/>
      <c r="SSA23"/>
      <c r="SSB23"/>
      <c r="SSC23"/>
      <c r="SSD23"/>
      <c r="SSE23"/>
      <c r="SSF23"/>
      <c r="SSG23"/>
      <c r="SSH23"/>
      <c r="SSI23"/>
      <c r="SSJ23"/>
      <c r="SSK23"/>
      <c r="SSL23"/>
      <c r="SSM23"/>
      <c r="SSN23"/>
      <c r="SSO23"/>
      <c r="SSP23"/>
      <c r="SSQ23"/>
      <c r="SSR23"/>
      <c r="SSS23"/>
      <c r="SST23"/>
      <c r="SSU23"/>
      <c r="SSV23"/>
      <c r="SSW23"/>
      <c r="SSX23"/>
      <c r="SSY23"/>
      <c r="SSZ23"/>
      <c r="STA23"/>
      <c r="STB23"/>
      <c r="STC23"/>
      <c r="STD23"/>
      <c r="STE23"/>
      <c r="STF23"/>
      <c r="STG23"/>
      <c r="STH23"/>
      <c r="STI23"/>
      <c r="STJ23"/>
      <c r="STK23"/>
      <c r="STL23"/>
      <c r="STM23"/>
      <c r="STN23"/>
      <c r="STO23"/>
      <c r="STP23"/>
      <c r="STQ23"/>
      <c r="STR23"/>
      <c r="STS23"/>
      <c r="STT23"/>
      <c r="STU23"/>
      <c r="STV23"/>
      <c r="STW23"/>
      <c r="STX23"/>
      <c r="STY23"/>
      <c r="STZ23"/>
      <c r="SUA23"/>
      <c r="SUB23"/>
      <c r="SUC23"/>
      <c r="SUD23"/>
      <c r="SUE23"/>
      <c r="SUF23"/>
      <c r="SUG23"/>
      <c r="SUH23"/>
      <c r="SUI23"/>
      <c r="SUJ23"/>
      <c r="SUK23"/>
      <c r="SUL23"/>
      <c r="SUM23"/>
      <c r="SUN23"/>
      <c r="SUO23"/>
      <c r="SUP23"/>
      <c r="SUQ23"/>
      <c r="SUR23"/>
      <c r="SUS23"/>
      <c r="SUT23"/>
      <c r="SUU23"/>
      <c r="SUV23"/>
      <c r="SUW23"/>
      <c r="SUX23"/>
      <c r="SUY23"/>
      <c r="SUZ23"/>
      <c r="SVA23"/>
      <c r="SVB23"/>
      <c r="SVC23"/>
      <c r="SVD23"/>
      <c r="SVE23"/>
      <c r="SVF23"/>
      <c r="SVG23"/>
      <c r="SVH23"/>
      <c r="SVI23"/>
      <c r="SVJ23"/>
      <c r="SVK23"/>
      <c r="SVL23"/>
      <c r="SVM23"/>
      <c r="SVN23"/>
      <c r="SVO23"/>
      <c r="SVP23"/>
      <c r="SVQ23"/>
      <c r="SVR23"/>
      <c r="SVS23"/>
      <c r="SVT23"/>
      <c r="SVU23"/>
      <c r="SVV23"/>
      <c r="SVW23"/>
      <c r="SVX23"/>
      <c r="SVY23"/>
      <c r="SVZ23"/>
      <c r="SWA23"/>
      <c r="SWB23"/>
      <c r="SWC23"/>
      <c r="SWD23"/>
      <c r="SWE23"/>
      <c r="SWF23"/>
      <c r="SWG23"/>
      <c r="SWH23"/>
      <c r="SWI23"/>
      <c r="SWJ23"/>
      <c r="SWK23"/>
      <c r="SWL23"/>
      <c r="SWM23"/>
      <c r="SWN23"/>
      <c r="SWO23"/>
      <c r="SWP23"/>
      <c r="SWQ23"/>
      <c r="SWR23"/>
      <c r="SWS23"/>
      <c r="SWT23"/>
      <c r="SWU23"/>
      <c r="SWV23"/>
      <c r="SWW23"/>
      <c r="SWX23"/>
      <c r="SWY23"/>
      <c r="SWZ23"/>
      <c r="SXA23"/>
      <c r="SXB23"/>
      <c r="SXC23"/>
      <c r="SXD23"/>
      <c r="SXE23"/>
      <c r="SXF23"/>
      <c r="SXG23"/>
      <c r="SXH23"/>
      <c r="SXI23"/>
      <c r="SXJ23"/>
      <c r="SXK23"/>
      <c r="SXL23"/>
      <c r="SXM23"/>
      <c r="SXN23"/>
      <c r="SXO23"/>
      <c r="SXP23"/>
      <c r="SXQ23"/>
      <c r="SXR23"/>
      <c r="SXS23"/>
      <c r="SXT23"/>
      <c r="SXU23"/>
      <c r="SXV23"/>
      <c r="SXW23"/>
      <c r="SXX23"/>
      <c r="SXY23"/>
      <c r="SXZ23"/>
      <c r="SYA23"/>
      <c r="SYB23"/>
      <c r="SYC23"/>
      <c r="SYD23"/>
      <c r="SYE23"/>
      <c r="SYF23"/>
      <c r="SYG23"/>
      <c r="SYH23"/>
      <c r="SYI23"/>
      <c r="SYJ23"/>
      <c r="SYK23"/>
      <c r="SYL23"/>
      <c r="SYM23"/>
      <c r="SYN23"/>
      <c r="SYO23"/>
      <c r="SYP23"/>
      <c r="SYQ23"/>
      <c r="SYR23"/>
      <c r="SYS23"/>
      <c r="SYT23"/>
      <c r="SYU23"/>
      <c r="SYV23"/>
      <c r="SYW23"/>
      <c r="SYX23"/>
      <c r="SYY23"/>
      <c r="SYZ23"/>
      <c r="SZA23"/>
      <c r="SZB23"/>
      <c r="SZC23"/>
      <c r="SZD23"/>
      <c r="SZE23"/>
      <c r="SZF23"/>
      <c r="SZG23"/>
      <c r="SZH23"/>
      <c r="SZI23"/>
      <c r="SZJ23"/>
      <c r="SZK23"/>
      <c r="SZL23"/>
      <c r="SZM23"/>
      <c r="SZN23"/>
      <c r="SZO23"/>
      <c r="SZP23"/>
      <c r="SZQ23"/>
      <c r="SZR23"/>
      <c r="SZS23"/>
      <c r="SZT23"/>
      <c r="SZU23"/>
      <c r="SZV23"/>
      <c r="SZW23"/>
      <c r="SZX23"/>
      <c r="SZY23"/>
      <c r="SZZ23"/>
      <c r="TAA23"/>
      <c r="TAB23"/>
      <c r="TAC23"/>
      <c r="TAD23"/>
      <c r="TAE23"/>
      <c r="TAF23"/>
      <c r="TAG23"/>
      <c r="TAH23"/>
      <c r="TAI23"/>
      <c r="TAJ23"/>
      <c r="TAK23"/>
      <c r="TAL23"/>
      <c r="TAM23"/>
      <c r="TAN23"/>
      <c r="TAO23"/>
      <c r="TAP23"/>
      <c r="TAQ23"/>
      <c r="TAR23"/>
      <c r="TAS23"/>
      <c r="TAT23"/>
      <c r="TAU23"/>
      <c r="TAV23"/>
      <c r="TAW23"/>
      <c r="TAX23"/>
      <c r="TAY23"/>
      <c r="TAZ23"/>
      <c r="TBA23"/>
      <c r="TBB23"/>
      <c r="TBC23"/>
      <c r="TBD23"/>
      <c r="TBE23"/>
      <c r="TBF23"/>
      <c r="TBG23"/>
      <c r="TBH23"/>
      <c r="TBI23"/>
      <c r="TBJ23"/>
      <c r="TBK23"/>
      <c r="TBL23"/>
      <c r="TBM23"/>
      <c r="TBN23"/>
      <c r="TBO23"/>
      <c r="TBP23"/>
      <c r="TBQ23"/>
      <c r="TBR23"/>
      <c r="TBS23"/>
      <c r="TBT23"/>
      <c r="TBU23"/>
      <c r="TBV23"/>
      <c r="TBW23"/>
      <c r="TBX23"/>
      <c r="TBY23"/>
      <c r="TBZ23"/>
      <c r="TCA23"/>
      <c r="TCB23"/>
      <c r="TCC23"/>
      <c r="TCD23"/>
      <c r="TCE23"/>
      <c r="TCF23"/>
      <c r="TCG23"/>
      <c r="TCH23"/>
      <c r="TCI23"/>
      <c r="TCJ23"/>
      <c r="TCK23"/>
      <c r="TCL23"/>
      <c r="TCM23"/>
      <c r="TCN23"/>
      <c r="TCO23"/>
      <c r="TCP23"/>
      <c r="TCQ23"/>
      <c r="TCR23"/>
      <c r="TCS23"/>
      <c r="TCT23"/>
      <c r="TCU23"/>
      <c r="TCV23"/>
      <c r="TCW23"/>
      <c r="TCX23"/>
      <c r="TCY23"/>
      <c r="TCZ23"/>
      <c r="TDA23"/>
      <c r="TDB23"/>
      <c r="TDC23"/>
      <c r="TDD23"/>
      <c r="TDE23"/>
      <c r="TDF23"/>
      <c r="TDG23"/>
      <c r="TDH23"/>
      <c r="TDI23"/>
      <c r="TDJ23"/>
      <c r="TDK23"/>
      <c r="TDL23"/>
      <c r="TDM23"/>
      <c r="TDN23"/>
      <c r="TDO23"/>
      <c r="TDP23"/>
      <c r="TDQ23"/>
      <c r="TDR23"/>
      <c r="TDS23"/>
      <c r="TDT23"/>
      <c r="TDU23"/>
      <c r="TDV23"/>
      <c r="TDW23"/>
      <c r="TDX23"/>
      <c r="TDY23"/>
      <c r="TDZ23"/>
      <c r="TEA23"/>
      <c r="TEB23"/>
      <c r="TEC23"/>
      <c r="TED23"/>
      <c r="TEE23"/>
      <c r="TEF23"/>
      <c r="TEG23"/>
      <c r="TEH23"/>
      <c r="TEI23"/>
      <c r="TEJ23"/>
      <c r="TEK23"/>
      <c r="TEL23"/>
      <c r="TEM23"/>
      <c r="TEN23"/>
      <c r="TEO23"/>
      <c r="TEP23"/>
      <c r="TEQ23"/>
      <c r="TER23"/>
      <c r="TES23"/>
      <c r="TET23"/>
      <c r="TEU23"/>
      <c r="TEV23"/>
      <c r="TEW23"/>
      <c r="TEX23"/>
      <c r="TEY23"/>
      <c r="TEZ23"/>
      <c r="TFA23"/>
      <c r="TFB23"/>
      <c r="TFC23"/>
      <c r="TFD23"/>
      <c r="TFE23"/>
      <c r="TFF23"/>
      <c r="TFG23"/>
      <c r="TFH23"/>
      <c r="TFI23"/>
      <c r="TFJ23"/>
      <c r="TFK23"/>
      <c r="TFL23"/>
      <c r="TFM23"/>
      <c r="TFN23"/>
      <c r="TFO23"/>
      <c r="TFP23"/>
      <c r="TFQ23"/>
      <c r="TFR23"/>
      <c r="TFS23"/>
      <c r="TFT23"/>
      <c r="TFU23"/>
      <c r="TFV23"/>
      <c r="TFW23"/>
      <c r="TFX23"/>
      <c r="TFY23"/>
      <c r="TFZ23"/>
      <c r="TGA23"/>
      <c r="TGB23"/>
      <c r="TGC23"/>
      <c r="TGD23"/>
      <c r="TGE23"/>
      <c r="TGF23"/>
      <c r="TGG23"/>
      <c r="TGH23"/>
      <c r="TGI23"/>
      <c r="TGJ23"/>
      <c r="TGK23"/>
      <c r="TGL23"/>
      <c r="TGM23"/>
      <c r="TGN23"/>
      <c r="TGO23"/>
      <c r="TGP23"/>
      <c r="TGQ23"/>
      <c r="TGR23"/>
      <c r="TGS23"/>
      <c r="TGT23"/>
      <c r="TGU23"/>
      <c r="TGV23"/>
      <c r="TGW23"/>
      <c r="TGX23"/>
      <c r="TGY23"/>
      <c r="TGZ23"/>
      <c r="THA23"/>
      <c r="THB23"/>
      <c r="THC23"/>
      <c r="THD23"/>
      <c r="THE23"/>
      <c r="THF23"/>
      <c r="THG23"/>
      <c r="THH23"/>
      <c r="THI23"/>
      <c r="THJ23"/>
      <c r="THK23"/>
      <c r="THL23"/>
      <c r="THM23"/>
      <c r="THN23"/>
      <c r="THO23"/>
      <c r="THP23"/>
      <c r="THQ23"/>
      <c r="THR23"/>
      <c r="THS23"/>
      <c r="THT23"/>
      <c r="THU23"/>
      <c r="THV23"/>
      <c r="THW23"/>
      <c r="THX23"/>
      <c r="THY23"/>
      <c r="THZ23"/>
      <c r="TIA23"/>
      <c r="TIB23"/>
      <c r="TIC23"/>
      <c r="TID23"/>
      <c r="TIE23"/>
      <c r="TIF23"/>
      <c r="TIG23"/>
      <c r="TIH23"/>
      <c r="TII23"/>
      <c r="TIJ23"/>
      <c r="TIK23"/>
      <c r="TIL23"/>
      <c r="TIM23"/>
      <c r="TIN23"/>
      <c r="TIO23"/>
      <c r="TIP23"/>
      <c r="TIQ23"/>
      <c r="TIR23"/>
      <c r="TIS23"/>
      <c r="TIT23"/>
      <c r="TIU23"/>
      <c r="TIV23"/>
      <c r="TIW23"/>
      <c r="TIX23"/>
      <c r="TIY23"/>
      <c r="TIZ23"/>
      <c r="TJA23"/>
      <c r="TJB23"/>
      <c r="TJC23"/>
      <c r="TJD23"/>
      <c r="TJE23"/>
      <c r="TJF23"/>
      <c r="TJG23"/>
      <c r="TJH23"/>
      <c r="TJI23"/>
      <c r="TJJ23"/>
      <c r="TJK23"/>
      <c r="TJL23"/>
      <c r="TJM23"/>
      <c r="TJN23"/>
      <c r="TJO23"/>
      <c r="TJP23"/>
      <c r="TJQ23"/>
      <c r="TJR23"/>
      <c r="TJS23"/>
      <c r="TJT23"/>
      <c r="TJU23"/>
      <c r="TJV23"/>
      <c r="TJW23"/>
      <c r="TJX23"/>
      <c r="TJY23"/>
      <c r="TJZ23"/>
      <c r="TKA23"/>
      <c r="TKB23"/>
      <c r="TKC23"/>
      <c r="TKD23"/>
      <c r="TKE23"/>
      <c r="TKF23"/>
      <c r="TKG23"/>
      <c r="TKH23"/>
      <c r="TKI23"/>
      <c r="TKJ23"/>
      <c r="TKK23"/>
      <c r="TKL23"/>
      <c r="TKM23"/>
      <c r="TKN23"/>
      <c r="TKO23"/>
      <c r="TKP23"/>
      <c r="TKQ23"/>
      <c r="TKR23"/>
      <c r="TKS23"/>
      <c r="TKT23"/>
      <c r="TKU23"/>
      <c r="TKV23"/>
      <c r="TKW23"/>
      <c r="TKX23"/>
      <c r="TKY23"/>
      <c r="TKZ23"/>
      <c r="TLA23"/>
      <c r="TLB23"/>
      <c r="TLC23"/>
      <c r="TLD23"/>
      <c r="TLE23"/>
      <c r="TLF23"/>
      <c r="TLG23"/>
      <c r="TLH23"/>
      <c r="TLI23"/>
      <c r="TLJ23"/>
      <c r="TLK23"/>
      <c r="TLL23"/>
      <c r="TLM23"/>
      <c r="TLN23"/>
      <c r="TLO23"/>
      <c r="TLP23"/>
      <c r="TLQ23"/>
      <c r="TLR23"/>
      <c r="TLS23"/>
      <c r="TLT23"/>
      <c r="TLU23"/>
      <c r="TLV23"/>
      <c r="TLW23"/>
      <c r="TLX23"/>
      <c r="TLY23"/>
      <c r="TLZ23"/>
      <c r="TMA23"/>
      <c r="TMB23"/>
      <c r="TMC23"/>
      <c r="TMD23"/>
      <c r="TME23"/>
      <c r="TMF23"/>
      <c r="TMG23"/>
      <c r="TMH23"/>
      <c r="TMI23"/>
      <c r="TMJ23"/>
      <c r="TMK23"/>
      <c r="TML23"/>
      <c r="TMM23"/>
      <c r="TMN23"/>
      <c r="TMO23"/>
      <c r="TMP23"/>
      <c r="TMQ23"/>
      <c r="TMR23"/>
      <c r="TMS23"/>
      <c r="TMT23"/>
      <c r="TMU23"/>
      <c r="TMV23"/>
      <c r="TMW23"/>
      <c r="TMX23"/>
      <c r="TMY23"/>
      <c r="TMZ23"/>
      <c r="TNA23"/>
      <c r="TNB23"/>
      <c r="TNC23"/>
      <c r="TND23"/>
      <c r="TNE23"/>
      <c r="TNF23"/>
      <c r="TNG23"/>
      <c r="TNH23"/>
      <c r="TNI23"/>
      <c r="TNJ23"/>
      <c r="TNK23"/>
      <c r="TNL23"/>
      <c r="TNM23"/>
      <c r="TNN23"/>
      <c r="TNO23"/>
      <c r="TNP23"/>
      <c r="TNQ23"/>
      <c r="TNR23"/>
      <c r="TNS23"/>
      <c r="TNT23"/>
      <c r="TNU23"/>
      <c r="TNV23"/>
      <c r="TNW23"/>
      <c r="TNX23"/>
      <c r="TNY23"/>
      <c r="TNZ23"/>
      <c r="TOA23"/>
      <c r="TOB23"/>
      <c r="TOC23"/>
      <c r="TOD23"/>
      <c r="TOE23"/>
      <c r="TOF23"/>
      <c r="TOG23"/>
      <c r="TOH23"/>
      <c r="TOI23"/>
      <c r="TOJ23"/>
      <c r="TOK23"/>
      <c r="TOL23"/>
      <c r="TOM23"/>
      <c r="TON23"/>
      <c r="TOO23"/>
      <c r="TOP23"/>
      <c r="TOQ23"/>
      <c r="TOR23"/>
      <c r="TOS23"/>
      <c r="TOT23"/>
      <c r="TOU23"/>
      <c r="TOV23"/>
      <c r="TOW23"/>
      <c r="TOX23"/>
      <c r="TOY23"/>
      <c r="TOZ23"/>
      <c r="TPA23"/>
      <c r="TPB23"/>
      <c r="TPC23"/>
      <c r="TPD23"/>
      <c r="TPE23"/>
      <c r="TPF23"/>
      <c r="TPG23"/>
      <c r="TPH23"/>
      <c r="TPI23"/>
      <c r="TPJ23"/>
      <c r="TPK23"/>
      <c r="TPL23"/>
      <c r="TPM23"/>
      <c r="TPN23"/>
      <c r="TPO23"/>
      <c r="TPP23"/>
      <c r="TPQ23"/>
      <c r="TPR23"/>
      <c r="TPS23"/>
      <c r="TPT23"/>
      <c r="TPU23"/>
      <c r="TPV23"/>
      <c r="TPW23"/>
      <c r="TPX23"/>
      <c r="TPY23"/>
      <c r="TPZ23"/>
      <c r="TQA23"/>
      <c r="TQB23"/>
      <c r="TQC23"/>
      <c r="TQD23"/>
      <c r="TQE23"/>
      <c r="TQF23"/>
      <c r="TQG23"/>
      <c r="TQH23"/>
      <c r="TQI23"/>
      <c r="TQJ23"/>
      <c r="TQK23"/>
      <c r="TQL23"/>
      <c r="TQM23"/>
      <c r="TQN23"/>
      <c r="TQO23"/>
      <c r="TQP23"/>
      <c r="TQQ23"/>
      <c r="TQR23"/>
      <c r="TQS23"/>
      <c r="TQT23"/>
      <c r="TQU23"/>
      <c r="TQV23"/>
      <c r="TQW23"/>
      <c r="TQX23"/>
      <c r="TQY23"/>
      <c r="TQZ23"/>
      <c r="TRA23"/>
      <c r="TRB23"/>
      <c r="TRC23"/>
      <c r="TRD23"/>
      <c r="TRE23"/>
      <c r="TRF23"/>
      <c r="TRG23"/>
      <c r="TRH23"/>
      <c r="TRI23"/>
      <c r="TRJ23"/>
      <c r="TRK23"/>
      <c r="TRL23"/>
      <c r="TRM23"/>
      <c r="TRN23"/>
      <c r="TRO23"/>
      <c r="TRP23"/>
      <c r="TRQ23"/>
      <c r="TRR23"/>
      <c r="TRS23"/>
      <c r="TRT23"/>
      <c r="TRU23"/>
      <c r="TRV23"/>
      <c r="TRW23"/>
      <c r="TRX23"/>
      <c r="TRY23"/>
      <c r="TRZ23"/>
      <c r="TSA23"/>
      <c r="TSB23"/>
      <c r="TSC23"/>
      <c r="TSD23"/>
      <c r="TSE23"/>
      <c r="TSF23"/>
      <c r="TSG23"/>
      <c r="TSH23"/>
      <c r="TSI23"/>
      <c r="TSJ23"/>
      <c r="TSK23"/>
      <c r="TSL23"/>
      <c r="TSM23"/>
      <c r="TSN23"/>
      <c r="TSO23"/>
      <c r="TSP23"/>
      <c r="TSQ23"/>
      <c r="TSR23"/>
      <c r="TSS23"/>
      <c r="TST23"/>
      <c r="TSU23"/>
      <c r="TSV23"/>
      <c r="TSW23"/>
      <c r="TSX23"/>
      <c r="TSY23"/>
      <c r="TSZ23"/>
      <c r="TTA23"/>
      <c r="TTB23"/>
      <c r="TTC23"/>
      <c r="TTD23"/>
      <c r="TTE23"/>
      <c r="TTF23"/>
      <c r="TTG23"/>
      <c r="TTH23"/>
      <c r="TTI23"/>
      <c r="TTJ23"/>
      <c r="TTK23"/>
      <c r="TTL23"/>
      <c r="TTM23"/>
      <c r="TTN23"/>
      <c r="TTO23"/>
      <c r="TTP23"/>
      <c r="TTQ23"/>
      <c r="TTR23"/>
      <c r="TTS23"/>
      <c r="TTT23"/>
      <c r="TTU23"/>
      <c r="TTV23"/>
      <c r="TTW23"/>
      <c r="TTX23"/>
      <c r="TTY23"/>
      <c r="TTZ23"/>
      <c r="TUA23"/>
      <c r="TUB23"/>
      <c r="TUC23"/>
      <c r="TUD23"/>
      <c r="TUE23"/>
      <c r="TUF23"/>
      <c r="TUG23"/>
      <c r="TUH23"/>
      <c r="TUI23"/>
      <c r="TUJ23"/>
      <c r="TUK23"/>
      <c r="TUL23"/>
      <c r="TUM23"/>
      <c r="TUN23"/>
      <c r="TUO23"/>
      <c r="TUP23"/>
      <c r="TUQ23"/>
      <c r="TUR23"/>
      <c r="TUS23"/>
      <c r="TUT23"/>
      <c r="TUU23"/>
      <c r="TUV23"/>
      <c r="TUW23"/>
      <c r="TUX23"/>
      <c r="TUY23"/>
      <c r="TUZ23"/>
      <c r="TVA23"/>
      <c r="TVB23"/>
      <c r="TVC23"/>
      <c r="TVD23"/>
      <c r="TVE23"/>
      <c r="TVF23"/>
      <c r="TVG23"/>
      <c r="TVH23"/>
      <c r="TVI23"/>
      <c r="TVJ23"/>
      <c r="TVK23"/>
      <c r="TVL23"/>
      <c r="TVM23"/>
      <c r="TVN23"/>
      <c r="TVO23"/>
      <c r="TVP23"/>
      <c r="TVQ23"/>
      <c r="TVR23"/>
      <c r="TVS23"/>
      <c r="TVT23"/>
      <c r="TVU23"/>
      <c r="TVV23"/>
      <c r="TVW23"/>
      <c r="TVX23"/>
      <c r="TVY23"/>
      <c r="TVZ23"/>
      <c r="TWA23"/>
      <c r="TWB23"/>
      <c r="TWC23"/>
      <c r="TWD23"/>
      <c r="TWE23"/>
      <c r="TWF23"/>
      <c r="TWG23"/>
      <c r="TWH23"/>
      <c r="TWI23"/>
      <c r="TWJ23"/>
      <c r="TWK23"/>
      <c r="TWL23"/>
      <c r="TWM23"/>
      <c r="TWN23"/>
      <c r="TWO23"/>
      <c r="TWP23"/>
      <c r="TWQ23"/>
      <c r="TWR23"/>
      <c r="TWS23"/>
      <c r="TWT23"/>
      <c r="TWU23"/>
      <c r="TWV23"/>
      <c r="TWW23"/>
      <c r="TWX23"/>
      <c r="TWY23"/>
      <c r="TWZ23"/>
      <c r="TXA23"/>
      <c r="TXB23"/>
      <c r="TXC23"/>
      <c r="TXD23"/>
      <c r="TXE23"/>
      <c r="TXF23"/>
      <c r="TXG23"/>
      <c r="TXH23"/>
      <c r="TXI23"/>
      <c r="TXJ23"/>
      <c r="TXK23"/>
      <c r="TXL23"/>
      <c r="TXM23"/>
      <c r="TXN23"/>
      <c r="TXO23"/>
      <c r="TXP23"/>
      <c r="TXQ23"/>
      <c r="TXR23"/>
      <c r="TXS23"/>
      <c r="TXT23"/>
      <c r="TXU23"/>
      <c r="TXV23"/>
      <c r="TXW23"/>
      <c r="TXX23"/>
      <c r="TXY23"/>
      <c r="TXZ23"/>
      <c r="TYA23"/>
      <c r="TYB23"/>
      <c r="TYC23"/>
      <c r="TYD23"/>
      <c r="TYE23"/>
      <c r="TYF23"/>
      <c r="TYG23"/>
      <c r="TYH23"/>
      <c r="TYI23"/>
      <c r="TYJ23"/>
      <c r="TYK23"/>
      <c r="TYL23"/>
      <c r="TYM23"/>
      <c r="TYN23"/>
      <c r="TYO23"/>
      <c r="TYP23"/>
      <c r="TYQ23"/>
      <c r="TYR23"/>
      <c r="TYS23"/>
      <c r="TYT23"/>
      <c r="TYU23"/>
      <c r="TYV23"/>
      <c r="TYW23"/>
      <c r="TYX23"/>
      <c r="TYY23"/>
      <c r="TYZ23"/>
      <c r="TZA23"/>
      <c r="TZB23"/>
      <c r="TZC23"/>
      <c r="TZD23"/>
      <c r="TZE23"/>
      <c r="TZF23"/>
      <c r="TZG23"/>
      <c r="TZH23"/>
      <c r="TZI23"/>
      <c r="TZJ23"/>
      <c r="TZK23"/>
      <c r="TZL23"/>
      <c r="TZM23"/>
      <c r="TZN23"/>
      <c r="TZO23"/>
      <c r="TZP23"/>
      <c r="TZQ23"/>
      <c r="TZR23"/>
      <c r="TZS23"/>
      <c r="TZT23"/>
      <c r="TZU23"/>
      <c r="TZV23"/>
      <c r="TZW23"/>
      <c r="TZX23"/>
      <c r="TZY23"/>
      <c r="TZZ23"/>
      <c r="UAA23"/>
      <c r="UAB23"/>
      <c r="UAC23"/>
      <c r="UAD23"/>
      <c r="UAE23"/>
      <c r="UAF23"/>
      <c r="UAG23"/>
      <c r="UAH23"/>
      <c r="UAI23"/>
      <c r="UAJ23"/>
      <c r="UAK23"/>
      <c r="UAL23"/>
      <c r="UAM23"/>
      <c r="UAN23"/>
      <c r="UAO23"/>
      <c r="UAP23"/>
      <c r="UAQ23"/>
      <c r="UAR23"/>
      <c r="UAS23"/>
      <c r="UAT23"/>
      <c r="UAU23"/>
      <c r="UAV23"/>
      <c r="UAW23"/>
      <c r="UAX23"/>
      <c r="UAY23"/>
      <c r="UAZ23"/>
      <c r="UBA23"/>
      <c r="UBB23"/>
      <c r="UBC23"/>
      <c r="UBD23"/>
      <c r="UBE23"/>
      <c r="UBF23"/>
      <c r="UBG23"/>
      <c r="UBH23"/>
      <c r="UBI23"/>
      <c r="UBJ23"/>
      <c r="UBK23"/>
      <c r="UBL23"/>
      <c r="UBM23"/>
      <c r="UBN23"/>
      <c r="UBO23"/>
      <c r="UBP23"/>
      <c r="UBQ23"/>
      <c r="UBR23"/>
      <c r="UBS23"/>
      <c r="UBT23"/>
      <c r="UBU23"/>
      <c r="UBV23"/>
      <c r="UBW23"/>
      <c r="UBX23"/>
      <c r="UBY23"/>
      <c r="UBZ23"/>
      <c r="UCA23"/>
      <c r="UCB23"/>
      <c r="UCC23"/>
      <c r="UCD23"/>
      <c r="UCE23"/>
      <c r="UCF23"/>
      <c r="UCG23"/>
      <c r="UCH23"/>
      <c r="UCI23"/>
      <c r="UCJ23"/>
      <c r="UCK23"/>
      <c r="UCL23"/>
      <c r="UCM23"/>
      <c r="UCN23"/>
      <c r="UCO23"/>
      <c r="UCP23"/>
      <c r="UCQ23"/>
      <c r="UCR23"/>
      <c r="UCS23"/>
      <c r="UCT23"/>
      <c r="UCU23"/>
      <c r="UCV23"/>
      <c r="UCW23"/>
      <c r="UCX23"/>
      <c r="UCY23"/>
      <c r="UCZ23"/>
      <c r="UDA23"/>
      <c r="UDB23"/>
      <c r="UDC23"/>
      <c r="UDD23"/>
      <c r="UDE23"/>
      <c r="UDF23"/>
      <c r="UDG23"/>
      <c r="UDH23"/>
      <c r="UDI23"/>
      <c r="UDJ23"/>
      <c r="UDK23"/>
      <c r="UDL23"/>
      <c r="UDM23"/>
      <c r="UDN23"/>
      <c r="UDO23"/>
      <c r="UDP23"/>
      <c r="UDQ23"/>
      <c r="UDR23"/>
      <c r="UDS23"/>
      <c r="UDT23"/>
      <c r="UDU23"/>
      <c r="UDV23"/>
      <c r="UDW23"/>
      <c r="UDX23"/>
      <c r="UDY23"/>
      <c r="UDZ23"/>
      <c r="UEA23"/>
      <c r="UEB23"/>
      <c r="UEC23"/>
      <c r="UED23"/>
      <c r="UEE23"/>
      <c r="UEF23"/>
      <c r="UEG23"/>
      <c r="UEH23"/>
      <c r="UEI23"/>
      <c r="UEJ23"/>
      <c r="UEK23"/>
      <c r="UEL23"/>
      <c r="UEM23"/>
      <c r="UEN23"/>
      <c r="UEO23"/>
      <c r="UEP23"/>
      <c r="UEQ23"/>
      <c r="UER23"/>
      <c r="UES23"/>
      <c r="UET23"/>
      <c r="UEU23"/>
      <c r="UEV23"/>
      <c r="UEW23"/>
      <c r="UEX23"/>
      <c r="UEY23"/>
      <c r="UEZ23"/>
      <c r="UFA23"/>
      <c r="UFB23"/>
      <c r="UFC23"/>
      <c r="UFD23"/>
      <c r="UFE23"/>
      <c r="UFF23"/>
      <c r="UFG23"/>
      <c r="UFH23"/>
      <c r="UFI23"/>
      <c r="UFJ23"/>
      <c r="UFK23"/>
      <c r="UFL23"/>
      <c r="UFM23"/>
      <c r="UFN23"/>
      <c r="UFO23"/>
      <c r="UFP23"/>
      <c r="UFQ23"/>
      <c r="UFR23"/>
      <c r="UFS23"/>
      <c r="UFT23"/>
      <c r="UFU23"/>
      <c r="UFV23"/>
      <c r="UFW23"/>
      <c r="UFX23"/>
      <c r="UFY23"/>
      <c r="UFZ23"/>
      <c r="UGA23"/>
      <c r="UGB23"/>
      <c r="UGC23"/>
      <c r="UGD23"/>
      <c r="UGE23"/>
      <c r="UGF23"/>
      <c r="UGG23"/>
      <c r="UGH23"/>
      <c r="UGI23"/>
      <c r="UGJ23"/>
      <c r="UGK23"/>
      <c r="UGL23"/>
      <c r="UGM23"/>
      <c r="UGN23"/>
      <c r="UGO23"/>
      <c r="UGP23"/>
      <c r="UGQ23"/>
      <c r="UGR23"/>
      <c r="UGS23"/>
      <c r="UGT23"/>
      <c r="UGU23"/>
      <c r="UGV23"/>
      <c r="UGW23"/>
      <c r="UGX23"/>
      <c r="UGY23"/>
      <c r="UGZ23"/>
      <c r="UHA23"/>
      <c r="UHB23"/>
      <c r="UHC23"/>
      <c r="UHD23"/>
      <c r="UHE23"/>
      <c r="UHF23"/>
      <c r="UHG23"/>
      <c r="UHH23"/>
      <c r="UHI23"/>
      <c r="UHJ23"/>
      <c r="UHK23"/>
      <c r="UHL23"/>
      <c r="UHM23"/>
      <c r="UHN23"/>
      <c r="UHO23"/>
      <c r="UHP23"/>
      <c r="UHQ23"/>
      <c r="UHR23"/>
      <c r="UHS23"/>
      <c r="UHT23"/>
      <c r="UHU23"/>
      <c r="UHV23"/>
      <c r="UHW23"/>
      <c r="UHX23"/>
      <c r="UHY23"/>
      <c r="UHZ23"/>
      <c r="UIA23"/>
      <c r="UIB23"/>
      <c r="UIC23"/>
      <c r="UID23"/>
      <c r="UIE23"/>
      <c r="UIF23"/>
      <c r="UIG23"/>
      <c r="UIH23"/>
      <c r="UII23"/>
      <c r="UIJ23"/>
      <c r="UIK23"/>
      <c r="UIL23"/>
      <c r="UIM23"/>
      <c r="UIN23"/>
      <c r="UIO23"/>
      <c r="UIP23"/>
      <c r="UIQ23"/>
      <c r="UIR23"/>
      <c r="UIS23"/>
      <c r="UIT23"/>
      <c r="UIU23"/>
      <c r="UIV23"/>
      <c r="UIW23"/>
      <c r="UIX23"/>
      <c r="UIY23"/>
      <c r="UIZ23"/>
      <c r="UJA23"/>
      <c r="UJB23"/>
      <c r="UJC23"/>
      <c r="UJD23"/>
      <c r="UJE23"/>
      <c r="UJF23"/>
      <c r="UJG23"/>
      <c r="UJH23"/>
      <c r="UJI23"/>
      <c r="UJJ23"/>
      <c r="UJK23"/>
      <c r="UJL23"/>
      <c r="UJM23"/>
      <c r="UJN23"/>
      <c r="UJO23"/>
      <c r="UJP23"/>
      <c r="UJQ23"/>
      <c r="UJR23"/>
      <c r="UJS23"/>
      <c r="UJT23"/>
      <c r="UJU23"/>
      <c r="UJV23"/>
      <c r="UJW23"/>
      <c r="UJX23"/>
      <c r="UJY23"/>
      <c r="UJZ23"/>
      <c r="UKA23"/>
      <c r="UKB23"/>
      <c r="UKC23"/>
      <c r="UKD23"/>
      <c r="UKE23"/>
      <c r="UKF23"/>
      <c r="UKG23"/>
      <c r="UKH23"/>
      <c r="UKI23"/>
      <c r="UKJ23"/>
      <c r="UKK23"/>
      <c r="UKL23"/>
      <c r="UKM23"/>
      <c r="UKN23"/>
      <c r="UKO23"/>
      <c r="UKP23"/>
      <c r="UKQ23"/>
      <c r="UKR23"/>
      <c r="UKS23"/>
      <c r="UKT23"/>
      <c r="UKU23"/>
      <c r="UKV23"/>
      <c r="UKW23"/>
      <c r="UKX23"/>
      <c r="UKY23"/>
      <c r="UKZ23"/>
      <c r="ULA23"/>
      <c r="ULB23"/>
      <c r="ULC23"/>
      <c r="ULD23"/>
      <c r="ULE23"/>
      <c r="ULF23"/>
      <c r="ULG23"/>
      <c r="ULH23"/>
      <c r="ULI23"/>
      <c r="ULJ23"/>
      <c r="ULK23"/>
      <c r="ULL23"/>
      <c r="ULM23"/>
      <c r="ULN23"/>
      <c r="ULO23"/>
      <c r="ULP23"/>
      <c r="ULQ23"/>
      <c r="ULR23"/>
      <c r="ULS23"/>
      <c r="ULT23"/>
      <c r="ULU23"/>
      <c r="ULV23"/>
      <c r="ULW23"/>
      <c r="ULX23"/>
      <c r="ULY23"/>
      <c r="ULZ23"/>
      <c r="UMA23"/>
      <c r="UMB23"/>
      <c r="UMC23"/>
      <c r="UMD23"/>
      <c r="UME23"/>
      <c r="UMF23"/>
      <c r="UMG23"/>
      <c r="UMH23"/>
      <c r="UMI23"/>
      <c r="UMJ23"/>
      <c r="UMK23"/>
      <c r="UML23"/>
      <c r="UMM23"/>
      <c r="UMN23"/>
      <c r="UMO23"/>
      <c r="UMP23"/>
      <c r="UMQ23"/>
      <c r="UMR23"/>
      <c r="UMS23"/>
      <c r="UMT23"/>
      <c r="UMU23"/>
      <c r="UMV23"/>
      <c r="UMW23"/>
      <c r="UMX23"/>
      <c r="UMY23"/>
      <c r="UMZ23"/>
      <c r="UNA23"/>
      <c r="UNB23"/>
      <c r="UNC23"/>
      <c r="UND23"/>
      <c r="UNE23"/>
      <c r="UNF23"/>
      <c r="UNG23"/>
      <c r="UNH23"/>
      <c r="UNI23"/>
      <c r="UNJ23"/>
      <c r="UNK23"/>
      <c r="UNL23"/>
      <c r="UNM23"/>
      <c r="UNN23"/>
      <c r="UNO23"/>
      <c r="UNP23"/>
      <c r="UNQ23"/>
      <c r="UNR23"/>
      <c r="UNS23"/>
      <c r="UNT23"/>
      <c r="UNU23"/>
      <c r="UNV23"/>
      <c r="UNW23"/>
      <c r="UNX23"/>
      <c r="UNY23"/>
      <c r="UNZ23"/>
      <c r="UOA23"/>
      <c r="UOB23"/>
      <c r="UOC23"/>
      <c r="UOD23"/>
      <c r="UOE23"/>
      <c r="UOF23"/>
      <c r="UOG23"/>
      <c r="UOH23"/>
      <c r="UOI23"/>
      <c r="UOJ23"/>
      <c r="UOK23"/>
      <c r="UOL23"/>
      <c r="UOM23"/>
      <c r="UON23"/>
      <c r="UOO23"/>
      <c r="UOP23"/>
      <c r="UOQ23"/>
      <c r="UOR23"/>
      <c r="UOS23"/>
      <c r="UOT23"/>
      <c r="UOU23"/>
      <c r="UOV23"/>
      <c r="UOW23"/>
      <c r="UOX23"/>
      <c r="UOY23"/>
      <c r="UOZ23"/>
      <c r="UPA23"/>
      <c r="UPB23"/>
      <c r="UPC23"/>
      <c r="UPD23"/>
      <c r="UPE23"/>
      <c r="UPF23"/>
      <c r="UPG23"/>
      <c r="UPH23"/>
      <c r="UPI23"/>
      <c r="UPJ23"/>
      <c r="UPK23"/>
      <c r="UPL23"/>
      <c r="UPM23"/>
      <c r="UPN23"/>
      <c r="UPO23"/>
      <c r="UPP23"/>
      <c r="UPQ23"/>
      <c r="UPR23"/>
      <c r="UPS23"/>
      <c r="UPT23"/>
      <c r="UPU23"/>
      <c r="UPV23"/>
      <c r="UPW23"/>
      <c r="UPX23"/>
      <c r="UPY23"/>
      <c r="UPZ23"/>
      <c r="UQA23"/>
      <c r="UQB23"/>
      <c r="UQC23"/>
      <c r="UQD23"/>
      <c r="UQE23"/>
      <c r="UQF23"/>
      <c r="UQG23"/>
      <c r="UQH23"/>
      <c r="UQI23"/>
      <c r="UQJ23"/>
      <c r="UQK23"/>
      <c r="UQL23"/>
      <c r="UQM23"/>
      <c r="UQN23"/>
      <c r="UQO23"/>
      <c r="UQP23"/>
      <c r="UQQ23"/>
      <c r="UQR23"/>
      <c r="UQS23"/>
      <c r="UQT23"/>
      <c r="UQU23"/>
      <c r="UQV23"/>
      <c r="UQW23"/>
      <c r="UQX23"/>
      <c r="UQY23"/>
      <c r="UQZ23"/>
      <c r="URA23"/>
      <c r="URB23"/>
      <c r="URC23"/>
      <c r="URD23"/>
      <c r="URE23"/>
      <c r="URF23"/>
      <c r="URG23"/>
      <c r="URH23"/>
      <c r="URI23"/>
      <c r="URJ23"/>
      <c r="URK23"/>
      <c r="URL23"/>
      <c r="URM23"/>
      <c r="URN23"/>
      <c r="URO23"/>
      <c r="URP23"/>
      <c r="URQ23"/>
      <c r="URR23"/>
      <c r="URS23"/>
      <c r="URT23"/>
      <c r="URU23"/>
      <c r="URV23"/>
      <c r="URW23"/>
      <c r="URX23"/>
      <c r="URY23"/>
      <c r="URZ23"/>
      <c r="USA23"/>
      <c r="USB23"/>
      <c r="USC23"/>
      <c r="USD23"/>
      <c r="USE23"/>
      <c r="USF23"/>
      <c r="USG23"/>
      <c r="USH23"/>
      <c r="USI23"/>
      <c r="USJ23"/>
      <c r="USK23"/>
      <c r="USL23"/>
      <c r="USM23"/>
      <c r="USN23"/>
      <c r="USO23"/>
      <c r="USP23"/>
      <c r="USQ23"/>
      <c r="USR23"/>
      <c r="USS23"/>
      <c r="UST23"/>
      <c r="USU23"/>
      <c r="USV23"/>
      <c r="USW23"/>
      <c r="USX23"/>
      <c r="USY23"/>
      <c r="USZ23"/>
      <c r="UTA23"/>
      <c r="UTB23"/>
      <c r="UTC23"/>
      <c r="UTD23"/>
      <c r="UTE23"/>
      <c r="UTF23"/>
      <c r="UTG23"/>
      <c r="UTH23"/>
      <c r="UTI23"/>
      <c r="UTJ23"/>
      <c r="UTK23"/>
      <c r="UTL23"/>
      <c r="UTM23"/>
      <c r="UTN23"/>
      <c r="UTO23"/>
      <c r="UTP23"/>
      <c r="UTQ23"/>
      <c r="UTR23"/>
      <c r="UTS23"/>
      <c r="UTT23"/>
      <c r="UTU23"/>
      <c r="UTV23"/>
      <c r="UTW23"/>
      <c r="UTX23"/>
      <c r="UTY23"/>
      <c r="UTZ23"/>
      <c r="UUA23"/>
      <c r="UUB23"/>
      <c r="UUC23"/>
      <c r="UUD23"/>
      <c r="UUE23"/>
      <c r="UUF23"/>
      <c r="UUG23"/>
      <c r="UUH23"/>
      <c r="UUI23"/>
      <c r="UUJ23"/>
      <c r="UUK23"/>
      <c r="UUL23"/>
      <c r="UUM23"/>
      <c r="UUN23"/>
      <c r="UUO23"/>
      <c r="UUP23"/>
      <c r="UUQ23"/>
      <c r="UUR23"/>
      <c r="UUS23"/>
      <c r="UUT23"/>
      <c r="UUU23"/>
      <c r="UUV23"/>
      <c r="UUW23"/>
      <c r="UUX23"/>
      <c r="UUY23"/>
      <c r="UUZ23"/>
      <c r="UVA23"/>
      <c r="UVB23"/>
      <c r="UVC23"/>
      <c r="UVD23"/>
      <c r="UVE23"/>
      <c r="UVF23"/>
      <c r="UVG23"/>
      <c r="UVH23"/>
      <c r="UVI23"/>
      <c r="UVJ23"/>
      <c r="UVK23"/>
      <c r="UVL23"/>
      <c r="UVM23"/>
      <c r="UVN23"/>
      <c r="UVO23"/>
      <c r="UVP23"/>
      <c r="UVQ23"/>
      <c r="UVR23"/>
      <c r="UVS23"/>
      <c r="UVT23"/>
      <c r="UVU23"/>
      <c r="UVV23"/>
      <c r="UVW23"/>
      <c r="UVX23"/>
      <c r="UVY23"/>
      <c r="UVZ23"/>
      <c r="UWA23"/>
      <c r="UWB23"/>
      <c r="UWC23"/>
      <c r="UWD23"/>
      <c r="UWE23"/>
      <c r="UWF23"/>
      <c r="UWG23"/>
      <c r="UWH23"/>
      <c r="UWI23"/>
      <c r="UWJ23"/>
      <c r="UWK23"/>
      <c r="UWL23"/>
      <c r="UWM23"/>
      <c r="UWN23"/>
      <c r="UWO23"/>
      <c r="UWP23"/>
      <c r="UWQ23"/>
      <c r="UWR23"/>
      <c r="UWS23"/>
      <c r="UWT23"/>
      <c r="UWU23"/>
      <c r="UWV23"/>
      <c r="UWW23"/>
      <c r="UWX23"/>
      <c r="UWY23"/>
      <c r="UWZ23"/>
      <c r="UXA23"/>
      <c r="UXB23"/>
      <c r="UXC23"/>
      <c r="UXD23"/>
      <c r="UXE23"/>
      <c r="UXF23"/>
      <c r="UXG23"/>
      <c r="UXH23"/>
      <c r="UXI23"/>
      <c r="UXJ23"/>
      <c r="UXK23"/>
      <c r="UXL23"/>
      <c r="UXM23"/>
      <c r="UXN23"/>
      <c r="UXO23"/>
      <c r="UXP23"/>
      <c r="UXQ23"/>
      <c r="UXR23"/>
      <c r="UXS23"/>
      <c r="UXT23"/>
      <c r="UXU23"/>
      <c r="UXV23"/>
      <c r="UXW23"/>
      <c r="UXX23"/>
      <c r="UXY23"/>
      <c r="UXZ23"/>
      <c r="UYA23"/>
      <c r="UYB23"/>
      <c r="UYC23"/>
      <c r="UYD23"/>
      <c r="UYE23"/>
      <c r="UYF23"/>
      <c r="UYG23"/>
      <c r="UYH23"/>
      <c r="UYI23"/>
      <c r="UYJ23"/>
      <c r="UYK23"/>
      <c r="UYL23"/>
      <c r="UYM23"/>
      <c r="UYN23"/>
      <c r="UYO23"/>
      <c r="UYP23"/>
      <c r="UYQ23"/>
      <c r="UYR23"/>
      <c r="UYS23"/>
      <c r="UYT23"/>
      <c r="UYU23"/>
      <c r="UYV23"/>
      <c r="UYW23"/>
      <c r="UYX23"/>
      <c r="UYY23"/>
      <c r="UYZ23"/>
      <c r="UZA23"/>
      <c r="UZB23"/>
      <c r="UZC23"/>
      <c r="UZD23"/>
      <c r="UZE23"/>
      <c r="UZF23"/>
      <c r="UZG23"/>
      <c r="UZH23"/>
      <c r="UZI23"/>
      <c r="UZJ23"/>
      <c r="UZK23"/>
      <c r="UZL23"/>
      <c r="UZM23"/>
      <c r="UZN23"/>
      <c r="UZO23"/>
      <c r="UZP23"/>
      <c r="UZQ23"/>
      <c r="UZR23"/>
      <c r="UZS23"/>
      <c r="UZT23"/>
      <c r="UZU23"/>
      <c r="UZV23"/>
      <c r="UZW23"/>
      <c r="UZX23"/>
      <c r="UZY23"/>
      <c r="UZZ23"/>
      <c r="VAA23"/>
      <c r="VAB23"/>
      <c r="VAC23"/>
      <c r="VAD23"/>
      <c r="VAE23"/>
      <c r="VAF23"/>
      <c r="VAG23"/>
      <c r="VAH23"/>
      <c r="VAI23"/>
      <c r="VAJ23"/>
      <c r="VAK23"/>
      <c r="VAL23"/>
      <c r="VAM23"/>
      <c r="VAN23"/>
      <c r="VAO23"/>
      <c r="VAP23"/>
      <c r="VAQ23"/>
      <c r="VAR23"/>
      <c r="VAS23"/>
      <c r="VAT23"/>
      <c r="VAU23"/>
      <c r="VAV23"/>
      <c r="VAW23"/>
      <c r="VAX23"/>
      <c r="VAY23"/>
      <c r="VAZ23"/>
      <c r="VBA23"/>
      <c r="VBB23"/>
      <c r="VBC23"/>
      <c r="VBD23"/>
      <c r="VBE23"/>
      <c r="VBF23"/>
      <c r="VBG23"/>
      <c r="VBH23"/>
      <c r="VBI23"/>
      <c r="VBJ23"/>
      <c r="VBK23"/>
      <c r="VBL23"/>
      <c r="VBM23"/>
      <c r="VBN23"/>
      <c r="VBO23"/>
      <c r="VBP23"/>
      <c r="VBQ23"/>
      <c r="VBR23"/>
      <c r="VBS23"/>
      <c r="VBT23"/>
      <c r="VBU23"/>
      <c r="VBV23"/>
      <c r="VBW23"/>
      <c r="VBX23"/>
      <c r="VBY23"/>
      <c r="VBZ23"/>
      <c r="VCA23"/>
      <c r="VCB23"/>
      <c r="VCC23"/>
      <c r="VCD23"/>
      <c r="VCE23"/>
      <c r="VCF23"/>
      <c r="VCG23"/>
      <c r="VCH23"/>
      <c r="VCI23"/>
      <c r="VCJ23"/>
      <c r="VCK23"/>
      <c r="VCL23"/>
      <c r="VCM23"/>
      <c r="VCN23"/>
      <c r="VCO23"/>
      <c r="VCP23"/>
      <c r="VCQ23"/>
      <c r="VCR23"/>
      <c r="VCS23"/>
      <c r="VCT23"/>
      <c r="VCU23"/>
      <c r="VCV23"/>
      <c r="VCW23"/>
      <c r="VCX23"/>
      <c r="VCY23"/>
      <c r="VCZ23"/>
      <c r="VDA23"/>
      <c r="VDB23"/>
      <c r="VDC23"/>
      <c r="VDD23"/>
      <c r="VDE23"/>
      <c r="VDF23"/>
      <c r="VDG23"/>
      <c r="VDH23"/>
      <c r="VDI23"/>
      <c r="VDJ23"/>
      <c r="VDK23"/>
      <c r="VDL23"/>
      <c r="VDM23"/>
      <c r="VDN23"/>
      <c r="VDO23"/>
      <c r="VDP23"/>
      <c r="VDQ23"/>
      <c r="VDR23"/>
      <c r="VDS23"/>
      <c r="VDT23"/>
      <c r="VDU23"/>
      <c r="VDV23"/>
      <c r="VDW23"/>
      <c r="VDX23"/>
      <c r="VDY23"/>
      <c r="VDZ23"/>
      <c r="VEA23"/>
      <c r="VEB23"/>
      <c r="VEC23"/>
      <c r="VED23"/>
      <c r="VEE23"/>
      <c r="VEF23"/>
      <c r="VEG23"/>
      <c r="VEH23"/>
      <c r="VEI23"/>
      <c r="VEJ23"/>
      <c r="VEK23"/>
      <c r="VEL23"/>
      <c r="VEM23"/>
      <c r="VEN23"/>
      <c r="VEO23"/>
      <c r="VEP23"/>
      <c r="VEQ23"/>
      <c r="VER23"/>
      <c r="VES23"/>
      <c r="VET23"/>
      <c r="VEU23"/>
      <c r="VEV23"/>
      <c r="VEW23"/>
      <c r="VEX23"/>
      <c r="VEY23"/>
      <c r="VEZ23"/>
      <c r="VFA23"/>
      <c r="VFB23"/>
      <c r="VFC23"/>
      <c r="VFD23"/>
      <c r="VFE23"/>
      <c r="VFF23"/>
      <c r="VFG23"/>
      <c r="VFH23"/>
      <c r="VFI23"/>
      <c r="VFJ23"/>
      <c r="VFK23"/>
      <c r="VFL23"/>
      <c r="VFM23"/>
      <c r="VFN23"/>
      <c r="VFO23"/>
      <c r="VFP23"/>
      <c r="VFQ23"/>
      <c r="VFR23"/>
      <c r="VFS23"/>
      <c r="VFT23"/>
      <c r="VFU23"/>
      <c r="VFV23"/>
      <c r="VFW23"/>
      <c r="VFX23"/>
      <c r="VFY23"/>
      <c r="VFZ23"/>
      <c r="VGA23"/>
      <c r="VGB23"/>
      <c r="VGC23"/>
      <c r="VGD23"/>
      <c r="VGE23"/>
      <c r="VGF23"/>
      <c r="VGG23"/>
      <c r="VGH23"/>
      <c r="VGI23"/>
      <c r="VGJ23"/>
      <c r="VGK23"/>
      <c r="VGL23"/>
      <c r="VGM23"/>
      <c r="VGN23"/>
      <c r="VGO23"/>
      <c r="VGP23"/>
      <c r="VGQ23"/>
      <c r="VGR23"/>
      <c r="VGS23"/>
      <c r="VGT23"/>
      <c r="VGU23"/>
      <c r="VGV23"/>
      <c r="VGW23"/>
      <c r="VGX23"/>
      <c r="VGY23"/>
      <c r="VGZ23"/>
      <c r="VHA23"/>
      <c r="VHB23"/>
      <c r="VHC23"/>
      <c r="VHD23"/>
      <c r="VHE23"/>
      <c r="VHF23"/>
      <c r="VHG23"/>
      <c r="VHH23"/>
      <c r="VHI23"/>
      <c r="VHJ23"/>
      <c r="VHK23"/>
      <c r="VHL23"/>
      <c r="VHM23"/>
      <c r="VHN23"/>
      <c r="VHO23"/>
      <c r="VHP23"/>
      <c r="VHQ23"/>
      <c r="VHR23"/>
      <c r="VHS23"/>
      <c r="VHT23"/>
      <c r="VHU23"/>
      <c r="VHV23"/>
      <c r="VHW23"/>
      <c r="VHX23"/>
      <c r="VHY23"/>
      <c r="VHZ23"/>
      <c r="VIA23"/>
      <c r="VIB23"/>
      <c r="VIC23"/>
      <c r="VID23"/>
      <c r="VIE23"/>
      <c r="VIF23"/>
      <c r="VIG23"/>
      <c r="VIH23"/>
      <c r="VII23"/>
      <c r="VIJ23"/>
      <c r="VIK23"/>
      <c r="VIL23"/>
      <c r="VIM23"/>
      <c r="VIN23"/>
      <c r="VIO23"/>
      <c r="VIP23"/>
      <c r="VIQ23"/>
      <c r="VIR23"/>
      <c r="VIS23"/>
      <c r="VIT23"/>
      <c r="VIU23"/>
      <c r="VIV23"/>
      <c r="VIW23"/>
      <c r="VIX23"/>
      <c r="VIY23"/>
      <c r="VIZ23"/>
      <c r="VJA23"/>
      <c r="VJB23"/>
      <c r="VJC23"/>
      <c r="VJD23"/>
      <c r="VJE23"/>
      <c r="VJF23"/>
      <c r="VJG23"/>
      <c r="VJH23"/>
      <c r="VJI23"/>
      <c r="VJJ23"/>
      <c r="VJK23"/>
      <c r="VJL23"/>
      <c r="VJM23"/>
      <c r="VJN23"/>
      <c r="VJO23"/>
      <c r="VJP23"/>
      <c r="VJQ23"/>
      <c r="VJR23"/>
      <c r="VJS23"/>
      <c r="VJT23"/>
      <c r="VJU23"/>
      <c r="VJV23"/>
      <c r="VJW23"/>
      <c r="VJX23"/>
      <c r="VJY23"/>
      <c r="VJZ23"/>
      <c r="VKA23"/>
      <c r="VKB23"/>
      <c r="VKC23"/>
      <c r="VKD23"/>
      <c r="VKE23"/>
      <c r="VKF23"/>
      <c r="VKG23"/>
      <c r="VKH23"/>
      <c r="VKI23"/>
      <c r="VKJ23"/>
      <c r="VKK23"/>
      <c r="VKL23"/>
      <c r="VKM23"/>
      <c r="VKN23"/>
      <c r="VKO23"/>
      <c r="VKP23"/>
      <c r="VKQ23"/>
      <c r="VKR23"/>
      <c r="VKS23"/>
      <c r="VKT23"/>
      <c r="VKU23"/>
      <c r="VKV23"/>
      <c r="VKW23"/>
      <c r="VKX23"/>
      <c r="VKY23"/>
      <c r="VKZ23"/>
      <c r="VLA23"/>
      <c r="VLB23"/>
      <c r="VLC23"/>
      <c r="VLD23"/>
      <c r="VLE23"/>
      <c r="VLF23"/>
      <c r="VLG23"/>
      <c r="VLH23"/>
      <c r="VLI23"/>
      <c r="VLJ23"/>
      <c r="VLK23"/>
      <c r="VLL23"/>
      <c r="VLM23"/>
      <c r="VLN23"/>
      <c r="VLO23"/>
      <c r="VLP23"/>
      <c r="VLQ23"/>
      <c r="VLR23"/>
      <c r="VLS23"/>
      <c r="VLT23"/>
      <c r="VLU23"/>
      <c r="VLV23"/>
      <c r="VLW23"/>
      <c r="VLX23"/>
      <c r="VLY23"/>
      <c r="VLZ23"/>
      <c r="VMA23"/>
      <c r="VMB23"/>
      <c r="VMC23"/>
      <c r="VMD23"/>
      <c r="VME23"/>
      <c r="VMF23"/>
      <c r="VMG23"/>
      <c r="VMH23"/>
      <c r="VMI23"/>
      <c r="VMJ23"/>
      <c r="VMK23"/>
      <c r="VML23"/>
      <c r="VMM23"/>
      <c r="VMN23"/>
      <c r="VMO23"/>
      <c r="VMP23"/>
      <c r="VMQ23"/>
      <c r="VMR23"/>
      <c r="VMS23"/>
      <c r="VMT23"/>
      <c r="VMU23"/>
      <c r="VMV23"/>
      <c r="VMW23"/>
      <c r="VMX23"/>
      <c r="VMY23"/>
      <c r="VMZ23"/>
      <c r="VNA23"/>
      <c r="VNB23"/>
      <c r="VNC23"/>
      <c r="VND23"/>
      <c r="VNE23"/>
      <c r="VNF23"/>
      <c r="VNG23"/>
      <c r="VNH23"/>
      <c r="VNI23"/>
      <c r="VNJ23"/>
      <c r="VNK23"/>
      <c r="VNL23"/>
      <c r="VNM23"/>
      <c r="VNN23"/>
      <c r="VNO23"/>
      <c r="VNP23"/>
      <c r="VNQ23"/>
      <c r="VNR23"/>
      <c r="VNS23"/>
      <c r="VNT23"/>
      <c r="VNU23"/>
      <c r="VNV23"/>
      <c r="VNW23"/>
      <c r="VNX23"/>
      <c r="VNY23"/>
      <c r="VNZ23"/>
      <c r="VOA23"/>
      <c r="VOB23"/>
      <c r="VOC23"/>
      <c r="VOD23"/>
      <c r="VOE23"/>
      <c r="VOF23"/>
      <c r="VOG23"/>
      <c r="VOH23"/>
      <c r="VOI23"/>
      <c r="VOJ23"/>
      <c r="VOK23"/>
      <c r="VOL23"/>
      <c r="VOM23"/>
      <c r="VON23"/>
      <c r="VOO23"/>
      <c r="VOP23"/>
      <c r="VOQ23"/>
      <c r="VOR23"/>
      <c r="VOS23"/>
      <c r="VOT23"/>
      <c r="VOU23"/>
      <c r="VOV23"/>
      <c r="VOW23"/>
      <c r="VOX23"/>
      <c r="VOY23"/>
      <c r="VOZ23"/>
      <c r="VPA23"/>
      <c r="VPB23"/>
      <c r="VPC23"/>
      <c r="VPD23"/>
      <c r="VPE23"/>
      <c r="VPF23"/>
      <c r="VPG23"/>
      <c r="VPH23"/>
      <c r="VPI23"/>
      <c r="VPJ23"/>
      <c r="VPK23"/>
      <c r="VPL23"/>
      <c r="VPM23"/>
      <c r="VPN23"/>
      <c r="VPO23"/>
      <c r="VPP23"/>
      <c r="VPQ23"/>
      <c r="VPR23"/>
      <c r="VPS23"/>
      <c r="VPT23"/>
      <c r="VPU23"/>
      <c r="VPV23"/>
      <c r="VPW23"/>
      <c r="VPX23"/>
      <c r="VPY23"/>
      <c r="VPZ23"/>
      <c r="VQA23"/>
      <c r="VQB23"/>
      <c r="VQC23"/>
      <c r="VQD23"/>
      <c r="VQE23"/>
      <c r="VQF23"/>
      <c r="VQG23"/>
      <c r="VQH23"/>
      <c r="VQI23"/>
      <c r="VQJ23"/>
      <c r="VQK23"/>
      <c r="VQL23"/>
      <c r="VQM23"/>
      <c r="VQN23"/>
      <c r="VQO23"/>
      <c r="VQP23"/>
      <c r="VQQ23"/>
      <c r="VQR23"/>
      <c r="VQS23"/>
      <c r="VQT23"/>
      <c r="VQU23"/>
      <c r="VQV23"/>
      <c r="VQW23"/>
      <c r="VQX23"/>
      <c r="VQY23"/>
      <c r="VQZ23"/>
      <c r="VRA23"/>
      <c r="VRB23"/>
      <c r="VRC23"/>
      <c r="VRD23"/>
      <c r="VRE23"/>
      <c r="VRF23"/>
      <c r="VRG23"/>
      <c r="VRH23"/>
      <c r="VRI23"/>
      <c r="VRJ23"/>
      <c r="VRK23"/>
      <c r="VRL23"/>
      <c r="VRM23"/>
      <c r="VRN23"/>
      <c r="VRO23"/>
      <c r="VRP23"/>
      <c r="VRQ23"/>
      <c r="VRR23"/>
      <c r="VRS23"/>
      <c r="VRT23"/>
      <c r="VRU23"/>
      <c r="VRV23"/>
      <c r="VRW23"/>
      <c r="VRX23"/>
      <c r="VRY23"/>
      <c r="VRZ23"/>
      <c r="VSA23"/>
      <c r="VSB23"/>
      <c r="VSC23"/>
      <c r="VSD23"/>
      <c r="VSE23"/>
      <c r="VSF23"/>
      <c r="VSG23"/>
      <c r="VSH23"/>
      <c r="VSI23"/>
      <c r="VSJ23"/>
      <c r="VSK23"/>
      <c r="VSL23"/>
      <c r="VSM23"/>
      <c r="VSN23"/>
      <c r="VSO23"/>
      <c r="VSP23"/>
      <c r="VSQ23"/>
      <c r="VSR23"/>
      <c r="VSS23"/>
      <c r="VST23"/>
      <c r="VSU23"/>
      <c r="VSV23"/>
      <c r="VSW23"/>
      <c r="VSX23"/>
      <c r="VSY23"/>
      <c r="VSZ23"/>
      <c r="VTA23"/>
      <c r="VTB23"/>
      <c r="VTC23"/>
      <c r="VTD23"/>
      <c r="VTE23"/>
      <c r="VTF23"/>
      <c r="VTG23"/>
      <c r="VTH23"/>
      <c r="VTI23"/>
      <c r="VTJ23"/>
      <c r="VTK23"/>
      <c r="VTL23"/>
      <c r="VTM23"/>
      <c r="VTN23"/>
      <c r="VTO23"/>
      <c r="VTP23"/>
      <c r="VTQ23"/>
      <c r="VTR23"/>
      <c r="VTS23"/>
      <c r="VTT23"/>
      <c r="VTU23"/>
      <c r="VTV23"/>
      <c r="VTW23"/>
      <c r="VTX23"/>
      <c r="VTY23"/>
      <c r="VTZ23"/>
      <c r="VUA23"/>
      <c r="VUB23"/>
      <c r="VUC23"/>
      <c r="VUD23"/>
      <c r="VUE23"/>
      <c r="VUF23"/>
      <c r="VUG23"/>
      <c r="VUH23"/>
      <c r="VUI23"/>
      <c r="VUJ23"/>
      <c r="VUK23"/>
      <c r="VUL23"/>
      <c r="VUM23"/>
      <c r="VUN23"/>
      <c r="VUO23"/>
      <c r="VUP23"/>
      <c r="VUQ23"/>
      <c r="VUR23"/>
      <c r="VUS23"/>
      <c r="VUT23"/>
      <c r="VUU23"/>
      <c r="VUV23"/>
      <c r="VUW23"/>
      <c r="VUX23"/>
      <c r="VUY23"/>
      <c r="VUZ23"/>
      <c r="VVA23"/>
      <c r="VVB23"/>
      <c r="VVC23"/>
      <c r="VVD23"/>
      <c r="VVE23"/>
      <c r="VVF23"/>
      <c r="VVG23"/>
      <c r="VVH23"/>
      <c r="VVI23"/>
      <c r="VVJ23"/>
      <c r="VVK23"/>
      <c r="VVL23"/>
      <c r="VVM23"/>
      <c r="VVN23"/>
      <c r="VVO23"/>
      <c r="VVP23"/>
      <c r="VVQ23"/>
      <c r="VVR23"/>
      <c r="VVS23"/>
      <c r="VVT23"/>
      <c r="VVU23"/>
      <c r="VVV23"/>
      <c r="VVW23"/>
      <c r="VVX23"/>
      <c r="VVY23"/>
      <c r="VVZ23"/>
      <c r="VWA23"/>
      <c r="VWB23"/>
      <c r="VWC23"/>
      <c r="VWD23"/>
      <c r="VWE23"/>
      <c r="VWF23"/>
      <c r="VWG23"/>
      <c r="VWH23"/>
      <c r="VWI23"/>
      <c r="VWJ23"/>
      <c r="VWK23"/>
      <c r="VWL23"/>
      <c r="VWM23"/>
      <c r="VWN23"/>
      <c r="VWO23"/>
      <c r="VWP23"/>
      <c r="VWQ23"/>
      <c r="VWR23"/>
      <c r="VWS23"/>
      <c r="VWT23"/>
      <c r="VWU23"/>
      <c r="VWV23"/>
      <c r="VWW23"/>
      <c r="VWX23"/>
      <c r="VWY23"/>
      <c r="VWZ23"/>
      <c r="VXA23"/>
      <c r="VXB23"/>
      <c r="VXC23"/>
      <c r="VXD23"/>
      <c r="VXE23"/>
      <c r="VXF23"/>
      <c r="VXG23"/>
      <c r="VXH23"/>
      <c r="VXI23"/>
      <c r="VXJ23"/>
      <c r="VXK23"/>
      <c r="VXL23"/>
      <c r="VXM23"/>
      <c r="VXN23"/>
      <c r="VXO23"/>
      <c r="VXP23"/>
      <c r="VXQ23"/>
      <c r="VXR23"/>
      <c r="VXS23"/>
      <c r="VXT23"/>
      <c r="VXU23"/>
      <c r="VXV23"/>
      <c r="VXW23"/>
      <c r="VXX23"/>
      <c r="VXY23"/>
      <c r="VXZ23"/>
      <c r="VYA23"/>
      <c r="VYB23"/>
      <c r="VYC23"/>
      <c r="VYD23"/>
      <c r="VYE23"/>
      <c r="VYF23"/>
      <c r="VYG23"/>
      <c r="VYH23"/>
      <c r="VYI23"/>
      <c r="VYJ23"/>
      <c r="VYK23"/>
      <c r="VYL23"/>
      <c r="VYM23"/>
      <c r="VYN23"/>
      <c r="VYO23"/>
      <c r="VYP23"/>
      <c r="VYQ23"/>
      <c r="VYR23"/>
      <c r="VYS23"/>
      <c r="VYT23"/>
      <c r="VYU23"/>
      <c r="VYV23"/>
      <c r="VYW23"/>
      <c r="VYX23"/>
      <c r="VYY23"/>
      <c r="VYZ23"/>
      <c r="VZA23"/>
      <c r="VZB23"/>
      <c r="VZC23"/>
      <c r="VZD23"/>
      <c r="VZE23"/>
      <c r="VZF23"/>
      <c r="VZG23"/>
      <c r="VZH23"/>
      <c r="VZI23"/>
      <c r="VZJ23"/>
      <c r="VZK23"/>
      <c r="VZL23"/>
      <c r="VZM23"/>
      <c r="VZN23"/>
      <c r="VZO23"/>
      <c r="VZP23"/>
      <c r="VZQ23"/>
      <c r="VZR23"/>
      <c r="VZS23"/>
      <c r="VZT23"/>
      <c r="VZU23"/>
      <c r="VZV23"/>
      <c r="VZW23"/>
      <c r="VZX23"/>
      <c r="VZY23"/>
      <c r="VZZ23"/>
      <c r="WAA23"/>
      <c r="WAB23"/>
      <c r="WAC23"/>
      <c r="WAD23"/>
      <c r="WAE23"/>
      <c r="WAF23"/>
      <c r="WAG23"/>
      <c r="WAH23"/>
      <c r="WAI23"/>
      <c r="WAJ23"/>
      <c r="WAK23"/>
      <c r="WAL23"/>
      <c r="WAM23"/>
      <c r="WAN23"/>
      <c r="WAO23"/>
      <c r="WAP23"/>
      <c r="WAQ23"/>
      <c r="WAR23"/>
      <c r="WAS23"/>
      <c r="WAT23"/>
      <c r="WAU23"/>
      <c r="WAV23"/>
      <c r="WAW23"/>
      <c r="WAX23"/>
      <c r="WAY23"/>
      <c r="WAZ23"/>
      <c r="WBA23"/>
      <c r="WBB23"/>
      <c r="WBC23"/>
      <c r="WBD23"/>
      <c r="WBE23"/>
      <c r="WBF23"/>
      <c r="WBG23"/>
      <c r="WBH23"/>
      <c r="WBI23"/>
      <c r="WBJ23"/>
      <c r="WBK23"/>
      <c r="WBL23"/>
      <c r="WBM23"/>
      <c r="WBN23"/>
      <c r="WBO23"/>
      <c r="WBP23"/>
      <c r="WBQ23"/>
      <c r="WBR23"/>
      <c r="WBS23"/>
      <c r="WBT23"/>
      <c r="WBU23"/>
      <c r="WBV23"/>
      <c r="WBW23"/>
      <c r="WBX23"/>
      <c r="WBY23"/>
      <c r="WBZ23"/>
      <c r="WCA23"/>
      <c r="WCB23"/>
      <c r="WCC23"/>
      <c r="WCD23"/>
      <c r="WCE23"/>
      <c r="WCF23"/>
      <c r="WCG23"/>
      <c r="WCH23"/>
      <c r="WCI23"/>
      <c r="WCJ23"/>
      <c r="WCK23"/>
      <c r="WCL23"/>
      <c r="WCM23"/>
      <c r="WCN23"/>
      <c r="WCO23"/>
      <c r="WCP23"/>
      <c r="WCQ23"/>
      <c r="WCR23"/>
      <c r="WCS23"/>
      <c r="WCT23"/>
      <c r="WCU23"/>
      <c r="WCV23"/>
      <c r="WCW23"/>
      <c r="WCX23"/>
      <c r="WCY23"/>
      <c r="WCZ23"/>
      <c r="WDA23"/>
      <c r="WDB23"/>
      <c r="WDC23"/>
      <c r="WDD23"/>
      <c r="WDE23"/>
      <c r="WDF23"/>
      <c r="WDG23"/>
      <c r="WDH23"/>
      <c r="WDI23"/>
      <c r="WDJ23"/>
      <c r="WDK23"/>
      <c r="WDL23"/>
      <c r="WDM23"/>
      <c r="WDN23"/>
      <c r="WDO23"/>
      <c r="WDP23"/>
      <c r="WDQ23"/>
      <c r="WDR23"/>
      <c r="WDS23"/>
      <c r="WDT23"/>
      <c r="WDU23"/>
      <c r="WDV23"/>
      <c r="WDW23"/>
      <c r="WDX23"/>
      <c r="WDY23"/>
      <c r="WDZ23"/>
      <c r="WEA23"/>
      <c r="WEB23"/>
      <c r="WEC23"/>
      <c r="WED23"/>
      <c r="WEE23"/>
      <c r="WEF23"/>
      <c r="WEG23"/>
      <c r="WEH23"/>
      <c r="WEI23"/>
      <c r="WEJ23"/>
      <c r="WEK23"/>
      <c r="WEL23"/>
      <c r="WEM23"/>
      <c r="WEN23"/>
      <c r="WEO23"/>
      <c r="WEP23"/>
      <c r="WEQ23"/>
      <c r="WER23"/>
      <c r="WES23"/>
      <c r="WET23"/>
      <c r="WEU23"/>
      <c r="WEV23"/>
      <c r="WEW23"/>
      <c r="WEX23"/>
      <c r="WEY23"/>
      <c r="WEZ23"/>
      <c r="WFA23"/>
      <c r="WFB23"/>
      <c r="WFC23"/>
      <c r="WFD23"/>
      <c r="WFE23"/>
      <c r="WFF23"/>
      <c r="WFG23"/>
      <c r="WFH23"/>
      <c r="WFI23"/>
      <c r="WFJ23"/>
      <c r="WFK23"/>
      <c r="WFL23"/>
      <c r="WFM23"/>
      <c r="WFN23"/>
      <c r="WFO23"/>
      <c r="WFP23"/>
      <c r="WFQ23"/>
      <c r="WFR23"/>
      <c r="WFS23"/>
      <c r="WFT23"/>
      <c r="WFU23"/>
      <c r="WFV23"/>
      <c r="WFW23"/>
      <c r="WFX23"/>
      <c r="WFY23"/>
      <c r="WFZ23"/>
      <c r="WGA23"/>
      <c r="WGB23"/>
      <c r="WGC23"/>
      <c r="WGD23"/>
      <c r="WGE23"/>
      <c r="WGF23"/>
      <c r="WGG23"/>
      <c r="WGH23"/>
      <c r="WGI23"/>
      <c r="WGJ23"/>
      <c r="WGK23"/>
      <c r="WGL23"/>
      <c r="WGM23"/>
      <c r="WGN23"/>
      <c r="WGO23"/>
      <c r="WGP23"/>
      <c r="WGQ23"/>
      <c r="WGR23"/>
      <c r="WGS23"/>
      <c r="WGT23"/>
      <c r="WGU23"/>
      <c r="WGV23"/>
      <c r="WGW23"/>
      <c r="WGX23"/>
      <c r="WGY23"/>
      <c r="WGZ23"/>
      <c r="WHA23"/>
      <c r="WHB23"/>
      <c r="WHC23"/>
      <c r="WHD23"/>
      <c r="WHE23"/>
      <c r="WHF23"/>
      <c r="WHG23"/>
      <c r="WHH23"/>
      <c r="WHI23"/>
      <c r="WHJ23"/>
      <c r="WHK23"/>
      <c r="WHL23"/>
      <c r="WHM23"/>
      <c r="WHN23"/>
      <c r="WHO23"/>
      <c r="WHP23"/>
      <c r="WHQ23"/>
      <c r="WHR23"/>
      <c r="WHS23"/>
      <c r="WHT23"/>
      <c r="WHU23"/>
      <c r="WHV23"/>
      <c r="WHW23"/>
      <c r="WHX23"/>
      <c r="WHY23"/>
      <c r="WHZ23"/>
      <c r="WIA23"/>
      <c r="WIB23"/>
      <c r="WIC23"/>
      <c r="WID23"/>
      <c r="WIE23"/>
      <c r="WIF23"/>
      <c r="WIG23"/>
      <c r="WIH23"/>
      <c r="WII23"/>
      <c r="WIJ23"/>
      <c r="WIK23"/>
      <c r="WIL23"/>
      <c r="WIM23"/>
      <c r="WIN23"/>
      <c r="WIO23"/>
      <c r="WIP23"/>
      <c r="WIQ23"/>
      <c r="WIR23"/>
      <c r="WIS23"/>
      <c r="WIT23"/>
      <c r="WIU23"/>
      <c r="WIV23"/>
      <c r="WIW23"/>
      <c r="WIX23"/>
      <c r="WIY23"/>
      <c r="WIZ23"/>
      <c r="WJA23"/>
      <c r="WJB23"/>
      <c r="WJC23"/>
      <c r="WJD23"/>
      <c r="WJE23"/>
      <c r="WJF23"/>
      <c r="WJG23"/>
      <c r="WJH23"/>
      <c r="WJI23"/>
      <c r="WJJ23"/>
      <c r="WJK23"/>
      <c r="WJL23"/>
      <c r="WJM23"/>
      <c r="WJN23"/>
      <c r="WJO23"/>
      <c r="WJP23"/>
      <c r="WJQ23"/>
      <c r="WJR23"/>
      <c r="WJS23"/>
      <c r="WJT23"/>
      <c r="WJU23"/>
      <c r="WJV23"/>
      <c r="WJW23"/>
      <c r="WJX23"/>
      <c r="WJY23"/>
      <c r="WJZ23"/>
      <c r="WKA23"/>
      <c r="WKB23"/>
      <c r="WKC23"/>
      <c r="WKD23"/>
      <c r="WKE23"/>
      <c r="WKF23"/>
      <c r="WKG23"/>
      <c r="WKH23"/>
      <c r="WKI23"/>
      <c r="WKJ23"/>
      <c r="WKK23"/>
      <c r="WKL23"/>
      <c r="WKM23"/>
      <c r="WKN23"/>
      <c r="WKO23"/>
      <c r="WKP23"/>
      <c r="WKQ23"/>
      <c r="WKR23"/>
      <c r="WKS23"/>
      <c r="WKT23"/>
      <c r="WKU23"/>
      <c r="WKV23"/>
      <c r="WKW23"/>
      <c r="WKX23"/>
      <c r="WKY23"/>
      <c r="WKZ23"/>
      <c r="WLA23"/>
      <c r="WLB23"/>
      <c r="WLC23"/>
      <c r="WLD23"/>
      <c r="WLE23"/>
      <c r="WLF23"/>
      <c r="WLG23"/>
      <c r="WLH23"/>
      <c r="WLI23"/>
      <c r="WLJ23"/>
      <c r="WLK23"/>
      <c r="WLL23"/>
      <c r="WLM23"/>
      <c r="WLN23"/>
      <c r="WLO23"/>
      <c r="WLP23"/>
      <c r="WLQ23"/>
      <c r="WLR23"/>
      <c r="WLS23"/>
      <c r="WLT23"/>
      <c r="WLU23"/>
      <c r="WLV23"/>
      <c r="WLW23"/>
      <c r="WLX23"/>
      <c r="WLY23"/>
      <c r="WLZ23"/>
      <c r="WMA23"/>
      <c r="WMB23"/>
      <c r="WMC23"/>
      <c r="WMD23"/>
      <c r="WME23"/>
      <c r="WMF23"/>
      <c r="WMG23"/>
      <c r="WMH23"/>
      <c r="WMI23"/>
      <c r="WMJ23"/>
      <c r="WMK23"/>
      <c r="WML23"/>
      <c r="WMM23"/>
      <c r="WMN23"/>
      <c r="WMO23"/>
      <c r="WMP23"/>
      <c r="WMQ23"/>
      <c r="WMR23"/>
      <c r="WMS23"/>
      <c r="WMT23"/>
      <c r="WMU23"/>
      <c r="WMV23"/>
      <c r="WMW23"/>
      <c r="WMX23"/>
      <c r="WMY23"/>
      <c r="WMZ23"/>
      <c r="WNA23"/>
      <c r="WNB23"/>
      <c r="WNC23"/>
      <c r="WND23"/>
      <c r="WNE23"/>
      <c r="WNF23"/>
      <c r="WNG23"/>
      <c r="WNH23"/>
      <c r="WNI23"/>
      <c r="WNJ23"/>
      <c r="WNK23"/>
      <c r="WNL23"/>
      <c r="WNM23"/>
      <c r="WNN23"/>
      <c r="WNO23"/>
      <c r="WNP23"/>
      <c r="WNQ23"/>
      <c r="WNR23"/>
      <c r="WNS23"/>
      <c r="WNT23"/>
      <c r="WNU23"/>
      <c r="WNV23"/>
      <c r="WNW23"/>
      <c r="WNX23"/>
      <c r="WNY23"/>
      <c r="WNZ23"/>
      <c r="WOA23"/>
      <c r="WOB23"/>
      <c r="WOC23"/>
      <c r="WOD23"/>
      <c r="WOE23"/>
      <c r="WOF23"/>
      <c r="WOG23"/>
      <c r="WOH23"/>
      <c r="WOI23"/>
      <c r="WOJ23"/>
      <c r="WOK23"/>
      <c r="WOL23"/>
      <c r="WOM23"/>
      <c r="WON23"/>
      <c r="WOO23"/>
      <c r="WOP23"/>
      <c r="WOQ23"/>
      <c r="WOR23"/>
      <c r="WOS23"/>
      <c r="WOT23"/>
      <c r="WOU23"/>
      <c r="WOV23"/>
      <c r="WOW23"/>
      <c r="WOX23"/>
      <c r="WOY23"/>
      <c r="WOZ23"/>
      <c r="WPA23"/>
      <c r="WPB23"/>
      <c r="WPC23"/>
      <c r="WPD23"/>
      <c r="WPE23"/>
      <c r="WPF23"/>
      <c r="WPG23"/>
      <c r="WPH23"/>
      <c r="WPI23"/>
      <c r="WPJ23"/>
      <c r="WPK23"/>
      <c r="WPL23"/>
      <c r="WPM23"/>
      <c r="WPN23"/>
      <c r="WPO23"/>
      <c r="WPP23"/>
      <c r="WPQ23"/>
      <c r="WPR23"/>
      <c r="WPS23"/>
      <c r="WPT23"/>
      <c r="WPU23"/>
      <c r="WPV23"/>
      <c r="WPW23"/>
      <c r="WPX23"/>
      <c r="WPY23"/>
      <c r="WPZ23"/>
      <c r="WQA23"/>
      <c r="WQB23"/>
      <c r="WQC23"/>
      <c r="WQD23"/>
      <c r="WQE23"/>
      <c r="WQF23"/>
      <c r="WQG23"/>
      <c r="WQH23"/>
      <c r="WQI23"/>
      <c r="WQJ23"/>
      <c r="WQK23"/>
      <c r="WQL23"/>
      <c r="WQM23"/>
      <c r="WQN23"/>
      <c r="WQO23"/>
      <c r="WQP23"/>
      <c r="WQQ23"/>
      <c r="WQR23"/>
      <c r="WQS23"/>
      <c r="WQT23"/>
      <c r="WQU23"/>
      <c r="WQV23"/>
      <c r="WQW23"/>
      <c r="WQX23"/>
      <c r="WQY23"/>
      <c r="WQZ23"/>
      <c r="WRA23"/>
      <c r="WRB23"/>
      <c r="WRC23"/>
      <c r="WRD23"/>
      <c r="WRE23"/>
      <c r="WRF23"/>
      <c r="WRG23"/>
      <c r="WRH23"/>
      <c r="WRI23"/>
      <c r="WRJ23"/>
      <c r="WRK23"/>
      <c r="WRL23"/>
      <c r="WRM23"/>
      <c r="WRN23"/>
      <c r="WRO23"/>
      <c r="WRP23"/>
      <c r="WRQ23"/>
      <c r="WRR23"/>
      <c r="WRS23"/>
      <c r="WRT23"/>
      <c r="WRU23"/>
      <c r="WRV23"/>
      <c r="WRW23"/>
      <c r="WRX23"/>
      <c r="WRY23"/>
      <c r="WRZ23"/>
      <c r="WSA23"/>
      <c r="WSB23"/>
      <c r="WSC23"/>
      <c r="WSD23"/>
      <c r="WSE23"/>
      <c r="WSF23"/>
      <c r="WSG23"/>
      <c r="WSH23"/>
      <c r="WSI23"/>
      <c r="WSJ23"/>
      <c r="WSK23"/>
      <c r="WSL23"/>
      <c r="WSM23"/>
      <c r="WSN23"/>
      <c r="WSO23"/>
      <c r="WSP23"/>
      <c r="WSQ23"/>
      <c r="WSR23"/>
      <c r="WSS23"/>
      <c r="WST23"/>
      <c r="WSU23"/>
      <c r="WSV23"/>
      <c r="WSW23"/>
      <c r="WSX23"/>
      <c r="WSY23"/>
      <c r="WSZ23"/>
      <c r="WTA23"/>
      <c r="WTB23"/>
      <c r="WTC23"/>
      <c r="WTD23"/>
      <c r="WTE23"/>
      <c r="WTF23"/>
      <c r="WTG23"/>
      <c r="WTH23"/>
      <c r="WTI23"/>
      <c r="WTJ23"/>
      <c r="WTK23"/>
      <c r="WTL23"/>
      <c r="WTM23"/>
      <c r="WTN23"/>
      <c r="WTO23"/>
      <c r="WTP23"/>
      <c r="WTQ23"/>
      <c r="WTR23"/>
      <c r="WTS23"/>
      <c r="WTT23"/>
      <c r="WTU23"/>
      <c r="WTV23"/>
      <c r="WTW23"/>
      <c r="WTX23"/>
      <c r="WTY23"/>
      <c r="WTZ23"/>
      <c r="WUA23"/>
      <c r="WUB23"/>
      <c r="WUC23"/>
      <c r="WUD23"/>
      <c r="WUE23"/>
      <c r="WUF23"/>
      <c r="WUG23"/>
      <c r="WUH23"/>
      <c r="WUI23"/>
      <c r="WUJ23"/>
      <c r="WUK23"/>
      <c r="WUL23"/>
      <c r="WUM23"/>
      <c r="WUN23"/>
      <c r="WUO23"/>
      <c r="WUP23"/>
      <c r="WUQ23"/>
      <c r="WUR23"/>
      <c r="WUS23"/>
      <c r="WUT23"/>
      <c r="WUU23"/>
      <c r="WUV23"/>
      <c r="WUW23"/>
      <c r="WUX23"/>
      <c r="WUY23"/>
      <c r="WUZ23"/>
      <c r="WVA23"/>
      <c r="WVB23"/>
      <c r="WVC23"/>
      <c r="WVD23"/>
      <c r="WVE23"/>
      <c r="WVF23"/>
      <c r="WVG23"/>
      <c r="WVH23"/>
      <c r="WVI23"/>
      <c r="WVJ23"/>
      <c r="WVK23"/>
      <c r="WVL23"/>
      <c r="WVM23"/>
      <c r="WVN23"/>
      <c r="WVO23"/>
      <c r="WVP23"/>
      <c r="WVQ23"/>
      <c r="WVR23"/>
      <c r="WVS23"/>
      <c r="WVT23"/>
      <c r="WVU23"/>
      <c r="WVV23"/>
      <c r="WVW23"/>
      <c r="WVX23"/>
      <c r="WVY23"/>
      <c r="WVZ23"/>
      <c r="WWA23"/>
      <c r="WWB23"/>
      <c r="WWC23"/>
      <c r="WWD23"/>
      <c r="WWE23"/>
      <c r="WWF23"/>
      <c r="WWG23"/>
      <c r="WWH23"/>
      <c r="WWI23"/>
      <c r="WWJ23"/>
      <c r="WWK23"/>
      <c r="WWL23"/>
      <c r="WWM23"/>
      <c r="WWN23"/>
      <c r="WWO23"/>
      <c r="WWP23"/>
      <c r="WWQ23"/>
      <c r="WWR23"/>
      <c r="WWS23"/>
      <c r="WWT23"/>
      <c r="WWU23"/>
      <c r="WWV23"/>
      <c r="WWW23"/>
      <c r="WWX23"/>
      <c r="WWY23"/>
      <c r="WWZ23"/>
      <c r="WXA23"/>
      <c r="WXB23"/>
      <c r="WXC23"/>
      <c r="WXD23"/>
      <c r="WXE23"/>
      <c r="WXF23"/>
      <c r="WXG23"/>
      <c r="WXH23"/>
      <c r="WXI23"/>
      <c r="WXJ23"/>
      <c r="WXK23"/>
      <c r="WXL23"/>
      <c r="WXM23"/>
      <c r="WXN23"/>
      <c r="WXO23"/>
      <c r="WXP23"/>
      <c r="WXQ23"/>
      <c r="WXR23"/>
      <c r="WXS23"/>
      <c r="WXT23"/>
      <c r="WXU23"/>
      <c r="WXV23"/>
      <c r="WXW23"/>
      <c r="WXX23"/>
      <c r="WXY23"/>
      <c r="WXZ23"/>
      <c r="WYA23"/>
      <c r="WYB23"/>
      <c r="WYC23"/>
      <c r="WYD23"/>
      <c r="WYE23"/>
      <c r="WYF23"/>
      <c r="WYG23"/>
      <c r="WYH23"/>
      <c r="WYI23"/>
      <c r="WYJ23"/>
      <c r="WYK23"/>
      <c r="WYL23"/>
      <c r="WYM23"/>
      <c r="WYN23"/>
      <c r="WYO23"/>
      <c r="WYP23"/>
      <c r="WYQ23"/>
      <c r="WYR23"/>
      <c r="WYS23"/>
      <c r="WYT23"/>
      <c r="WYU23"/>
      <c r="WYV23"/>
      <c r="WYW23"/>
      <c r="WYX23"/>
      <c r="WYY23"/>
      <c r="WYZ23"/>
      <c r="WZA23"/>
      <c r="WZB23"/>
      <c r="WZC23"/>
      <c r="WZD23"/>
      <c r="WZE23"/>
      <c r="WZF23"/>
      <c r="WZG23"/>
      <c r="WZH23"/>
      <c r="WZI23"/>
      <c r="WZJ23"/>
      <c r="WZK23"/>
      <c r="WZL23"/>
      <c r="WZM23"/>
      <c r="WZN23"/>
      <c r="WZO23"/>
      <c r="WZP23"/>
      <c r="WZQ23"/>
      <c r="WZR23"/>
      <c r="WZS23"/>
      <c r="WZT23"/>
      <c r="WZU23"/>
      <c r="WZV23"/>
      <c r="WZW23"/>
      <c r="WZX23"/>
      <c r="WZY23"/>
      <c r="WZZ23"/>
      <c r="XAA23"/>
      <c r="XAB23"/>
      <c r="XAC23"/>
      <c r="XAD23"/>
      <c r="XAE23"/>
      <c r="XAF23"/>
      <c r="XAG23"/>
      <c r="XAH23"/>
      <c r="XAI23"/>
      <c r="XAJ23"/>
      <c r="XAK23"/>
      <c r="XAL23"/>
      <c r="XAM23"/>
      <c r="XAN23"/>
      <c r="XAO23"/>
      <c r="XAP23"/>
      <c r="XAQ23"/>
      <c r="XAR23"/>
      <c r="XAS23"/>
      <c r="XAT23"/>
      <c r="XAU23"/>
      <c r="XAV23"/>
      <c r="XAW23"/>
      <c r="XAX23"/>
      <c r="XAY23"/>
      <c r="XAZ23"/>
      <c r="XBA23"/>
      <c r="XBB23"/>
      <c r="XBC23"/>
      <c r="XBD23"/>
      <c r="XBE23"/>
      <c r="XBF23"/>
      <c r="XBG23"/>
      <c r="XBH23"/>
      <c r="XBI23"/>
      <c r="XBJ23"/>
      <c r="XBK23"/>
      <c r="XBL23"/>
      <c r="XBM23"/>
      <c r="XBN23"/>
      <c r="XBO23"/>
      <c r="XBP23"/>
      <c r="XBQ23"/>
      <c r="XBR23"/>
      <c r="XBS23"/>
      <c r="XBT23"/>
      <c r="XBU23"/>
      <c r="XBV23"/>
      <c r="XBW23"/>
      <c r="XBX23"/>
      <c r="XBY23"/>
      <c r="XBZ23"/>
      <c r="XCA23"/>
      <c r="XCB23"/>
      <c r="XCC23"/>
      <c r="XCD23"/>
      <c r="XCE23"/>
      <c r="XCF23"/>
      <c r="XCG23"/>
      <c r="XCH23"/>
      <c r="XCI23"/>
      <c r="XCJ23"/>
      <c r="XCK23"/>
      <c r="XCL23"/>
      <c r="XCM23"/>
      <c r="XCN23"/>
      <c r="XCO23"/>
      <c r="XCP23"/>
      <c r="XCQ23"/>
      <c r="XCR23"/>
      <c r="XCS23"/>
      <c r="XCT23"/>
      <c r="XCU23"/>
      <c r="XCV23"/>
      <c r="XCW23"/>
      <c r="XCX23"/>
      <c r="XCY23"/>
      <c r="XCZ23"/>
      <c r="XDA23"/>
      <c r="XDB23"/>
      <c r="XDC23"/>
      <c r="XDD23"/>
      <c r="XDE23"/>
      <c r="XDF23"/>
      <c r="XDG23"/>
      <c r="XDH23"/>
      <c r="XDI23"/>
      <c r="XDJ23"/>
      <c r="XDK23"/>
      <c r="XDL23"/>
      <c r="XDM23"/>
      <c r="XDN23"/>
      <c r="XDO23"/>
      <c r="XDP23"/>
      <c r="XDQ23"/>
      <c r="XDR23"/>
      <c r="XDS23"/>
      <c r="XDT23"/>
      <c r="XDU23"/>
      <c r="XDV23"/>
      <c r="XDW23"/>
      <c r="XDX23"/>
      <c r="XDY23"/>
      <c r="XDZ23"/>
      <c r="XEA23"/>
      <c r="XEB23"/>
      <c r="XEC23"/>
      <c r="XED23"/>
      <c r="XEE23"/>
      <c r="XEF23"/>
      <c r="XEG23"/>
      <c r="XEH23"/>
      <c r="XEI23"/>
      <c r="XEJ23"/>
      <c r="XEK23"/>
      <c r="XEL23"/>
      <c r="XEM23"/>
      <c r="XEN23"/>
      <c r="XEO23"/>
      <c r="XEP23"/>
      <c r="XEQ23"/>
      <c r="XER23"/>
      <c r="XES23"/>
      <c r="XET23"/>
      <c r="XEU23"/>
      <c r="XEV23"/>
      <c r="XEW23"/>
      <c r="XEX23"/>
      <c r="XEY23"/>
      <c r="XEZ23"/>
      <c r="XFA23"/>
      <c r="XFB23"/>
      <c r="XFC23"/>
    </row>
  </sheetData>
  <phoneticPr fontId="5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749C-360F-41F7-AFD8-A49AFD12F543}">
  <sheetPr codeName="Sheet4"/>
  <dimension ref="A1:JP44"/>
  <sheetViews>
    <sheetView zoomScale="85" zoomScaleNormal="85" workbookViewId="0"/>
  </sheetViews>
  <sheetFormatPr defaultRowHeight="12.9" x14ac:dyDescent="0.2"/>
  <cols>
    <col min="1" max="1" width="11.375" bestFit="1" customWidth="1"/>
    <col min="2" max="2" width="15.625" bestFit="1" customWidth="1"/>
    <col min="3" max="3" width="12.25" bestFit="1" customWidth="1"/>
    <col min="4" max="4" width="11.875" bestFit="1" customWidth="1"/>
    <col min="5" max="5" width="5.75" bestFit="1" customWidth="1"/>
    <col min="6" max="6" width="17.375" bestFit="1" customWidth="1"/>
    <col min="7" max="7" width="8" bestFit="1" customWidth="1"/>
    <col min="8" max="8" width="10" bestFit="1" customWidth="1"/>
    <col min="9" max="9" width="15.625" bestFit="1" customWidth="1"/>
    <col min="10" max="10" width="14.875" bestFit="1" customWidth="1"/>
    <col min="11" max="11" width="16.25" bestFit="1" customWidth="1"/>
    <col min="12" max="12" width="10" bestFit="1" customWidth="1"/>
    <col min="13" max="13" width="13.25" bestFit="1" customWidth="1"/>
    <col min="14" max="14" width="14.875" bestFit="1" customWidth="1"/>
    <col min="15" max="15" width="6.125" bestFit="1" customWidth="1"/>
    <col min="16" max="17" width="8.75" bestFit="1" customWidth="1"/>
    <col min="18" max="18" width="19.875" bestFit="1" customWidth="1"/>
    <col min="19" max="19" width="4.875" bestFit="1" customWidth="1"/>
    <col min="20" max="22" width="6" bestFit="1" customWidth="1"/>
    <col min="23" max="23" width="7.375" bestFit="1" customWidth="1"/>
    <col min="24" max="27" width="10.125" bestFit="1" customWidth="1"/>
    <col min="28" max="28" width="11" bestFit="1" customWidth="1"/>
    <col min="29" max="30" width="10.125" bestFit="1" customWidth="1"/>
    <col min="31" max="31" width="6.25" bestFit="1" customWidth="1"/>
    <col min="32" max="35" width="10.125" bestFit="1" customWidth="1"/>
    <col min="36" max="36" width="22.375" bestFit="1" customWidth="1"/>
    <col min="37" max="37" width="11.875" bestFit="1" customWidth="1"/>
    <col min="38" max="39" width="6.125" bestFit="1" customWidth="1"/>
    <col min="40" max="40" width="6.625" customWidth="1"/>
    <col min="41" max="42" width="10.125" customWidth="1"/>
    <col min="43" max="43" width="10.125" bestFit="1" customWidth="1"/>
    <col min="44" max="44" width="8.625" bestFit="1" customWidth="1"/>
    <col min="45" max="45" width="10.125" bestFit="1" customWidth="1"/>
    <col min="46" max="46" width="9.25" customWidth="1"/>
    <col min="47" max="47" width="4.875" bestFit="1" customWidth="1"/>
    <col min="48" max="48" width="6.125" bestFit="1" customWidth="1"/>
    <col min="49" max="49" width="9.375" bestFit="1" customWidth="1"/>
    <col min="50" max="50" width="10.125" bestFit="1" customWidth="1"/>
    <col min="51" max="51" width="8.875" bestFit="1" customWidth="1"/>
    <col min="52" max="53" width="10.125" bestFit="1" customWidth="1"/>
    <col min="54" max="54" width="11.25" customWidth="1"/>
    <col min="55" max="55" width="10.125" bestFit="1" customWidth="1"/>
    <col min="56" max="56" width="10.125" customWidth="1"/>
    <col min="57" max="57" width="6.625" customWidth="1"/>
    <col min="58" max="58" width="10.125" customWidth="1"/>
    <col min="59" max="59" width="13.125" bestFit="1" customWidth="1"/>
    <col min="60" max="60" width="10.125" customWidth="1"/>
    <col min="61" max="61" width="8.625" bestFit="1" customWidth="1"/>
    <col min="62" max="62" width="10.125" bestFit="1" customWidth="1"/>
    <col min="63" max="63" width="8.625" bestFit="1" customWidth="1"/>
    <col min="64" max="64" width="17.875" bestFit="1" customWidth="1"/>
    <col min="65" max="65" width="9.875" bestFit="1" customWidth="1"/>
    <col min="66" max="66" width="11.25" bestFit="1" customWidth="1"/>
    <col min="67" max="67" width="17.625" bestFit="1" customWidth="1"/>
    <col min="68" max="68" width="9.625" bestFit="1" customWidth="1"/>
    <col min="69" max="69" width="11" bestFit="1" customWidth="1"/>
    <col min="70" max="70" width="7.125" bestFit="1" customWidth="1"/>
    <col min="71" max="71" width="17.875" bestFit="1" customWidth="1"/>
    <col min="72" max="72" width="9.75" bestFit="1" customWidth="1"/>
    <col min="73" max="73" width="11.125" bestFit="1" customWidth="1"/>
    <col min="74" max="74" width="10.25" bestFit="1" customWidth="1"/>
    <col min="75" max="75" width="12.625" bestFit="1" customWidth="1"/>
    <col min="76" max="76" width="9.625" bestFit="1" customWidth="1"/>
    <col min="77" max="77" width="6.25" bestFit="1" customWidth="1"/>
    <col min="78" max="78" width="12.375" bestFit="1" customWidth="1"/>
    <col min="79" max="79" width="34.875" bestFit="1" customWidth="1"/>
    <col min="80" max="80" width="12.375" customWidth="1"/>
    <col min="81" max="82" width="10.125" customWidth="1"/>
    <col min="83" max="85" width="12.25" customWidth="1"/>
    <col min="86" max="86" width="11.125" bestFit="1" customWidth="1"/>
    <col min="87" max="87" width="9.375" customWidth="1"/>
    <col min="88" max="88" width="10" customWidth="1"/>
    <col min="89" max="89" width="10.75" customWidth="1"/>
    <col min="90" max="90" width="8.625" bestFit="1" customWidth="1"/>
    <col min="91" max="91" width="9.375" bestFit="1" customWidth="1"/>
    <col min="92" max="92" width="9.375" customWidth="1"/>
    <col min="93" max="93" width="9.75" bestFit="1" customWidth="1"/>
    <col min="94" max="94" width="10.625" bestFit="1" customWidth="1"/>
    <col min="95" max="95" width="8.625" bestFit="1" customWidth="1"/>
    <col min="96" max="96" width="8.375" bestFit="1" customWidth="1"/>
    <col min="97" max="97" width="9.375" bestFit="1" customWidth="1"/>
    <col min="98" max="98" width="11.625" bestFit="1" customWidth="1"/>
    <col min="99" max="99" width="9.125" customWidth="1"/>
    <col min="100" max="100" width="8.625" bestFit="1" customWidth="1"/>
    <col min="101" max="101" width="10.75" bestFit="1" customWidth="1"/>
    <col min="102" max="102" width="10.75" customWidth="1"/>
    <col min="103" max="103" width="11.625" bestFit="1" customWidth="1"/>
    <col min="104" max="104" width="9.125" customWidth="1"/>
    <col min="105" max="106" width="11.625" bestFit="1" customWidth="1"/>
    <col min="107" max="107" width="51.625" customWidth="1"/>
    <col min="108" max="108" width="9.125" customWidth="1"/>
    <col min="109" max="109" width="9.25" bestFit="1" customWidth="1"/>
    <col min="110" max="112" width="9.25" customWidth="1"/>
    <col min="113" max="113" width="10.125" bestFit="1" customWidth="1"/>
    <col min="114" max="114" width="10.125" customWidth="1"/>
    <col min="115" max="116" width="10.125" bestFit="1" customWidth="1"/>
    <col min="117" max="117" width="9" bestFit="1" customWidth="1"/>
    <col min="118" max="123" width="9.25" customWidth="1"/>
    <col min="124" max="124" width="11.125" customWidth="1"/>
    <col min="125" max="131" width="9.25" customWidth="1"/>
    <col min="132" max="132" width="13.375" customWidth="1"/>
    <col min="133" max="133" width="13.25" bestFit="1" customWidth="1"/>
    <col min="134" max="134" width="11.375" bestFit="1" customWidth="1"/>
    <col min="135" max="135" width="11.625" customWidth="1"/>
    <col min="136" max="136" width="11.375" customWidth="1"/>
    <col min="137" max="137" width="11.125" bestFit="1" customWidth="1"/>
    <col min="138" max="138" width="13.375" bestFit="1" customWidth="1"/>
    <col min="139" max="139" width="9.125" bestFit="1" customWidth="1"/>
    <col min="140" max="141" width="9" bestFit="1" customWidth="1"/>
    <col min="142" max="142" width="9.375" bestFit="1" customWidth="1"/>
    <col min="143" max="143" width="15.25" bestFit="1" customWidth="1"/>
    <col min="144" max="144" width="9.875" bestFit="1" customWidth="1"/>
    <col min="145" max="146" width="9.875" customWidth="1"/>
    <col min="147" max="147" width="55.75" customWidth="1"/>
    <col min="148" max="148" width="46.75" customWidth="1"/>
    <col min="149" max="149" width="102" customWidth="1"/>
    <col min="150" max="150" width="10.625" bestFit="1" customWidth="1"/>
    <col min="151" max="151" width="13.875" bestFit="1" customWidth="1"/>
    <col min="152" max="152" width="15.875" bestFit="1" customWidth="1"/>
    <col min="153" max="153" width="19.625" bestFit="1" customWidth="1"/>
    <col min="154" max="154" width="13.625" bestFit="1" customWidth="1"/>
    <col min="155" max="156" width="13.625" customWidth="1"/>
    <col min="157" max="157" width="23.375" bestFit="1" customWidth="1"/>
    <col min="158" max="158" width="13.625" customWidth="1"/>
    <col min="159" max="159" width="19.625" bestFit="1" customWidth="1"/>
    <col min="160" max="160" width="19.375" bestFit="1" customWidth="1"/>
    <col min="161" max="161" width="19.375" customWidth="1"/>
    <col min="162" max="162" width="20" bestFit="1" customWidth="1"/>
    <col min="163" max="163" width="16" bestFit="1" customWidth="1"/>
    <col min="164" max="196" width="16" customWidth="1"/>
    <col min="197" max="197" width="23.75" bestFit="1" customWidth="1"/>
    <col min="198" max="198" width="16" customWidth="1"/>
    <col min="199" max="199" width="18" bestFit="1" customWidth="1"/>
    <col min="200" max="200" width="25.125" bestFit="1" customWidth="1"/>
    <col min="201" max="201" width="6.25" bestFit="1" customWidth="1"/>
    <col min="202" max="202" width="7.375" bestFit="1" customWidth="1"/>
    <col min="203" max="203" width="15.875" bestFit="1" customWidth="1"/>
    <col min="204" max="204" width="15" bestFit="1" customWidth="1"/>
    <col min="205" max="205" width="22.25" bestFit="1" customWidth="1"/>
    <col min="206" max="206" width="14.25" bestFit="1" customWidth="1"/>
    <col min="207" max="212" width="14.25" customWidth="1"/>
    <col min="213" max="213" width="15.625" bestFit="1" customWidth="1"/>
    <col min="214" max="214" width="15.625" customWidth="1"/>
    <col min="215" max="215" width="29.875" bestFit="1" customWidth="1"/>
    <col min="216" max="216" width="10.875" bestFit="1" customWidth="1"/>
    <col min="217" max="217" width="19.625" bestFit="1" customWidth="1"/>
    <col min="218" max="218" width="20.25" bestFit="1" customWidth="1"/>
    <col min="219" max="219" width="15.625" bestFit="1" customWidth="1"/>
    <col min="220" max="220" width="30.375" bestFit="1" customWidth="1"/>
    <col min="221" max="221" width="27.75" bestFit="1" customWidth="1"/>
    <col min="222" max="222" width="21" bestFit="1" customWidth="1"/>
    <col min="223" max="223" width="21" customWidth="1"/>
    <col min="224" max="224" width="25.875" bestFit="1" customWidth="1"/>
    <col min="225" max="225" width="15.625" bestFit="1" customWidth="1"/>
    <col min="226" max="226" width="22.875" bestFit="1" customWidth="1"/>
    <col min="227" max="227" width="15" customWidth="1"/>
    <col min="228" max="228" width="14.25" bestFit="1" customWidth="1"/>
    <col min="229" max="232" width="14.25" customWidth="1"/>
    <col min="233" max="234" width="16.125" customWidth="1"/>
    <col min="235" max="235" width="9.625" bestFit="1" customWidth="1"/>
    <col min="236" max="237" width="15.125" bestFit="1" customWidth="1"/>
    <col min="238" max="238" width="7.375" bestFit="1" customWidth="1"/>
    <col min="239" max="239" width="7.75" bestFit="1" customWidth="1"/>
    <col min="240" max="240" width="9.75" bestFit="1" customWidth="1"/>
    <col min="241" max="241" width="9.625" customWidth="1"/>
    <col min="242" max="242" width="16.25" customWidth="1"/>
    <col min="243" max="244" width="11.75" bestFit="1" customWidth="1"/>
    <col min="245" max="245" width="14.875" customWidth="1"/>
    <col min="246" max="247" width="11.75" bestFit="1" customWidth="1"/>
    <col min="248" max="248" width="21" bestFit="1" customWidth="1"/>
    <col min="249" max="250" width="7.75" bestFit="1" customWidth="1"/>
    <col min="251" max="251" width="13.375" bestFit="1" customWidth="1"/>
    <col min="253" max="253" width="10.125" bestFit="1" customWidth="1"/>
    <col min="256" max="256" width="27.625" bestFit="1" customWidth="1"/>
    <col min="257" max="257" width="27" bestFit="1" customWidth="1"/>
    <col min="258" max="258" width="21" bestFit="1" customWidth="1"/>
    <col min="260" max="260" width="11.25" customWidth="1"/>
    <col min="261" max="261" width="16.625" bestFit="1" customWidth="1"/>
    <col min="263" max="263" width="11" bestFit="1" customWidth="1"/>
    <col min="264" max="264" width="14.875" bestFit="1" customWidth="1"/>
    <col min="268" max="268" width="10.125" bestFit="1" customWidth="1"/>
    <col min="269" max="270" width="14.125" customWidth="1"/>
    <col min="271" max="272" width="14.125" style="92" customWidth="1"/>
    <col min="273" max="273" width="14.125" customWidth="1"/>
    <col min="274" max="275" width="14.125" style="92" customWidth="1"/>
    <col min="276" max="276" width="14.125" customWidth="1"/>
  </cols>
  <sheetData>
    <row r="1" spans="1:276" s="26" customFormat="1" ht="13.6" x14ac:dyDescent="0.25">
      <c r="A1" s="4" t="s">
        <v>0</v>
      </c>
      <c r="B1" s="24" t="s">
        <v>263</v>
      </c>
      <c r="C1" s="24" t="s">
        <v>1</v>
      </c>
      <c r="D1" s="24" t="s">
        <v>2</v>
      </c>
      <c r="E1" s="25" t="s">
        <v>3</v>
      </c>
      <c r="F1" s="25" t="s">
        <v>122</v>
      </c>
      <c r="G1" s="25" t="s">
        <v>234</v>
      </c>
      <c r="H1" s="25" t="s">
        <v>77</v>
      </c>
      <c r="I1" s="4" t="s">
        <v>4</v>
      </c>
      <c r="J1" s="4" t="s">
        <v>5</v>
      </c>
      <c r="K1" s="4"/>
      <c r="L1" s="4" t="s">
        <v>71</v>
      </c>
      <c r="M1" s="4" t="s">
        <v>72</v>
      </c>
      <c r="N1" s="4" t="s">
        <v>73</v>
      </c>
      <c r="O1" s="4" t="s">
        <v>102</v>
      </c>
      <c r="P1" s="4" t="s">
        <v>103</v>
      </c>
      <c r="Q1" s="4" t="s">
        <v>104</v>
      </c>
      <c r="R1" s="4" t="s">
        <v>105</v>
      </c>
      <c r="S1" s="4" t="s">
        <v>110</v>
      </c>
      <c r="T1" s="4" t="s">
        <v>8</v>
      </c>
      <c r="U1" s="4" t="s">
        <v>9</v>
      </c>
      <c r="V1" s="4" t="s">
        <v>106</v>
      </c>
      <c r="W1" s="4" t="s">
        <v>21</v>
      </c>
      <c r="X1" s="4" t="s">
        <v>254</v>
      </c>
      <c r="Y1" s="4" t="s">
        <v>6</v>
      </c>
      <c r="Z1" s="4" t="s">
        <v>7</v>
      </c>
      <c r="AA1" s="4" t="s">
        <v>107</v>
      </c>
      <c r="AB1" s="4" t="s">
        <v>19</v>
      </c>
      <c r="AC1" s="4" t="s">
        <v>75</v>
      </c>
      <c r="AD1" s="4" t="s">
        <v>108</v>
      </c>
      <c r="AE1" s="4" t="s">
        <v>109</v>
      </c>
      <c r="AF1" s="4" t="s">
        <v>22</v>
      </c>
      <c r="AG1" s="4" t="s">
        <v>23</v>
      </c>
      <c r="AH1" s="4" t="s">
        <v>136</v>
      </c>
      <c r="AI1" s="4" t="s">
        <v>208</v>
      </c>
      <c r="AJ1" s="4" t="s">
        <v>113</v>
      </c>
      <c r="AK1" s="4" t="s">
        <v>880</v>
      </c>
      <c r="AL1" s="4" t="s">
        <v>260</v>
      </c>
      <c r="AM1" s="4" t="s">
        <v>259</v>
      </c>
      <c r="AN1" s="4"/>
      <c r="AO1" s="4"/>
      <c r="AP1" s="4" t="s">
        <v>707</v>
      </c>
      <c r="AQ1" s="4" t="s">
        <v>1075</v>
      </c>
      <c r="AR1" s="4" t="s">
        <v>117</v>
      </c>
      <c r="AS1" s="4" t="s">
        <v>126</v>
      </c>
      <c r="AT1" s="4" t="s">
        <v>883</v>
      </c>
      <c r="AU1" s="4" t="s">
        <v>34</v>
      </c>
      <c r="AV1" s="4" t="s">
        <v>35</v>
      </c>
      <c r="AW1" s="4" t="s">
        <v>142</v>
      </c>
      <c r="AX1" s="4" t="s">
        <v>95</v>
      </c>
      <c r="AY1" s="4" t="s">
        <v>36</v>
      </c>
      <c r="AZ1" s="4" t="s">
        <v>37</v>
      </c>
      <c r="BA1" s="4"/>
      <c r="BB1" s="4"/>
      <c r="BC1" s="4" t="s">
        <v>135</v>
      </c>
      <c r="BD1" s="4"/>
      <c r="BE1" s="4"/>
      <c r="BF1" s="4"/>
      <c r="BG1" s="4" t="s">
        <v>813</v>
      </c>
      <c r="BH1" s="4"/>
      <c r="BI1" s="4" t="s">
        <v>42</v>
      </c>
      <c r="BJ1" s="4" t="s">
        <v>43</v>
      </c>
      <c r="BK1" s="4" t="s">
        <v>44</v>
      </c>
      <c r="BL1" s="4" t="s">
        <v>25</v>
      </c>
      <c r="BM1" s="4" t="s">
        <v>27</v>
      </c>
      <c r="BN1" s="4" t="s">
        <v>29</v>
      </c>
      <c r="BO1" s="4" t="s">
        <v>476</v>
      </c>
      <c r="BP1" s="4" t="s">
        <v>477</v>
      </c>
      <c r="BQ1" s="4" t="s">
        <v>478</v>
      </c>
      <c r="BR1" s="4" t="s">
        <v>270</v>
      </c>
      <c r="BS1" s="4" t="s">
        <v>268</v>
      </c>
      <c r="BT1" s="4" t="s">
        <v>101</v>
      </c>
      <c r="BU1" s="4" t="s">
        <v>269</v>
      </c>
      <c r="BV1" s="4" t="s">
        <v>271</v>
      </c>
      <c r="BW1" s="4" t="s">
        <v>30</v>
      </c>
      <c r="BX1" s="4" t="s">
        <v>32</v>
      </c>
      <c r="BY1" s="4" t="s">
        <v>33</v>
      </c>
      <c r="BZ1" s="4" t="s">
        <v>277</v>
      </c>
      <c r="CA1" s="4" t="s">
        <v>276</v>
      </c>
      <c r="CB1" s="4" t="s">
        <v>1112</v>
      </c>
      <c r="CC1" s="4" t="s">
        <v>115</v>
      </c>
      <c r="CD1" s="4" t="s">
        <v>848</v>
      </c>
      <c r="CE1" s="4" t="s">
        <v>93</v>
      </c>
      <c r="CF1" s="4" t="s">
        <v>1014</v>
      </c>
      <c r="CG1" s="4" t="s">
        <v>1087</v>
      </c>
      <c r="CH1" s="4" t="s">
        <v>64</v>
      </c>
      <c r="CI1" s="4" t="s">
        <v>815</v>
      </c>
      <c r="CJ1" s="4" t="s">
        <v>1055</v>
      </c>
      <c r="CK1" s="4" t="s">
        <v>1070</v>
      </c>
      <c r="CL1" s="4" t="s">
        <v>47</v>
      </c>
      <c r="CM1" s="4" t="s">
        <v>48</v>
      </c>
      <c r="CN1" s="4" t="s">
        <v>814</v>
      </c>
      <c r="CO1" s="4" t="s">
        <v>284</v>
      </c>
      <c r="CP1" s="4" t="s">
        <v>216</v>
      </c>
      <c r="CQ1" s="4" t="s">
        <v>57</v>
      </c>
      <c r="CR1" s="4" t="s">
        <v>492</v>
      </c>
      <c r="CS1" s="4" t="s">
        <v>58</v>
      </c>
      <c r="CT1" s="4" t="s">
        <v>183</v>
      </c>
      <c r="CU1" s="4" t="s">
        <v>816</v>
      </c>
      <c r="CV1" s="4" t="s">
        <v>187</v>
      </c>
      <c r="CW1" s="4" t="s">
        <v>49</v>
      </c>
      <c r="CX1" s="4" t="s">
        <v>817</v>
      </c>
      <c r="CY1" s="4" t="s">
        <v>190</v>
      </c>
      <c r="CZ1" s="4" t="s">
        <v>818</v>
      </c>
      <c r="DA1" s="4" t="s">
        <v>1083</v>
      </c>
      <c r="DB1" s="4"/>
      <c r="DC1" s="4"/>
      <c r="DD1" s="4" t="s">
        <v>866</v>
      </c>
      <c r="DE1" s="4" t="s">
        <v>179</v>
      </c>
      <c r="DF1" s="4" t="s">
        <v>845</v>
      </c>
      <c r="DG1" s="4" t="s">
        <v>1076</v>
      </c>
      <c r="DH1" s="4" t="s">
        <v>192</v>
      </c>
      <c r="DI1" s="4" t="s">
        <v>1005</v>
      </c>
      <c r="DJ1" s="4"/>
      <c r="DK1" s="4"/>
      <c r="DL1" s="4"/>
      <c r="DM1" s="4"/>
      <c r="DN1" s="4" t="s">
        <v>257</v>
      </c>
      <c r="DO1" s="4" t="s">
        <v>194</v>
      </c>
      <c r="DP1" s="4" t="s">
        <v>819</v>
      </c>
      <c r="DQ1" s="4" t="s">
        <v>195</v>
      </c>
      <c r="DR1" s="4" t="s">
        <v>196</v>
      </c>
      <c r="DS1" s="4" t="s">
        <v>820</v>
      </c>
      <c r="DT1" s="4" t="s">
        <v>849</v>
      </c>
      <c r="DU1" s="4" t="s">
        <v>253</v>
      </c>
      <c r="DV1" s="4" t="s">
        <v>197</v>
      </c>
      <c r="DW1" s="4" t="s">
        <v>821</v>
      </c>
      <c r="DX1" s="4" t="s">
        <v>822</v>
      </c>
      <c r="DY1" s="4" t="s">
        <v>474</v>
      </c>
      <c r="DZ1" s="4" t="s">
        <v>823</v>
      </c>
      <c r="EA1" s="4"/>
      <c r="EB1" s="4" t="s">
        <v>1201</v>
      </c>
      <c r="EC1" s="4" t="s">
        <v>239</v>
      </c>
      <c r="ED1" s="4" t="s">
        <v>240</v>
      </c>
      <c r="EE1" s="4" t="s">
        <v>1092</v>
      </c>
      <c r="EF1" s="4" t="s">
        <v>1096</v>
      </c>
      <c r="EG1" s="4" t="s">
        <v>97</v>
      </c>
      <c r="EH1" s="4" t="s">
        <v>301</v>
      </c>
      <c r="EI1" s="4" t="s">
        <v>300</v>
      </c>
      <c r="EJ1" s="4" t="s">
        <v>298</v>
      </c>
      <c r="EK1" s="97"/>
      <c r="EL1" s="4" t="s">
        <v>296</v>
      </c>
      <c r="EM1" s="4" t="s">
        <v>297</v>
      </c>
      <c r="EN1" s="4" t="s">
        <v>299</v>
      </c>
      <c r="EO1" s="4"/>
      <c r="EP1" s="4"/>
      <c r="EQ1" s="4" t="s">
        <v>2794</v>
      </c>
      <c r="ER1" s="4" t="s">
        <v>2795</v>
      </c>
      <c r="ES1" s="4" t="s">
        <v>114</v>
      </c>
      <c r="ET1" s="4" t="s">
        <v>289</v>
      </c>
      <c r="EU1" s="4" t="s">
        <v>290</v>
      </c>
      <c r="EV1" s="4" t="s">
        <v>316</v>
      </c>
      <c r="EW1" s="4" t="s">
        <v>317</v>
      </c>
      <c r="EX1" s="4" t="s">
        <v>225</v>
      </c>
      <c r="EY1" s="4" t="s">
        <v>314</v>
      </c>
      <c r="EZ1" s="4" t="s">
        <v>1097</v>
      </c>
      <c r="FA1" s="4" t="s">
        <v>2317</v>
      </c>
      <c r="FB1" s="4" t="s">
        <v>325</v>
      </c>
      <c r="FC1" s="4" t="s">
        <v>224</v>
      </c>
      <c r="FD1" s="4" t="s">
        <v>326</v>
      </c>
      <c r="FE1" s="4" t="s">
        <v>1050</v>
      </c>
      <c r="FF1" s="4" t="s">
        <v>1006</v>
      </c>
      <c r="FG1" s="4" t="s">
        <v>1011</v>
      </c>
      <c r="FH1" s="4" t="s">
        <v>864</v>
      </c>
      <c r="FI1" s="4" t="s">
        <v>714</v>
      </c>
      <c r="FJ1" s="4" t="s">
        <v>1078</v>
      </c>
      <c r="FK1" s="4" t="s">
        <v>1079</v>
      </c>
      <c r="FL1" s="4" t="s">
        <v>926</v>
      </c>
      <c r="FM1" s="4" t="s">
        <v>94</v>
      </c>
      <c r="FN1" s="4" t="s">
        <v>734</v>
      </c>
      <c r="FO1" s="4" t="s">
        <v>884</v>
      </c>
      <c r="FP1" s="4" t="s">
        <v>92</v>
      </c>
      <c r="FQ1" s="4" t="s">
        <v>1080</v>
      </c>
      <c r="FR1" s="4" t="s">
        <v>743</v>
      </c>
      <c r="FS1" s="4" t="s">
        <v>745</v>
      </c>
      <c r="FT1" s="4" t="s">
        <v>746</v>
      </c>
      <c r="FU1" s="4" t="s">
        <v>749</v>
      </c>
      <c r="FV1" s="4" t="s">
        <v>1081</v>
      </c>
      <c r="FW1" s="4" t="s">
        <v>750</v>
      </c>
      <c r="FX1" s="4" t="s">
        <v>862</v>
      </c>
      <c r="FY1" s="4" t="s">
        <v>753</v>
      </c>
      <c r="FZ1" s="4" t="s">
        <v>863</v>
      </c>
      <c r="GA1" s="4" t="s">
        <v>852</v>
      </c>
      <c r="GB1" s="4" t="s">
        <v>853</v>
      </c>
      <c r="GC1" s="4" t="s">
        <v>854</v>
      </c>
      <c r="GD1" s="4" t="s">
        <v>855</v>
      </c>
      <c r="GE1" s="4" t="s">
        <v>860</v>
      </c>
      <c r="GF1" s="4" t="s">
        <v>861</v>
      </c>
      <c r="GG1" s="4" t="s">
        <v>856</v>
      </c>
      <c r="GH1" s="4" t="s">
        <v>857</v>
      </c>
      <c r="GI1" s="4" t="s">
        <v>858</v>
      </c>
      <c r="GJ1" s="4" t="s">
        <v>906</v>
      </c>
      <c r="GK1" s="4" t="s">
        <v>907</v>
      </c>
      <c r="GL1" s="4" t="s">
        <v>908</v>
      </c>
      <c r="GM1" s="4" t="s">
        <v>752</v>
      </c>
      <c r="GN1" s="4" t="s">
        <v>927</v>
      </c>
      <c r="GO1" s="4" t="s">
        <v>791</v>
      </c>
      <c r="GP1" s="4"/>
      <c r="GQ1" s="4" t="s">
        <v>82</v>
      </c>
      <c r="GR1" s="4" t="s">
        <v>337</v>
      </c>
      <c r="GS1" s="97" t="s">
        <v>335</v>
      </c>
      <c r="GT1" s="4" t="s">
        <v>336</v>
      </c>
      <c r="GU1" s="4" t="s">
        <v>542</v>
      </c>
      <c r="GV1" s="4" t="s">
        <v>50</v>
      </c>
      <c r="GW1" s="4" t="s">
        <v>349</v>
      </c>
      <c r="GX1" s="4" t="s">
        <v>159</v>
      </c>
      <c r="GY1" s="4" t="s">
        <v>302</v>
      </c>
      <c r="GZ1" s="4"/>
      <c r="HA1" s="4" t="s">
        <v>305</v>
      </c>
      <c r="HB1" s="4"/>
      <c r="HC1" s="4" t="s">
        <v>303</v>
      </c>
      <c r="HD1" s="4"/>
      <c r="HE1" s="26" t="s">
        <v>154</v>
      </c>
      <c r="HG1" s="4" t="s">
        <v>99</v>
      </c>
      <c r="HH1" s="398" t="s">
        <v>330</v>
      </c>
      <c r="HI1" s="4" t="s">
        <v>332</v>
      </c>
      <c r="HJ1" s="4" t="s">
        <v>1007</v>
      </c>
      <c r="HK1" s="4" t="s">
        <v>1008</v>
      </c>
      <c r="HL1" s="4" t="s">
        <v>788</v>
      </c>
      <c r="HM1" s="4" t="s">
        <v>789</v>
      </c>
      <c r="HN1" s="4" t="s">
        <v>790</v>
      </c>
      <c r="HO1" s="4" t="s">
        <v>1135</v>
      </c>
      <c r="HP1" s="4" t="s">
        <v>333</v>
      </c>
      <c r="HQ1" s="4" t="s">
        <v>334</v>
      </c>
      <c r="HR1" s="4" t="s">
        <v>350</v>
      </c>
      <c r="HS1" s="4" t="s">
        <v>351</v>
      </c>
      <c r="HT1" s="4" t="s">
        <v>51</v>
      </c>
      <c r="HV1" s="4" t="s">
        <v>202</v>
      </c>
      <c r="HW1" s="4" t="s">
        <v>200</v>
      </c>
      <c r="HX1" s="4"/>
      <c r="HY1" s="4" t="s">
        <v>355</v>
      </c>
      <c r="HZ1" s="4"/>
      <c r="IA1" s="4" t="s">
        <v>52</v>
      </c>
      <c r="IB1" s="4" t="s">
        <v>54</v>
      </c>
      <c r="IC1" s="4" t="s">
        <v>55</v>
      </c>
      <c r="ID1" s="4" t="s">
        <v>359</v>
      </c>
      <c r="IE1" s="4" t="s">
        <v>76</v>
      </c>
      <c r="IF1" s="4" t="s">
        <v>45</v>
      </c>
      <c r="IG1" s="4" t="s">
        <v>360</v>
      </c>
      <c r="IH1" s="4" t="s">
        <v>361</v>
      </c>
      <c r="II1" s="4" t="s">
        <v>362</v>
      </c>
      <c r="IJ1" s="4" t="s">
        <v>363</v>
      </c>
      <c r="IK1" s="4" t="s">
        <v>364</v>
      </c>
      <c r="IL1" s="4" t="s">
        <v>365</v>
      </c>
      <c r="IM1" s="4" t="s">
        <v>366</v>
      </c>
      <c r="IN1" s="558" t="s">
        <v>1777</v>
      </c>
      <c r="IO1" s="4" t="s">
        <v>204</v>
      </c>
      <c r="IP1" s="4" t="s">
        <v>205</v>
      </c>
      <c r="IQ1" s="4" t="s">
        <v>63</v>
      </c>
      <c r="IR1" s="4" t="s">
        <v>802</v>
      </c>
      <c r="IS1" s="4" t="s">
        <v>801</v>
      </c>
      <c r="IT1" s="4" t="s">
        <v>1100</v>
      </c>
      <c r="IU1" s="4" t="s">
        <v>800</v>
      </c>
      <c r="IV1" s="4" t="s">
        <v>1101</v>
      </c>
      <c r="IW1" s="4" t="s">
        <v>1102</v>
      </c>
      <c r="IX1" s="4" t="s">
        <v>1103</v>
      </c>
      <c r="IY1" s="4" t="s">
        <v>1104</v>
      </c>
      <c r="IZ1" s="4" t="s">
        <v>1105</v>
      </c>
      <c r="JA1" s="4" t="s">
        <v>1106</v>
      </c>
      <c r="JB1" s="4" t="s">
        <v>1107</v>
      </c>
      <c r="JC1" s="4" t="s">
        <v>803</v>
      </c>
      <c r="JD1" s="4" t="s">
        <v>804</v>
      </c>
      <c r="JE1" s="4" t="s">
        <v>805</v>
      </c>
      <c r="JF1" s="4" t="s">
        <v>806</v>
      </c>
      <c r="JG1" s="4" t="s">
        <v>1818</v>
      </c>
      <c r="JH1" s="4" t="s">
        <v>807</v>
      </c>
      <c r="JI1" s="26" t="s">
        <v>1794</v>
      </c>
      <c r="JJ1" s="26" t="s">
        <v>1795</v>
      </c>
      <c r="JK1" s="578"/>
      <c r="JL1" s="578"/>
      <c r="JM1" s="26" t="s">
        <v>2315</v>
      </c>
      <c r="JN1" s="578"/>
      <c r="JO1" s="578" t="s">
        <v>2791</v>
      </c>
      <c r="JP1" s="26" t="s">
        <v>2785</v>
      </c>
    </row>
    <row r="2" spans="1:276" s="13" customFormat="1" ht="15.8" customHeight="1" x14ac:dyDescent="0.2">
      <c r="A2" s="6" t="s">
        <v>10</v>
      </c>
      <c r="B2" s="3">
        <v>22386400</v>
      </c>
      <c r="C2" s="3" t="s">
        <v>17</v>
      </c>
      <c r="D2" s="3"/>
      <c r="E2" s="3" t="s">
        <v>158</v>
      </c>
      <c r="F2" t="s">
        <v>266</v>
      </c>
      <c r="G2"/>
      <c r="H2" s="3"/>
      <c r="I2" s="3"/>
      <c r="J2" s="3"/>
      <c r="K2" s="3" t="str">
        <f>PROPER(J2)&amp;", "&amp;PROPER(I2)</f>
        <v xml:space="preserve">, </v>
      </c>
      <c r="L2"/>
      <c r="M2"/>
      <c r="N2"/>
      <c r="O2"/>
      <c r="P2"/>
      <c r="Q2"/>
      <c r="R2"/>
      <c r="S2">
        <v>0</v>
      </c>
      <c r="T2" s="3" t="s">
        <v>74</v>
      </c>
      <c r="U2" s="13" t="s">
        <v>264</v>
      </c>
      <c r="V2"/>
      <c r="W2" s="89" t="s">
        <v>74</v>
      </c>
      <c r="X2" s="90">
        <v>35987</v>
      </c>
      <c r="Y2" s="92">
        <v>18336</v>
      </c>
      <c r="Z2" s="92">
        <v>19797</v>
      </c>
      <c r="AA2" s="92"/>
      <c r="AB2" s="269">
        <f>IF(R2="Y",AA2,IF(Z2&gt;0,Z2,"null"))</f>
        <v>19797</v>
      </c>
      <c r="AC2" s="92">
        <v>41640</v>
      </c>
      <c r="AD2" s="92"/>
      <c r="AE2" s="92"/>
      <c r="AF2" s="92">
        <v>26406</v>
      </c>
      <c r="AG2" s="92">
        <v>33168</v>
      </c>
      <c r="AH2" s="272">
        <v>41518</v>
      </c>
      <c r="AI2" s="272">
        <v>41671</v>
      </c>
      <c r="AJ2" s="272"/>
      <c r="AK2" s="92"/>
      <c r="AL2" s="91">
        <f>19.3</f>
        <v>19.3</v>
      </c>
      <c r="AM2" s="91">
        <f>19.5</f>
        <v>19.5</v>
      </c>
      <c r="AN2" s="95">
        <f>[1]!ATT(Y2,IF(AH2&gt;0,AH2,AI2))</f>
        <v>63</v>
      </c>
      <c r="AO2">
        <f>IF(AM2&gt;0,INT(AM2)*12+VLOOKUP((AM2-INT(AM2)),monthsadd,2),INT(AL2)*12+VLOOKUP((AL2-INT(AL2)),monthsadd,2))</f>
        <v>234</v>
      </c>
      <c r="AP2" s="92">
        <f>IF(AF2="","null",[1]!ADDMONTHS(AF2,AO2))</f>
        <v>33528</v>
      </c>
      <c r="AQ2" s="92">
        <f>IF(AG2&gt;0,AG2,MIN(IF(AH2&gt;0,AH2-1,AI2-1),AP2))</f>
        <v>33168</v>
      </c>
      <c r="AR2" s="270">
        <f>[1]!ATT(Y2,AQ2)</f>
        <v>40</v>
      </c>
      <c r="AS2" s="269" t="str">
        <f>IF(AG2="","null",IF(AG2&gt;=DOBF,DOBF,"null"))</f>
        <v>null</v>
      </c>
      <c r="AT2" s="91" t="str">
        <f>IF(AND(AR2&gt;=65,IF(AM2&gt;0,AM2,AL2)&gt;=5),"NR",IF(AND(AR2&gt;=55,IF(AM2&gt;0,AM2,AL2)&gt;=10),"ER","DV"))</f>
        <v>DV</v>
      </c>
      <c r="AU2" s="7">
        <f>[1]!anb(Y2,DOPT)</f>
        <v>64</v>
      </c>
      <c r="AV2" s="7">
        <f>[1]!anb(AB2,DOPT)</f>
        <v>60</v>
      </c>
      <c r="AW2" s="270">
        <f>IF(AG2="","null",IF(AND(AF2&lt;=DATE(1989,4,10),AL2&gt;=30,AR2&gt;=55),58,IF(AND(AF2&lt;=DATE(1989,4,10),AL2&lt;30,IF(AM2&gt;0,AM2,AL2)&gt;=10,AR2&gt;=55),62,IF(AND(AF2&gt;DATE(1989,4,10),AM2&gt;=10,AR2&gt;=62),62,65))))</f>
        <v>65</v>
      </c>
      <c r="AX2" s="272">
        <f>IF(AW2="null","null",[1]!NRD(Y2,AW2))</f>
        <v>42095</v>
      </c>
      <c r="AY2" s="7">
        <f>65</f>
        <v>65</v>
      </c>
      <c r="AZ2" s="269">
        <f>[1]!NRD(Y2,65)</f>
        <v>42095</v>
      </c>
      <c r="BA2" s="269">
        <f>DATE(YEAR(Y2)+70,MONTH(Y2)+6,DAY(Y2))</f>
        <v>44088</v>
      </c>
      <c r="BB2" s="269">
        <f>DATE(YEAR(BA2)+1,4,1)</f>
        <v>44287</v>
      </c>
      <c r="BC2" s="272">
        <f>[1]!RBD(C2,DOPT,"P",Y2,AG2,AC2)</f>
        <v>45017</v>
      </c>
      <c r="BD2" s="272">
        <f>[1]!RBD(C2,DOPT,"B",Y2,AG2,AC2)</f>
        <v>44896</v>
      </c>
      <c r="BE2" s="272" t="str">
        <f>IF(AG2="","null",IF(AG2&gt;BC2,"Y","N"))</f>
        <v>N</v>
      </c>
      <c r="BF2" s="272">
        <f>IF(AH2="",AI2,AH2)</f>
        <v>41518</v>
      </c>
      <c r="BG2" s="95">
        <f>[1]!ATT(Y2,BF2)</f>
        <v>63</v>
      </c>
      <c r="BH2" s="272" t="str">
        <f>IF(AF2&lt;DATE(1986,10,1),"Y","N")</f>
        <v>Y</v>
      </c>
      <c r="BI2" s="7">
        <f>AU2</f>
        <v>64</v>
      </c>
      <c r="BJ2" s="269">
        <f>DOPT2</f>
        <v>41640</v>
      </c>
      <c r="BK2" s="7">
        <f>AV2</f>
        <v>60</v>
      </c>
      <c r="BL2" s="7">
        <v>0</v>
      </c>
      <c r="BM2" s="7">
        <f>IF(AG2&lt;DATE(2001,4,1),0.55,0.6)</f>
        <v>0.55000000000000004</v>
      </c>
      <c r="BN2" s="7">
        <v>0</v>
      </c>
      <c r="BO2" s="7">
        <v>9</v>
      </c>
      <c r="BP2" s="7">
        <v>0.6</v>
      </c>
      <c r="BQ2" s="7">
        <v>0</v>
      </c>
      <c r="BR2" s="7" t="str">
        <f>IF(OR(BQ2="",BQ2=0),"null",DATE(YEAR(AH2)+BQ2/12,MONTH(AH2)-1,1))</f>
        <v>null</v>
      </c>
      <c r="BS2" s="95" t="s">
        <v>158</v>
      </c>
      <c r="BT2" s="275">
        <v>0</v>
      </c>
      <c r="BU2" s="276">
        <v>0</v>
      </c>
      <c r="BV2" s="7" t="str">
        <f>IF(BR2="null","null",IF(BU2&gt;0,0,MAX(0,BU2-[1]!COMPM(AH2,[1]!NRD(DOPT,0)))))</f>
        <v>null</v>
      </c>
      <c r="BW2" s="7" t="str">
        <f>IF(AND(BO2="5",BV2&gt;0),"4","2")</f>
        <v>2</v>
      </c>
      <c r="BX2" s="275">
        <f>0</f>
        <v>0</v>
      </c>
      <c r="BY2" s="276">
        <f>IF(BW2="4",BV2,0)</f>
        <v>0</v>
      </c>
      <c r="BZ2" s="7" t="str">
        <f>IF(OR(BW2="2",BW2="5"),"SLA","JSC")</f>
        <v>SLA</v>
      </c>
      <c r="CA2" s="7" t="str">
        <f>IF(BO2="2","Straight Life Annuity",IF(BP2&gt;0,"Joint-and-"&amp;BP2*100&amp;"% Survivor "&amp;IF(BO2="0","'Pop-up'","")&amp;" Annuity",IF(BQ2&gt;0,BR2/12&amp;"-year Certain-and-Continuous Annuity","Joint-and-"&amp;BM2*100&amp;"% Survivor "&amp;IF(BL2=0,"'Pop-up'","")&amp;" Annuity")))</f>
        <v>Joint-and-60% Survivor  Annuity</v>
      </c>
      <c r="CB2" s="7" t="str">
        <f>IF(BO2="2","SLA",IF(BO2=9,"J&amp;"&amp;BP2*100&amp;"%S",IF(BO2="0","J&amp;"&amp;BP2*100&amp;"%P","J&amp;"&amp;BM2*100&amp;"%P")))</f>
        <v>J&amp;60%S</v>
      </c>
      <c r="CC2" s="272" t="str">
        <f>IF(AG2&lt;&gt;"","Yes","No")</f>
        <v>Yes</v>
      </c>
      <c r="CD2" s="272"/>
      <c r="CE2">
        <f>958.74</f>
        <v>958.74</v>
      </c>
      <c r="CF2"/>
      <c r="CG2"/>
      <c r="CH2" s="273">
        <f>IF(CC2="No","null",IF(CG2&gt;0,CG2,IF(CF2&gt;0,CF2,ROUND(CE2/12,2))))</f>
        <v>79.900000000000006</v>
      </c>
      <c r="CI2" s="7"/>
      <c r="CJ2" s="284">
        <f>IF(CC2="No","null",IF(AG2&lt;DATE(1989,4,10),DN2,1))</f>
        <v>1</v>
      </c>
      <c r="CK2" s="8">
        <f>IF(CC2="No","null",ROUND(CH2*CJ2,2))</f>
        <v>79.900000000000006</v>
      </c>
      <c r="CL2" s="7">
        <f>IF(CC2="No","null",IF(BF2&lt;AX2,[1]!COMPM(BF2,AX2),0))</f>
        <v>19</v>
      </c>
      <c r="CM2" s="330">
        <f>IF(CC2="No","null",IF(AW2&lt;65,VLOOKUP(CL2,erftable2,2),VLOOKUP(CL2,erftable1,2)))</f>
        <v>0.88600000000000001</v>
      </c>
      <c r="CN2" s="277"/>
      <c r="CO2" s="276">
        <f>IF(CC2="No","null",IF(AG2&lt;AZ2,0,[1]!COMPM(AZ2,[1]!NRD(AG2,0))))</f>
        <v>0</v>
      </c>
      <c r="CP2" s="277">
        <f>IF(CC2="No","null",ROUND([1]!LRFAEQ(0.045,"M",65,CO2,0,MMORT,FMORT,"MP","Y"),4))</f>
        <v>1</v>
      </c>
      <c r="CQ2" s="7">
        <f>IF(CC2="No","null",IF(AZ2&gt;BF2,0,[1]!COMPM(AZ2,BF2)))</f>
        <v>0</v>
      </c>
      <c r="CR2" s="277">
        <f>IF(CC2="No","null",ROUND([1]!LRFAEQ(0.045,"M",65,CQ2,0,"AA06","AA06","MP","Y"),4))</f>
        <v>1</v>
      </c>
      <c r="CS2" s="278">
        <f>IF(CC2="No","null",ROUND(CR2/CP2,4))</f>
        <v>1</v>
      </c>
      <c r="CT2" s="12">
        <f>IF(CC2="No","null",ROUND(CK2*CM2*CS2,2))</f>
        <v>70.790000000000006</v>
      </c>
      <c r="CU2" s="12"/>
      <c r="CV2" s="274">
        <f>IF(AB2&lt;Y2,(YEAR(Y2)-YEAR(AB2))-IF(Y2&gt;=DATE(YEAR(Y2),MONTH(AB2),DAY(AB2)),0,1),-(YEAR(AB2)-YEAR(Y2))+IF(AB2&gt;=DATE(YEAR(AB2),MONTH(Y2),DAY(Y2)),0,1))</f>
        <v>-4</v>
      </c>
      <c r="CW2" s="277">
        <f>IF(ABS(CV2)&lt;=5,0.95,IF(CV2&gt;0,MIN(1,0.95+0.005*(ABS(CV2)-5)),0.95-0.005*(ABS(CV2)-5)))</f>
        <v>0.95</v>
      </c>
      <c r="CX2" s="277"/>
      <c r="CY2" s="273">
        <f>IF(CC2="No","null",ROUND(CT2*CW2,2))</f>
        <v>67.25</v>
      </c>
      <c r="CZ2" s="273"/>
      <c r="DA2">
        <f>IF(CC2="Yes",CY2,IF(AND(CY2="null",CZ2=""),"null",CZ2))</f>
        <v>67.25</v>
      </c>
      <c r="DB2">
        <f>IF(DA2="null","",DA2-CZ2)</f>
        <v>67.25</v>
      </c>
      <c r="DC2"/>
      <c r="DD2" s="8"/>
      <c r="DE2" s="273">
        <v>16.79</v>
      </c>
      <c r="DF2" s="273"/>
      <c r="DG2" s="272" t="str">
        <f>IF(AND(OR(DE2&gt;0,DF2&gt;0),DA2&lt;&gt;"null"),"Yes","No")</f>
        <v>Yes</v>
      </c>
      <c r="DH2" s="273">
        <f>IF(DG2="No","null",IF(DE2&lt;&gt;"",DE2,"null"))</f>
        <v>16.79</v>
      </c>
      <c r="DI2" s="273"/>
      <c r="DJ2" s="273" t="str">
        <f>IF(DI2="","",IF(DI2=MIN(AH2:AI2),"Yes","No"))</f>
        <v/>
      </c>
      <c r="DK2" s="269">
        <f>IF(DG2="No","null",[1]!NRD(Y2,45))</f>
        <v>34790</v>
      </c>
      <c r="DL2" s="269">
        <f>IF(DG2="No","null",MAX(DK2,DATE(1986,10,1)))</f>
        <v>34790</v>
      </c>
      <c r="DM2" s="274">
        <f>IF(DG2="No","null",IF(OR(DAY(DL2)=1,DAY(DL2)=2),[1]!COMPM(DL2,MIN(AC2,BF2)),[1]!COMPM(DL2,MIN(AC2,BF2))+1))</f>
        <v>221</v>
      </c>
      <c r="DN2" s="277">
        <f>IF(DG2="No","null",ROUND(1-ROUND(DM2*1/24*0.01,5),4))</f>
        <v>0.90790000000000004</v>
      </c>
      <c r="DO2" s="273">
        <f>IF(DG2="No","null",ROUND(DH2*DN2,2))</f>
        <v>15.24</v>
      </c>
      <c r="DP2" s="273"/>
      <c r="DQ2" s="276">
        <f>IF(DG2="No","null",IF(BF2&gt;=AZ2,0,[1]!COMPM(BF2,AZ2)))</f>
        <v>19</v>
      </c>
      <c r="DR2" s="277">
        <f>IF(DG2="No","null",VLOOKUP(DQ2,erftable1,2))</f>
        <v>0.88600000000000001</v>
      </c>
      <c r="DS2" s="277"/>
      <c r="DT2" s="7">
        <f>IF(DG2="No","null",IF(AZ2&gt;BF2,0,[1]!COMPM(AZ2,BF2)))</f>
        <v>0</v>
      </c>
      <c r="DU2" s="277">
        <f>IF(DG2="No","null",ROUND([1]!LRFAEQ(0.04,"M",65,DT2,0,"AA06","AA06","MP","Y"),4))</f>
        <v>1</v>
      </c>
      <c r="DV2" s="273">
        <f>IF(DG2="No","null",ROUND(DO2*DR2*DU2,2))</f>
        <v>13.5</v>
      </c>
      <c r="DW2" s="273"/>
      <c r="DX2" s="273"/>
      <c r="DY2" s="273">
        <f>IF(DG2="No","null",ROUND(DV2*CW2,2))</f>
        <v>12.83</v>
      </c>
      <c r="DZ2" s="273"/>
      <c r="EA2" s="273" t="str">
        <f>IF(OR(DY2="null",DZ2=""),"",DY2-DZ2)</f>
        <v/>
      </c>
      <c r="EB2" s="273">
        <f>IF(CC2="No","null",ROUND(CY2-IF(DY2&lt;&gt;"null",DY2,0),2))</f>
        <v>54.42</v>
      </c>
      <c r="EC2" s="273">
        <f>IF(AND(CC2="No",DG2="No"),"null",ROUND(DA2*IF(BP2&gt;0,BP2,IF(AG2&gt;=DATE(2001,4,15),0.6,0.55)),2))</f>
        <v>40.35</v>
      </c>
      <c r="ED2" s="273">
        <f>IF(DG2="No","null",ROUND(0.55*DY2,2))</f>
        <v>7.06</v>
      </c>
      <c r="EE2" s="273"/>
      <c r="EF2" s="273">
        <f>IF(ED2&lt;&gt;"null",ED2,IF(CC2="Yes",IF(AF2&gt;=DATE(1986,10,1),"null",EE2),"null"))</f>
        <v>7.06</v>
      </c>
      <c r="EG2" s="12">
        <f>IF(AND(CC2="No",DG2="No"),"null",MAX(0,ROUND(EC2-IF(EF2="null",0,EF2),2)))</f>
        <v>33.29</v>
      </c>
      <c r="EH2" s="272"/>
      <c r="EI2" s="12">
        <f>EH2</f>
        <v>0</v>
      </c>
      <c r="EJ2" s="12">
        <f>IF(EG2="null","null",ROUND(EG2-EI2,2))</f>
        <v>33.29</v>
      </c>
      <c r="EK2" s="98" t="str">
        <f>IF(EJ2="null","null",IF(EH2&gt;0,ROUND(ABS((EG2-EI2)/MIN(EG2,EI2)),4),"null"))</f>
        <v>null</v>
      </c>
      <c r="EL2" s="12" t="str">
        <f>IF(EJ2="null","null",IF(EJ2&gt;0,"N",IF(EJ2&lt;-5,"N","Y")))</f>
        <v>N</v>
      </c>
      <c r="EM2" s="12" t="str">
        <f>IF(EJ2="null","null",IF(EJ2=0,"M",IF(EL2="Y","N",IF(EG2&gt;EI2,"I","D"))))</f>
        <v>I</v>
      </c>
      <c r="EN2" s="12">
        <f>IF(EL2="N",EG2,EI2)</f>
        <v>33.29</v>
      </c>
      <c r="EO2" s="12" t="str">
        <f>IF(IO2="N","null",IF(AC2="","Participant",IF(AD2&lt;&gt;"","Estate","Beneficiary")))</f>
        <v>Beneficiary</v>
      </c>
      <c r="EP2" s="12" t="str">
        <f>IF(EL2="null","null",IF(EM2="I","Your current monthly benefit of "&amp;DOLLAR(EH2,2)&amp;" will increase to "&amp;DOLLAR(EN2,2)&amp;". See the Benefit Calculation Section for further details.",IF(EM2="N","Your current monthly benefit of "&amp;DOLLAR(EH2,2)&amp;" will not change. Although the amount of the PBGC monthly benefit shown above is slightly "&amp;IF(EJ2&lt;0,"less","more")&amp;" than the amount you are currently receiving, we will not change the amount of your current monthly benefit.",IF(EM2="D","Your current monthly benefit of "&amp;DOLLAR(EH2,2)&amp;" will decrease to "&amp;DOLLAR(EN2,2),IF(EM2="M","Your current monthly benefit of "&amp;DOLLAR(EH2,2)&amp;" will not change.","null")))))</f>
        <v>Your current monthly benefit of $0.00 will increase to $33.29. See the Benefit Calculation Section for further details.</v>
      </c>
      <c r="EQ2" s="12"/>
      <c r="ER2" s="12"/>
      <c r="ES2" s="399" t="str">
        <f>IF(EM2="D",EP2&amp;" "&amp;EQ2&amp;IF(ER2&gt;0," "&amp;ER2,"")&amp;" See the Benefit Calculation section for further details.",EP2)</f>
        <v>Your current monthly benefit of $0.00 will increase to $33.29. See the Benefit Calculation Section for further details.</v>
      </c>
      <c r="ET2" s="8"/>
      <c r="EU2" s="8"/>
      <c r="EV2" s="8"/>
      <c r="EW2" s="8"/>
      <c r="EX2" s="269" t="str">
        <f>"null"</f>
        <v>null</v>
      </c>
      <c r="EY2" s="269" t="str">
        <f>"null"</f>
        <v>null</v>
      </c>
      <c r="EZ2" s="269">
        <f>[1]!retdate(AB2,65,1)</f>
        <v>43556</v>
      </c>
      <c r="FA2" s="8" t="str">
        <f>IF(EV2&gt;0,"Y",IF(AND(AT2="ER",ISBLANK(EV2),EZ2&gt;=DOPT2),"Y","N"))</f>
        <v>N</v>
      </c>
      <c r="FB2" s="7" t="str">
        <f>IF(FA2="Y",VLOOKUP(AQ2,Medicare,2),"null")</f>
        <v>null</v>
      </c>
      <c r="FC2" s="269" t="str">
        <f>IF(FB2="null","null",MAX(BJ2,EZ2))</f>
        <v>null</v>
      </c>
      <c r="FD2" s="269" t="str">
        <f>IF(FC2="null","null",DATE(2099,12,1))</f>
        <v>null</v>
      </c>
      <c r="FE2" s="269" t="str">
        <f>FD2</f>
        <v>null</v>
      </c>
      <c r="FF2" s="12">
        <f>EN2</f>
        <v>33.29</v>
      </c>
      <c r="FG2" s="12" t="str">
        <f>FB2</f>
        <v>null</v>
      </c>
      <c r="FH2" s="6" t="str">
        <f>IF(BF2&lt;DOPT3,"Yes","No")</f>
        <v>No</v>
      </c>
      <c r="FI2" s="6">
        <f>IF(FH2="Yes","null",[1]!ATT(Y2,DOPT3))</f>
        <v>60</v>
      </c>
      <c r="FJ2" s="6">
        <f>IF(FH2="Yes","null",IF(AG2&lt;DATE(2011,1,1),0,VLOOKUP(IF(AG2&gt;=DATE(2012,1,1),12*190,MONTH(AG2)*190),VS,2)))</f>
        <v>0</v>
      </c>
      <c r="FK2" s="6">
        <f>IF(FH2="Yes","null",IF(AG2&lt;DATE(2012,1,1),0,VLOOKUP(IF(AG2&gt;=DATE(2013,1,1),12*190,MONTH(AG2)*190),VS,2)))</f>
        <v>0</v>
      </c>
      <c r="FL2" s="6">
        <f>IF(FH2="Yes","null",IF(AG2&lt;DATE(2013,1,1),0,VLOOKUP(IF(AG2&gt;=DATE(2014,1,1),12*190,MONTH(AG2)*190),VS,2)))</f>
        <v>0</v>
      </c>
      <c r="FM2" s="6">
        <f>IF(FH2="Yes","null",AM2-FJ2-FK2-FL2)</f>
        <v>19.5</v>
      </c>
      <c r="FN2" s="7" t="str">
        <f>IF(FH2="Yes","Y",IF(AND(FI2&gt;=55,FM2&gt;=5),"Y","N"))</f>
        <v>Y</v>
      </c>
      <c r="FO2" s="7" t="str">
        <f>IF(FH2="Yes","null",IF(FN2="N","null",IF(AND(MIN(AR2,FI2)&gt;=65,FM2&gt;=5),"NR",IF(AND(MIN(AR2,FI2)&gt;=55,FM2&gt;=10),"ER","DV"))))</f>
        <v>DV</v>
      </c>
      <c r="FP2" s="12">
        <f>IF(FH2="Yes","null",IF(FN2="Y",CH2,"null"))</f>
        <v>79.900000000000006</v>
      </c>
      <c r="FQ2" s="6">
        <f>IF(FH2="Yes","null",IF(FN2="N","null",IF(AND(AF2&lt;=DATE(1989,4,10),AL2&gt;=30,MIN(FI2,AR2)&gt;=55),58,IF(AND(AF2&lt;=DATE(1989,4,10),FM2&gt;=10,MIN(FI2,AR2)&gt;=55),62,IF(AND(AF2&gt;DATE(1989,4,10),FM2&gt;=10,MIN(FI2,AR2)&gt;=62),62,65)))))</f>
        <v>65</v>
      </c>
      <c r="FR2" s="11">
        <f>IF(FH2="Yes","null",IF(FN2="N","null",[1]!NRD(Y2,FQ2)))</f>
        <v>42095</v>
      </c>
      <c r="FS2" s="6">
        <f>IF(FH2="Yes","null",IF(FN2="N","null",IF([1]!NRD(DOPT3,0)&lt;FR2,[1]!COMPM([1]!NRD(DOPT3,0),FR2),0)))</f>
        <v>51</v>
      </c>
      <c r="FT2" s="249">
        <f>IF(FH2="Yes","null",IF(FN2="N","null",VLOOKUP(FS2,IF(FQ2=65,erftable1,erftable2),2,FALSE)))</f>
        <v>0.69399999999999995</v>
      </c>
      <c r="FU2" s="6">
        <f>IF(FH2="Yes","null",IF(FN2="N","null",IF([1]!NRD(DOPT3,0)&gt;AZ2,[1]!COMPM(AZ2,[1]!NRD(DOPT3,0)),0)))</f>
        <v>0</v>
      </c>
      <c r="FV2" s="249">
        <f>IF(FH2="Yes","null",IF(FN2="N","null",ROUND([1]!LRFAEQ(0.045,"M",65,FU2,0,"AA06","AA06","MP","Y"),4)))</f>
        <v>1</v>
      </c>
      <c r="FW2" s="249">
        <f>IF(FH2="Yes","null",IF(FN2="N","null",ROUND(MAX(1,FV2/CP2),4)))</f>
        <v>1</v>
      </c>
      <c r="FX2" s="12">
        <f>IF(FH2="Yes","null",IF(FN2="N","null",ROUND(FP2*FT2*FW2,2)))</f>
        <v>55.45</v>
      </c>
      <c r="FY2" s="249">
        <f>IF(FH2="Yes","null",IF(FN2="N","null",CW2))</f>
        <v>0.95</v>
      </c>
      <c r="FZ2" s="12">
        <f>IF(FH2="Yes","null",IF(FN2="N","null",ROUND(FX2*FY2,2)))</f>
        <v>52.68</v>
      </c>
      <c r="GA2" s="283">
        <f>IF(FH2="Yes","null",IF(OR(DH2={"",0,"null"}),"null",DN2))</f>
        <v>0.90790000000000004</v>
      </c>
      <c r="GB2" s="8">
        <f>IF(FH2="Yes","null",IF(OR(DH2={"",0,"null"}),"null",ROUND(DH2*GA2,2)))</f>
        <v>15.24</v>
      </c>
      <c r="GC2">
        <f>IF(OR(FH2="Yes",DH2="null",DG2="No"),"null",IF([1]!NRD(DOPT3,0)&lt;AZ2,[1]!COMPM([1]!NRD(DOPT3,0),AZ2),0))</f>
        <v>51</v>
      </c>
      <c r="GD2" s="277">
        <f>IF(GC2="null","null",VLOOKUP(GC2,erftable1,2,FALSE))</f>
        <v>0.69399999999999995</v>
      </c>
      <c r="GE2" s="276">
        <f>IF(FH2="Yes","null",IF(FN2="N","null", IF(DG2="No","null",IF(AZ2&gt;[1]!NRD(DOPT3,0),0,[1]!COMPM(AZ2,[1]!NRD(DOPT3,0))))))</f>
        <v>0</v>
      </c>
      <c r="GF2" s="277">
        <f>IF(GE2="null","null",ROUND([1]!LRFAEQ(0.04,"M",65,GE2,0,"AA06","AA06","MP","Y"),4))</f>
        <v>1</v>
      </c>
      <c r="GG2" s="12">
        <f>IF(OR(FH2="Yes",OR(DH2={0,"null"})),"null",ROUND(GB2*GD2*GF2,2))</f>
        <v>10.58</v>
      </c>
      <c r="GH2" s="277">
        <f>IF(GG2="null","null",IF(FN2="N","null",FY2))</f>
        <v>0.95</v>
      </c>
      <c r="GI2" s="12">
        <f>IF(GG2="null","null",ROUND(GG2*GH2,2))</f>
        <v>10.050000000000001</v>
      </c>
      <c r="GJ2" s="12">
        <f>IF(FH2="Yes","null",IF(FN2="N","null",ROUND(FZ2*IF(AG2&gt;=DATE(2001,4,15),0.6,0.55),2)))</f>
        <v>28.97</v>
      </c>
      <c r="GK2" s="12">
        <f>IF(GI2="null","null",ROUND(GI2*0.55,2))</f>
        <v>5.53</v>
      </c>
      <c r="GL2" s="12">
        <f>IF(GJ2="null","null",MIN(EN2,ROUND(GJ2,2)-ROUND(IF(GK2="null",0,GK2),2)))</f>
        <v>23.439999999999998</v>
      </c>
      <c r="GM2" s="12">
        <f>IF(FH2="Yes",EN2,GL2)</f>
        <v>23.439999999999998</v>
      </c>
      <c r="GN2" s="12" t="str">
        <f>IF(FN2="N","null",IF(FO2="DV","null",FB2))</f>
        <v>null</v>
      </c>
      <c r="GO2" s="98">
        <f>IF(FN2="N","null",PC34044AR)</f>
        <v>1</v>
      </c>
      <c r="GP2" s="98" t="str">
        <f>IF(AND(FN2="Y",GM2&gt;EN2),"Y","N")</f>
        <v>N</v>
      </c>
      <c r="GQ2" s="12">
        <f>MAX(FF2,ROUND(GM2*GO2,2))</f>
        <v>33.29</v>
      </c>
      <c r="GR2" s="12" t="str">
        <f>FG2</f>
        <v>null</v>
      </c>
      <c r="GS2" s="98">
        <f>SPARR</f>
        <v>4.9299999999999997E-2</v>
      </c>
      <c r="GT2" s="12">
        <f>0</f>
        <v>0</v>
      </c>
      <c r="GU2" s="401">
        <f>PC5AAR</f>
        <v>0.232181</v>
      </c>
      <c r="GV2" s="12">
        <f>GQ2</f>
        <v>33.29</v>
      </c>
      <c r="GW2" s="12" t="str">
        <f>GR2</f>
        <v>null</v>
      </c>
      <c r="GX2" s="6">
        <f>ROUND([1]!NPVF2("MP","SLA","N",DOPT,IF(R2="Y",V2,U2),AV2,BK2,0,0,0,0,DOPT,DOPT,"P","","",0),4)</f>
        <v>17.565100000000001</v>
      </c>
      <c r="GY2" s="6" t="str">
        <f>IF(FB2="null","null",[1]!COMPM(BJ2,FC2))</f>
        <v>null</v>
      </c>
      <c r="GZ2" s="6" t="str">
        <f>IF(GY2="null","null",ROUND([1]!NPVF2("MP","SLA","N",DOPT,U2,AV2,BK2,0,0,0,0,DOPT,DOPT,"P","","",0),4))</f>
        <v>null</v>
      </c>
      <c r="HA2" s="6" t="str">
        <f>IF(GY2="null","null",IF(GY2=0,0,ROUND([1]!NPVF2("MP","SLA","N",DOPT,U2,AV2,BK2,BI2,0,0,GY2,DOPT,DOPT,"P","","",0),4)))</f>
        <v>null</v>
      </c>
      <c r="HB2" s="6" t="str">
        <f>IF(FC2="null","null",[1]!anb(AB2,FC2))</f>
        <v>null</v>
      </c>
      <c r="HC2" s="6" t="str">
        <f>IF(GY2="null","null",ROUND([1]!NPVF2("MP","SLA","N",DOPT,U2,AV2,MAX(AV2,HB2),0,0,0,0,DOPT,DOPT,"P","","",0),4))</f>
        <v>null</v>
      </c>
      <c r="HD2" s="6" t="str">
        <f>IF(GY2="null","null",(GZ2-HA2))</f>
        <v>null</v>
      </c>
      <c r="HE2" s="6" t="str">
        <f>HC2</f>
        <v>null</v>
      </c>
      <c r="HF2" t="str">
        <f>IF(HD2="null","null",ROUND(HE2-HD2,4))</f>
        <v>null</v>
      </c>
      <c r="HG2" s="271">
        <f>ROUND((EN2*GX2*12),0)+ROUND(IF(FB2="null",0,(FB2*HE2*12)),0)</f>
        <v>7017</v>
      </c>
      <c r="HH2" s="460">
        <f>LOADING</f>
        <v>8.0999999999999996E-3</v>
      </c>
      <c r="HI2" s="271">
        <f>ROUND(HG2*(1+HH2),0)</f>
        <v>7074</v>
      </c>
      <c r="HJ2" s="271">
        <f>HG2</f>
        <v>7017</v>
      </c>
      <c r="HK2" s="271">
        <f>HI2</f>
        <v>7074</v>
      </c>
      <c r="HL2" s="271">
        <f>IF(FN2="N","null",ROUND((GM2*GX2*12),0)+ROUND(IF(GN2="null",0,(GN2*HE2*12)),0))</f>
        <v>4941</v>
      </c>
      <c r="HM2" s="12">
        <f>IF(FN2="N","null",ROUND(HL2*HH2,0))</f>
        <v>40</v>
      </c>
      <c r="HN2" s="12">
        <f>IF(FN2="N","null",ROUND(HL2+HM2,0))</f>
        <v>4981</v>
      </c>
      <c r="HO2" s="271">
        <f>IF(FN2="N","",HI2)</f>
        <v>7074</v>
      </c>
      <c r="HP2" s="271">
        <f>HJ2</f>
        <v>7017</v>
      </c>
      <c r="HQ2" s="271">
        <f>HK2</f>
        <v>7074</v>
      </c>
      <c r="HR2" s="271">
        <f>HP2</f>
        <v>7017</v>
      </c>
      <c r="HS2" s="271">
        <f>HQ2</f>
        <v>7074</v>
      </c>
      <c r="HT2" s="279">
        <f>ROUND([1]!NPVF2("MP","SLA","O",DOPT,U2,AV2,BK2,0,0,0,0,DOPT,DOPT,"P","",""),4)</f>
        <v>15.5886</v>
      </c>
      <c r="HU2" s="279" t="str">
        <f>IF(GW2="null","null",ROUND([1]!NPVF2("MP","SLA","O",DOPT,U2,AV2,AV2,0,0,0,0,DOPT,DOPT,"P","",""),4))</f>
        <v>null</v>
      </c>
      <c r="HV2" s="279" t="str">
        <f>IF(GW2="null","null",ROUND([1]!NPVF2("MP","SLA","O",DOPT,U2,AV2,BK2,0,0,0,GY2,DOPT,DOPT,"P","",""),4))</f>
        <v>null</v>
      </c>
      <c r="HW2" s="279" t="str">
        <f>IF(GW2="null","null",ROUND([1]!NPVF2("MP","SLA","O",DOPT,U2,AV2,MAX(HB2,AV2),0,0,0,0,DOPT,DOPT,"P","",""),4))</f>
        <v>null</v>
      </c>
      <c r="HX2" s="279" t="str">
        <f>IF(GW2="null","null",HU2-HV2)</f>
        <v>null</v>
      </c>
      <c r="HY2" s="279" t="str">
        <f>IF(GW2="null","null",HW2)</f>
        <v>null</v>
      </c>
      <c r="HZ2" s="279" t="str">
        <f>IF(GW2="null","null",HY2-HX2)</f>
        <v>null</v>
      </c>
      <c r="IA2" s="271">
        <f>ROUND((GV2*HT2*12),0)+ROUND(IF(GW2="null",0,GW2*HY2*12),0)</f>
        <v>6227</v>
      </c>
      <c r="IB2" s="21">
        <f>ROUND(AV2*HR2,0)</f>
        <v>421020</v>
      </c>
      <c r="IC2" s="21">
        <f>IB2</f>
        <v>421020</v>
      </c>
      <c r="ID2" s="271" t="str">
        <f>"U"</f>
        <v>U</v>
      </c>
      <c r="IE2" s="271" t="str">
        <f>"U"</f>
        <v>U</v>
      </c>
      <c r="IF2" s="6">
        <f>BK2</f>
        <v>60</v>
      </c>
      <c r="IG2" s="6">
        <v>999</v>
      </c>
      <c r="IH2" s="6" t="str">
        <f t="shared" ref="IH2:IM2" si="0">"N"</f>
        <v>N</v>
      </c>
      <c r="II2" s="6" t="str">
        <f t="shared" si="0"/>
        <v>N</v>
      </c>
      <c r="IJ2" s="6" t="str">
        <f t="shared" si="0"/>
        <v>N</v>
      </c>
      <c r="IK2" s="6" t="str">
        <f t="shared" si="0"/>
        <v>N</v>
      </c>
      <c r="IL2" s="6" t="str">
        <f t="shared" si="0"/>
        <v>N</v>
      </c>
      <c r="IM2" s="6" t="str">
        <f t="shared" si="0"/>
        <v>N</v>
      </c>
      <c r="IN2" s="6"/>
      <c r="IO2" s="8" t="str">
        <f>IF(IN2="Y","N",IF(EL2="N","Y","N"))</f>
        <v>Y</v>
      </c>
      <c r="IP2" s="8" t="str">
        <f>"N"</f>
        <v>N</v>
      </c>
      <c r="IQ2" s="8" t="str">
        <f>IF(E2="2","SB",IF(AI2&lt;AZ2,"ER",IF(AI2&gt;AZ2,"LR","NR")))</f>
        <v>SB</v>
      </c>
      <c r="IR2" s="6" t="str">
        <f>IF(IO2="N","null","Entitled")</f>
        <v>Entitled</v>
      </c>
      <c r="IS2" s="6" t="str">
        <f>IF(IO2="N","null",IF(AC2="","Participant",IF(AD2&lt;&gt;"","Estate","Beneficiary")))</f>
        <v>Beneficiary</v>
      </c>
      <c r="IT2" s="6" t="str">
        <f>IF(IS2&lt;&gt;"Estate","null","Beneficiary")</f>
        <v>null</v>
      </c>
      <c r="IU2" s="6" t="str">
        <f>"BSD"</f>
        <v>BSD</v>
      </c>
      <c r="IV2" s="6" t="str">
        <f>IF(IO2="N","null","Normal Retirement Date" &amp; IF(AH2=AZ2,":"," (NRD):"))</f>
        <v>Normal Retirement Date (NRD):</v>
      </c>
      <c r="IW2" s="6" t="str">
        <f>IF(IO2="N","null",IF(OR(IS2="Participant",IT2="Participant"),"Actual Retirement Date (ARD):","Benefit Starting Date (BSD):"))</f>
        <v>Benefit Starting Date (BSD):</v>
      </c>
      <c r="IX2" s="6" t="str">
        <f>IF(IO2="N","null","BSD")</f>
        <v>BSD</v>
      </c>
      <c r="IY2" s="6" t="str">
        <f>IF(IO2="N","null",IF(AG2&gt;AZ2,"DOTE",IF(AH2=AZ2,IF(AH2=AI2,"BSD","ARD"),"NRD")))</f>
        <v>NRD</v>
      </c>
      <c r="IZ2" s="6" t="str">
        <f>IF(IO2="N","null",IF(AH2=AI2,"BSD","ARD"))</f>
        <v>ARD</v>
      </c>
      <c r="JA2" s="6" t="str">
        <f>IF(IO2="N","null",IF(DG2="Yes","after Barnes Offset",IF(ISNUMBER(SEARCH("BFCF",JC2,1)),"after BFCF",IF(ISNUMBER(SEARCH("ERF",JC2,1)),"after ERF",IF(ISNUMBER(SEARCH("LRF",JC2,1)),"after LRF",IF(ISNUMBER(SEARCH("PRSA",JC2,1)),"after PRSA","after AMB"))))))</f>
        <v>after Barnes Offset</v>
      </c>
      <c r="JB2" s="6" t="str">
        <f>IF(IO2="N","null","BSD")</f>
        <v>BSD</v>
      </c>
      <c r="JC2" s="6" t="str">
        <f>IF(CC2="No","",IF(CJ2="null","",IF(CJ2&lt;1,"PRSA",""))&amp;IF(CM2="null","",IF(CM2&lt;1,"ERF",""))&amp;IF(CS2="null","",IF(CS2&gt;1,"LRF",""))&amp;IF(CW2="null","",IF(OR(CW2&lt;1,CW2&gt;1),"BFCF","")))</f>
        <v>ERFBFCF</v>
      </c>
      <c r="JD2" s="6" t="str">
        <f>IF(OR(IO2="N",DG2="No"),"",IF(DN2="null","",IF(DN2&lt;1,"PRSA",""))&amp;IF(DR2="null","",IF(DR2&lt;1,"ERF",""))&amp;IF(DU2="null","",IF(DU2&gt;1,"LRF",""))&amp;IF(CW2="null","",IF(OR(CW2&lt;1,CW2&gt;1),"BFCF","")))</f>
        <v>PRSAERFBFCF</v>
      </c>
      <c r="JE2" s="6" t="str">
        <f>IF(IO2="N","null",IF(FF2&lt;EN2,"MGB","null"))</f>
        <v>null</v>
      </c>
      <c r="JF2" s="6" t="str">
        <f>"null"</f>
        <v>null</v>
      </c>
      <c r="JG2" s="6" t="str">
        <f>"Yes"</f>
        <v>Yes</v>
      </c>
      <c r="JH2" s="6" t="str">
        <f>IF(IO2="N","null","Beneficiary")</f>
        <v>Beneficiary</v>
      </c>
      <c r="JK2" s="577">
        <f>AC2</f>
        <v>41640</v>
      </c>
      <c r="JL2" s="577" t="str">
        <f>IF(AD2&gt;0,AD2,"null")</f>
        <v>null</v>
      </c>
      <c r="JM2" t="str">
        <f>IF(FA2="N","null",IF(JL2&lt;&gt;"null","MS5","MS4"))</f>
        <v>null</v>
      </c>
      <c r="JN2" s="577">
        <f>[1]!NRD(Z2,65)</f>
        <v>43556</v>
      </c>
      <c r="JO2" s="577">
        <f ca="1">TODAY()</f>
        <v>46219</v>
      </c>
      <c r="JP2" s="577" t="str">
        <f>FC2</f>
        <v>null</v>
      </c>
    </row>
    <row r="3" spans="1:276" s="13" customFormat="1" x14ac:dyDescent="0.2">
      <c r="A3" s="6"/>
      <c r="B3" s="18"/>
      <c r="C3" s="18"/>
      <c r="D3" s="18"/>
      <c r="E3" s="18"/>
      <c r="F3" s="18"/>
      <c r="G3" s="18"/>
      <c r="H3" s="18"/>
      <c r="I3" s="5"/>
      <c r="J3" s="5"/>
      <c r="K3" s="5"/>
      <c r="L3" s="5"/>
      <c r="M3" s="5"/>
      <c r="N3" s="5"/>
      <c r="O3" s="5"/>
      <c r="P3" s="5"/>
      <c r="Q3" s="5"/>
      <c r="R3" s="5"/>
      <c r="S3" s="5"/>
      <c r="T3" s="5"/>
      <c r="U3" s="6"/>
      <c r="V3" s="6"/>
      <c r="W3" s="6"/>
      <c r="X3" s="6"/>
      <c r="Y3" s="11"/>
      <c r="Z3" s="11"/>
      <c r="AA3" s="11"/>
      <c r="AB3" s="11"/>
      <c r="AC3" s="19"/>
      <c r="AD3" s="19"/>
      <c r="AE3" s="19"/>
      <c r="AF3" s="11"/>
      <c r="AG3" s="19"/>
      <c r="AH3" s="19"/>
      <c r="AI3" s="19"/>
      <c r="AJ3" s="19"/>
      <c r="AK3" s="92"/>
      <c r="AL3" s="19"/>
      <c r="AM3" s="19"/>
      <c r="AN3" s="272"/>
      <c r="AO3"/>
      <c r="AP3" s="92"/>
      <c r="AQ3" s="92"/>
      <c r="AR3" s="19"/>
      <c r="AS3" s="7"/>
      <c r="AT3" s="91"/>
      <c r="AU3" s="6"/>
      <c r="AV3" s="6"/>
      <c r="AW3" s="19"/>
      <c r="AX3" s="19"/>
      <c r="AY3" s="6"/>
      <c r="AZ3" s="11"/>
      <c r="BA3" s="274"/>
      <c r="BB3" s="274"/>
      <c r="BC3" s="19"/>
      <c r="BD3" s="19"/>
      <c r="BE3" s="19"/>
      <c r="BF3" s="19"/>
      <c r="BG3" s="19"/>
      <c r="BH3" s="19"/>
      <c r="BI3" s="7"/>
      <c r="BJ3" s="269"/>
      <c r="BK3" s="7"/>
      <c r="BL3" s="7"/>
      <c r="BM3" s="7"/>
      <c r="BN3" s="7"/>
      <c r="BO3" s="7"/>
      <c r="BP3" s="7"/>
      <c r="BQ3" s="7"/>
      <c r="BR3" s="6"/>
      <c r="BS3" s="271"/>
      <c r="BT3" s="12"/>
      <c r="BU3" s="12"/>
      <c r="BV3" s="6"/>
      <c r="BW3" s="6"/>
      <c r="BX3" s="20"/>
      <c r="BY3" s="6"/>
      <c r="BZ3" s="6"/>
      <c r="CA3" s="7"/>
      <c r="CB3" s="7"/>
      <c r="CC3" s="19"/>
      <c r="CD3" s="272"/>
      <c r="CE3"/>
      <c r="CF3"/>
      <c r="CG3"/>
      <c r="CH3" s="12"/>
      <c r="CI3" s="6"/>
      <c r="CJ3" s="7"/>
      <c r="CK3" s="7"/>
      <c r="CL3" s="12"/>
      <c r="CM3" s="12"/>
      <c r="CN3" s="12"/>
      <c r="CO3" s="12"/>
      <c r="CP3" s="277"/>
      <c r="CQ3" s="12"/>
      <c r="CR3" s="277"/>
      <c r="CS3" s="12"/>
      <c r="CT3" s="12"/>
      <c r="CU3" s="12"/>
      <c r="CV3" s="274"/>
      <c r="CW3" s="277"/>
      <c r="CX3" s="12"/>
      <c r="CY3" s="12"/>
      <c r="CZ3" s="12"/>
      <c r="DA3"/>
      <c r="DB3"/>
      <c r="DC3"/>
      <c r="DD3" s="12"/>
      <c r="DE3" s="12"/>
      <c r="DF3" s="12"/>
      <c r="DG3" s="272"/>
      <c r="DH3" s="12"/>
      <c r="DI3" s="273"/>
      <c r="DJ3" s="273"/>
      <c r="DK3" s="12"/>
      <c r="DL3" s="12"/>
      <c r="DM3" s="12"/>
      <c r="DN3" s="12"/>
      <c r="DO3" s="12"/>
      <c r="DP3" s="12"/>
      <c r="DQ3" s="12"/>
      <c r="DR3" s="12"/>
      <c r="DS3" s="12"/>
      <c r="DT3" s="12"/>
      <c r="DU3" s="12"/>
      <c r="DV3" s="12"/>
      <c r="DW3" s="12"/>
      <c r="DX3" s="12"/>
      <c r="DY3" s="12"/>
      <c r="DZ3" s="12"/>
      <c r="EA3" s="273"/>
      <c r="EB3" s="273"/>
      <c r="EC3" s="273"/>
      <c r="ED3" s="273"/>
      <c r="EE3" s="273"/>
      <c r="EF3" s="273"/>
      <c r="EG3" s="12"/>
      <c r="EH3" s="19"/>
      <c r="EI3" s="12"/>
      <c r="EJ3" s="12"/>
      <c r="EK3" s="98"/>
      <c r="EL3" s="12"/>
      <c r="EM3" s="12"/>
      <c r="EN3" s="12"/>
      <c r="EO3" s="12"/>
      <c r="EP3" s="12"/>
      <c r="EQ3" s="12"/>
      <c r="ER3" s="12"/>
      <c r="ES3" s="12"/>
      <c r="ET3" s="8"/>
      <c r="EU3" s="8"/>
      <c r="EV3" s="8"/>
      <c r="EW3" s="8"/>
      <c r="EX3" s="12"/>
      <c r="EY3" s="12"/>
      <c r="EZ3" s="12"/>
      <c r="FA3" s="8"/>
      <c r="FB3" s="6"/>
      <c r="FC3" s="12"/>
      <c r="FD3" s="12"/>
      <c r="FE3" s="269"/>
      <c r="FG3" s="12"/>
      <c r="FH3" s="6"/>
      <c r="FI3" s="6"/>
      <c r="FJ3" s="6"/>
      <c r="FK3" s="6"/>
      <c r="FL3" s="6"/>
      <c r="FM3" s="6"/>
      <c r="FN3" s="6"/>
      <c r="FO3" s="6"/>
      <c r="FP3" s="12"/>
      <c r="FQ3" s="6"/>
      <c r="FR3" s="12"/>
      <c r="FS3" s="6"/>
      <c r="FT3" s="249"/>
      <c r="FU3" s="249"/>
      <c r="FV3" s="249"/>
      <c r="FW3" s="249"/>
      <c r="FX3" s="12"/>
      <c r="FY3" s="249"/>
      <c r="FZ3" s="12"/>
      <c r="GA3" s="277"/>
      <c r="GB3" s="8"/>
      <c r="GC3"/>
      <c r="GD3" s="277"/>
      <c r="GE3" s="276"/>
      <c r="GF3" s="277"/>
      <c r="GG3" s="12"/>
      <c r="GH3" s="277"/>
      <c r="GI3" s="12"/>
      <c r="GJ3" s="12"/>
      <c r="GK3" s="12"/>
      <c r="GL3" s="12"/>
      <c r="GM3" s="12"/>
      <c r="GN3" s="12"/>
      <c r="GO3" s="98"/>
      <c r="GP3" s="98"/>
      <c r="GS3" s="98"/>
      <c r="GT3" s="12"/>
      <c r="GU3" s="12"/>
      <c r="GV3" s="12"/>
      <c r="GW3" s="12"/>
      <c r="GX3" s="6"/>
      <c r="GY3" s="6"/>
      <c r="GZ3" s="6"/>
      <c r="HA3" s="6"/>
      <c r="HB3" s="6"/>
      <c r="HC3" s="6"/>
      <c r="HD3" s="6"/>
      <c r="HE3" s="6"/>
      <c r="HF3" s="6"/>
      <c r="HH3" s="405"/>
      <c r="HL3" s="12"/>
      <c r="HM3" s="12"/>
      <c r="HN3" s="12"/>
      <c r="HO3" s="12"/>
      <c r="HP3" s="12"/>
      <c r="HQ3" s="12"/>
      <c r="HR3" s="12"/>
      <c r="HS3" s="12"/>
      <c r="HT3" s="279"/>
      <c r="HU3" s="279"/>
      <c r="HV3" s="279"/>
      <c r="HW3" s="279"/>
      <c r="HX3" s="279"/>
      <c r="HY3" s="279"/>
      <c r="HZ3" s="279"/>
      <c r="IA3" s="271"/>
      <c r="IB3" s="271"/>
      <c r="IC3" s="271"/>
      <c r="ID3" s="271"/>
      <c r="IE3" s="271"/>
      <c r="IF3" s="6"/>
      <c r="IG3" s="6"/>
      <c r="IH3" s="6"/>
      <c r="II3" s="6"/>
      <c r="IJ3" s="6"/>
      <c r="IK3" s="6"/>
      <c r="IL3" s="6"/>
      <c r="IM3" s="6"/>
      <c r="IN3" s="6"/>
      <c r="IO3" s="12"/>
      <c r="IP3" s="12"/>
      <c r="IQ3" s="12"/>
      <c r="IR3" s="6"/>
      <c r="IS3" s="6"/>
      <c r="IT3" s="6"/>
      <c r="IU3" s="6"/>
      <c r="IV3" s="6"/>
      <c r="IW3" s="6"/>
      <c r="IX3" s="6"/>
      <c r="IY3" s="6"/>
      <c r="IZ3" s="6"/>
      <c r="JA3" s="6"/>
      <c r="JB3" s="6"/>
      <c r="JC3" s="6"/>
      <c r="JD3" s="6"/>
      <c r="JE3" s="6"/>
      <c r="JF3" s="6"/>
      <c r="JG3" s="6"/>
      <c r="JH3" s="6"/>
      <c r="JK3" s="577"/>
      <c r="JL3" s="577"/>
      <c r="JN3" s="577"/>
      <c r="JO3" s="577"/>
    </row>
    <row r="4" spans="1:276" s="13" customFormat="1" x14ac:dyDescent="0.2">
      <c r="A4" s="6"/>
      <c r="B4" s="18"/>
      <c r="C4" s="18"/>
      <c r="D4" s="18"/>
      <c r="E4" s="18"/>
      <c r="F4" s="18"/>
      <c r="G4" s="18"/>
      <c r="H4" s="18"/>
      <c r="I4" s="5"/>
      <c r="J4" s="5"/>
      <c r="K4" s="5"/>
      <c r="L4" s="5"/>
      <c r="M4" s="5"/>
      <c r="N4" s="5"/>
      <c r="O4" s="5"/>
      <c r="P4" s="5"/>
      <c r="Q4" s="5"/>
      <c r="R4" s="5"/>
      <c r="S4" s="5"/>
      <c r="T4" s="5"/>
      <c r="U4" s="6"/>
      <c r="V4" s="6"/>
      <c r="W4" s="6"/>
      <c r="X4" s="6"/>
      <c r="Y4" s="11"/>
      <c r="Z4" s="11"/>
      <c r="AA4" s="11"/>
      <c r="AB4" s="11"/>
      <c r="AC4" s="19"/>
      <c r="AD4" s="19"/>
      <c r="AE4" s="19"/>
      <c r="AF4" s="11"/>
      <c r="AG4" s="19"/>
      <c r="AH4" s="19"/>
      <c r="AI4" s="19"/>
      <c r="AJ4" s="19"/>
      <c r="AK4" s="19"/>
      <c r="AL4" s="19"/>
      <c r="AM4" s="19"/>
      <c r="AN4" s="272"/>
      <c r="AO4"/>
      <c r="AP4" s="92"/>
      <c r="AQ4" s="92"/>
      <c r="AR4" s="19"/>
      <c r="AS4" s="7"/>
      <c r="AT4" s="91"/>
      <c r="AU4" s="6"/>
      <c r="AV4" s="6"/>
      <c r="AW4" s="19"/>
      <c r="AX4" s="19"/>
      <c r="AY4" s="6"/>
      <c r="AZ4" s="11"/>
      <c r="BA4" s="274"/>
      <c r="BB4" s="274"/>
      <c r="BC4" s="19"/>
      <c r="BD4" s="19"/>
      <c r="BE4" s="19"/>
      <c r="BF4" s="19"/>
      <c r="BG4" s="19"/>
      <c r="BH4" s="19"/>
      <c r="BI4" s="7"/>
      <c r="BJ4" s="269"/>
      <c r="BK4" s="7"/>
      <c r="BL4" s="7"/>
      <c r="BM4" s="7"/>
      <c r="BN4" s="7"/>
      <c r="BO4" s="7"/>
      <c r="BP4" s="7"/>
      <c r="BQ4" s="7"/>
      <c r="BR4" s="6"/>
      <c r="BS4" s="271"/>
      <c r="BT4" s="12"/>
      <c r="BU4" s="12"/>
      <c r="BV4" s="6"/>
      <c r="BW4" s="6"/>
      <c r="BX4" s="20"/>
      <c r="BY4" s="6"/>
      <c r="BZ4" s="6"/>
      <c r="CA4" s="6"/>
      <c r="CB4" s="6"/>
      <c r="CC4" s="19"/>
      <c r="CD4" s="19"/>
      <c r="CE4" s="12"/>
      <c r="CF4" s="12"/>
      <c r="CG4" s="12"/>
      <c r="CH4" s="12"/>
      <c r="CI4" s="6"/>
      <c r="CJ4" s="6"/>
      <c r="CK4" s="6"/>
      <c r="CL4" s="12"/>
      <c r="CM4" s="12"/>
      <c r="CN4" s="12"/>
      <c r="CO4" s="12"/>
      <c r="CP4" s="277"/>
      <c r="CQ4" s="12"/>
      <c r="CR4" s="277"/>
      <c r="CS4" s="12"/>
      <c r="CT4" s="140" t="s">
        <v>984</v>
      </c>
      <c r="CU4" s="12"/>
      <c r="CV4" s="12"/>
      <c r="CW4" s="12"/>
      <c r="CX4" s="12"/>
      <c r="CY4" s="140" t="s">
        <v>984</v>
      </c>
      <c r="CZ4" s="12"/>
      <c r="DA4" s="140" t="s">
        <v>984</v>
      </c>
      <c r="DB4" s="140" t="s">
        <v>984</v>
      </c>
      <c r="DC4" s="140" t="s">
        <v>984</v>
      </c>
      <c r="DD4" s="12"/>
      <c r="DE4" s="12"/>
      <c r="DF4" s="12"/>
      <c r="DG4" s="19"/>
      <c r="DH4" s="12"/>
      <c r="DI4" s="12"/>
      <c r="DJ4" s="12"/>
      <c r="DK4" s="12"/>
      <c r="DL4" s="12"/>
      <c r="DM4" s="12"/>
      <c r="DN4" s="12"/>
      <c r="DO4" s="12"/>
      <c r="DP4" s="12"/>
      <c r="DQ4" s="148" t="s">
        <v>630</v>
      </c>
      <c r="DR4" s="148" t="s">
        <v>630</v>
      </c>
      <c r="DS4" s="148" t="s">
        <v>630</v>
      </c>
      <c r="DT4" s="149" t="s">
        <v>631</v>
      </c>
      <c r="DU4" s="149" t="s">
        <v>631</v>
      </c>
      <c r="DV4" s="12"/>
      <c r="DW4" s="12"/>
      <c r="DX4" s="12"/>
      <c r="DY4" s="310" t="s">
        <v>985</v>
      </c>
      <c r="DZ4" s="310" t="s">
        <v>985</v>
      </c>
      <c r="EA4" s="310" t="s">
        <v>985</v>
      </c>
      <c r="EB4" s="290" t="s">
        <v>894</v>
      </c>
      <c r="EC4" s="7" t="s">
        <v>1091</v>
      </c>
      <c r="ED4" s="7" t="s">
        <v>1091</v>
      </c>
      <c r="EE4" s="7" t="s">
        <v>1091</v>
      </c>
      <c r="EF4" s="7" t="s">
        <v>1091</v>
      </c>
      <c r="EG4" s="290" t="s">
        <v>894</v>
      </c>
      <c r="EH4" s="19"/>
      <c r="EI4" s="12"/>
      <c r="EJ4" s="12"/>
      <c r="EK4" s="98"/>
      <c r="EL4" s="12"/>
      <c r="EM4" s="12"/>
      <c r="EN4" s="290" t="s">
        <v>894</v>
      </c>
      <c r="EO4" s="47"/>
      <c r="EP4" s="47"/>
      <c r="EQ4" s="12"/>
      <c r="ER4" s="12"/>
      <c r="ES4" s="47"/>
      <c r="ET4" s="8"/>
      <c r="EU4" s="8"/>
      <c r="EV4" s="8"/>
      <c r="EW4" s="8"/>
      <c r="EX4" s="12"/>
      <c r="EY4" s="12"/>
      <c r="EZ4" s="12"/>
      <c r="FA4" s="8"/>
      <c r="FB4" s="6"/>
      <c r="FC4" s="12"/>
      <c r="FD4" s="12"/>
      <c r="FE4" s="41"/>
      <c r="FF4" s="290" t="s">
        <v>894</v>
      </c>
      <c r="FG4" s="291" t="s">
        <v>895</v>
      </c>
      <c r="FP4" s="140" t="s">
        <v>984</v>
      </c>
      <c r="FX4" s="140" t="s">
        <v>984</v>
      </c>
      <c r="FZ4" s="140" t="s">
        <v>984</v>
      </c>
      <c r="GA4" s="280" t="s">
        <v>784</v>
      </c>
      <c r="GB4" s="280" t="s">
        <v>784</v>
      </c>
      <c r="GC4" s="280" t="s">
        <v>784</v>
      </c>
      <c r="GD4" s="280" t="s">
        <v>784</v>
      </c>
      <c r="GE4" s="280" t="s">
        <v>784</v>
      </c>
      <c r="GF4" s="280" t="s">
        <v>784</v>
      </c>
      <c r="GG4" s="280" t="s">
        <v>784</v>
      </c>
      <c r="GH4" s="280" t="s">
        <v>784</v>
      </c>
      <c r="GI4" s="280" t="s">
        <v>784</v>
      </c>
      <c r="GJ4" s="140" t="s">
        <v>984</v>
      </c>
      <c r="GK4" s="306" t="s">
        <v>635</v>
      </c>
      <c r="GL4" s="302" t="s">
        <v>986</v>
      </c>
      <c r="GM4" s="302" t="s">
        <v>986</v>
      </c>
      <c r="GN4" s="291" t="s">
        <v>895</v>
      </c>
      <c r="GQ4" s="290" t="s">
        <v>894</v>
      </c>
      <c r="GR4" s="291" t="s">
        <v>895</v>
      </c>
      <c r="GS4" s="98"/>
      <c r="GT4" s="12"/>
      <c r="GU4" s="12"/>
      <c r="GV4" s="290" t="s">
        <v>894</v>
      </c>
      <c r="GW4" s="291" t="s">
        <v>895</v>
      </c>
      <c r="GX4" s="319" t="s">
        <v>771</v>
      </c>
      <c r="GY4" s="6"/>
      <c r="GZ4" s="319" t="s">
        <v>771</v>
      </c>
      <c r="HA4" s="319" t="s">
        <v>771</v>
      </c>
      <c r="HB4" s="319"/>
      <c r="HC4" s="319"/>
      <c r="HD4" s="319"/>
      <c r="HE4" s="319" t="s">
        <v>771</v>
      </c>
      <c r="HF4" s="319"/>
      <c r="HH4" s="405"/>
      <c r="HP4" s="12"/>
      <c r="HQ4" s="12"/>
      <c r="HR4" s="12"/>
      <c r="HS4" s="12"/>
      <c r="HT4" s="315" t="s">
        <v>637</v>
      </c>
      <c r="HU4" s="315" t="s">
        <v>637</v>
      </c>
      <c r="HV4" s="315" t="s">
        <v>637</v>
      </c>
      <c r="HW4" s="315"/>
      <c r="HX4" s="315"/>
      <c r="HY4" s="315" t="s">
        <v>637</v>
      </c>
      <c r="HZ4" s="315"/>
      <c r="IA4" s="315" t="s">
        <v>637</v>
      </c>
      <c r="IB4" s="271"/>
      <c r="IC4" s="271"/>
      <c r="ID4" s="271"/>
      <c r="IE4" s="271"/>
      <c r="IF4" s="6"/>
      <c r="IG4" s="6"/>
      <c r="IH4" s="6"/>
      <c r="II4" s="6"/>
      <c r="IJ4" s="6"/>
      <c r="IK4" s="6"/>
      <c r="IL4" s="6"/>
      <c r="IM4" s="6"/>
      <c r="IN4" s="6"/>
      <c r="IO4" s="12"/>
      <c r="IP4" s="12"/>
      <c r="IQ4" s="12"/>
      <c r="IR4" s="6"/>
      <c r="IS4" s="6"/>
      <c r="IT4" s="6"/>
      <c r="IU4" s="6"/>
      <c r="IV4" s="318" t="s">
        <v>1066</v>
      </c>
      <c r="IW4" s="316" t="s">
        <v>1062</v>
      </c>
      <c r="IX4" s="247" t="s">
        <v>1065</v>
      </c>
      <c r="IY4" s="317" t="s">
        <v>1064</v>
      </c>
      <c r="IZ4" s="317" t="s">
        <v>1064</v>
      </c>
      <c r="JA4" s="317" t="s">
        <v>1064</v>
      </c>
      <c r="JB4" s="317" t="s">
        <v>1064</v>
      </c>
      <c r="JC4" s="317" t="s">
        <v>1064</v>
      </c>
      <c r="JD4" s="317" t="s">
        <v>1064</v>
      </c>
      <c r="JE4" s="317" t="s">
        <v>1064</v>
      </c>
      <c r="JF4" s="317" t="s">
        <v>1064</v>
      </c>
      <c r="JG4" s="6"/>
      <c r="JH4" s="6"/>
      <c r="JK4" s="577"/>
      <c r="JL4" s="577"/>
      <c r="JN4" s="577"/>
      <c r="JO4" s="577"/>
    </row>
    <row r="5" spans="1:276" s="13" customFormat="1" ht="13.6"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128"/>
      <c r="AL5" s="6"/>
      <c r="AM5" s="6"/>
      <c r="AN5" s="19"/>
      <c r="AO5" s="19"/>
      <c r="AP5" s="19"/>
      <c r="AQ5" s="19"/>
      <c r="AR5" s="6"/>
      <c r="AS5" s="7"/>
      <c r="AT5" s="19"/>
      <c r="AU5" s="6"/>
      <c r="AV5" s="6"/>
      <c r="AW5" s="6"/>
      <c r="AX5" s="6"/>
      <c r="AY5" s="6"/>
      <c r="AZ5" s="6"/>
      <c r="BA5" s="6"/>
      <c r="BB5" s="6"/>
      <c r="BC5" s="6"/>
      <c r="BD5" s="6"/>
      <c r="BE5" s="6"/>
      <c r="BF5" s="6"/>
      <c r="BG5" s="6"/>
      <c r="BH5" s="6"/>
      <c r="BI5" s="6"/>
      <c r="BJ5" s="6"/>
      <c r="BK5" s="6"/>
      <c r="BL5" s="6"/>
      <c r="BM5" s="6"/>
      <c r="BN5" s="6"/>
      <c r="BO5" s="324" t="s">
        <v>1085</v>
      </c>
      <c r="BP5" s="324" t="s">
        <v>1085</v>
      </c>
      <c r="BQ5" s="324" t="s">
        <v>1085</v>
      </c>
      <c r="BR5" s="6"/>
      <c r="BS5" s="325" t="s">
        <v>1084</v>
      </c>
      <c r="BT5" s="325" t="s">
        <v>1084</v>
      </c>
      <c r="BU5" s="325" t="s">
        <v>1084</v>
      </c>
      <c r="BV5" s="6"/>
      <c r="BW5" s="326" t="s">
        <v>1086</v>
      </c>
      <c r="BX5" s="326" t="s">
        <v>1086</v>
      </c>
      <c r="BY5" s="326" t="s">
        <v>1086</v>
      </c>
      <c r="BZ5" s="6"/>
      <c r="CA5" s="128"/>
      <c r="CB5" s="128"/>
      <c r="CC5" s="6"/>
      <c r="CD5" s="140" t="s">
        <v>984</v>
      </c>
      <c r="CE5" s="140" t="s">
        <v>984</v>
      </c>
      <c r="CF5" s="140" t="s">
        <v>984</v>
      </c>
      <c r="CG5" s="140" t="s">
        <v>984</v>
      </c>
      <c r="CH5" s="140" t="s">
        <v>984</v>
      </c>
      <c r="CI5" s="6"/>
      <c r="CJ5" s="128"/>
      <c r="CK5" s="128"/>
      <c r="CL5" s="148" t="s">
        <v>630</v>
      </c>
      <c r="CM5" s="148" t="s">
        <v>630</v>
      </c>
      <c r="CN5" s="148" t="s">
        <v>630</v>
      </c>
      <c r="CO5" s="149" t="s">
        <v>631</v>
      </c>
      <c r="CP5" s="149" t="s">
        <v>631</v>
      </c>
      <c r="CQ5" s="149" t="s">
        <v>631</v>
      </c>
      <c r="CR5" s="149" t="s">
        <v>631</v>
      </c>
      <c r="CS5" s="149" t="s">
        <v>631</v>
      </c>
      <c r="CT5" s="327" t="s">
        <v>64</v>
      </c>
      <c r="CU5" s="328"/>
      <c r="CV5" s="141" t="s">
        <v>632</v>
      </c>
      <c r="CW5" s="141" t="s">
        <v>632</v>
      </c>
      <c r="CX5" s="287"/>
      <c r="CY5" s="327" t="s">
        <v>64</v>
      </c>
      <c r="CZ5" s="328"/>
      <c r="DA5" s="310" t="s">
        <v>985</v>
      </c>
      <c r="DB5" s="310" t="s">
        <v>985</v>
      </c>
      <c r="DC5" s="310"/>
      <c r="DD5" s="4"/>
      <c r="DE5" s="306" t="s">
        <v>635</v>
      </c>
      <c r="DF5" s="306" t="s">
        <v>635</v>
      </c>
      <c r="DG5" s="306" t="s">
        <v>635</v>
      </c>
      <c r="DH5" s="306" t="s">
        <v>635</v>
      </c>
      <c r="DI5" s="306" t="s">
        <v>635</v>
      </c>
      <c r="DJ5" s="306" t="s">
        <v>635</v>
      </c>
      <c r="DK5" s="306" t="s">
        <v>635</v>
      </c>
      <c r="DL5" s="306" t="s">
        <v>635</v>
      </c>
      <c r="DM5" s="306" t="s">
        <v>635</v>
      </c>
      <c r="DN5" s="306" t="s">
        <v>635</v>
      </c>
      <c r="DO5" s="306" t="s">
        <v>635</v>
      </c>
      <c r="DP5" s="306" t="s">
        <v>635</v>
      </c>
      <c r="DQ5" s="306" t="s">
        <v>635</v>
      </c>
      <c r="DR5" s="306" t="s">
        <v>635</v>
      </c>
      <c r="DS5" s="306" t="s">
        <v>635</v>
      </c>
      <c r="DT5" s="306" t="s">
        <v>635</v>
      </c>
      <c r="DU5" s="306" t="s">
        <v>635</v>
      </c>
      <c r="DV5" s="306" t="s">
        <v>635</v>
      </c>
      <c r="DW5" s="306" t="s">
        <v>635</v>
      </c>
      <c r="DX5" s="306" t="s">
        <v>635</v>
      </c>
      <c r="DY5" s="306" t="s">
        <v>635</v>
      </c>
      <c r="DZ5" s="306" t="s">
        <v>635</v>
      </c>
      <c r="EA5" s="306" t="s">
        <v>635</v>
      </c>
      <c r="EB5" s="329" t="s">
        <v>986</v>
      </c>
      <c r="EC5" s="140" t="s">
        <v>984</v>
      </c>
      <c r="ED5" s="306" t="s">
        <v>635</v>
      </c>
      <c r="EE5" s="306" t="s">
        <v>635</v>
      </c>
      <c r="EF5" s="306" t="s">
        <v>635</v>
      </c>
      <c r="EG5" s="329" t="s">
        <v>986</v>
      </c>
      <c r="EH5" s="6"/>
      <c r="EI5" s="96" t="s">
        <v>291</v>
      </c>
      <c r="EJ5" s="96" t="s">
        <v>291</v>
      </c>
      <c r="EK5" s="99" t="s">
        <v>291</v>
      </c>
      <c r="EL5" s="96" t="s">
        <v>291</v>
      </c>
      <c r="EM5" s="96" t="s">
        <v>291</v>
      </c>
      <c r="EN5" s="96" t="s">
        <v>291</v>
      </c>
      <c r="EO5" s="96"/>
      <c r="EP5" s="96"/>
      <c r="EQ5" s="96"/>
      <c r="ER5" s="96"/>
      <c r="ES5" s="96"/>
      <c r="ET5" s="289" t="s">
        <v>896</v>
      </c>
      <c r="EU5" s="289" t="s">
        <v>896</v>
      </c>
      <c r="EV5" s="289" t="s">
        <v>896</v>
      </c>
      <c r="EW5" s="289" t="s">
        <v>896</v>
      </c>
      <c r="EX5" s="289" t="s">
        <v>896</v>
      </c>
      <c r="EY5" s="289" t="s">
        <v>896</v>
      </c>
      <c r="EZ5" s="291" t="s">
        <v>895</v>
      </c>
      <c r="FA5" s="291" t="s">
        <v>895</v>
      </c>
      <c r="FB5" s="291" t="s">
        <v>895</v>
      </c>
      <c r="FC5" s="291" t="s">
        <v>895</v>
      </c>
      <c r="FD5" s="291" t="s">
        <v>895</v>
      </c>
      <c r="FE5" s="291" t="s">
        <v>895</v>
      </c>
      <c r="FF5" s="311" t="s">
        <v>1012</v>
      </c>
      <c r="FG5" s="311" t="s">
        <v>1012</v>
      </c>
      <c r="FH5" s="312" t="s">
        <v>733</v>
      </c>
      <c r="FI5" s="312" t="s">
        <v>733</v>
      </c>
      <c r="FJ5" s="312" t="s">
        <v>733</v>
      </c>
      <c r="FK5" s="312" t="s">
        <v>733</v>
      </c>
      <c r="FL5" s="312" t="s">
        <v>733</v>
      </c>
      <c r="FM5" s="312" t="s">
        <v>733</v>
      </c>
      <c r="FN5" s="312" t="s">
        <v>733</v>
      </c>
      <c r="FO5" s="312" t="s">
        <v>733</v>
      </c>
      <c r="FP5" s="312" t="s">
        <v>733</v>
      </c>
      <c r="FQ5" s="312" t="s">
        <v>733</v>
      </c>
      <c r="FR5" s="312" t="s">
        <v>733</v>
      </c>
      <c r="FS5" s="312" t="s">
        <v>733</v>
      </c>
      <c r="FT5" s="312" t="s">
        <v>733</v>
      </c>
      <c r="FU5" s="312" t="s">
        <v>733</v>
      </c>
      <c r="FV5" s="312"/>
      <c r="FW5" s="312" t="s">
        <v>733</v>
      </c>
      <c r="FX5" s="312" t="s">
        <v>733</v>
      </c>
      <c r="FY5" s="312" t="s">
        <v>733</v>
      </c>
      <c r="FZ5" s="312" t="s">
        <v>733</v>
      </c>
      <c r="GA5" s="312" t="s">
        <v>733</v>
      </c>
      <c r="GB5" s="312" t="s">
        <v>733</v>
      </c>
      <c r="GC5" s="312" t="s">
        <v>733</v>
      </c>
      <c r="GD5" s="312" t="s">
        <v>733</v>
      </c>
      <c r="GE5" s="312" t="s">
        <v>733</v>
      </c>
      <c r="GF5" s="312" t="s">
        <v>733</v>
      </c>
      <c r="GG5" s="312" t="s">
        <v>733</v>
      </c>
      <c r="GH5" s="312" t="s">
        <v>733</v>
      </c>
      <c r="GI5" s="312" t="s">
        <v>733</v>
      </c>
      <c r="GJ5" s="312" t="s">
        <v>733</v>
      </c>
      <c r="GK5" s="312" t="s">
        <v>733</v>
      </c>
      <c r="GL5" s="312" t="s">
        <v>733</v>
      </c>
      <c r="GM5" s="312" t="s">
        <v>733</v>
      </c>
      <c r="GN5" s="312" t="s">
        <v>733</v>
      </c>
      <c r="GO5" s="312" t="s">
        <v>733</v>
      </c>
      <c r="GP5" s="312"/>
      <c r="GQ5" s="104" t="s">
        <v>345</v>
      </c>
      <c r="GR5" s="104" t="s">
        <v>345</v>
      </c>
      <c r="GS5" s="105" t="s">
        <v>132</v>
      </c>
      <c r="GT5" s="106"/>
      <c r="GU5" s="106" t="s">
        <v>543</v>
      </c>
      <c r="GV5" s="112" t="s">
        <v>347</v>
      </c>
      <c r="GW5" s="112" t="s">
        <v>347</v>
      </c>
      <c r="GX5" s="290" t="s">
        <v>894</v>
      </c>
      <c r="GY5" s="291" t="s">
        <v>895</v>
      </c>
      <c r="GZ5" s="291" t="s">
        <v>895</v>
      </c>
      <c r="HA5" s="291" t="s">
        <v>895</v>
      </c>
      <c r="HB5" s="291"/>
      <c r="HC5" s="291"/>
      <c r="HD5" s="291"/>
      <c r="HE5" s="291" t="s">
        <v>895</v>
      </c>
      <c r="HF5" s="291"/>
      <c r="HG5" s="103" t="s">
        <v>344</v>
      </c>
      <c r="HH5" s="409"/>
      <c r="HI5" s="103" t="s">
        <v>344</v>
      </c>
      <c r="HJ5" s="311" t="s">
        <v>1012</v>
      </c>
      <c r="HK5" s="311" t="s">
        <v>1012</v>
      </c>
      <c r="HL5" s="312" t="s">
        <v>733</v>
      </c>
      <c r="HM5" s="312" t="s">
        <v>733</v>
      </c>
      <c r="HN5" s="312" t="s">
        <v>733</v>
      </c>
      <c r="HO5" s="312" t="s">
        <v>733</v>
      </c>
      <c r="HP5" s="104" t="s">
        <v>345</v>
      </c>
      <c r="HQ5" s="104" t="s">
        <v>345</v>
      </c>
      <c r="HR5" s="112" t="s">
        <v>347</v>
      </c>
      <c r="HS5" s="112" t="s">
        <v>347</v>
      </c>
      <c r="HT5" s="290" t="s">
        <v>894</v>
      </c>
      <c r="HU5" s="291" t="s">
        <v>895</v>
      </c>
      <c r="HV5" s="291" t="s">
        <v>895</v>
      </c>
      <c r="HW5" s="291"/>
      <c r="HX5" s="291"/>
      <c r="HY5" s="291" t="s">
        <v>895</v>
      </c>
      <c r="HZ5" s="291"/>
      <c r="IA5" s="315" t="s">
        <v>637</v>
      </c>
      <c r="IB5" s="6"/>
      <c r="IC5" s="6"/>
      <c r="ID5" s="6"/>
      <c r="IE5" s="6"/>
      <c r="IF5" s="6"/>
      <c r="IG5" s="6"/>
      <c r="IH5" s="6"/>
      <c r="II5" s="6"/>
      <c r="IJ5" s="6"/>
      <c r="IK5" s="6"/>
      <c r="IL5" s="6"/>
      <c r="IM5" s="6"/>
      <c r="IN5" s="6"/>
      <c r="IO5" s="6"/>
      <c r="IP5" s="6"/>
      <c r="IQ5" s="6"/>
      <c r="IR5" s="281" t="s">
        <v>792</v>
      </c>
      <c r="IS5" s="281" t="s">
        <v>792</v>
      </c>
      <c r="IT5" s="281" t="s">
        <v>792</v>
      </c>
      <c r="IU5" s="281" t="s">
        <v>792</v>
      </c>
      <c r="IV5" s="281" t="s">
        <v>792</v>
      </c>
      <c r="IW5" s="281" t="s">
        <v>792</v>
      </c>
      <c r="IX5" s="281" t="s">
        <v>792</v>
      </c>
      <c r="IY5" s="281" t="s">
        <v>792</v>
      </c>
      <c r="IZ5" s="281" t="s">
        <v>792</v>
      </c>
      <c r="JA5" s="281" t="s">
        <v>792</v>
      </c>
      <c r="JB5" s="281" t="s">
        <v>792</v>
      </c>
      <c r="JC5" s="281" t="s">
        <v>792</v>
      </c>
      <c r="JD5" s="281" t="s">
        <v>792</v>
      </c>
      <c r="JE5" s="281" t="s">
        <v>792</v>
      </c>
      <c r="JF5" s="281" t="s">
        <v>792</v>
      </c>
      <c r="JG5" s="281" t="s">
        <v>792</v>
      </c>
      <c r="JH5" s="281" t="s">
        <v>792</v>
      </c>
      <c r="JI5" s="138"/>
      <c r="JJ5" s="138"/>
      <c r="JK5" s="579"/>
      <c r="JL5" s="579"/>
      <c r="JM5" s="138"/>
      <c r="JN5" s="579"/>
      <c r="JO5" s="579"/>
      <c r="JP5" s="138"/>
    </row>
    <row r="6" spans="1:276" s="50" customFormat="1" ht="119.55" x14ac:dyDescent="0.2">
      <c r="A6" s="50" t="s">
        <v>18</v>
      </c>
      <c r="B6" s="146">
        <v>22386400</v>
      </c>
      <c r="AG6" s="50" t="s">
        <v>229</v>
      </c>
      <c r="AK6" s="52" t="s">
        <v>881</v>
      </c>
      <c r="AN6" s="52" t="s">
        <v>1028</v>
      </c>
      <c r="AO6" s="52" t="s">
        <v>887</v>
      </c>
      <c r="AP6" s="52" t="s">
        <v>885</v>
      </c>
      <c r="AQ6" s="52" t="s">
        <v>886</v>
      </c>
      <c r="AT6" s="52" t="s">
        <v>942</v>
      </c>
      <c r="AW6" s="50" t="s">
        <v>654</v>
      </c>
      <c r="AX6" s="50" t="s">
        <v>654</v>
      </c>
      <c r="AY6" s="50" t="s">
        <v>655</v>
      </c>
      <c r="AZ6" s="50" t="s">
        <v>655</v>
      </c>
      <c r="BA6" s="52" t="s">
        <v>780</v>
      </c>
      <c r="BB6" s="52" t="s">
        <v>779</v>
      </c>
      <c r="BC6" s="50" t="s">
        <v>134</v>
      </c>
      <c r="BD6" s="50" t="s">
        <v>810</v>
      </c>
      <c r="BE6" s="50" t="s">
        <v>811</v>
      </c>
      <c r="BF6" s="50" t="s">
        <v>479</v>
      </c>
      <c r="BH6" s="50" t="s">
        <v>812</v>
      </c>
      <c r="BR6" s="50" t="s">
        <v>272</v>
      </c>
      <c r="BV6" s="50" t="s">
        <v>274</v>
      </c>
      <c r="CA6" s="52" t="s">
        <v>979</v>
      </c>
      <c r="CB6" s="52" t="s">
        <v>1109</v>
      </c>
      <c r="CC6" s="52" t="s">
        <v>934</v>
      </c>
      <c r="CD6" s="52" t="s">
        <v>973</v>
      </c>
      <c r="CE6" s="52" t="s">
        <v>137</v>
      </c>
      <c r="CF6" s="52" t="s">
        <v>1016</v>
      </c>
      <c r="CG6" s="52" t="s">
        <v>1088</v>
      </c>
      <c r="CH6" s="50" t="s">
        <v>589</v>
      </c>
      <c r="CI6" s="50" t="s">
        <v>869</v>
      </c>
      <c r="CJ6" s="52" t="s">
        <v>1054</v>
      </c>
      <c r="CK6" s="52" t="s">
        <v>1002</v>
      </c>
      <c r="CM6" s="50" t="s">
        <v>232</v>
      </c>
      <c r="CN6" s="50" t="s">
        <v>830</v>
      </c>
      <c r="CO6" s="50" t="s">
        <v>118</v>
      </c>
      <c r="CP6" s="50" t="s">
        <v>119</v>
      </c>
      <c r="CR6" s="50" t="s">
        <v>251</v>
      </c>
      <c r="CS6" s="50" t="s">
        <v>252</v>
      </c>
      <c r="CT6" s="50" t="s">
        <v>219</v>
      </c>
      <c r="CU6" s="50" t="s">
        <v>829</v>
      </c>
      <c r="CV6" s="52" t="s">
        <v>982</v>
      </c>
      <c r="CW6" s="52" t="s">
        <v>233</v>
      </c>
      <c r="CX6" s="50" t="s">
        <v>828</v>
      </c>
      <c r="CY6" s="50" t="s">
        <v>181</v>
      </c>
      <c r="CZ6" s="50" t="s">
        <v>827</v>
      </c>
      <c r="DA6" s="52" t="s">
        <v>994</v>
      </c>
      <c r="DB6" s="52" t="s">
        <v>996</v>
      </c>
      <c r="DC6" s="52" t="s">
        <v>1003</v>
      </c>
      <c r="DD6" s="50" t="s">
        <v>865</v>
      </c>
      <c r="DE6" s="50" t="s">
        <v>658</v>
      </c>
      <c r="DF6" s="50" t="s">
        <v>871</v>
      </c>
      <c r="DG6" s="52" t="s">
        <v>831</v>
      </c>
      <c r="DH6" s="50" t="s">
        <v>659</v>
      </c>
      <c r="DI6" s="52" t="s">
        <v>1024</v>
      </c>
      <c r="DJ6" s="52" t="s">
        <v>1025</v>
      </c>
      <c r="DK6" s="50" t="s">
        <v>258</v>
      </c>
      <c r="DL6" s="50" t="s">
        <v>660</v>
      </c>
      <c r="DM6" s="50" t="s">
        <v>256</v>
      </c>
      <c r="DN6" s="50" t="s">
        <v>255</v>
      </c>
      <c r="DO6" s="50" t="s">
        <v>186</v>
      </c>
      <c r="DP6" s="50" t="s">
        <v>832</v>
      </c>
      <c r="DQ6" s="50" t="s">
        <v>661</v>
      </c>
      <c r="DR6" s="50" t="s">
        <v>193</v>
      </c>
      <c r="DS6" s="50" t="s">
        <v>824</v>
      </c>
      <c r="DT6" s="50" t="s">
        <v>1046</v>
      </c>
      <c r="DU6" s="50" t="s">
        <v>231</v>
      </c>
      <c r="DV6" s="50" t="s">
        <v>184</v>
      </c>
      <c r="DW6" s="50" t="s">
        <v>825</v>
      </c>
      <c r="DX6" s="50" t="s">
        <v>826</v>
      </c>
      <c r="DY6" s="50" t="s">
        <v>185</v>
      </c>
      <c r="DZ6" s="50" t="s">
        <v>836</v>
      </c>
      <c r="EA6" s="52" t="s">
        <v>1026</v>
      </c>
      <c r="EB6" s="50" t="s">
        <v>1202</v>
      </c>
      <c r="EC6" s="50" t="s">
        <v>1090</v>
      </c>
      <c r="ED6" s="50" t="s">
        <v>1089</v>
      </c>
      <c r="EE6" s="50" t="s">
        <v>1093</v>
      </c>
      <c r="EF6" s="50" t="s">
        <v>1094</v>
      </c>
      <c r="EG6" s="50" t="s">
        <v>480</v>
      </c>
      <c r="EI6" s="50" t="s">
        <v>329</v>
      </c>
      <c r="EJ6" s="50" t="s">
        <v>292</v>
      </c>
      <c r="EK6" s="50" t="s">
        <v>293</v>
      </c>
      <c r="EL6" s="50" t="s">
        <v>294</v>
      </c>
      <c r="EM6" s="50" t="s">
        <v>295</v>
      </c>
      <c r="EN6" s="50" t="s">
        <v>623</v>
      </c>
      <c r="ES6" s="264"/>
      <c r="ET6" s="50" t="s">
        <v>121</v>
      </c>
      <c r="EU6" s="50" t="s">
        <v>657</v>
      </c>
      <c r="EV6" s="50" t="s">
        <v>318</v>
      </c>
      <c r="EW6" s="50" t="s">
        <v>319</v>
      </c>
      <c r="EX6" s="50" t="s">
        <v>662</v>
      </c>
      <c r="EY6" s="50" t="s">
        <v>322</v>
      </c>
      <c r="EZ6" s="50" t="s">
        <v>1095</v>
      </c>
      <c r="FA6" s="50" t="s">
        <v>481</v>
      </c>
      <c r="FB6" s="50" t="s">
        <v>321</v>
      </c>
      <c r="FC6" s="50" t="s">
        <v>324</v>
      </c>
      <c r="FD6" s="50" t="s">
        <v>323</v>
      </c>
      <c r="FE6" s="52" t="s">
        <v>1051</v>
      </c>
      <c r="FF6" s="52" t="s">
        <v>1047</v>
      </c>
      <c r="FG6" s="52" t="s">
        <v>898</v>
      </c>
      <c r="FH6" s="52" t="s">
        <v>1027</v>
      </c>
      <c r="FI6" s="52" t="s">
        <v>900</v>
      </c>
      <c r="FJ6" s="52" t="s">
        <v>1043</v>
      </c>
      <c r="FK6" s="52" t="s">
        <v>1044</v>
      </c>
      <c r="FL6" s="52" t="s">
        <v>1045</v>
      </c>
      <c r="FM6" s="52" t="s">
        <v>69</v>
      </c>
      <c r="FN6" s="52" t="s">
        <v>901</v>
      </c>
      <c r="FO6" s="52" t="s">
        <v>739</v>
      </c>
      <c r="FP6" s="52" t="s">
        <v>64</v>
      </c>
      <c r="FQ6" s="52" t="s">
        <v>741</v>
      </c>
      <c r="FR6" s="52" t="s">
        <v>143</v>
      </c>
      <c r="FS6" s="52" t="s">
        <v>902</v>
      </c>
      <c r="FT6" s="52" t="s">
        <v>630</v>
      </c>
      <c r="FU6" s="52" t="s">
        <v>751</v>
      </c>
      <c r="FV6" s="52" t="s">
        <v>631</v>
      </c>
      <c r="FW6" s="52" t="s">
        <v>631</v>
      </c>
      <c r="FX6" s="52" t="s">
        <v>782</v>
      </c>
      <c r="FY6" s="52" t="s">
        <v>632</v>
      </c>
      <c r="FZ6" s="52" t="s">
        <v>783</v>
      </c>
      <c r="GA6" s="52" t="s">
        <v>255</v>
      </c>
      <c r="GB6" s="52" t="s">
        <v>186</v>
      </c>
      <c r="GC6" s="52" t="s">
        <v>785</v>
      </c>
      <c r="GD6" s="52" t="s">
        <v>630</v>
      </c>
      <c r="GE6" s="52" t="s">
        <v>859</v>
      </c>
      <c r="GF6" s="52" t="s">
        <v>631</v>
      </c>
      <c r="GG6" s="52" t="s">
        <v>1098</v>
      </c>
      <c r="GH6" s="52" t="s">
        <v>632</v>
      </c>
      <c r="GI6" s="53" t="s">
        <v>1099</v>
      </c>
      <c r="GJ6" s="52" t="s">
        <v>904</v>
      </c>
      <c r="GK6" s="52" t="s">
        <v>903</v>
      </c>
      <c r="GL6" s="52" t="s">
        <v>905</v>
      </c>
      <c r="GM6" s="52" t="s">
        <v>905</v>
      </c>
      <c r="GN6" s="52" t="s">
        <v>898</v>
      </c>
      <c r="GO6" s="52" t="s">
        <v>987</v>
      </c>
      <c r="GP6" s="52" t="s">
        <v>837</v>
      </c>
      <c r="GQ6" s="52" t="s">
        <v>1047</v>
      </c>
      <c r="GR6" s="52" t="s">
        <v>898</v>
      </c>
      <c r="GT6" s="50" t="s">
        <v>343</v>
      </c>
      <c r="GU6" s="50" t="s">
        <v>544</v>
      </c>
      <c r="GX6" s="50" t="s">
        <v>639</v>
      </c>
      <c r="GY6" s="52" t="s">
        <v>306</v>
      </c>
      <c r="GZ6" s="52" t="s">
        <v>642</v>
      </c>
      <c r="HA6" s="52" t="s">
        <v>643</v>
      </c>
      <c r="HB6" s="52" t="s">
        <v>2761</v>
      </c>
      <c r="HC6" s="52" t="s">
        <v>642</v>
      </c>
      <c r="HD6" s="52" t="s">
        <v>640</v>
      </c>
      <c r="HE6" s="52" t="s">
        <v>640</v>
      </c>
      <c r="HF6" s="52" t="s">
        <v>2762</v>
      </c>
      <c r="HG6" s="52" t="s">
        <v>1010</v>
      </c>
      <c r="HH6" s="50" t="s">
        <v>331</v>
      </c>
      <c r="HI6" s="52" t="s">
        <v>1009</v>
      </c>
      <c r="HJ6" s="52" t="s">
        <v>1010</v>
      </c>
      <c r="HK6" s="52" t="s">
        <v>1009</v>
      </c>
      <c r="HL6" s="52" t="s">
        <v>1010</v>
      </c>
      <c r="HM6" s="52" t="s">
        <v>787</v>
      </c>
      <c r="HN6" s="52" t="s">
        <v>1009</v>
      </c>
      <c r="HO6" s="52" t="s">
        <v>1679</v>
      </c>
      <c r="HP6" s="52" t="s">
        <v>1010</v>
      </c>
      <c r="HQ6" s="52" t="s">
        <v>1009</v>
      </c>
      <c r="HR6" s="52" t="s">
        <v>1010</v>
      </c>
      <c r="HS6" s="52" t="s">
        <v>1009</v>
      </c>
      <c r="HT6" s="50" t="s">
        <v>352</v>
      </c>
      <c r="HU6" s="52" t="s">
        <v>642</v>
      </c>
      <c r="HV6" s="52" t="s">
        <v>643</v>
      </c>
      <c r="HW6" s="52" t="s">
        <v>642</v>
      </c>
      <c r="HX6" s="52" t="s">
        <v>640</v>
      </c>
      <c r="HY6" s="52" t="s">
        <v>640</v>
      </c>
      <c r="HZ6" s="52" t="s">
        <v>2762</v>
      </c>
      <c r="IH6" s="52" t="s">
        <v>1036</v>
      </c>
      <c r="II6" s="52" t="s">
        <v>1037</v>
      </c>
      <c r="IJ6" s="52" t="s">
        <v>1038</v>
      </c>
      <c r="IK6" s="52" t="s">
        <v>1039</v>
      </c>
      <c r="IL6" s="52" t="s">
        <v>1040</v>
      </c>
      <c r="IM6" s="52" t="s">
        <v>1041</v>
      </c>
      <c r="IN6" s="52"/>
      <c r="IR6" s="50" t="s">
        <v>793</v>
      </c>
      <c r="IS6" s="50" t="s">
        <v>1056</v>
      </c>
      <c r="IT6" s="50" t="s">
        <v>1057</v>
      </c>
      <c r="IU6" s="50" t="s">
        <v>1063</v>
      </c>
      <c r="IV6" s="50" t="s">
        <v>1067</v>
      </c>
      <c r="IW6" s="50" t="s">
        <v>1061</v>
      </c>
      <c r="IX6" s="50" t="s">
        <v>1058</v>
      </c>
      <c r="IY6" s="50" t="s">
        <v>1069</v>
      </c>
      <c r="IZ6" s="50" t="s">
        <v>1068</v>
      </c>
      <c r="JA6" s="50" t="s">
        <v>1060</v>
      </c>
      <c r="JB6" s="50" t="s">
        <v>1059</v>
      </c>
      <c r="JC6" s="50" t="s">
        <v>794</v>
      </c>
      <c r="JD6" s="50" t="s">
        <v>795</v>
      </c>
      <c r="JE6" s="50" t="s">
        <v>796</v>
      </c>
      <c r="JF6" s="50" t="s">
        <v>797</v>
      </c>
      <c r="JG6" s="50" t="s">
        <v>1820</v>
      </c>
      <c r="JH6" s="50" t="s">
        <v>799</v>
      </c>
      <c r="JI6" s="53" t="s">
        <v>1796</v>
      </c>
      <c r="JJ6" s="53" t="s">
        <v>1797</v>
      </c>
      <c r="JK6" s="580" t="s">
        <v>75</v>
      </c>
      <c r="JL6" s="580" t="s">
        <v>108</v>
      </c>
      <c r="JM6" s="53" t="s">
        <v>2789</v>
      </c>
      <c r="JN6" s="580" t="s">
        <v>2790</v>
      </c>
      <c r="JO6" s="580" t="s">
        <v>1808</v>
      </c>
      <c r="JP6" s="53" t="s">
        <v>2780</v>
      </c>
    </row>
    <row r="7" spans="1:276" s="13" customFormat="1" ht="18.7" customHeight="1" x14ac:dyDescent="0.25">
      <c r="A7" s="15" t="s">
        <v>15</v>
      </c>
      <c r="B7" s="22" t="s">
        <v>669</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R7" s="6"/>
      <c r="AS7" s="7"/>
      <c r="AU7" s="6"/>
      <c r="AV7" s="6"/>
      <c r="AW7" s="6"/>
      <c r="AX7" s="6"/>
      <c r="AY7" s="6"/>
      <c r="AZ7" s="11"/>
      <c r="BA7" s="11"/>
      <c r="BB7" s="11"/>
      <c r="BC7" s="6"/>
      <c r="BD7" s="6"/>
      <c r="BE7" s="6"/>
      <c r="BF7" s="6"/>
      <c r="BG7" s="6"/>
      <c r="BH7" s="6"/>
      <c r="BI7" s="6"/>
      <c r="BJ7" s="6"/>
      <c r="BK7" s="6"/>
      <c r="BL7" s="6"/>
      <c r="BM7" s="6"/>
      <c r="BN7" s="6"/>
      <c r="BO7" s="6"/>
      <c r="BP7" s="6"/>
      <c r="BQ7" s="6"/>
      <c r="BR7" s="6"/>
      <c r="BV7" s="6"/>
      <c r="BW7" s="6"/>
      <c r="BX7" s="6"/>
      <c r="BY7" s="6"/>
      <c r="BZ7" s="6"/>
      <c r="CA7" s="6"/>
      <c r="CB7" s="6"/>
      <c r="CC7" s="6"/>
      <c r="CD7" s="6"/>
      <c r="CE7" s="49"/>
      <c r="CF7" s="49"/>
      <c r="CG7" s="49"/>
      <c r="CH7" s="49"/>
      <c r="CI7" s="6"/>
      <c r="CJ7" s="6"/>
      <c r="CK7" s="6"/>
      <c r="CL7" s="79"/>
      <c r="CM7" s="6"/>
      <c r="CN7" s="6"/>
      <c r="CO7" s="6"/>
      <c r="CP7" s="84"/>
      <c r="CQ7" s="84"/>
      <c r="CR7" s="84"/>
      <c r="CS7" s="6"/>
      <c r="CT7" s="6"/>
      <c r="CU7" s="6"/>
      <c r="CV7" s="49"/>
      <c r="CW7" s="6"/>
      <c r="CX7" s="6"/>
      <c r="CY7" s="6"/>
      <c r="CZ7" s="6"/>
      <c r="DA7" s="6"/>
      <c r="DB7" s="6"/>
      <c r="DC7" s="6"/>
      <c r="DD7" s="6"/>
      <c r="DE7" s="6"/>
      <c r="DF7" s="6"/>
      <c r="DG7" s="6"/>
      <c r="DH7" s="6"/>
      <c r="DI7" s="6"/>
      <c r="DJ7" s="6"/>
      <c r="DK7" s="6"/>
      <c r="DL7" s="6"/>
      <c r="DM7" s="6"/>
      <c r="DN7" s="6"/>
      <c r="DO7" s="6"/>
      <c r="DP7" s="6"/>
      <c r="DQ7" s="6"/>
      <c r="DR7" s="6"/>
      <c r="DS7" s="6"/>
      <c r="DT7" s="84"/>
      <c r="DU7" s="6"/>
      <c r="DV7" s="6"/>
      <c r="DW7" s="6"/>
      <c r="DX7" s="6"/>
      <c r="DY7" s="6"/>
      <c r="DZ7" s="6"/>
      <c r="EA7" s="6"/>
      <c r="EB7" s="6"/>
      <c r="EC7" s="6"/>
      <c r="ED7" s="273" t="str">
        <f>IF(OR(AG7&lt;DATE(2001,4,15),DE7="",DE7=0),"null",ROUND(0.55*DY7,2))</f>
        <v>null</v>
      </c>
      <c r="EE7" s="6"/>
      <c r="EF7" s="6"/>
      <c r="EG7" s="6"/>
      <c r="EH7" s="6"/>
      <c r="EI7" s="6"/>
      <c r="EJ7" s="6"/>
      <c r="EK7" s="98"/>
      <c r="EL7" s="6"/>
      <c r="EM7" s="6"/>
      <c r="EN7" s="6"/>
      <c r="EO7" s="6"/>
      <c r="EP7" s="6"/>
      <c r="EQ7" s="6"/>
      <c r="ER7" s="6"/>
      <c r="ES7" s="6"/>
      <c r="ET7" s="7"/>
      <c r="EU7" s="7"/>
      <c r="EV7" s="7"/>
      <c r="EW7" s="7"/>
      <c r="EX7" s="77"/>
      <c r="EY7" s="77"/>
      <c r="EZ7" s="77"/>
      <c r="FA7" s="7"/>
      <c r="FB7" s="77"/>
      <c r="FC7" s="77"/>
      <c r="FD7" s="77"/>
      <c r="FE7" s="77"/>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98"/>
      <c r="GT7" s="6"/>
      <c r="GU7" s="6"/>
      <c r="GV7" s="6"/>
      <c r="GW7" s="6"/>
      <c r="GX7" s="6"/>
      <c r="GY7" s="6"/>
      <c r="GZ7" s="6" t="s">
        <v>2751</v>
      </c>
      <c r="HA7" s="6" t="s">
        <v>2751</v>
      </c>
      <c r="HB7" s="6" t="s">
        <v>2753</v>
      </c>
      <c r="HC7" s="6" t="s">
        <v>2753</v>
      </c>
      <c r="HD7" s="6" t="s">
        <v>2751</v>
      </c>
      <c r="HE7" s="6" t="s">
        <v>2753</v>
      </c>
      <c r="HF7" s="6"/>
      <c r="HG7" s="6"/>
      <c r="HH7" s="401"/>
      <c r="HI7" s="6"/>
      <c r="HJ7" s="6"/>
      <c r="HK7" s="6"/>
      <c r="HL7" s="6"/>
      <c r="HM7" s="6"/>
      <c r="HN7" s="6"/>
      <c r="HO7" s="6"/>
      <c r="HP7" s="6"/>
      <c r="HQ7" s="6"/>
      <c r="HR7" s="6"/>
      <c r="HS7" s="6"/>
      <c r="HT7" s="49"/>
      <c r="HU7" s="4" t="s">
        <v>2766</v>
      </c>
      <c r="HV7" s="4" t="s">
        <v>2766</v>
      </c>
      <c r="HW7" s="4" t="s">
        <v>2767</v>
      </c>
      <c r="HX7" s="4" t="s">
        <v>2766</v>
      </c>
      <c r="HY7" s="4" t="s">
        <v>2767</v>
      </c>
      <c r="HZ7" s="75"/>
      <c r="IA7" s="6"/>
      <c r="IB7" s="6"/>
      <c r="IC7" s="6"/>
      <c r="ID7" s="6"/>
      <c r="IE7" s="6"/>
      <c r="IF7" s="6"/>
      <c r="IG7" s="6"/>
      <c r="IH7" s="6"/>
      <c r="II7" s="6"/>
      <c r="IJ7" s="6"/>
      <c r="IK7" s="6"/>
      <c r="IL7" s="6"/>
      <c r="IM7" s="6"/>
      <c r="IN7" s="6"/>
      <c r="IO7" s="6"/>
      <c r="IP7" s="6"/>
      <c r="IQ7" s="6"/>
      <c r="JC7" s="47" t="s">
        <v>798</v>
      </c>
      <c r="JD7" s="47" t="s">
        <v>784</v>
      </c>
      <c r="JK7" s="577"/>
      <c r="JL7" s="577"/>
      <c r="JN7" s="577"/>
      <c r="JO7" s="577"/>
    </row>
    <row r="8" spans="1:276" s="13" customFormat="1" x14ac:dyDescent="0.2">
      <c r="A8" s="15" t="s">
        <v>16</v>
      </c>
      <c r="B8" s="5" t="s">
        <v>618</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7"/>
      <c r="AT8" s="6"/>
      <c r="AU8" s="6"/>
      <c r="AV8" s="6"/>
      <c r="AW8" s="6"/>
      <c r="AX8" s="6"/>
      <c r="AY8" s="6"/>
      <c r="AZ8" s="6"/>
      <c r="BA8" s="6"/>
      <c r="BB8" s="6"/>
      <c r="BC8" s="6"/>
      <c r="BD8" s="6"/>
      <c r="BE8" s="6"/>
      <c r="BF8" s="6"/>
      <c r="BG8" s="6"/>
      <c r="BH8" s="6"/>
      <c r="BI8" s="6"/>
      <c r="BJ8" s="6"/>
      <c r="BK8" s="6"/>
      <c r="BL8" s="6"/>
      <c r="BM8" s="6"/>
      <c r="BN8" s="6"/>
      <c r="BO8" s="6"/>
      <c r="BP8" s="6"/>
      <c r="BQ8" s="6"/>
      <c r="BR8" s="6"/>
      <c r="BV8" s="6"/>
      <c r="BW8" s="6"/>
      <c r="BX8" s="6"/>
      <c r="BY8" s="6"/>
      <c r="BZ8" s="6"/>
      <c r="CA8" s="6"/>
      <c r="CB8" s="6"/>
      <c r="CC8" s="6"/>
      <c r="CD8" s="6"/>
      <c r="CE8" s="49"/>
      <c r="CF8" s="49"/>
      <c r="CG8" s="49"/>
      <c r="CH8" s="49"/>
      <c r="CI8" s="6"/>
      <c r="CJ8" s="6"/>
      <c r="CK8" s="6"/>
      <c r="CL8" s="79"/>
      <c r="CM8" s="6"/>
      <c r="CN8" s="6"/>
      <c r="CO8" s="6"/>
      <c r="CP8" s="84"/>
      <c r="CQ8" s="84"/>
      <c r="CR8" s="84"/>
      <c r="CS8" s="6"/>
      <c r="CT8" s="6"/>
      <c r="CU8" s="6"/>
      <c r="CV8" s="49"/>
      <c r="CW8" s="6"/>
      <c r="CX8" s="6"/>
      <c r="CY8" s="6"/>
      <c r="CZ8" s="6"/>
      <c r="DA8" s="6"/>
      <c r="DB8" s="6"/>
      <c r="DC8" s="6"/>
      <c r="DD8" s="6"/>
      <c r="DE8" s="6"/>
      <c r="DF8" s="6"/>
      <c r="DG8" s="6"/>
      <c r="DH8" s="6"/>
      <c r="DI8" s="6"/>
      <c r="DJ8" s="6"/>
      <c r="DK8" s="6"/>
      <c r="DL8" s="6"/>
      <c r="DM8" s="6"/>
      <c r="DN8" s="6"/>
      <c r="DO8" s="6"/>
      <c r="DP8" s="6"/>
      <c r="DQ8" s="6"/>
      <c r="DR8" s="6"/>
      <c r="DS8" s="6"/>
      <c r="DT8" s="84"/>
      <c r="DU8" s="6"/>
      <c r="DV8" s="6"/>
      <c r="DW8" s="6"/>
      <c r="DX8" s="6"/>
      <c r="DY8" s="6"/>
      <c r="DZ8" s="6"/>
      <c r="EA8" s="6"/>
      <c r="EB8" s="6"/>
      <c r="EC8" s="6"/>
      <c r="ED8" s="6"/>
      <c r="EE8" s="6"/>
      <c r="EF8" s="6"/>
      <c r="EG8" s="6"/>
      <c r="EH8" s="6"/>
      <c r="EI8" s="6"/>
      <c r="EJ8" s="6"/>
      <c r="EK8" s="98"/>
      <c r="EL8" s="6"/>
      <c r="EM8" s="6"/>
      <c r="EN8" s="6"/>
      <c r="EO8" s="6"/>
      <c r="EP8" s="6"/>
      <c r="EQ8" s="6"/>
      <c r="ER8" s="6"/>
      <c r="ES8" s="6"/>
      <c r="ET8" s="7"/>
      <c r="EU8" s="7"/>
      <c r="EV8" s="7"/>
      <c r="EW8" s="7"/>
      <c r="EX8" s="6"/>
      <c r="EY8" s="6"/>
      <c r="EZ8" s="6"/>
      <c r="FA8" s="7"/>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98"/>
      <c r="GT8" s="6"/>
      <c r="GU8" s="6"/>
      <c r="GV8" s="6"/>
      <c r="GW8" s="6"/>
      <c r="GX8" s="6"/>
      <c r="GY8" s="6"/>
      <c r="GZ8" s="6"/>
      <c r="HA8" s="6"/>
      <c r="HB8" s="6"/>
      <c r="HC8" s="6"/>
      <c r="HD8" s="6"/>
      <c r="HE8" s="6"/>
      <c r="HF8" s="6"/>
      <c r="HG8" s="6"/>
      <c r="HH8" s="401"/>
      <c r="HI8" s="6"/>
      <c r="HJ8" s="6"/>
      <c r="HK8" s="6"/>
      <c r="HL8" s="6"/>
      <c r="HM8" s="6"/>
      <c r="HN8" s="6"/>
      <c r="HO8" s="6"/>
      <c r="HP8" s="6"/>
      <c r="HQ8" s="6"/>
      <c r="HR8" s="6"/>
      <c r="HS8" s="6"/>
      <c r="HT8" s="71"/>
      <c r="HU8" s="71"/>
      <c r="HV8" s="71"/>
      <c r="HW8" s="71"/>
      <c r="HX8" s="71"/>
      <c r="HY8" s="76"/>
      <c r="HZ8" s="76"/>
      <c r="IA8" s="6"/>
      <c r="IB8" s="6"/>
      <c r="IC8" s="6"/>
      <c r="ID8" s="6"/>
      <c r="IE8" s="6"/>
      <c r="IF8" s="6"/>
      <c r="IG8" s="6"/>
      <c r="IH8" s="6"/>
      <c r="II8" s="6"/>
      <c r="IJ8" s="6"/>
      <c r="IK8" s="6"/>
      <c r="IL8" s="6"/>
      <c r="IM8" s="6"/>
      <c r="IN8" s="6"/>
      <c r="IO8" s="6"/>
      <c r="IP8" s="6"/>
      <c r="IQ8" s="6"/>
      <c r="JK8" s="577"/>
      <c r="JL8" s="577"/>
      <c r="JN8" s="577"/>
      <c r="JO8" s="577"/>
    </row>
    <row r="9" spans="1:276" s="13" customFormat="1" x14ac:dyDescent="0.2">
      <c r="A9" s="15" t="s">
        <v>11</v>
      </c>
      <c r="B9" s="23">
        <v>41639</v>
      </c>
      <c r="D9" s="6"/>
      <c r="E9" s="6">
        <f>COUNTIF(E13:E201,"=2")</f>
        <v>0</v>
      </c>
      <c r="F9" s="6"/>
      <c r="G9" s="6"/>
      <c r="H9" s="6"/>
      <c r="I9" s="6"/>
      <c r="J9" s="6"/>
      <c r="K9" s="6"/>
      <c r="L9" s="6"/>
      <c r="M9" s="6"/>
      <c r="N9" s="6"/>
      <c r="O9" s="6"/>
      <c r="P9" s="6"/>
      <c r="Q9" s="6"/>
      <c r="R9" s="6"/>
      <c r="S9" s="6"/>
      <c r="T9" s="9"/>
      <c r="U9" s="9"/>
      <c r="V9" s="9"/>
      <c r="W9" s="9"/>
      <c r="X9" s="9"/>
      <c r="Y9" s="9"/>
      <c r="Z9" s="9"/>
      <c r="AA9" s="9"/>
      <c r="AB9" s="9"/>
      <c r="AC9" s="6"/>
      <c r="AD9" s="6"/>
      <c r="AE9" s="6"/>
      <c r="AF9" s="9"/>
      <c r="AG9" s="6"/>
      <c r="AH9" s="6"/>
      <c r="AI9" s="6"/>
      <c r="AJ9" s="6"/>
      <c r="AK9" s="6"/>
      <c r="AL9" s="6"/>
      <c r="AM9" s="6"/>
      <c r="AN9" s="6"/>
      <c r="AO9" s="6"/>
      <c r="AP9" s="6"/>
      <c r="AQ9" s="6"/>
      <c r="AR9" s="6"/>
      <c r="AS9" s="10"/>
      <c r="AT9" s="6"/>
      <c r="AU9" s="9"/>
      <c r="AV9" s="9"/>
      <c r="AW9" s="6"/>
      <c r="AX9" s="6"/>
      <c r="AY9" s="9"/>
      <c r="AZ9" s="9"/>
      <c r="BA9" s="9"/>
      <c r="BB9" s="9"/>
      <c r="BC9" s="6"/>
      <c r="BD9" s="6"/>
      <c r="BE9" s="6"/>
      <c r="BF9" s="6"/>
      <c r="BG9" s="6"/>
      <c r="BH9" s="6"/>
      <c r="BI9" s="9"/>
      <c r="BJ9" s="9"/>
      <c r="BK9" s="9"/>
      <c r="BL9" s="9"/>
      <c r="BM9" s="9"/>
      <c r="BN9" s="9"/>
      <c r="BO9" s="9"/>
      <c r="BP9" s="9"/>
      <c r="BQ9" s="9"/>
      <c r="BR9" s="9"/>
      <c r="BV9" s="9"/>
      <c r="BW9" s="9"/>
      <c r="BX9" s="9"/>
      <c r="BY9" s="9"/>
      <c r="BZ9" s="9"/>
      <c r="CA9" s="9"/>
      <c r="CB9" s="9"/>
      <c r="CC9" s="6"/>
      <c r="CD9" s="6"/>
      <c r="CE9" s="9"/>
      <c r="CF9" s="9"/>
      <c r="CG9" s="9"/>
      <c r="CH9" s="9"/>
      <c r="CI9" s="9"/>
      <c r="CJ9" s="9"/>
      <c r="CK9" s="9"/>
      <c r="CL9" s="9"/>
      <c r="CM9" s="9"/>
      <c r="CN9" s="9"/>
      <c r="CO9" s="9"/>
      <c r="CP9" s="88"/>
      <c r="CQ9" s="88"/>
      <c r="CR9" s="88"/>
      <c r="CS9" s="9"/>
      <c r="CT9" s="9"/>
      <c r="CU9" s="9"/>
      <c r="CV9" s="9"/>
      <c r="CW9" s="9"/>
      <c r="CX9" s="9"/>
      <c r="CY9" s="9"/>
      <c r="CZ9" s="9"/>
      <c r="DA9" s="9"/>
      <c r="DB9" s="9"/>
      <c r="DC9" s="9"/>
      <c r="DD9" s="9"/>
      <c r="DE9" s="9"/>
      <c r="DF9" s="9"/>
      <c r="DG9" s="6"/>
      <c r="DH9" s="9"/>
      <c r="DI9" s="9"/>
      <c r="DJ9" s="9"/>
      <c r="DK9" s="9"/>
      <c r="DL9" s="9"/>
      <c r="DM9" s="9"/>
      <c r="DN9" s="9"/>
      <c r="DO9" s="9"/>
      <c r="DP9" s="9"/>
      <c r="DQ9" s="9"/>
      <c r="DR9" s="9"/>
      <c r="DS9" s="9"/>
      <c r="DT9" s="88"/>
      <c r="DU9" s="9"/>
      <c r="DV9" s="9"/>
      <c r="DW9" s="9"/>
      <c r="DX9" s="9"/>
      <c r="DY9" s="9"/>
      <c r="DZ9" s="9"/>
      <c r="EA9" s="9"/>
      <c r="EB9" s="9"/>
      <c r="EC9" s="9"/>
      <c r="ED9" s="9"/>
      <c r="EE9" s="9"/>
      <c r="EF9" s="9"/>
      <c r="EG9" s="9"/>
      <c r="EH9" s="6"/>
      <c r="EI9" s="9"/>
      <c r="EJ9" s="9"/>
      <c r="EK9" s="98"/>
      <c r="EL9" s="9"/>
      <c r="EM9" s="9"/>
      <c r="EN9" s="9"/>
      <c r="EO9" s="9"/>
      <c r="EP9" s="9"/>
      <c r="EQ9" s="9"/>
      <c r="ER9" s="9"/>
      <c r="ES9" s="9"/>
      <c r="ET9" s="9"/>
      <c r="EU9" s="9"/>
      <c r="EV9" s="9"/>
      <c r="EW9" s="9"/>
      <c r="EX9" s="9"/>
      <c r="EY9" s="9"/>
      <c r="EZ9" s="9"/>
      <c r="FA9" s="9"/>
      <c r="FB9" s="6"/>
      <c r="FC9" s="9"/>
      <c r="FD9" s="9"/>
      <c r="FE9" s="9"/>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8"/>
      <c r="GT9" s="21">
        <f>SUM(GT13:GT161)</f>
        <v>0</v>
      </c>
      <c r="GU9" s="9"/>
      <c r="GV9" s="9"/>
      <c r="GW9" s="9"/>
      <c r="GX9" s="6"/>
      <c r="GY9" s="6"/>
      <c r="GZ9" s="6"/>
      <c r="HE9" s="6"/>
      <c r="HF9" s="6"/>
      <c r="HG9" s="21">
        <f>SUM(HG13:HG161)</f>
        <v>0</v>
      </c>
      <c r="HH9" s="401"/>
      <c r="HI9" s="21">
        <f>SUM(HI13:HI161)</f>
        <v>0</v>
      </c>
      <c r="HJ9" s="21">
        <f t="shared" ref="HJ9" si="1">SUM(HJ13:HJ161)</f>
        <v>0</v>
      </c>
      <c r="HK9" s="21">
        <f t="shared" ref="HK9" si="2">SUM(HK13:HK161)</f>
        <v>0</v>
      </c>
      <c r="HL9" s="21">
        <f>SUM(HL13:HL161)</f>
        <v>0</v>
      </c>
      <c r="HM9" s="21">
        <f>SUM(HM13:HM161)</f>
        <v>0</v>
      </c>
      <c r="HN9" s="21">
        <f>SUM(HN13:HN161)</f>
        <v>0</v>
      </c>
      <c r="HO9" s="21">
        <f>SUM(HO13:HO161)</f>
        <v>0</v>
      </c>
      <c r="HP9" s="21">
        <f t="shared" ref="HP9:HS9" si="3">SUM(HP13:HP161)</f>
        <v>0</v>
      </c>
      <c r="HQ9" s="21">
        <f t="shared" si="3"/>
        <v>0</v>
      </c>
      <c r="HR9" s="21">
        <f t="shared" si="3"/>
        <v>0</v>
      </c>
      <c r="HS9" s="21">
        <f t="shared" si="3"/>
        <v>0</v>
      </c>
      <c r="HT9" s="71"/>
      <c r="HU9" s="71"/>
      <c r="HV9" s="71"/>
      <c r="HW9" s="71"/>
      <c r="HX9" s="71"/>
      <c r="HY9" s="76"/>
      <c r="HZ9" s="76"/>
      <c r="IA9" s="21">
        <f>SUM(IA13:IA161)</f>
        <v>0</v>
      </c>
      <c r="IB9" s="21">
        <f t="shared" ref="IB9:IC9" si="4">SUM(IB13:IB161)</f>
        <v>0</v>
      </c>
      <c r="IC9" s="21">
        <f t="shared" si="4"/>
        <v>0</v>
      </c>
      <c r="ID9" s="9"/>
      <c r="IE9" s="9"/>
      <c r="IF9" s="6"/>
      <c r="IG9" s="6"/>
      <c r="IH9" s="6"/>
      <c r="II9" s="6"/>
      <c r="IJ9" s="6"/>
      <c r="IK9" s="6"/>
      <c r="IL9" s="6"/>
      <c r="IM9" s="6"/>
      <c r="IN9" s="6"/>
      <c r="IO9" s="9"/>
      <c r="IP9" s="9"/>
      <c r="IQ9" s="9"/>
      <c r="JI9" s="250">
        <f>SUM(JI13:JI201)</f>
        <v>0</v>
      </c>
      <c r="JJ9" s="21">
        <f>SUM(JJ13:JJ201)</f>
        <v>0</v>
      </c>
      <c r="JK9" s="11"/>
      <c r="JL9" s="11"/>
      <c r="JM9" s="21"/>
      <c r="JN9" s="11"/>
      <c r="JO9" s="11"/>
      <c r="JP9" s="21"/>
    </row>
    <row r="10" spans="1:276" s="13" customFormat="1" ht="13.6"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28"/>
      <c r="AI10" s="28"/>
      <c r="AJ10" s="28"/>
      <c r="AK10" s="16"/>
      <c r="AL10" s="16"/>
      <c r="AM10" s="16"/>
      <c r="AN10" s="6"/>
      <c r="AO10" s="6"/>
      <c r="AP10" s="6"/>
      <c r="AQ10" s="6"/>
      <c r="AR10" s="16"/>
      <c r="AS10" s="16"/>
      <c r="AT10" s="6"/>
      <c r="AU10" s="16"/>
      <c r="AV10" s="16"/>
      <c r="AW10" s="16"/>
      <c r="AX10" s="16"/>
      <c r="AY10" s="16"/>
      <c r="AZ10" s="16"/>
      <c r="BA10" s="16"/>
      <c r="BB10" s="16"/>
      <c r="BC10" s="28"/>
      <c r="BD10" s="28"/>
      <c r="BE10" s="28"/>
      <c r="BF10" s="28"/>
      <c r="BG10" s="28"/>
      <c r="BH10" s="28"/>
      <c r="BI10" s="16"/>
      <c r="BJ10" s="16"/>
      <c r="BK10" s="16"/>
      <c r="BL10" s="16"/>
      <c r="BM10" s="16"/>
      <c r="BN10" s="16"/>
      <c r="BO10" s="16"/>
      <c r="BP10" s="16"/>
      <c r="BQ10" s="16"/>
      <c r="BR10" s="16"/>
      <c r="BV10" s="16"/>
      <c r="BW10" s="16"/>
      <c r="BX10" s="16"/>
      <c r="BY10" s="16"/>
      <c r="BZ10" s="16"/>
      <c r="CA10" s="16"/>
      <c r="CB10" s="16"/>
      <c r="CC10" s="28"/>
      <c r="CD10" s="28"/>
      <c r="CE10" s="17"/>
      <c r="CF10" s="17"/>
      <c r="CG10" s="17"/>
      <c r="CH10" s="17"/>
      <c r="CI10" s="16"/>
      <c r="CJ10" s="16"/>
      <c r="CK10" s="16"/>
      <c r="CL10" s="17"/>
      <c r="CM10" s="17"/>
      <c r="CN10" s="17"/>
      <c r="CO10" s="17"/>
      <c r="CP10" s="17"/>
      <c r="CQ10" s="17"/>
      <c r="CR10" s="17"/>
      <c r="CS10" s="17"/>
      <c r="CT10" s="16"/>
      <c r="CU10" s="16"/>
      <c r="CV10" s="16"/>
      <c r="CW10" s="16"/>
      <c r="CX10" s="16"/>
      <c r="CY10" s="16"/>
      <c r="CZ10" s="16"/>
      <c r="DA10" s="16"/>
      <c r="DB10" s="16"/>
      <c r="DC10" s="16"/>
      <c r="DD10" s="16"/>
      <c r="DE10" s="16"/>
      <c r="DF10" s="16"/>
      <c r="DG10" s="28"/>
      <c r="DH10" s="16"/>
      <c r="DI10" s="16"/>
      <c r="DJ10" s="16"/>
      <c r="DK10" s="16"/>
      <c r="DL10" s="16"/>
      <c r="DM10" s="16"/>
      <c r="DN10" s="16"/>
      <c r="DO10" s="16"/>
      <c r="DP10" s="16"/>
      <c r="DQ10" s="16"/>
      <c r="DR10" s="16"/>
      <c r="DS10" s="16"/>
      <c r="DT10" s="17"/>
      <c r="DU10" s="16"/>
      <c r="DV10" s="16"/>
      <c r="DW10" s="16"/>
      <c r="DX10" s="16"/>
      <c r="DY10" s="16"/>
      <c r="DZ10" s="16"/>
      <c r="EA10" s="16"/>
      <c r="EB10" s="16"/>
      <c r="EC10" s="16"/>
      <c r="ED10" s="16"/>
      <c r="EE10" s="16"/>
      <c r="EF10" s="16"/>
      <c r="EG10" s="16"/>
      <c r="EH10" s="28"/>
      <c r="EI10" s="16"/>
      <c r="EJ10" s="16"/>
      <c r="EK10" s="100"/>
      <c r="EL10" s="16"/>
      <c r="EM10" s="16"/>
      <c r="EN10" s="16"/>
      <c r="EO10" s="16"/>
      <c r="EP10" s="16"/>
      <c r="EQ10" s="16"/>
      <c r="ER10" s="16"/>
      <c r="ES10" s="7"/>
      <c r="ET10" s="17"/>
      <c r="EU10" s="17"/>
      <c r="EV10" s="17"/>
      <c r="EW10" s="17"/>
      <c r="EX10" s="17"/>
      <c r="EY10" s="17"/>
      <c r="EZ10" s="17"/>
      <c r="FA10" s="17"/>
      <c r="FB10" s="16"/>
      <c r="FC10" s="17"/>
      <c r="FD10" s="17"/>
      <c r="FE10" s="17"/>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00"/>
      <c r="GT10" s="16"/>
      <c r="GU10" s="16"/>
      <c r="GV10" s="16"/>
      <c r="GW10" s="16"/>
      <c r="GX10" s="16"/>
      <c r="GY10" s="16"/>
      <c r="GZ10" s="16"/>
      <c r="HA10" s="16"/>
      <c r="HB10" s="16"/>
      <c r="HC10" s="16"/>
      <c r="HD10" s="16"/>
      <c r="HE10" s="16"/>
      <c r="HF10" s="16"/>
      <c r="HG10" s="16"/>
      <c r="HH10" s="407"/>
      <c r="HI10" s="16"/>
      <c r="HJ10" s="16"/>
      <c r="HK10" s="16"/>
      <c r="HL10" s="16"/>
      <c r="HM10" s="16"/>
      <c r="HN10" s="16"/>
      <c r="HO10" s="16"/>
      <c r="HP10" s="16"/>
      <c r="HQ10" s="16"/>
      <c r="HR10" s="16"/>
      <c r="HS10" s="16"/>
      <c r="HT10" s="16"/>
      <c r="HU10" s="16"/>
      <c r="HV10" s="16"/>
      <c r="HW10" s="16"/>
      <c r="HX10" s="16"/>
      <c r="HY10" s="7"/>
      <c r="HZ10" s="7"/>
      <c r="IA10" s="27"/>
      <c r="IB10" s="27"/>
      <c r="IC10" s="27"/>
      <c r="ID10" s="27"/>
      <c r="IE10" s="27"/>
      <c r="IF10" s="27"/>
      <c r="IG10" s="27"/>
      <c r="IH10" s="27"/>
      <c r="II10" s="27"/>
      <c r="IJ10" s="27"/>
      <c r="IK10" s="27"/>
      <c r="IL10" s="27"/>
      <c r="IM10" s="27"/>
      <c r="IN10" s="27"/>
      <c r="IO10" s="16"/>
      <c r="IP10" s="16"/>
      <c r="IQ10" s="16"/>
      <c r="JK10" s="577"/>
      <c r="JL10" s="577"/>
      <c r="JN10" s="577"/>
      <c r="JO10" s="577"/>
    </row>
    <row r="11" spans="1:276" s="94" customFormat="1" x14ac:dyDescent="0.2">
      <c r="A11" s="7" t="s">
        <v>12</v>
      </c>
      <c r="B11" s="49" t="s">
        <v>13</v>
      </c>
      <c r="C11" s="49" t="s">
        <v>13</v>
      </c>
      <c r="D11" s="49" t="s">
        <v>13</v>
      </c>
      <c r="E11" s="49" t="s">
        <v>13</v>
      </c>
      <c r="F11" s="49" t="s">
        <v>31</v>
      </c>
      <c r="G11" s="49" t="s">
        <v>13</v>
      </c>
      <c r="H11" s="49" t="s">
        <v>13</v>
      </c>
      <c r="I11" s="49" t="s">
        <v>13</v>
      </c>
      <c r="J11" s="49" t="s">
        <v>13</v>
      </c>
      <c r="K11" s="49" t="s">
        <v>59</v>
      </c>
      <c r="L11" s="49" t="s">
        <v>13</v>
      </c>
      <c r="M11" s="49" t="s">
        <v>13</v>
      </c>
      <c r="N11" s="49" t="s">
        <v>13</v>
      </c>
      <c r="O11" s="49" t="s">
        <v>13</v>
      </c>
      <c r="P11" s="49" t="s">
        <v>13</v>
      </c>
      <c r="Q11" s="49" t="s">
        <v>13</v>
      </c>
      <c r="R11" s="49" t="s">
        <v>13</v>
      </c>
      <c r="S11" s="49" t="s">
        <v>13</v>
      </c>
      <c r="T11" s="49" t="s">
        <v>13</v>
      </c>
      <c r="U11" s="49" t="s">
        <v>13</v>
      </c>
      <c r="V11" s="49" t="s">
        <v>13</v>
      </c>
      <c r="W11" s="49" t="s">
        <v>13</v>
      </c>
      <c r="X11" s="49" t="s">
        <v>13</v>
      </c>
      <c r="Y11" s="49" t="s">
        <v>13</v>
      </c>
      <c r="Z11" s="49" t="s">
        <v>13</v>
      </c>
      <c r="AA11" s="49" t="s">
        <v>13</v>
      </c>
      <c r="AB11" s="49" t="s">
        <v>20</v>
      </c>
      <c r="AC11" s="49" t="s">
        <v>13</v>
      </c>
      <c r="AD11" s="49" t="s">
        <v>13</v>
      </c>
      <c r="AE11" s="49" t="s">
        <v>13</v>
      </c>
      <c r="AF11" s="49" t="s">
        <v>13</v>
      </c>
      <c r="AG11" s="49" t="s">
        <v>13</v>
      </c>
      <c r="AH11" s="49" t="s">
        <v>13</v>
      </c>
      <c r="AI11" s="49" t="s">
        <v>13</v>
      </c>
      <c r="AJ11" s="49" t="s">
        <v>13</v>
      </c>
      <c r="AK11" s="49" t="s">
        <v>13</v>
      </c>
      <c r="AL11" s="49" t="s">
        <v>13</v>
      </c>
      <c r="AM11" s="49" t="s">
        <v>13</v>
      </c>
      <c r="AN11" s="49" t="s">
        <v>59</v>
      </c>
      <c r="AO11" s="49" t="s">
        <v>59</v>
      </c>
      <c r="AP11" s="49" t="s">
        <v>20</v>
      </c>
      <c r="AQ11" s="49" t="s">
        <v>20</v>
      </c>
      <c r="AR11" s="49" t="s">
        <v>20</v>
      </c>
      <c r="AS11" s="49" t="s">
        <v>20</v>
      </c>
      <c r="AT11" s="49" t="s">
        <v>20</v>
      </c>
      <c r="AU11" s="49" t="s">
        <v>20</v>
      </c>
      <c r="AV11" s="49" t="s">
        <v>20</v>
      </c>
      <c r="AW11" s="49" t="s">
        <v>20</v>
      </c>
      <c r="AX11" s="49" t="s">
        <v>20</v>
      </c>
      <c r="AY11" s="49" t="s">
        <v>20</v>
      </c>
      <c r="AZ11" s="49" t="s">
        <v>20</v>
      </c>
      <c r="BA11" s="49" t="s">
        <v>59</v>
      </c>
      <c r="BB11" s="49" t="s">
        <v>59</v>
      </c>
      <c r="BC11" s="49" t="s">
        <v>20</v>
      </c>
      <c r="BD11" s="49" t="s">
        <v>59</v>
      </c>
      <c r="BE11" s="49" t="s">
        <v>59</v>
      </c>
      <c r="BF11" s="49" t="s">
        <v>59</v>
      </c>
      <c r="BG11" s="49" t="s">
        <v>59</v>
      </c>
      <c r="BH11" s="49" t="s">
        <v>59</v>
      </c>
      <c r="BI11" s="49" t="s">
        <v>20</v>
      </c>
      <c r="BJ11" s="49" t="s">
        <v>31</v>
      </c>
      <c r="BK11" s="49" t="s">
        <v>20</v>
      </c>
      <c r="BL11" s="49" t="s">
        <v>20</v>
      </c>
      <c r="BM11" s="49" t="s">
        <v>20</v>
      </c>
      <c r="BN11" s="49" t="s">
        <v>20</v>
      </c>
      <c r="BO11" s="49" t="s">
        <v>13</v>
      </c>
      <c r="BP11" s="49" t="s">
        <v>13</v>
      </c>
      <c r="BQ11" s="49" t="s">
        <v>13</v>
      </c>
      <c r="BR11" s="49" t="s">
        <v>20</v>
      </c>
      <c r="BS11" s="49" t="s">
        <v>13</v>
      </c>
      <c r="BT11" s="49" t="s">
        <v>13</v>
      </c>
      <c r="BU11" s="49" t="s">
        <v>13</v>
      </c>
      <c r="BV11" s="49" t="s">
        <v>20</v>
      </c>
      <c r="BW11" s="49" t="s">
        <v>31</v>
      </c>
      <c r="BX11" s="49" t="s">
        <v>31</v>
      </c>
      <c r="BY11" s="49" t="s">
        <v>31</v>
      </c>
      <c r="BZ11" s="49" t="s">
        <v>20</v>
      </c>
      <c r="CA11" s="49" t="s">
        <v>20</v>
      </c>
      <c r="CB11" s="49" t="s">
        <v>20</v>
      </c>
      <c r="CC11" s="49" t="s">
        <v>20</v>
      </c>
      <c r="CD11" s="49" t="s">
        <v>13</v>
      </c>
      <c r="CE11" s="49" t="s">
        <v>13</v>
      </c>
      <c r="CF11" s="49" t="s">
        <v>13</v>
      </c>
      <c r="CG11" s="49" t="s">
        <v>13</v>
      </c>
      <c r="CH11" s="49" t="s">
        <v>20</v>
      </c>
      <c r="CI11" s="49" t="s">
        <v>13</v>
      </c>
      <c r="CJ11" s="49" t="s">
        <v>20</v>
      </c>
      <c r="CK11" s="49" t="s">
        <v>20</v>
      </c>
      <c r="CL11" s="49" t="s">
        <v>20</v>
      </c>
      <c r="CM11" s="49" t="s">
        <v>20</v>
      </c>
      <c r="CN11" s="49" t="s">
        <v>13</v>
      </c>
      <c r="CO11" s="49" t="s">
        <v>20</v>
      </c>
      <c r="CP11" s="49" t="s">
        <v>20</v>
      </c>
      <c r="CQ11" s="49" t="s">
        <v>20</v>
      </c>
      <c r="CR11" s="49" t="s">
        <v>20</v>
      </c>
      <c r="CS11" s="49" t="s">
        <v>20</v>
      </c>
      <c r="CT11" s="49" t="s">
        <v>20</v>
      </c>
      <c r="CU11" s="49" t="s">
        <v>13</v>
      </c>
      <c r="CV11" s="49" t="s">
        <v>20</v>
      </c>
      <c r="CW11" s="49" t="s">
        <v>20</v>
      </c>
      <c r="CX11" s="49" t="s">
        <v>13</v>
      </c>
      <c r="CY11" s="49" t="s">
        <v>20</v>
      </c>
      <c r="CZ11" s="49" t="s">
        <v>13</v>
      </c>
      <c r="DA11" s="49" t="s">
        <v>20</v>
      </c>
      <c r="DB11" s="49" t="s">
        <v>59</v>
      </c>
      <c r="DC11" s="49" t="s">
        <v>59</v>
      </c>
      <c r="DD11" s="49" t="s">
        <v>13</v>
      </c>
      <c r="DE11" s="49" t="s">
        <v>13</v>
      </c>
      <c r="DF11" s="49" t="s">
        <v>13</v>
      </c>
      <c r="DG11" s="49" t="s">
        <v>20</v>
      </c>
      <c r="DH11" s="49" t="s">
        <v>20</v>
      </c>
      <c r="DI11" s="49" t="s">
        <v>13</v>
      </c>
      <c r="DJ11" s="49" t="s">
        <v>59</v>
      </c>
      <c r="DK11" s="49" t="s">
        <v>59</v>
      </c>
      <c r="DL11" s="49" t="s">
        <v>59</v>
      </c>
      <c r="DM11" s="49" t="s">
        <v>59</v>
      </c>
      <c r="DN11" s="49" t="s">
        <v>20</v>
      </c>
      <c r="DO11" s="49" t="s">
        <v>20</v>
      </c>
      <c r="DP11" s="49" t="s">
        <v>13</v>
      </c>
      <c r="DQ11" s="49" t="s">
        <v>20</v>
      </c>
      <c r="DR11" s="49" t="s">
        <v>20</v>
      </c>
      <c r="DS11" s="49" t="s">
        <v>13</v>
      </c>
      <c r="DT11" s="49" t="s">
        <v>20</v>
      </c>
      <c r="DU11" s="49" t="s">
        <v>20</v>
      </c>
      <c r="DV11" s="49" t="s">
        <v>20</v>
      </c>
      <c r="DW11" s="49" t="s">
        <v>13</v>
      </c>
      <c r="DX11" s="49" t="s">
        <v>13</v>
      </c>
      <c r="DY11" s="49" t="s">
        <v>20</v>
      </c>
      <c r="DZ11" s="49" t="s">
        <v>13</v>
      </c>
      <c r="EA11" s="49" t="s">
        <v>59</v>
      </c>
      <c r="EB11" s="49" t="s">
        <v>20</v>
      </c>
      <c r="EC11" s="49" t="s">
        <v>20</v>
      </c>
      <c r="ED11" s="49" t="s">
        <v>20</v>
      </c>
      <c r="EE11" s="49" t="s">
        <v>13</v>
      </c>
      <c r="EF11" s="49" t="s">
        <v>20</v>
      </c>
      <c r="EG11" s="49" t="s">
        <v>20</v>
      </c>
      <c r="EH11" s="49" t="s">
        <v>13</v>
      </c>
      <c r="EI11" s="49" t="s">
        <v>20</v>
      </c>
      <c r="EJ11" s="49" t="s">
        <v>20</v>
      </c>
      <c r="EK11" s="101" t="s">
        <v>59</v>
      </c>
      <c r="EL11" s="49" t="s">
        <v>20</v>
      </c>
      <c r="EM11" s="49" t="s">
        <v>20</v>
      </c>
      <c r="EN11" s="49" t="s">
        <v>20</v>
      </c>
      <c r="EO11" s="49" t="s">
        <v>59</v>
      </c>
      <c r="EP11" s="49" t="s">
        <v>59</v>
      </c>
      <c r="EQ11" s="49" t="s">
        <v>13</v>
      </c>
      <c r="ER11" s="49" t="s">
        <v>13</v>
      </c>
      <c r="ES11" s="49" t="s">
        <v>20</v>
      </c>
      <c r="ET11" s="49" t="s">
        <v>13</v>
      </c>
      <c r="EU11" s="49" t="s">
        <v>13</v>
      </c>
      <c r="EV11" s="49" t="s">
        <v>13</v>
      </c>
      <c r="EW11" s="49" t="s">
        <v>13</v>
      </c>
      <c r="EX11" s="49" t="s">
        <v>20</v>
      </c>
      <c r="EY11" s="49" t="s">
        <v>20</v>
      </c>
      <c r="EZ11" s="49" t="s">
        <v>20</v>
      </c>
      <c r="FA11" s="49" t="s">
        <v>20</v>
      </c>
      <c r="FB11" s="49" t="s">
        <v>20</v>
      </c>
      <c r="FC11" s="49" t="s">
        <v>20</v>
      </c>
      <c r="FD11" s="49" t="s">
        <v>20</v>
      </c>
      <c r="FE11" s="49" t="s">
        <v>20</v>
      </c>
      <c r="FF11" s="49" t="s">
        <v>20</v>
      </c>
      <c r="FG11" s="49" t="s">
        <v>20</v>
      </c>
      <c r="FH11" s="49" t="s">
        <v>20</v>
      </c>
      <c r="FI11" s="49" t="s">
        <v>20</v>
      </c>
      <c r="FJ11" s="49" t="s">
        <v>20</v>
      </c>
      <c r="FK11" s="49" t="s">
        <v>20</v>
      </c>
      <c r="FL11" s="49" t="s">
        <v>20</v>
      </c>
      <c r="FM11" s="49" t="s">
        <v>20</v>
      </c>
      <c r="FN11" s="49" t="s">
        <v>20</v>
      </c>
      <c r="FO11" s="49" t="s">
        <v>20</v>
      </c>
      <c r="FP11" s="49" t="s">
        <v>20</v>
      </c>
      <c r="FQ11" s="49" t="s">
        <v>20</v>
      </c>
      <c r="FR11" s="49" t="s">
        <v>20</v>
      </c>
      <c r="FS11" s="49" t="s">
        <v>20</v>
      </c>
      <c r="FT11" s="49" t="s">
        <v>20</v>
      </c>
      <c r="FU11" s="49" t="s">
        <v>20</v>
      </c>
      <c r="FV11" s="49" t="s">
        <v>20</v>
      </c>
      <c r="FW11" s="49" t="s">
        <v>20</v>
      </c>
      <c r="FX11" s="49" t="s">
        <v>20</v>
      </c>
      <c r="FY11" s="49" t="s">
        <v>20</v>
      </c>
      <c r="FZ11" s="49" t="s">
        <v>20</v>
      </c>
      <c r="GA11" s="49" t="s">
        <v>20</v>
      </c>
      <c r="GB11" s="49" t="s">
        <v>20</v>
      </c>
      <c r="GC11" s="49" t="s">
        <v>20</v>
      </c>
      <c r="GD11" s="49" t="s">
        <v>20</v>
      </c>
      <c r="GE11" s="49" t="s">
        <v>20</v>
      </c>
      <c r="GF11" s="49" t="s">
        <v>20</v>
      </c>
      <c r="GG11" s="49" t="s">
        <v>20</v>
      </c>
      <c r="GH11" s="49" t="s">
        <v>20</v>
      </c>
      <c r="GI11" s="49" t="s">
        <v>20</v>
      </c>
      <c r="GJ11" s="49" t="s">
        <v>20</v>
      </c>
      <c r="GK11" s="49" t="s">
        <v>20</v>
      </c>
      <c r="GL11" s="49" t="s">
        <v>20</v>
      </c>
      <c r="GM11" s="49" t="s">
        <v>20</v>
      </c>
      <c r="GN11" s="49" t="s">
        <v>20</v>
      </c>
      <c r="GO11" s="49" t="s">
        <v>20</v>
      </c>
      <c r="GP11" s="49" t="s">
        <v>59</v>
      </c>
      <c r="GQ11" s="49" t="s">
        <v>20</v>
      </c>
      <c r="GR11" s="49" t="s">
        <v>20</v>
      </c>
      <c r="GS11" s="101" t="s">
        <v>20</v>
      </c>
      <c r="GT11" s="49" t="s">
        <v>20</v>
      </c>
      <c r="GU11" s="49" t="s">
        <v>20</v>
      </c>
      <c r="GV11" s="49" t="s">
        <v>20</v>
      </c>
      <c r="GW11" s="49" t="s">
        <v>20</v>
      </c>
      <c r="GX11" s="49" t="s">
        <v>20</v>
      </c>
      <c r="GY11" s="49" t="s">
        <v>20</v>
      </c>
      <c r="GZ11" s="49" t="s">
        <v>59</v>
      </c>
      <c r="HA11" s="49" t="s">
        <v>20</v>
      </c>
      <c r="HB11" s="49" t="s">
        <v>59</v>
      </c>
      <c r="HC11" s="49" t="s">
        <v>20</v>
      </c>
      <c r="HD11" s="49" t="s">
        <v>59</v>
      </c>
      <c r="HE11" s="49" t="s">
        <v>20</v>
      </c>
      <c r="HF11" s="49" t="s">
        <v>59</v>
      </c>
      <c r="HG11" s="49" t="s">
        <v>20</v>
      </c>
      <c r="HH11" s="408" t="s">
        <v>20</v>
      </c>
      <c r="HI11" s="49" t="s">
        <v>20</v>
      </c>
      <c r="HJ11" s="49" t="s">
        <v>20</v>
      </c>
      <c r="HK11" s="49" t="s">
        <v>20</v>
      </c>
      <c r="HL11" s="49" t="s">
        <v>20</v>
      </c>
      <c r="HM11" s="49" t="s">
        <v>20</v>
      </c>
      <c r="HN11" s="49" t="s">
        <v>20</v>
      </c>
      <c r="HO11" s="49" t="s">
        <v>20</v>
      </c>
      <c r="HP11" s="49" t="s">
        <v>20</v>
      </c>
      <c r="HQ11" s="49" t="s">
        <v>20</v>
      </c>
      <c r="HR11" s="49" t="s">
        <v>20</v>
      </c>
      <c r="HS11" s="49" t="s">
        <v>20</v>
      </c>
      <c r="HT11" s="49" t="s">
        <v>20</v>
      </c>
      <c r="HU11" s="49" t="s">
        <v>59</v>
      </c>
      <c r="HV11" s="49" t="s">
        <v>20</v>
      </c>
      <c r="HW11" s="49" t="s">
        <v>20</v>
      </c>
      <c r="HX11" s="49" t="s">
        <v>59</v>
      </c>
      <c r="HY11" s="49" t="s">
        <v>20</v>
      </c>
      <c r="HZ11" s="49" t="s">
        <v>59</v>
      </c>
      <c r="IA11" s="49" t="s">
        <v>31</v>
      </c>
      <c r="IB11" s="49" t="s">
        <v>20</v>
      </c>
      <c r="IC11" s="49" t="s">
        <v>20</v>
      </c>
      <c r="ID11" s="49" t="s">
        <v>20</v>
      </c>
      <c r="IE11" s="49" t="s">
        <v>20</v>
      </c>
      <c r="IF11" s="49" t="s">
        <v>20</v>
      </c>
      <c r="IG11" s="49" t="s">
        <v>20</v>
      </c>
      <c r="IH11" s="49" t="s">
        <v>20</v>
      </c>
      <c r="II11" s="49" t="s">
        <v>20</v>
      </c>
      <c r="IJ11" s="49" t="s">
        <v>20</v>
      </c>
      <c r="IK11" s="49" t="s">
        <v>20</v>
      </c>
      <c r="IL11" s="49" t="s">
        <v>20</v>
      </c>
      <c r="IM11" s="49" t="s">
        <v>20</v>
      </c>
      <c r="IN11" s="49" t="s">
        <v>13</v>
      </c>
      <c r="IO11" s="49" t="s">
        <v>20</v>
      </c>
      <c r="IP11" s="49" t="s">
        <v>20</v>
      </c>
      <c r="IQ11" s="49" t="s">
        <v>20</v>
      </c>
      <c r="IR11" s="49" t="s">
        <v>20</v>
      </c>
      <c r="IS11" s="49" t="s">
        <v>20</v>
      </c>
      <c r="IT11" s="49" t="s">
        <v>20</v>
      </c>
      <c r="IU11" s="49" t="s">
        <v>20</v>
      </c>
      <c r="IV11" s="49" t="s">
        <v>20</v>
      </c>
      <c r="IW11" s="49" t="s">
        <v>20</v>
      </c>
      <c r="IX11" s="49" t="s">
        <v>20</v>
      </c>
      <c r="IY11" s="49" t="s">
        <v>20</v>
      </c>
      <c r="IZ11" s="49" t="s">
        <v>20</v>
      </c>
      <c r="JA11" s="49" t="s">
        <v>20</v>
      </c>
      <c r="JB11" s="49" t="s">
        <v>20</v>
      </c>
      <c r="JC11" s="49" t="s">
        <v>20</v>
      </c>
      <c r="JD11" s="49" t="s">
        <v>20</v>
      </c>
      <c r="JE11" s="49" t="s">
        <v>20</v>
      </c>
      <c r="JF11" s="49" t="s">
        <v>20</v>
      </c>
      <c r="JG11" s="49" t="s">
        <v>20</v>
      </c>
      <c r="JH11" s="49" t="s">
        <v>20</v>
      </c>
      <c r="JI11" s="94" t="s">
        <v>13</v>
      </c>
      <c r="JJ11" s="94" t="s">
        <v>13</v>
      </c>
      <c r="JK11" s="123" t="s">
        <v>59</v>
      </c>
      <c r="JL11" s="123" t="s">
        <v>59</v>
      </c>
      <c r="JM11" s="94" t="s">
        <v>20</v>
      </c>
      <c r="JN11" s="123" t="s">
        <v>59</v>
      </c>
      <c r="JO11" s="123" t="s">
        <v>20</v>
      </c>
      <c r="JP11" s="94" t="s">
        <v>20</v>
      </c>
    </row>
    <row r="12" spans="1:276" s="26" customFormat="1" ht="12.1" customHeight="1" x14ac:dyDescent="0.25">
      <c r="A12" s="4" t="s">
        <v>0</v>
      </c>
      <c r="B12" s="24" t="s">
        <v>263</v>
      </c>
      <c r="C12" s="24" t="s">
        <v>1</v>
      </c>
      <c r="D12" s="24" t="s">
        <v>2</v>
      </c>
      <c r="E12" s="25" t="s">
        <v>3</v>
      </c>
      <c r="F12" s="25" t="s">
        <v>122</v>
      </c>
      <c r="G12" s="25" t="s">
        <v>234</v>
      </c>
      <c r="H12" s="25" t="s">
        <v>77</v>
      </c>
      <c r="I12" s="4" t="s">
        <v>4</v>
      </c>
      <c r="J12" s="4" t="s">
        <v>5</v>
      </c>
      <c r="K12" s="4"/>
      <c r="L12" s="4" t="s">
        <v>71</v>
      </c>
      <c r="M12" s="4" t="s">
        <v>72</v>
      </c>
      <c r="N12" s="4" t="s">
        <v>73</v>
      </c>
      <c r="O12" s="4" t="s">
        <v>102</v>
      </c>
      <c r="P12" s="4" t="s">
        <v>103</v>
      </c>
      <c r="Q12" s="4" t="s">
        <v>104</v>
      </c>
      <c r="R12" s="4" t="s">
        <v>105</v>
      </c>
      <c r="S12" s="4" t="s">
        <v>110</v>
      </c>
      <c r="T12" s="4" t="s">
        <v>8</v>
      </c>
      <c r="U12" s="4" t="s">
        <v>9</v>
      </c>
      <c r="V12" s="4" t="s">
        <v>106</v>
      </c>
      <c r="W12" s="4" t="s">
        <v>21</v>
      </c>
      <c r="X12" s="4" t="s">
        <v>254</v>
      </c>
      <c r="Y12" s="4" t="s">
        <v>6</v>
      </c>
      <c r="Z12" s="4" t="s">
        <v>7</v>
      </c>
      <c r="AA12" s="4" t="s">
        <v>107</v>
      </c>
      <c r="AB12" s="4" t="s">
        <v>19</v>
      </c>
      <c r="AC12" s="4" t="s">
        <v>75</v>
      </c>
      <c r="AD12" s="4" t="s">
        <v>108</v>
      </c>
      <c r="AE12" s="4" t="s">
        <v>109</v>
      </c>
      <c r="AF12" s="4" t="s">
        <v>22</v>
      </c>
      <c r="AG12" s="4" t="s">
        <v>23</v>
      </c>
      <c r="AH12" s="4" t="s">
        <v>136</v>
      </c>
      <c r="AI12" s="4" t="s">
        <v>208</v>
      </c>
      <c r="AJ12" s="4" t="s">
        <v>113</v>
      </c>
      <c r="AK12" s="4" t="s">
        <v>880</v>
      </c>
      <c r="AL12" s="4" t="s">
        <v>260</v>
      </c>
      <c r="AM12" s="4" t="s">
        <v>259</v>
      </c>
      <c r="AN12" s="4"/>
      <c r="AO12" s="4"/>
      <c r="AP12" s="4" t="s">
        <v>707</v>
      </c>
      <c r="AQ12" s="4" t="s">
        <v>1075</v>
      </c>
      <c r="AR12" s="4" t="s">
        <v>117</v>
      </c>
      <c r="AS12" s="4" t="s">
        <v>126</v>
      </c>
      <c r="AT12" s="4" t="s">
        <v>883</v>
      </c>
      <c r="AU12" s="4" t="s">
        <v>34</v>
      </c>
      <c r="AV12" s="4" t="s">
        <v>35</v>
      </c>
      <c r="AW12" s="4" t="s">
        <v>142</v>
      </c>
      <c r="AX12" s="4" t="s">
        <v>95</v>
      </c>
      <c r="AY12" s="4" t="s">
        <v>36</v>
      </c>
      <c r="AZ12" s="4" t="s">
        <v>37</v>
      </c>
      <c r="BA12" s="4"/>
      <c r="BB12" s="4"/>
      <c r="BC12" s="4" t="s">
        <v>135</v>
      </c>
      <c r="BD12" s="4"/>
      <c r="BE12" s="4"/>
      <c r="BF12" s="4"/>
      <c r="BG12" s="4" t="s">
        <v>813</v>
      </c>
      <c r="BH12" s="4"/>
      <c r="BI12" s="4" t="s">
        <v>42</v>
      </c>
      <c r="BJ12" s="4" t="s">
        <v>43</v>
      </c>
      <c r="BK12" s="4" t="s">
        <v>44</v>
      </c>
      <c r="BL12" s="4" t="s">
        <v>25</v>
      </c>
      <c r="BM12" s="4" t="s">
        <v>27</v>
      </c>
      <c r="BN12" s="4" t="s">
        <v>29</v>
      </c>
      <c r="BO12" s="4" t="s">
        <v>476</v>
      </c>
      <c r="BP12" s="4" t="s">
        <v>477</v>
      </c>
      <c r="BQ12" s="4" t="s">
        <v>478</v>
      </c>
      <c r="BR12" s="4" t="s">
        <v>270</v>
      </c>
      <c r="BS12" s="4" t="s">
        <v>268</v>
      </c>
      <c r="BT12" s="4" t="s">
        <v>101</v>
      </c>
      <c r="BU12" s="4" t="s">
        <v>269</v>
      </c>
      <c r="BV12" s="4" t="s">
        <v>271</v>
      </c>
      <c r="BW12" s="4" t="s">
        <v>30</v>
      </c>
      <c r="BX12" s="4" t="s">
        <v>32</v>
      </c>
      <c r="BY12" s="4" t="s">
        <v>33</v>
      </c>
      <c r="BZ12" s="4" t="s">
        <v>277</v>
      </c>
      <c r="CA12" s="4" t="s">
        <v>276</v>
      </c>
      <c r="CB12" s="4" t="s">
        <v>1112</v>
      </c>
      <c r="CC12" s="4" t="s">
        <v>115</v>
      </c>
      <c r="CD12" s="4" t="s">
        <v>848</v>
      </c>
      <c r="CE12" s="4" t="s">
        <v>93</v>
      </c>
      <c r="CF12" s="4" t="s">
        <v>1014</v>
      </c>
      <c r="CG12" s="4" t="s">
        <v>1087</v>
      </c>
      <c r="CH12" s="4" t="s">
        <v>64</v>
      </c>
      <c r="CI12" s="4" t="s">
        <v>815</v>
      </c>
      <c r="CJ12" s="4" t="s">
        <v>1055</v>
      </c>
      <c r="CK12" s="4" t="s">
        <v>1070</v>
      </c>
      <c r="CL12" s="4" t="s">
        <v>47</v>
      </c>
      <c r="CM12" s="4" t="s">
        <v>48</v>
      </c>
      <c r="CN12" s="4" t="s">
        <v>814</v>
      </c>
      <c r="CO12" s="4" t="s">
        <v>284</v>
      </c>
      <c r="CP12" s="4" t="s">
        <v>216</v>
      </c>
      <c r="CQ12" s="4" t="s">
        <v>57</v>
      </c>
      <c r="CR12" s="4" t="s">
        <v>492</v>
      </c>
      <c r="CS12" s="4" t="s">
        <v>58</v>
      </c>
      <c r="CT12" s="4" t="s">
        <v>183</v>
      </c>
      <c r="CU12" s="4" t="s">
        <v>816</v>
      </c>
      <c r="CV12" s="4" t="s">
        <v>187</v>
      </c>
      <c r="CW12" s="4" t="s">
        <v>49</v>
      </c>
      <c r="CX12" s="4" t="s">
        <v>817</v>
      </c>
      <c r="CY12" s="4" t="s">
        <v>190</v>
      </c>
      <c r="CZ12" s="4" t="s">
        <v>818</v>
      </c>
      <c r="DA12" s="4" t="s">
        <v>1083</v>
      </c>
      <c r="DB12" s="4"/>
      <c r="DC12" s="4"/>
      <c r="DD12" s="4" t="s">
        <v>866</v>
      </c>
      <c r="DE12" s="4" t="s">
        <v>179</v>
      </c>
      <c r="DF12" s="4" t="s">
        <v>845</v>
      </c>
      <c r="DG12" s="4" t="s">
        <v>1076</v>
      </c>
      <c r="DH12" s="4" t="s">
        <v>192</v>
      </c>
      <c r="DI12" s="4" t="s">
        <v>1005</v>
      </c>
      <c r="DJ12" s="4"/>
      <c r="DK12" s="4"/>
      <c r="DL12" s="4"/>
      <c r="DM12" s="4"/>
      <c r="DN12" s="4" t="s">
        <v>257</v>
      </c>
      <c r="DO12" s="4" t="s">
        <v>194</v>
      </c>
      <c r="DP12" s="4" t="s">
        <v>819</v>
      </c>
      <c r="DQ12" s="4" t="s">
        <v>195</v>
      </c>
      <c r="DR12" s="4" t="s">
        <v>196</v>
      </c>
      <c r="DS12" s="4" t="s">
        <v>820</v>
      </c>
      <c r="DT12" s="4" t="s">
        <v>849</v>
      </c>
      <c r="DU12" s="4" t="s">
        <v>253</v>
      </c>
      <c r="DV12" s="4" t="s">
        <v>197</v>
      </c>
      <c r="DW12" s="4" t="s">
        <v>821</v>
      </c>
      <c r="DX12" s="4" t="s">
        <v>822</v>
      </c>
      <c r="DY12" s="4" t="s">
        <v>474</v>
      </c>
      <c r="DZ12" s="4" t="s">
        <v>823</v>
      </c>
      <c r="EA12" s="4"/>
      <c r="EB12" s="4" t="s">
        <v>1201</v>
      </c>
      <c r="EC12" s="4" t="s">
        <v>239</v>
      </c>
      <c r="ED12" s="4" t="s">
        <v>240</v>
      </c>
      <c r="EE12" s="4" t="s">
        <v>1092</v>
      </c>
      <c r="EF12" s="4" t="s">
        <v>1096</v>
      </c>
      <c r="EG12" s="4" t="s">
        <v>97</v>
      </c>
      <c r="EH12" s="4" t="s">
        <v>301</v>
      </c>
      <c r="EI12" s="4" t="s">
        <v>300</v>
      </c>
      <c r="EJ12" s="4" t="s">
        <v>298</v>
      </c>
      <c r="EK12" s="97"/>
      <c r="EL12" s="4" t="s">
        <v>296</v>
      </c>
      <c r="EM12" s="4" t="s">
        <v>297</v>
      </c>
      <c r="EN12" s="4" t="s">
        <v>299</v>
      </c>
      <c r="EO12" s="4"/>
      <c r="EP12" s="4"/>
      <c r="EQ12" s="4" t="s">
        <v>2794</v>
      </c>
      <c r="ER12" s="4" t="s">
        <v>2795</v>
      </c>
      <c r="ES12" s="4" t="s">
        <v>114</v>
      </c>
      <c r="ET12" s="4" t="s">
        <v>289</v>
      </c>
      <c r="EU12" s="4" t="s">
        <v>290</v>
      </c>
      <c r="EV12" s="4" t="s">
        <v>316</v>
      </c>
      <c r="EW12" s="4" t="s">
        <v>317</v>
      </c>
      <c r="EX12" s="4" t="s">
        <v>225</v>
      </c>
      <c r="EY12" s="4" t="s">
        <v>314</v>
      </c>
      <c r="EZ12" s="4" t="s">
        <v>1097</v>
      </c>
      <c r="FA12" s="4" t="s">
        <v>2317</v>
      </c>
      <c r="FB12" s="4" t="s">
        <v>325</v>
      </c>
      <c r="FC12" s="4" t="s">
        <v>224</v>
      </c>
      <c r="FD12" s="4" t="s">
        <v>326</v>
      </c>
      <c r="FE12" s="4" t="s">
        <v>1050</v>
      </c>
      <c r="FF12" s="4" t="s">
        <v>1006</v>
      </c>
      <c r="FG12" s="4" t="s">
        <v>1011</v>
      </c>
      <c r="FH12" s="4" t="s">
        <v>864</v>
      </c>
      <c r="FI12" s="4" t="s">
        <v>714</v>
      </c>
      <c r="FJ12" s="4" t="s">
        <v>1078</v>
      </c>
      <c r="FK12" s="4" t="s">
        <v>1079</v>
      </c>
      <c r="FL12" s="4" t="s">
        <v>926</v>
      </c>
      <c r="FM12" s="4" t="s">
        <v>94</v>
      </c>
      <c r="FN12" s="4" t="s">
        <v>734</v>
      </c>
      <c r="FO12" s="4" t="s">
        <v>884</v>
      </c>
      <c r="FP12" s="4" t="s">
        <v>92</v>
      </c>
      <c r="FQ12" s="4" t="s">
        <v>1080</v>
      </c>
      <c r="FR12" s="4" t="s">
        <v>743</v>
      </c>
      <c r="FS12" s="4" t="s">
        <v>745</v>
      </c>
      <c r="FT12" s="4" t="s">
        <v>746</v>
      </c>
      <c r="FU12" s="4" t="s">
        <v>749</v>
      </c>
      <c r="FV12" s="4" t="s">
        <v>1081</v>
      </c>
      <c r="FW12" s="4" t="s">
        <v>750</v>
      </c>
      <c r="FX12" s="4" t="s">
        <v>862</v>
      </c>
      <c r="FY12" s="4" t="s">
        <v>753</v>
      </c>
      <c r="FZ12" s="4" t="s">
        <v>863</v>
      </c>
      <c r="GA12" s="4" t="s">
        <v>852</v>
      </c>
      <c r="GB12" s="4" t="s">
        <v>853</v>
      </c>
      <c r="GC12" s="4" t="s">
        <v>854</v>
      </c>
      <c r="GD12" s="4" t="s">
        <v>855</v>
      </c>
      <c r="GE12" s="4" t="s">
        <v>860</v>
      </c>
      <c r="GF12" s="4" t="s">
        <v>861</v>
      </c>
      <c r="GG12" s="4" t="s">
        <v>856</v>
      </c>
      <c r="GH12" s="4" t="s">
        <v>857</v>
      </c>
      <c r="GI12" s="4" t="s">
        <v>858</v>
      </c>
      <c r="GJ12" s="4" t="s">
        <v>906</v>
      </c>
      <c r="GK12" s="4" t="s">
        <v>907</v>
      </c>
      <c r="GL12" s="4" t="s">
        <v>908</v>
      </c>
      <c r="GM12" s="4" t="s">
        <v>752</v>
      </c>
      <c r="GN12" s="4" t="s">
        <v>927</v>
      </c>
      <c r="GO12" s="4" t="s">
        <v>791</v>
      </c>
      <c r="GP12" s="4"/>
      <c r="GQ12" s="4" t="s">
        <v>82</v>
      </c>
      <c r="GR12" s="4" t="s">
        <v>337</v>
      </c>
      <c r="GS12" s="97" t="s">
        <v>335</v>
      </c>
      <c r="GT12" s="4" t="s">
        <v>336</v>
      </c>
      <c r="GU12" s="4" t="s">
        <v>542</v>
      </c>
      <c r="GV12" s="4" t="s">
        <v>50</v>
      </c>
      <c r="GW12" s="4" t="s">
        <v>349</v>
      </c>
      <c r="GX12" s="4" t="s">
        <v>159</v>
      </c>
      <c r="GY12" s="4" t="s">
        <v>302</v>
      </c>
      <c r="GZ12" s="4"/>
      <c r="HA12" s="4" t="s">
        <v>305</v>
      </c>
      <c r="HB12" s="4"/>
      <c r="HC12" s="4" t="s">
        <v>303</v>
      </c>
      <c r="HD12" s="4"/>
      <c r="HE12" s="26" t="s">
        <v>154</v>
      </c>
      <c r="HG12" s="4" t="s">
        <v>99</v>
      </c>
      <c r="HH12" s="398" t="s">
        <v>330</v>
      </c>
      <c r="HI12" s="4" t="s">
        <v>332</v>
      </c>
      <c r="HJ12" s="4" t="s">
        <v>1007</v>
      </c>
      <c r="HK12" s="4" t="s">
        <v>1008</v>
      </c>
      <c r="HL12" s="4" t="s">
        <v>788</v>
      </c>
      <c r="HM12" s="4" t="s">
        <v>789</v>
      </c>
      <c r="HN12" s="4" t="s">
        <v>790</v>
      </c>
      <c r="HO12" s="4" t="s">
        <v>1135</v>
      </c>
      <c r="HP12" s="4" t="s">
        <v>333</v>
      </c>
      <c r="HQ12" s="4" t="s">
        <v>334</v>
      </c>
      <c r="HR12" s="4" t="s">
        <v>350</v>
      </c>
      <c r="HS12" s="4" t="s">
        <v>351</v>
      </c>
      <c r="HT12" s="4" t="s">
        <v>51</v>
      </c>
      <c r="HU12" s="4"/>
      <c r="HV12" s="4" t="s">
        <v>202</v>
      </c>
      <c r="HW12" s="4" t="s">
        <v>200</v>
      </c>
      <c r="HX12" s="4"/>
      <c r="HY12" s="4" t="s">
        <v>355</v>
      </c>
      <c r="HZ12" s="4"/>
      <c r="IA12" s="4" t="s">
        <v>52</v>
      </c>
      <c r="IB12" s="4" t="s">
        <v>54</v>
      </c>
      <c r="IC12" s="4" t="s">
        <v>55</v>
      </c>
      <c r="ID12" s="4" t="s">
        <v>359</v>
      </c>
      <c r="IE12" s="4" t="s">
        <v>76</v>
      </c>
      <c r="IF12" s="4" t="s">
        <v>45</v>
      </c>
      <c r="IG12" s="4" t="s">
        <v>360</v>
      </c>
      <c r="IH12" s="4" t="s">
        <v>361</v>
      </c>
      <c r="II12" s="4" t="s">
        <v>362</v>
      </c>
      <c r="IJ12" s="4" t="s">
        <v>363</v>
      </c>
      <c r="IK12" s="4" t="s">
        <v>364</v>
      </c>
      <c r="IL12" s="4" t="s">
        <v>365</v>
      </c>
      <c r="IM12" s="4" t="s">
        <v>366</v>
      </c>
      <c r="IN12" s="4" t="s">
        <v>1777</v>
      </c>
      <c r="IO12" s="4" t="s">
        <v>204</v>
      </c>
      <c r="IP12" s="4" t="s">
        <v>205</v>
      </c>
      <c r="IQ12" s="4" t="s">
        <v>63</v>
      </c>
      <c r="IR12" s="4" t="s">
        <v>802</v>
      </c>
      <c r="IS12" s="4" t="s">
        <v>801</v>
      </c>
      <c r="IT12" s="4" t="s">
        <v>1100</v>
      </c>
      <c r="IU12" s="4" t="s">
        <v>800</v>
      </c>
      <c r="IV12" s="4" t="s">
        <v>1101</v>
      </c>
      <c r="IW12" s="4" t="s">
        <v>1102</v>
      </c>
      <c r="IX12" s="4" t="s">
        <v>1103</v>
      </c>
      <c r="IY12" s="4" t="s">
        <v>1104</v>
      </c>
      <c r="IZ12" s="4" t="s">
        <v>1105</v>
      </c>
      <c r="JA12" s="4" t="s">
        <v>1106</v>
      </c>
      <c r="JB12" s="4" t="s">
        <v>1107</v>
      </c>
      <c r="JC12" s="4" t="s">
        <v>803</v>
      </c>
      <c r="JD12" s="4" t="s">
        <v>804</v>
      </c>
      <c r="JE12" s="4" t="s">
        <v>805</v>
      </c>
      <c r="JF12" s="4" t="s">
        <v>806</v>
      </c>
      <c r="JG12" s="4" t="s">
        <v>1818</v>
      </c>
      <c r="JH12" s="4" t="s">
        <v>807</v>
      </c>
      <c r="JI12" s="26" t="s">
        <v>1794</v>
      </c>
      <c r="JJ12" s="26" t="s">
        <v>1795</v>
      </c>
      <c r="JK12" s="578"/>
      <c r="JL12" s="578"/>
      <c r="JM12" s="26" t="s">
        <v>2315</v>
      </c>
      <c r="JN12" s="578"/>
      <c r="JO12" s="578" t="s">
        <v>2791</v>
      </c>
      <c r="JP12" s="26" t="s">
        <v>2785</v>
      </c>
    </row>
    <row r="13" spans="1:276" x14ac:dyDescent="0.2">
      <c r="JK13"/>
      <c r="JL13"/>
      <c r="JN13"/>
      <c r="JO13"/>
    </row>
    <row r="14" spans="1:276" x14ac:dyDescent="0.2">
      <c r="JK14"/>
      <c r="JL14"/>
      <c r="JN14"/>
      <c r="JO14"/>
    </row>
    <row r="15" spans="1:276" x14ac:dyDescent="0.2">
      <c r="JK15"/>
      <c r="JL15"/>
      <c r="JN15"/>
      <c r="JO15"/>
    </row>
    <row r="16" spans="1:276" x14ac:dyDescent="0.2">
      <c r="JK16"/>
      <c r="JL16"/>
      <c r="JN16"/>
      <c r="JO16"/>
    </row>
    <row r="17" customFormat="1" x14ac:dyDescent="0.2"/>
    <row r="18" customFormat="1" x14ac:dyDescent="0.2"/>
    <row r="19" customFormat="1" x14ac:dyDescent="0.2"/>
    <row r="20" customFormat="1" x14ac:dyDescent="0.2"/>
    <row r="21" customFormat="1" x14ac:dyDescent="0.2"/>
    <row r="22" customFormat="1" x14ac:dyDescent="0.2"/>
    <row r="23" customFormat="1" ht="38.25" customHeight="1" x14ac:dyDescent="0.2"/>
    <row r="24" customFormat="1" x14ac:dyDescent="0.2"/>
    <row r="25" customFormat="1" x14ac:dyDescent="0.2"/>
    <row r="26" customFormat="1" x14ac:dyDescent="0.2"/>
    <row r="27" customFormat="1" x14ac:dyDescent="0.2"/>
    <row r="28" customFormat="1" x14ac:dyDescent="0.2"/>
    <row r="29" customFormat="1" x14ac:dyDescent="0.2"/>
    <row r="30" customFormat="1" x14ac:dyDescent="0.2"/>
    <row r="31" customFormat="1" x14ac:dyDescent="0.2"/>
    <row r="32" customFormat="1" x14ac:dyDescent="0.2"/>
    <row r="33" customFormat="1" x14ac:dyDescent="0.2"/>
    <row r="34" customFormat="1" x14ac:dyDescent="0.2"/>
    <row r="35" customFormat="1" x14ac:dyDescent="0.2"/>
    <row r="36" customFormat="1" x14ac:dyDescent="0.2"/>
    <row r="37" customFormat="1" x14ac:dyDescent="0.2"/>
    <row r="38" customFormat="1" x14ac:dyDescent="0.2"/>
    <row r="39" customFormat="1" x14ac:dyDescent="0.2"/>
    <row r="40" customFormat="1" x14ac:dyDescent="0.2"/>
    <row r="41" customFormat="1" x14ac:dyDescent="0.2"/>
    <row r="42" customFormat="1" x14ac:dyDescent="0.2"/>
    <row r="43" customFormat="1" x14ac:dyDescent="0.2"/>
    <row r="44" customFormat="1" x14ac:dyDescent="0.2"/>
  </sheetData>
  <autoFilter ref="A12:JP43" xr:uid="{FFFF399B-68F8-4EFA-AD0C-CD3D82CA928E}"/>
  <phoneticPr fontId="6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98FF-21DD-403C-B16C-D0D4AEF70AA1}">
  <sheetPr codeName="Sheet5"/>
  <dimension ref="A1:JO12"/>
  <sheetViews>
    <sheetView zoomScale="85" zoomScaleNormal="85" workbookViewId="0"/>
  </sheetViews>
  <sheetFormatPr defaultRowHeight="12.9" x14ac:dyDescent="0.2"/>
  <cols>
    <col min="1" max="1" width="11.375" bestFit="1" customWidth="1"/>
    <col min="2" max="2" width="15.625" bestFit="1" customWidth="1"/>
    <col min="3" max="3" width="12.25" bestFit="1" customWidth="1"/>
    <col min="4" max="4" width="11.875" bestFit="1" customWidth="1"/>
    <col min="5" max="5" width="5.75" bestFit="1" customWidth="1"/>
    <col min="6" max="6" width="17.375" bestFit="1" customWidth="1"/>
    <col min="7" max="7" width="8" bestFit="1" customWidth="1"/>
    <col min="8" max="8" width="10" bestFit="1" customWidth="1"/>
    <col min="9" max="9" width="15.625" bestFit="1" customWidth="1"/>
    <col min="10" max="10" width="14.875" bestFit="1" customWidth="1"/>
    <col min="11" max="11" width="16.25" bestFit="1" customWidth="1"/>
    <col min="12" max="12" width="10" bestFit="1" customWidth="1"/>
    <col min="13" max="13" width="13.25" bestFit="1" customWidth="1"/>
    <col min="14" max="14" width="14.875" bestFit="1" customWidth="1"/>
    <col min="15" max="15" width="6.125" bestFit="1" customWidth="1"/>
    <col min="16" max="17" width="8.75" bestFit="1" customWidth="1"/>
    <col min="18" max="18" width="19.875" bestFit="1" customWidth="1"/>
    <col min="19" max="19" width="4.875" bestFit="1" customWidth="1"/>
    <col min="20" max="22" width="6" bestFit="1" customWidth="1"/>
    <col min="23" max="23" width="7.375" bestFit="1" customWidth="1"/>
    <col min="24" max="27" width="10.125" bestFit="1" customWidth="1"/>
    <col min="28" max="28" width="11" bestFit="1" customWidth="1"/>
    <col min="29" max="30" width="10.125" bestFit="1" customWidth="1"/>
    <col min="31" max="31" width="6.25" bestFit="1" customWidth="1"/>
    <col min="32" max="33" width="10.125" bestFit="1" customWidth="1"/>
    <col min="34" max="34" width="13.75" customWidth="1"/>
    <col min="35" max="35" width="10.125" bestFit="1" customWidth="1"/>
    <col min="36" max="36" width="22.375" bestFit="1" customWidth="1"/>
    <col min="37" max="37" width="11.875" bestFit="1" customWidth="1"/>
    <col min="38" max="39" width="6.125" bestFit="1" customWidth="1"/>
    <col min="40" max="40" width="6.625" customWidth="1"/>
    <col min="41" max="41" width="10.125" customWidth="1"/>
    <col min="42" max="42" width="27.125" bestFit="1" customWidth="1"/>
    <col min="43" max="43" width="10.125" customWidth="1"/>
    <col min="44" max="44" width="10.125" bestFit="1" customWidth="1"/>
    <col min="45" max="45" width="8.625" bestFit="1" customWidth="1"/>
    <col min="46" max="46" width="10.125" bestFit="1" customWidth="1"/>
    <col min="47" max="47" width="9.25" customWidth="1"/>
    <col min="48" max="48" width="4.875" bestFit="1" customWidth="1"/>
    <col min="49" max="49" width="6.125" bestFit="1" customWidth="1"/>
    <col min="50" max="50" width="14.625" bestFit="1" customWidth="1"/>
    <col min="51" max="51" width="10.125" bestFit="1" customWidth="1"/>
    <col min="52" max="52" width="8.875" bestFit="1" customWidth="1"/>
    <col min="53" max="54" width="10.125" bestFit="1" customWidth="1"/>
    <col min="55" max="55" width="11.25" customWidth="1"/>
    <col min="56" max="56" width="10.125" bestFit="1" customWidth="1"/>
    <col min="57" max="57" width="10.125" customWidth="1"/>
    <col min="58" max="58" width="6.625" customWidth="1"/>
    <col min="59" max="59" width="10.125" customWidth="1"/>
    <col min="60" max="60" width="13.125" bestFit="1" customWidth="1"/>
    <col min="61" max="61" width="10.125" customWidth="1"/>
    <col min="62" max="62" width="8.625" bestFit="1" customWidth="1"/>
    <col min="63" max="63" width="10.125" bestFit="1" customWidth="1"/>
    <col min="64" max="64" width="8.625" bestFit="1" customWidth="1"/>
    <col min="65" max="65" width="17.875" bestFit="1" customWidth="1"/>
    <col min="66" max="66" width="9.875" bestFit="1" customWidth="1"/>
    <col min="67" max="67" width="11.25" bestFit="1" customWidth="1"/>
    <col min="68" max="68" width="17.625" bestFit="1" customWidth="1"/>
    <col min="69" max="69" width="9.625" bestFit="1" customWidth="1"/>
    <col min="70" max="70" width="11" bestFit="1" customWidth="1"/>
    <col min="71" max="71" width="7.125" bestFit="1" customWidth="1"/>
    <col min="72" max="72" width="17.875" bestFit="1" customWidth="1"/>
    <col min="73" max="73" width="9.75" bestFit="1" customWidth="1"/>
    <col min="74" max="74" width="11.125" bestFit="1" customWidth="1"/>
    <col min="75" max="75" width="10.25" bestFit="1" customWidth="1"/>
    <col min="76" max="76" width="12.625" bestFit="1" customWidth="1"/>
    <col min="77" max="77" width="9.625" bestFit="1" customWidth="1"/>
    <col min="78" max="78" width="6.25" bestFit="1" customWidth="1"/>
    <col min="79" max="79" width="12.375" bestFit="1" customWidth="1"/>
    <col min="80" max="80" width="34.875" bestFit="1" customWidth="1"/>
    <col min="81" max="81" width="12.375" customWidth="1"/>
    <col min="82" max="83" width="10.125" customWidth="1"/>
    <col min="84" max="86" width="12.25" customWidth="1"/>
    <col min="87" max="87" width="11.125" bestFit="1" customWidth="1"/>
    <col min="88" max="90" width="11.125" customWidth="1"/>
    <col min="91" max="91" width="10" customWidth="1"/>
    <col min="92" max="92" width="9.375" customWidth="1"/>
    <col min="93" max="93" width="10.75" customWidth="1"/>
    <col min="94" max="94" width="8.625" bestFit="1" customWidth="1"/>
    <col min="95" max="95" width="9.375" bestFit="1" customWidth="1"/>
    <col min="96" max="96" width="9.375" customWidth="1"/>
    <col min="97" max="97" width="9.75" bestFit="1" customWidth="1"/>
    <col min="98" max="98" width="10.625" bestFit="1" customWidth="1"/>
    <col min="99" max="99" width="8.625" bestFit="1" customWidth="1"/>
    <col min="100" max="100" width="8.375" bestFit="1" customWidth="1"/>
    <col min="101" max="101" width="9.375" bestFit="1" customWidth="1"/>
    <col min="102" max="102" width="11.625" bestFit="1" customWidth="1"/>
    <col min="103" max="103" width="9.125" customWidth="1"/>
    <col min="104" max="104" width="8.625" bestFit="1" customWidth="1"/>
    <col min="105" max="105" width="10.75" bestFit="1" customWidth="1"/>
    <col min="106" max="106" width="10.75" customWidth="1"/>
    <col min="107" max="107" width="11.625" bestFit="1" customWidth="1"/>
    <col min="108" max="108" width="9.125" customWidth="1"/>
    <col min="109" max="110" width="11.625" bestFit="1" customWidth="1"/>
    <col min="111" max="111" width="51.625" customWidth="1"/>
    <col min="112" max="112" width="9.125" customWidth="1"/>
    <col min="113" max="113" width="9.25" bestFit="1" customWidth="1"/>
    <col min="114" max="116" width="9.25" customWidth="1"/>
    <col min="117" max="117" width="10.125" bestFit="1" customWidth="1"/>
    <col min="118" max="118" width="10.125" customWidth="1"/>
    <col min="119" max="119" width="10.125" bestFit="1" customWidth="1"/>
    <col min="120" max="120" width="10.125" customWidth="1"/>
    <col min="121" max="121" width="9" bestFit="1" customWidth="1"/>
    <col min="122" max="127" width="9.25" customWidth="1"/>
    <col min="128" max="128" width="11.125" customWidth="1"/>
    <col min="129" max="135" width="9.25" customWidth="1"/>
    <col min="136" max="136" width="13.25" bestFit="1" customWidth="1"/>
    <col min="137" max="137" width="13.25" customWidth="1"/>
    <col min="138" max="138" width="11.375" bestFit="1" customWidth="1"/>
    <col min="139" max="139" width="11.625" customWidth="1"/>
    <col min="140" max="140" width="11.375" customWidth="1"/>
    <col min="141" max="141" width="11.125" bestFit="1" customWidth="1"/>
    <col min="142" max="142" width="13.375" bestFit="1" customWidth="1"/>
    <col min="143" max="143" width="9.125" bestFit="1" customWidth="1"/>
    <col min="144" max="145" width="9" bestFit="1" customWidth="1"/>
    <col min="146" max="146" width="9.375" bestFit="1" customWidth="1"/>
    <col min="147" max="147" width="15.25" bestFit="1" customWidth="1"/>
    <col min="148" max="148" width="9.875" bestFit="1" customWidth="1"/>
    <col min="149" max="150" width="9.875" customWidth="1"/>
    <col min="151" max="151" width="84.875" customWidth="1"/>
    <col min="152" max="152" width="69.875" customWidth="1"/>
    <col min="153" max="153" width="10.625" bestFit="1" customWidth="1"/>
    <col min="154" max="154" width="13.875" bestFit="1" customWidth="1"/>
    <col min="155" max="155" width="15.875" bestFit="1" customWidth="1"/>
    <col min="156" max="156" width="19.625" bestFit="1" customWidth="1"/>
    <col min="157" max="157" width="13.625" bestFit="1" customWidth="1"/>
    <col min="158" max="159" width="13.625" customWidth="1"/>
    <col min="160" max="160" width="23.375" bestFit="1" customWidth="1"/>
    <col min="161" max="161" width="13.625" customWidth="1"/>
    <col min="162" max="162" width="19.625" bestFit="1" customWidth="1"/>
    <col min="163" max="163" width="19.375" bestFit="1" customWidth="1"/>
    <col min="164" max="164" width="19.375" customWidth="1"/>
    <col min="165" max="165" width="14.75" bestFit="1" customWidth="1"/>
    <col min="166" max="166" width="10.25" bestFit="1" customWidth="1"/>
    <col min="167" max="167" width="17.25" bestFit="1" customWidth="1"/>
    <col min="168" max="168" width="18.125" bestFit="1" customWidth="1"/>
    <col min="169" max="169" width="17.25" bestFit="1" customWidth="1"/>
    <col min="170" max="170" width="18.125" bestFit="1" customWidth="1"/>
    <col min="171" max="171" width="19.375" bestFit="1" customWidth="1"/>
    <col min="172" max="172" width="13.375" bestFit="1" customWidth="1"/>
    <col min="173" max="173" width="8" bestFit="1" customWidth="1"/>
    <col min="174" max="174" width="7" bestFit="1" customWidth="1"/>
    <col min="175" max="175" width="20" bestFit="1" customWidth="1"/>
    <col min="176" max="176" width="16" bestFit="1" customWidth="1"/>
    <col min="177" max="209" width="16" customWidth="1"/>
    <col min="210" max="210" width="23.75" bestFit="1" customWidth="1"/>
    <col min="211" max="211" width="16" customWidth="1"/>
    <col min="212" max="212" width="18" bestFit="1" customWidth="1"/>
    <col min="213" max="213" width="25.125" bestFit="1" customWidth="1"/>
    <col min="214" max="214" width="6.25" bestFit="1" customWidth="1"/>
    <col min="215" max="215" width="7.375" bestFit="1" customWidth="1"/>
    <col min="216" max="216" width="15.875" bestFit="1" customWidth="1"/>
    <col min="217" max="217" width="15" bestFit="1" customWidth="1"/>
    <col min="218" max="218" width="22.25" bestFit="1" customWidth="1"/>
    <col min="219" max="219" width="14.25" bestFit="1" customWidth="1"/>
    <col min="220" max="222" width="14.25" customWidth="1"/>
    <col min="223" max="223" width="15.625" bestFit="1" customWidth="1"/>
    <col min="224" max="224" width="29.875" bestFit="1" customWidth="1"/>
    <col min="225" max="225" width="10.875" bestFit="1" customWidth="1"/>
    <col min="226" max="226" width="19.625" bestFit="1" customWidth="1"/>
    <col min="227" max="227" width="20.25" bestFit="1" customWidth="1"/>
    <col min="228" max="228" width="15.625" bestFit="1" customWidth="1"/>
    <col min="229" max="229" width="30.375" bestFit="1" customWidth="1"/>
    <col min="230" max="230" width="27.75" bestFit="1" customWidth="1"/>
    <col min="231" max="231" width="21" bestFit="1" customWidth="1"/>
    <col min="232" max="232" width="21" customWidth="1"/>
    <col min="233" max="233" width="25.875" bestFit="1" customWidth="1"/>
    <col min="234" max="234" width="15.625" bestFit="1" customWidth="1"/>
    <col min="235" max="235" width="22.875" bestFit="1" customWidth="1"/>
    <col min="236" max="236" width="15" customWidth="1"/>
    <col min="237" max="237" width="14.25" bestFit="1" customWidth="1"/>
    <col min="238" max="239" width="14.25" customWidth="1"/>
    <col min="240" max="240" width="16.125" customWidth="1"/>
    <col min="241" max="241" width="9.625" bestFit="1" customWidth="1"/>
    <col min="242" max="243" width="15.125" bestFit="1" customWidth="1"/>
    <col min="244" max="244" width="7.375" bestFit="1" customWidth="1"/>
    <col min="245" max="245" width="7.75" bestFit="1" customWidth="1"/>
    <col min="246" max="246" width="9.75" bestFit="1" customWidth="1"/>
    <col min="247" max="247" width="9.625" customWidth="1"/>
    <col min="248" max="248" width="16.25" customWidth="1"/>
    <col min="249" max="250" width="11.75" bestFit="1" customWidth="1"/>
    <col min="251" max="251" width="14.875" customWidth="1"/>
    <col min="252" max="253" width="11.75" bestFit="1" customWidth="1"/>
    <col min="254" max="255" width="7.75" bestFit="1" customWidth="1"/>
    <col min="256" max="256" width="7.75" customWidth="1"/>
    <col min="258" max="258" width="10.125" bestFit="1" customWidth="1"/>
    <col min="259" max="259" width="10.75" bestFit="1" customWidth="1"/>
    <col min="261" max="261" width="27.625" bestFit="1" customWidth="1"/>
    <col min="262" max="262" width="27" bestFit="1" customWidth="1"/>
    <col min="263" max="263" width="21" bestFit="1" customWidth="1"/>
    <col min="265" max="265" width="11.25" customWidth="1"/>
    <col min="266" max="266" width="16.625" bestFit="1" customWidth="1"/>
    <col min="268" max="268" width="11" bestFit="1" customWidth="1"/>
    <col min="269" max="269" width="14.875" bestFit="1" customWidth="1"/>
    <col min="273" max="273" width="10.625" bestFit="1" customWidth="1"/>
    <col min="274" max="275" width="14.125" customWidth="1"/>
  </cols>
  <sheetData>
    <row r="1" spans="1:275" s="26" customFormat="1" ht="13.6" x14ac:dyDescent="0.25">
      <c r="A1" s="4" t="s">
        <v>0</v>
      </c>
      <c r="B1" s="24" t="s">
        <v>263</v>
      </c>
      <c r="C1" s="24" t="s">
        <v>1</v>
      </c>
      <c r="D1" s="24" t="s">
        <v>2</v>
      </c>
      <c r="E1" s="25" t="s">
        <v>3</v>
      </c>
      <c r="F1" s="25" t="s">
        <v>122</v>
      </c>
      <c r="G1" s="25" t="s">
        <v>234</v>
      </c>
      <c r="H1" s="25" t="s">
        <v>77</v>
      </c>
      <c r="I1" s="4" t="s">
        <v>4</v>
      </c>
      <c r="J1" s="4" t="s">
        <v>5</v>
      </c>
      <c r="K1" s="4"/>
      <c r="L1" s="4" t="s">
        <v>71</v>
      </c>
      <c r="M1" s="4" t="s">
        <v>72</v>
      </c>
      <c r="N1" s="4" t="s">
        <v>73</v>
      </c>
      <c r="O1" s="4" t="s">
        <v>102</v>
      </c>
      <c r="P1" s="4" t="s">
        <v>103</v>
      </c>
      <c r="Q1" s="4" t="s">
        <v>104</v>
      </c>
      <c r="R1" s="4" t="s">
        <v>105</v>
      </c>
      <c r="S1" s="4" t="s">
        <v>110</v>
      </c>
      <c r="T1" s="4" t="s">
        <v>8</v>
      </c>
      <c r="U1" s="4" t="s">
        <v>9</v>
      </c>
      <c r="V1" s="4" t="s">
        <v>106</v>
      </c>
      <c r="W1" s="4" t="s">
        <v>21</v>
      </c>
      <c r="X1" s="4" t="s">
        <v>254</v>
      </c>
      <c r="Y1" s="4" t="s">
        <v>6</v>
      </c>
      <c r="Z1" s="4" t="s">
        <v>7</v>
      </c>
      <c r="AA1" s="4" t="s">
        <v>107</v>
      </c>
      <c r="AB1" s="4" t="s">
        <v>19</v>
      </c>
      <c r="AC1" s="4" t="s">
        <v>75</v>
      </c>
      <c r="AD1" s="4" t="s">
        <v>108</v>
      </c>
      <c r="AE1" s="4" t="s">
        <v>109</v>
      </c>
      <c r="AF1" s="4" t="s">
        <v>22</v>
      </c>
      <c r="AG1" s="4" t="s">
        <v>23</v>
      </c>
      <c r="AH1" s="4" t="s">
        <v>136</v>
      </c>
      <c r="AI1" s="4" t="s">
        <v>208</v>
      </c>
      <c r="AJ1" s="4" t="s">
        <v>113</v>
      </c>
      <c r="AK1" s="4" t="s">
        <v>880</v>
      </c>
      <c r="AL1" s="4" t="s">
        <v>260</v>
      </c>
      <c r="AM1" s="4" t="s">
        <v>259</v>
      </c>
      <c r="AN1" s="4"/>
      <c r="AO1" s="4"/>
      <c r="AP1" s="161" t="s">
        <v>435</v>
      </c>
      <c r="AQ1" s="338" t="s">
        <v>707</v>
      </c>
      <c r="AR1" s="4" t="s">
        <v>1075</v>
      </c>
      <c r="AS1" s="4" t="s">
        <v>117</v>
      </c>
      <c r="AT1" s="4" t="s">
        <v>126</v>
      </c>
      <c r="AU1" s="4" t="s">
        <v>883</v>
      </c>
      <c r="AV1" s="4" t="s">
        <v>34</v>
      </c>
      <c r="AW1" s="4" t="s">
        <v>35</v>
      </c>
      <c r="AX1" s="4" t="s">
        <v>142</v>
      </c>
      <c r="AY1" s="4" t="s">
        <v>95</v>
      </c>
      <c r="AZ1" s="4" t="s">
        <v>36</v>
      </c>
      <c r="BA1" s="4" t="s">
        <v>37</v>
      </c>
      <c r="BB1" s="4"/>
      <c r="BC1" s="4"/>
      <c r="BD1" s="4" t="s">
        <v>135</v>
      </c>
      <c r="BE1" s="4"/>
      <c r="BF1" s="4"/>
      <c r="BG1" s="4"/>
      <c r="BH1" s="4" t="s">
        <v>813</v>
      </c>
      <c r="BI1" s="4"/>
      <c r="BJ1" s="4" t="s">
        <v>42</v>
      </c>
      <c r="BK1" s="4" t="s">
        <v>43</v>
      </c>
      <c r="BL1" s="4" t="s">
        <v>44</v>
      </c>
      <c r="BM1" s="4" t="s">
        <v>25</v>
      </c>
      <c r="BN1" s="4" t="s">
        <v>27</v>
      </c>
      <c r="BO1" s="4" t="s">
        <v>29</v>
      </c>
      <c r="BP1" s="4" t="s">
        <v>476</v>
      </c>
      <c r="BQ1" s="4" t="s">
        <v>477</v>
      </c>
      <c r="BR1" s="4" t="s">
        <v>478</v>
      </c>
      <c r="BS1" s="4" t="s">
        <v>270</v>
      </c>
      <c r="BT1" s="4" t="s">
        <v>268</v>
      </c>
      <c r="BU1" s="4" t="s">
        <v>101</v>
      </c>
      <c r="BV1" s="4" t="s">
        <v>269</v>
      </c>
      <c r="BW1" s="4" t="s">
        <v>271</v>
      </c>
      <c r="BX1" s="4" t="s">
        <v>30</v>
      </c>
      <c r="BY1" s="4" t="s">
        <v>32</v>
      </c>
      <c r="BZ1" s="4" t="s">
        <v>33</v>
      </c>
      <c r="CA1" s="4" t="s">
        <v>277</v>
      </c>
      <c r="CB1" s="4" t="s">
        <v>276</v>
      </c>
      <c r="CC1" s="4" t="s">
        <v>1112</v>
      </c>
      <c r="CD1" s="4" t="s">
        <v>115</v>
      </c>
      <c r="CE1" s="4" t="s">
        <v>848</v>
      </c>
      <c r="CF1" s="4" t="s">
        <v>93</v>
      </c>
      <c r="CG1" s="4" t="s">
        <v>1014</v>
      </c>
      <c r="CH1" s="4" t="s">
        <v>1087</v>
      </c>
      <c r="CI1" s="4" t="s">
        <v>64</v>
      </c>
      <c r="CJ1" s="4"/>
      <c r="CK1" s="4"/>
      <c r="CL1" s="4"/>
      <c r="CM1" s="4" t="s">
        <v>1055</v>
      </c>
      <c r="CN1" s="4" t="s">
        <v>815</v>
      </c>
      <c r="CO1" s="4" t="s">
        <v>1070</v>
      </c>
      <c r="CP1" s="4" t="s">
        <v>47</v>
      </c>
      <c r="CQ1" s="4" t="s">
        <v>48</v>
      </c>
      <c r="CR1" s="4" t="s">
        <v>814</v>
      </c>
      <c r="CS1" s="4" t="s">
        <v>284</v>
      </c>
      <c r="CT1" s="4" t="s">
        <v>216</v>
      </c>
      <c r="CU1" s="4" t="s">
        <v>57</v>
      </c>
      <c r="CV1" s="4" t="s">
        <v>492</v>
      </c>
      <c r="CW1" s="4" t="s">
        <v>58</v>
      </c>
      <c r="CX1" s="4" t="s">
        <v>183</v>
      </c>
      <c r="CY1" s="4" t="s">
        <v>816</v>
      </c>
      <c r="CZ1" s="4" t="s">
        <v>187</v>
      </c>
      <c r="DA1" s="4" t="s">
        <v>49</v>
      </c>
      <c r="DB1" s="4" t="s">
        <v>817</v>
      </c>
      <c r="DC1" s="4" t="s">
        <v>190</v>
      </c>
      <c r="DD1" s="4" t="s">
        <v>818</v>
      </c>
      <c r="DE1" s="4" t="s">
        <v>1083</v>
      </c>
      <c r="DF1" s="4"/>
      <c r="DG1" s="4"/>
      <c r="DH1" s="4" t="s">
        <v>866</v>
      </c>
      <c r="DI1" s="4" t="s">
        <v>179</v>
      </c>
      <c r="DJ1" s="4" t="s">
        <v>845</v>
      </c>
      <c r="DK1" s="4" t="s">
        <v>1076</v>
      </c>
      <c r="DL1" s="4" t="s">
        <v>192</v>
      </c>
      <c r="DM1" s="4" t="s">
        <v>1005</v>
      </c>
      <c r="DN1" s="4"/>
      <c r="DO1" s="4"/>
      <c r="DP1" s="4"/>
      <c r="DQ1" s="4"/>
      <c r="DR1" s="4" t="s">
        <v>257</v>
      </c>
      <c r="DS1" s="4" t="s">
        <v>194</v>
      </c>
      <c r="DT1" s="4" t="s">
        <v>819</v>
      </c>
      <c r="DU1" s="4" t="s">
        <v>195</v>
      </c>
      <c r="DV1" s="4" t="s">
        <v>196</v>
      </c>
      <c r="DW1" s="4" t="s">
        <v>820</v>
      </c>
      <c r="DX1" s="4" t="s">
        <v>849</v>
      </c>
      <c r="DY1" s="4" t="s">
        <v>253</v>
      </c>
      <c r="DZ1" s="4" t="s">
        <v>197</v>
      </c>
      <c r="EA1" s="4" t="s">
        <v>821</v>
      </c>
      <c r="EB1" s="4" t="s">
        <v>822</v>
      </c>
      <c r="EC1" s="4" t="s">
        <v>474</v>
      </c>
      <c r="ED1" s="4" t="s">
        <v>823</v>
      </c>
      <c r="EE1" s="4"/>
      <c r="EF1" s="4" t="s">
        <v>239</v>
      </c>
      <c r="EG1" s="4" t="s">
        <v>1773</v>
      </c>
      <c r="EH1" s="4" t="s">
        <v>240</v>
      </c>
      <c r="EI1" s="4" t="s">
        <v>1092</v>
      </c>
      <c r="EJ1" s="4" t="s">
        <v>1096</v>
      </c>
      <c r="EK1" s="4" t="s">
        <v>97</v>
      </c>
      <c r="EL1" s="4" t="s">
        <v>301</v>
      </c>
      <c r="EM1" s="4" t="s">
        <v>300</v>
      </c>
      <c r="EN1" s="4" t="s">
        <v>298</v>
      </c>
      <c r="EO1" s="97"/>
      <c r="EP1" s="4" t="s">
        <v>296</v>
      </c>
      <c r="EQ1" s="4" t="s">
        <v>297</v>
      </c>
      <c r="ER1" s="4" t="s">
        <v>299</v>
      </c>
      <c r="ES1" s="4"/>
      <c r="ET1" s="4"/>
      <c r="EU1" s="4" t="s">
        <v>2794</v>
      </c>
      <c r="EV1" s="4" t="s">
        <v>114</v>
      </c>
      <c r="EW1" s="4" t="s">
        <v>289</v>
      </c>
      <c r="EX1" s="4" t="s">
        <v>290</v>
      </c>
      <c r="EY1" s="4" t="s">
        <v>316</v>
      </c>
      <c r="EZ1" s="4" t="s">
        <v>317</v>
      </c>
      <c r="FA1" s="4" t="s">
        <v>225</v>
      </c>
      <c r="FB1" s="4" t="s">
        <v>314</v>
      </c>
      <c r="FC1" s="4" t="s">
        <v>1097</v>
      </c>
      <c r="FD1" s="4" t="s">
        <v>2317</v>
      </c>
      <c r="FE1" s="4" t="s">
        <v>325</v>
      </c>
      <c r="FF1" s="4" t="s">
        <v>224</v>
      </c>
      <c r="FG1" s="4" t="s">
        <v>326</v>
      </c>
      <c r="FH1" s="4" t="s">
        <v>1050</v>
      </c>
      <c r="FI1" s="4" t="s">
        <v>706</v>
      </c>
      <c r="FJ1" s="4"/>
      <c r="FK1" s="4" t="s">
        <v>708</v>
      </c>
      <c r="FL1" s="4" t="s">
        <v>709</v>
      </c>
      <c r="FM1" s="4" t="s">
        <v>710</v>
      </c>
      <c r="FN1" s="4" t="s">
        <v>711</v>
      </c>
      <c r="FO1" s="4" t="s">
        <v>712</v>
      </c>
      <c r="FP1" s="4" t="s">
        <v>713</v>
      </c>
      <c r="FQ1" s="4"/>
      <c r="FR1" s="4"/>
      <c r="FS1" s="4" t="s">
        <v>1006</v>
      </c>
      <c r="FT1" s="4" t="s">
        <v>1011</v>
      </c>
      <c r="FU1" s="4" t="s">
        <v>864</v>
      </c>
      <c r="FV1" s="4" t="s">
        <v>714</v>
      </c>
      <c r="FW1" s="4" t="s">
        <v>1078</v>
      </c>
      <c r="FX1" s="4" t="s">
        <v>1079</v>
      </c>
      <c r="FY1" s="4" t="s">
        <v>926</v>
      </c>
      <c r="FZ1" s="4" t="s">
        <v>94</v>
      </c>
      <c r="GA1" s="4" t="s">
        <v>734</v>
      </c>
      <c r="GB1" s="4" t="s">
        <v>884</v>
      </c>
      <c r="GC1" s="4" t="s">
        <v>92</v>
      </c>
      <c r="GD1" s="4" t="s">
        <v>1080</v>
      </c>
      <c r="GE1" s="4" t="s">
        <v>743</v>
      </c>
      <c r="GF1" s="4" t="s">
        <v>745</v>
      </c>
      <c r="GG1" s="4" t="s">
        <v>746</v>
      </c>
      <c r="GH1" s="4" t="s">
        <v>749</v>
      </c>
      <c r="GI1" s="4" t="s">
        <v>1081</v>
      </c>
      <c r="GJ1" s="4" t="s">
        <v>750</v>
      </c>
      <c r="GK1" s="4" t="s">
        <v>862</v>
      </c>
      <c r="GL1" s="4" t="s">
        <v>753</v>
      </c>
      <c r="GM1" s="4" t="s">
        <v>863</v>
      </c>
      <c r="GN1" s="4" t="s">
        <v>852</v>
      </c>
      <c r="GO1" s="4" t="s">
        <v>853</v>
      </c>
      <c r="GP1" s="4" t="s">
        <v>854</v>
      </c>
      <c r="GQ1" s="4" t="s">
        <v>855</v>
      </c>
      <c r="GR1" s="4" t="s">
        <v>860</v>
      </c>
      <c r="GS1" s="4" t="s">
        <v>861</v>
      </c>
      <c r="GT1" s="4" t="s">
        <v>856</v>
      </c>
      <c r="GU1" s="4" t="s">
        <v>857</v>
      </c>
      <c r="GV1" s="4" t="s">
        <v>858</v>
      </c>
      <c r="GW1" s="4" t="s">
        <v>906</v>
      </c>
      <c r="GX1" s="4" t="s">
        <v>907</v>
      </c>
      <c r="GY1" s="4" t="s">
        <v>908</v>
      </c>
      <c r="GZ1" s="4" t="s">
        <v>752</v>
      </c>
      <c r="HA1" s="4" t="s">
        <v>927</v>
      </c>
      <c r="HB1" s="4" t="s">
        <v>791</v>
      </c>
      <c r="HC1" s="4"/>
      <c r="HD1" s="4" t="s">
        <v>82</v>
      </c>
      <c r="HE1" s="4" t="s">
        <v>337</v>
      </c>
      <c r="HF1" s="97" t="s">
        <v>335</v>
      </c>
      <c r="HG1" s="4" t="s">
        <v>336</v>
      </c>
      <c r="HH1" s="4" t="s">
        <v>542</v>
      </c>
      <c r="HI1" s="4" t="s">
        <v>50</v>
      </c>
      <c r="HJ1" s="4" t="s">
        <v>349</v>
      </c>
      <c r="HK1" s="4" t="s">
        <v>159</v>
      </c>
      <c r="HL1" s="4" t="s">
        <v>302</v>
      </c>
      <c r="HM1" s="4" t="s">
        <v>303</v>
      </c>
      <c r="HN1" s="4" t="s">
        <v>305</v>
      </c>
      <c r="HO1" s="26" t="s">
        <v>154</v>
      </c>
      <c r="HP1" s="4" t="s">
        <v>99</v>
      </c>
      <c r="HQ1" s="107" t="s">
        <v>330</v>
      </c>
      <c r="HR1" s="4" t="s">
        <v>332</v>
      </c>
      <c r="HS1" s="4" t="s">
        <v>1007</v>
      </c>
      <c r="HT1" s="4" t="s">
        <v>1008</v>
      </c>
      <c r="HU1" s="4" t="s">
        <v>788</v>
      </c>
      <c r="HV1" s="4" t="s">
        <v>789</v>
      </c>
      <c r="HW1" s="4" t="s">
        <v>790</v>
      </c>
      <c r="HX1" s="4" t="s">
        <v>1135</v>
      </c>
      <c r="HY1" s="4" t="s">
        <v>333</v>
      </c>
      <c r="HZ1" s="4" t="s">
        <v>334</v>
      </c>
      <c r="IA1" s="4" t="s">
        <v>350</v>
      </c>
      <c r="IB1" s="4" t="s">
        <v>351</v>
      </c>
      <c r="IC1" s="4" t="s">
        <v>51</v>
      </c>
      <c r="ID1" s="4" t="s">
        <v>200</v>
      </c>
      <c r="IE1" s="4" t="s">
        <v>202</v>
      </c>
      <c r="IF1" s="4" t="s">
        <v>355</v>
      </c>
      <c r="IG1" s="4" t="s">
        <v>52</v>
      </c>
      <c r="IH1" s="4" t="s">
        <v>54</v>
      </c>
      <c r="II1" s="4" t="s">
        <v>55</v>
      </c>
      <c r="IJ1" s="4" t="s">
        <v>359</v>
      </c>
      <c r="IK1" s="4" t="s">
        <v>76</v>
      </c>
      <c r="IL1" s="4" t="s">
        <v>45</v>
      </c>
      <c r="IM1" s="4" t="s">
        <v>360</v>
      </c>
      <c r="IN1" s="4" t="s">
        <v>361</v>
      </c>
      <c r="IO1" s="4" t="s">
        <v>362</v>
      </c>
      <c r="IP1" s="4" t="s">
        <v>363</v>
      </c>
      <c r="IQ1" s="4" t="s">
        <v>364</v>
      </c>
      <c r="IR1" s="4" t="s">
        <v>365</v>
      </c>
      <c r="IS1" s="4" t="s">
        <v>366</v>
      </c>
      <c r="IT1" s="4" t="s">
        <v>204</v>
      </c>
      <c r="IU1" s="4" t="s">
        <v>205</v>
      </c>
      <c r="IV1" s="4" t="s">
        <v>63</v>
      </c>
      <c r="IW1" s="4" t="s">
        <v>802</v>
      </c>
      <c r="IX1" s="4" t="s">
        <v>801</v>
      </c>
      <c r="IY1" s="4" t="s">
        <v>1100</v>
      </c>
      <c r="IZ1" s="4" t="s">
        <v>800</v>
      </c>
      <c r="JA1" s="4" t="s">
        <v>1101</v>
      </c>
      <c r="JB1" s="4" t="s">
        <v>1102</v>
      </c>
      <c r="JC1" s="4" t="s">
        <v>1103</v>
      </c>
      <c r="JD1" s="4" t="s">
        <v>1104</v>
      </c>
      <c r="JE1" s="4" t="s">
        <v>1105</v>
      </c>
      <c r="JF1" s="4" t="s">
        <v>1106</v>
      </c>
      <c r="JG1" s="4" t="s">
        <v>1107</v>
      </c>
      <c r="JH1" s="4" t="s">
        <v>803</v>
      </c>
      <c r="JI1" s="4" t="s">
        <v>804</v>
      </c>
      <c r="JJ1" s="4" t="s">
        <v>805</v>
      </c>
      <c r="JK1" s="4" t="s">
        <v>806</v>
      </c>
      <c r="JL1" s="4" t="s">
        <v>1818</v>
      </c>
      <c r="JM1" s="4" t="s">
        <v>807</v>
      </c>
      <c r="JN1" s="26" t="s">
        <v>1794</v>
      </c>
      <c r="JO1" s="26" t="s">
        <v>1795</v>
      </c>
    </row>
    <row r="2" spans="1:275" s="13" customFormat="1" x14ac:dyDescent="0.2">
      <c r="A2" s="6" t="s">
        <v>10</v>
      </c>
      <c r="B2" s="3">
        <v>22386400</v>
      </c>
      <c r="C2" s="3" t="s">
        <v>17</v>
      </c>
      <c r="D2" s="3"/>
      <c r="E2" s="3" t="s">
        <v>158</v>
      </c>
      <c r="F2" t="s">
        <v>266</v>
      </c>
      <c r="G2"/>
      <c r="H2" s="3"/>
      <c r="I2" s="3"/>
      <c r="J2" s="3"/>
      <c r="K2" s="3" t="str">
        <f>PROPER(J2)&amp;", "&amp;PROPER(I2)</f>
        <v xml:space="preserve">, </v>
      </c>
      <c r="L2"/>
      <c r="M2"/>
      <c r="N2"/>
      <c r="O2"/>
      <c r="P2"/>
      <c r="Q2"/>
      <c r="R2"/>
      <c r="S2">
        <v>0</v>
      </c>
      <c r="T2" s="3" t="s">
        <v>74</v>
      </c>
      <c r="U2" s="13" t="s">
        <v>264</v>
      </c>
      <c r="V2"/>
      <c r="W2" s="89" t="s">
        <v>74</v>
      </c>
      <c r="X2" s="90">
        <v>35987</v>
      </c>
      <c r="Y2" s="92">
        <v>18336</v>
      </c>
      <c r="Z2" s="92">
        <v>19797</v>
      </c>
      <c r="AA2" s="92"/>
      <c r="AB2" s="269">
        <f>IF(R2="Y",AA2,IF(Z2&gt;0,Z2,"null"))</f>
        <v>19797</v>
      </c>
      <c r="AC2" s="92">
        <v>41640</v>
      </c>
      <c r="AD2" s="92"/>
      <c r="AE2" s="92"/>
      <c r="AF2" s="92">
        <v>26406</v>
      </c>
      <c r="AG2" s="92">
        <v>33168</v>
      </c>
      <c r="AH2" s="272">
        <v>41518</v>
      </c>
      <c r="AI2" s="272">
        <v>41671</v>
      </c>
      <c r="AJ2" s="272"/>
      <c r="AK2" s="92"/>
      <c r="AL2" s="91">
        <f>19.3</f>
        <v>19.3</v>
      </c>
      <c r="AM2" s="91">
        <f>19.5</f>
        <v>19.5</v>
      </c>
      <c r="AN2" s="95">
        <f>[1]!ATT(Y2,IF(AH2&gt;0,AH2,AI2))</f>
        <v>63</v>
      </c>
      <c r="AO2">
        <f>IF(AM2&gt;0,INT(AM2)*12+VLOOKUP((AM2-INT(AM2)),monthsadd,2),INT(AL2)*12+VLOOKUP((AL2-INT(AL2)),monthsadd,2))</f>
        <v>234</v>
      </c>
      <c r="AP2" s="170"/>
      <c r="AQ2" s="339">
        <f>IF(AF2="","null",[1]!ADDMONTHS(AF2,AO2))</f>
        <v>33528</v>
      </c>
      <c r="AR2" s="345">
        <f>IF(AG2&gt;0,AG2,AP2-1)</f>
        <v>33168</v>
      </c>
      <c r="AS2" s="270">
        <f>[1]!ATT(Y2,AR2)</f>
        <v>40</v>
      </c>
      <c r="AT2" s="269" t="str">
        <f>IF(AG2="","null",IF(AG2&gt;=DOBF,DOBF,"null"))</f>
        <v>null</v>
      </c>
      <c r="AU2" s="91" t="str">
        <f>IF(AND(AS2&gt;=65,IF(AM2&gt;0,AM2,AL2)&gt;=5),"NR",IF(AND(AS2&gt;=55,IF(AM2&gt;0,AM2,AL2)&gt;=10),"ER","DV"))</f>
        <v>DV</v>
      </c>
      <c r="AV2" s="7">
        <f>[1]!anb(Y2,DOPT)</f>
        <v>64</v>
      </c>
      <c r="AW2" s="7">
        <f>[1]!anb(AB2,DOPT)</f>
        <v>60</v>
      </c>
      <c r="AX2" s="270">
        <f t="shared" ref="AX2" si="0">IF(AC2&gt;=BA2,"null",IF(AND(AF2&lt;=DATE(1989,4,10),AL2&gt;=30,AS2&gt;=55),58,IF(AND(AF2&lt;=DATE(1989,4,10),AL2&lt;30,IF(AM2&gt;0,AM2,AL2)&gt;=10,AS2&gt;=55),62,IF(AND(AF2&gt;DATE(1989,4,10),AM2&gt;=10,AS2&gt;=62),62,65))))</f>
        <v>65</v>
      </c>
      <c r="AY2" s="272">
        <f>IF(AX2="null","null",[1]!NRD(Y2,AX2))</f>
        <v>42095</v>
      </c>
      <c r="AZ2" s="7">
        <f>65</f>
        <v>65</v>
      </c>
      <c r="BA2" s="269">
        <f>[1]!NRD(Y2,65)</f>
        <v>42095</v>
      </c>
      <c r="BB2" s="269">
        <f>DATE(YEAR(Y2)+70,MONTH(Y2)+6,DAY(Y2))</f>
        <v>44088</v>
      </c>
      <c r="BC2" s="269">
        <f>DATE(YEAR(BB2)+1,4,1)</f>
        <v>44287</v>
      </c>
      <c r="BD2" s="272">
        <f>[1]!RBD(C2,DOPT,"P",Y2,AG2,AC2)</f>
        <v>45017</v>
      </c>
      <c r="BE2" s="272">
        <f>[1]!RBD(C2,DOPT,"B",Y2,AG2,AC2)</f>
        <v>44896</v>
      </c>
      <c r="BF2" s="272" t="str">
        <f>IF(AG2="","null",IF(AG2&gt;BD2,"Y","N"))</f>
        <v>N</v>
      </c>
      <c r="BG2" s="272">
        <f>IF(AH2="",AI2,AH2)</f>
        <v>41518</v>
      </c>
      <c r="BH2" s="95">
        <f>[1]!ATT(Y2,BG2)</f>
        <v>63</v>
      </c>
      <c r="BI2" s="272" t="str">
        <f>IF(AF2&lt;DATE(1986,10,1),"Y","N")</f>
        <v>Y</v>
      </c>
      <c r="BJ2" s="7">
        <f>AV2</f>
        <v>64</v>
      </c>
      <c r="BK2" s="269">
        <f>DOPT2</f>
        <v>41640</v>
      </c>
      <c r="BL2" s="7">
        <f>AW2</f>
        <v>60</v>
      </c>
      <c r="BM2" s="7">
        <v>0</v>
      </c>
      <c r="BN2" s="7">
        <f>IF(AR2&lt;DATE(2001,4,1),0.55,0.6)</f>
        <v>0.55000000000000004</v>
      </c>
      <c r="BO2" s="7">
        <v>0</v>
      </c>
      <c r="BP2" s="7">
        <v>0</v>
      </c>
      <c r="BQ2" s="7">
        <v>0.6</v>
      </c>
      <c r="BR2" s="7">
        <v>0</v>
      </c>
      <c r="BS2" s="7" t="str">
        <f>IF(OR(BR2="",BR2=0),"null",DATE(YEAR(AH2)+BR2/12,MONTH(AH2)-1,1))</f>
        <v>null</v>
      </c>
      <c r="BT2" s="95" t="s">
        <v>158</v>
      </c>
      <c r="BU2" s="275">
        <v>0</v>
      </c>
      <c r="BV2" s="276">
        <v>0</v>
      </c>
      <c r="BW2" s="7" t="str">
        <f>IF(BS2="null","null",IF(BV2&gt;0,0,MAX(0,BV2-[1]!COMPM(AH2,[1]!NRD(DOPT,0)))))</f>
        <v>null</v>
      </c>
      <c r="BX2" s="7" t="str">
        <f>IF(AND(BP2="5",BW2&gt;0),"4","2")</f>
        <v>2</v>
      </c>
      <c r="BY2" s="275">
        <f>0</f>
        <v>0</v>
      </c>
      <c r="BZ2" s="276">
        <f>IF(BX2="4",BW2,0)</f>
        <v>0</v>
      </c>
      <c r="CA2" s="7" t="str">
        <f>IF(OR(BX2="2",BX2="5"),"SLA","JSC")</f>
        <v>SLA</v>
      </c>
      <c r="CB2" s="7" t="str">
        <f>"Joint-and-"&amp;BN2*100&amp;"% Survivor 'Pop-up' Annuity"</f>
        <v>Joint-and-55% Survivor 'Pop-up' Annuity</v>
      </c>
      <c r="CC2" s="7" t="str">
        <f>IF(BP2="2","SLA",IF(BP2=9,"J&amp;"&amp;BQ2*100&amp;"%S",IF(BP2="0","J&amp;"&amp;BQ2*100&amp;"%P","J&amp;"&amp;BN2*100&amp;"%P")))</f>
        <v>J&amp;55%P</v>
      </c>
      <c r="CD2" s="272" t="s">
        <v>1000</v>
      </c>
      <c r="CE2" s="272"/>
      <c r="CF2">
        <f>958.74</f>
        <v>958.74</v>
      </c>
      <c r="CG2"/>
      <c r="CH2"/>
      <c r="CI2" s="273">
        <f>IF(CD2="No","null",IF(CH2&gt;0,CH2,IF(CG2&gt;0,CG2,ROUND(CF2/12,2))))</f>
        <v>79.900000000000006</v>
      </c>
      <c r="CJ2" s="126" t="str">
        <f>IF(CD2="No","null",IF(AR2&gt;=DATE(1989,4,10),"null",MAX(DATE(1986,10,1),[1]!NRD(Y2,45))))</f>
        <v>null</v>
      </c>
      <c r="CK2" s="126" t="str">
        <f>IF(CD2="No","null",IF(AR2&gt;=DATE(1989,4,10),"null",MIN(AC2,BG2)))</f>
        <v>null</v>
      </c>
      <c r="CL2" s="67" t="str">
        <f>IF(CD2="No","null",IF(AR2&gt;=DATE(1989,4,10),"null",[1]!COMPM(CJ2,CK2)))</f>
        <v>null</v>
      </c>
      <c r="CM2" s="284">
        <f>IF(CD2="No","null",IF(MIN(AH2,AC2)&gt;=DATE(1989,4,10),1,ROUND(1-ROUND(1%/24*CL2,4),4)))</f>
        <v>1</v>
      </c>
      <c r="CN2" s="7"/>
      <c r="CO2" s="8">
        <f>IF(CD2="No","null",ROUND(CI2*CM2,2))</f>
        <v>79.900000000000006</v>
      </c>
      <c r="CP2" s="7">
        <f>IF(CD2="No","null",IF(AY2&lt;&gt;"null",IF(BG2&lt;AY2,[1]!COMPM(BG2,AY2),IF(BG2&lt;BA2,[1]!COMPM(BG2,BA2))),0))</f>
        <v>19</v>
      </c>
      <c r="CQ2" s="330">
        <f>IF(CD2="No","null",IF(AX2&lt;65,VLOOKUP(CP2,erftable2,2),VLOOKUP(CP2,erftable1,2)))</f>
        <v>0.88600000000000001</v>
      </c>
      <c r="CR2" s="277"/>
      <c r="CS2" s="276">
        <f>IF(CD2="No","null",IF(AG2&lt;BA2,0,[1]!COMPM(BA2,[1]!NRD(AG2,0))))</f>
        <v>0</v>
      </c>
      <c r="CT2" s="277">
        <f>IF(CD2="No","null",ROUND([1]!LRFAEQ(0.045,"M",65,CS2,0,MMORT,FMORT,"MP","Y"),4))</f>
        <v>1</v>
      </c>
      <c r="CU2" s="7">
        <f>IF(CD2="No","null",IF(BA2&gt;BG2,0,[1]!COMPM(BA2,BG2)))</f>
        <v>0</v>
      </c>
      <c r="CV2" s="277">
        <f>IF(CD2="No","null",ROUND([1]!LRFAEQ(0.045,"M",65,CU2,0,"AA06","AA06","MP","Y"),4))</f>
        <v>1</v>
      </c>
      <c r="CW2" s="278">
        <f>IF(CD2="No","null",ROUND(CV2/CT2,4))</f>
        <v>1</v>
      </c>
      <c r="CX2" s="12">
        <f>IF(CD2="No","null",ROUND(CO2*CQ2*CW2,2))</f>
        <v>70.790000000000006</v>
      </c>
      <c r="CY2" s="12"/>
      <c r="CZ2" s="274">
        <f>IF(AB2&lt;Y2,(YEAR(Y2)-YEAR(AB2))-IF(Y2&gt;=DATE(YEAR(Y2),MONTH(AB2),DAY(AB2)),0,1),-(YEAR(AB2)-YEAR(Y2))+IF(AB2&gt;=DATE(YEAR(AB2),MONTH(Y2),DAY(Y2)),0,1))</f>
        <v>-4</v>
      </c>
      <c r="DA2" s="277">
        <f>IF(ABS(CZ2)&lt;=5,0.95,IF(CZ2&gt;0,MIN(1,0.95+0.005*(ABS(CZ2)-5)),0.95-0.005*(ABS(CZ2)-5)))</f>
        <v>0.95</v>
      </c>
      <c r="DB2" s="277"/>
      <c r="DC2" s="273">
        <f>IF(CD2="No","null",ROUND(CX2*DA2,2))</f>
        <v>67.25</v>
      </c>
      <c r="DD2" s="273"/>
      <c r="DE2">
        <f>IF(CD2="Yes",DC2,IF(AND(DC2="null",DD2=""),"null",DD2))</f>
        <v>67.25</v>
      </c>
      <c r="DF2">
        <f>IF(DE2="null","",DE2-DD2)</f>
        <v>67.25</v>
      </c>
      <c r="DG2"/>
      <c r="DH2" s="8"/>
      <c r="DI2" s="273">
        <v>16.79</v>
      </c>
      <c r="DJ2" s="273"/>
      <c r="DK2" s="272" t="str">
        <f>IF(AND(OR(DI2&gt;0,DJ2&gt;0),DE2&lt;&gt;"null"),"Yes","No")</f>
        <v>Yes</v>
      </c>
      <c r="DL2" s="273">
        <f>IF(DK2="No","null",IF(DI2&lt;&gt;"",DI2,"null"))</f>
        <v>16.79</v>
      </c>
      <c r="DM2" s="273"/>
      <c r="DN2" s="273" t="str">
        <f>IF(DM2="","",IF(DM2=MIN(AH2:AI2),"Yes","No"))</f>
        <v/>
      </c>
      <c r="DO2" s="269">
        <f>IF(DK2="No","null",MAX([1]!NRD(Y2,45),DATE(1986,10,1)))</f>
        <v>34790</v>
      </c>
      <c r="DP2" s="269">
        <f>IF(DK2="No","null",MIN(AC2,BG2))</f>
        <v>41518</v>
      </c>
      <c r="DQ2" s="274">
        <f>IF(DK2="No","null",[1]!COMPM(DO2,DP2))</f>
        <v>221</v>
      </c>
      <c r="DR2" s="277">
        <f>IF(DK2="No","null",ROUND(1-ROUND(DQ2*1/24*0.01,4),4))</f>
        <v>0.90790000000000004</v>
      </c>
      <c r="DS2" s="273">
        <f>IF(DK2="No","null",ROUND(DL2*DR2,2))</f>
        <v>15.24</v>
      </c>
      <c r="DT2" s="273"/>
      <c r="DU2" s="276">
        <f>IF(DK2="No","null",IF(BG2&gt;=BA2,0,[1]!COMPM(BG2,BA2)))</f>
        <v>19</v>
      </c>
      <c r="DV2" s="277">
        <f>IF(DK2="No","null",VLOOKUP(DU2,erftable1,2))</f>
        <v>0.88600000000000001</v>
      </c>
      <c r="DW2" s="277"/>
      <c r="DX2" s="7">
        <f>IF(DK2="No","null",IF(BA2&gt;BG2,0,[1]!COMPM(BA2,BG2)))</f>
        <v>0</v>
      </c>
      <c r="DY2" s="277">
        <f>IF(DK2="No","null",ROUND([1]!LRFAEQ(0.04,"M",65,DX2,0,"AA06","AA06","MP","Y"),4))</f>
        <v>1</v>
      </c>
      <c r="DZ2" s="273">
        <f>IF(DK2="No","null",ROUND(DS2*DV2*DY2,2))</f>
        <v>13.5</v>
      </c>
      <c r="EA2" s="273"/>
      <c r="EB2" s="273"/>
      <c r="EC2" s="273">
        <f>IF(DK2="No","null",ROUND(DZ2*DA2,2))</f>
        <v>12.83</v>
      </c>
      <c r="ED2" s="273"/>
      <c r="EE2" s="273" t="str">
        <f>IF(OR(EC2="null",ED2=""),"",EC2-ED2)</f>
        <v/>
      </c>
      <c r="EF2" s="273">
        <f>IF(AND(CD2="No",DK2="No"),"null",ROUND(DE2*IF(BQ2&gt;0,BQ2,IF(AG2&gt;=DATE(2001,4,15),0.6,0.55)),2))</f>
        <v>40.35</v>
      </c>
      <c r="EG2" s="273">
        <f>IF(DK2="Yes",ROUND(DE2-EC2,2),DE2)</f>
        <v>54.42</v>
      </c>
      <c r="EH2" s="273">
        <f>IF(DK2="No","null",ROUND(0.55*EC2,2))</f>
        <v>7.06</v>
      </c>
      <c r="EI2" s="273"/>
      <c r="EJ2" s="273">
        <f>IF(EH2&lt;&gt;"null",EH2,IF(CD2="Yes",IF(AF2&gt;=DATE(1986,10,1),"null",EI2),"null"))</f>
        <v>7.06</v>
      </c>
      <c r="EK2" s="12">
        <f>IF(AND(CD2="No",DK2="No"),"null",MAX(0,ROUND(EF2-IF(EJ2="null",0,EJ2),2)))</f>
        <v>33.29</v>
      </c>
      <c r="EL2" s="272"/>
      <c r="EM2" s="12">
        <f>EL2</f>
        <v>0</v>
      </c>
      <c r="EN2" s="12">
        <f>IF(EK2="null","null",ROUND(EK2-EM2,2))</f>
        <v>33.29</v>
      </c>
      <c r="EO2" s="98" t="str">
        <f>IF(EN2="null","null",IF(EL2&gt;0,ROUND(ABS((EK2-EM2)/MIN(EK2,EM2)),4),"null"))</f>
        <v>null</v>
      </c>
      <c r="EP2" s="12" t="str">
        <f>IF(EN2="null","null",IF(EN2&gt;0,"N",IF(EN2&lt;-5,"N","Y")))</f>
        <v>N</v>
      </c>
      <c r="EQ2" s="12" t="str">
        <f>IF(EN2="null","null",IF(EN2=0,"M",IF(EP2="Y","N",IF(EK2&gt;EM2,"I","D"))))</f>
        <v>I</v>
      </c>
      <c r="ER2" s="12">
        <f>IF(EP2="N",EK2,EM2)</f>
        <v>33.29</v>
      </c>
      <c r="ES2" s="12" t="str">
        <f>IF(IT2="N","null",IF(AC2="","Participant",IF(AD2&lt;&gt;"","Estate","Beneficiary")))</f>
        <v>Beneficiary</v>
      </c>
      <c r="ET2" s="12" t="str">
        <f>IF(EP2="null","null",IF(EQ2="I","Your current monthly benefit of "&amp;DOLLAR(EL2,2)&amp;" will increase to "&amp;DOLLAR(ER2,2)&amp;". See the Benefit Calculation Section for further details.",IF(EQ2="N","Your current monthly benefit of "&amp;DOLLAR(EL2,2)&amp;" will not change. Although the amount of the PBGC monthly benefit shown above is slightly "&amp;IF(EN2&lt;0,"less","more")&amp;" than the amount you are currently receiving, we will not change the amount of your current monthly benefit.",IF(EQ2="D",IF(ES2="Estate","The beneficiary's current monthly benefit of ","Your current monthly benefit of ")&amp;DOLLAR(EL2,2)&amp;" will decrease to "&amp;DOLLAR(ER2,2),IF(EQ2="M","Your current monthly benefit of "&amp;DOLLAR(EL2,2)&amp;" will not change.","null")))))</f>
        <v>Your current monthly benefit of $0.00 will increase to $33.29. See the Benefit Calculation Section for further details.</v>
      </c>
      <c r="EU2" s="12"/>
      <c r="EV2" s="12" t="str">
        <f>IF(EQ2="D",ET2&amp;" "&amp;EU2&amp;" See the Benefit Calculation section for further details.",ET2)</f>
        <v>Your current monthly benefit of $0.00 will increase to $33.29. See the Benefit Calculation Section for further details.</v>
      </c>
      <c r="EW2" s="8"/>
      <c r="EX2" s="8"/>
      <c r="EY2" s="8"/>
      <c r="EZ2" s="8"/>
      <c r="FA2" s="269" t="str">
        <f>"null"</f>
        <v>null</v>
      </c>
      <c r="FB2" s="269" t="str">
        <f>"null"</f>
        <v>null</v>
      </c>
      <c r="FC2" s="269">
        <f>[1]!retdate(AB2,65,1)</f>
        <v>43556</v>
      </c>
      <c r="FD2" s="8" t="str">
        <f>IF(EY2&gt;0,"Y",IF(AND(AU2="ER",ISBLANK(EY2),FC2&gt;=DOPT2),"Y","N"))</f>
        <v>N</v>
      </c>
      <c r="FE2" s="7" t="str">
        <f>IF(FD2="Y",VLOOKUP(AR2,Medicare,2),"null")</f>
        <v>null</v>
      </c>
      <c r="FF2" s="269" t="str">
        <f>IF(FE2="null","null",MAX(BK2,FC2,DOPT2))</f>
        <v>null</v>
      </c>
      <c r="FG2" s="269" t="str">
        <f>IF(FF2="null","null",DATE(2099,12,1))</f>
        <v>null</v>
      </c>
      <c r="FH2" s="269" t="str">
        <f>FG2</f>
        <v>null</v>
      </c>
      <c r="FI2" s="12">
        <f>PBGCMAX</f>
        <v>4789.7700000000004</v>
      </c>
      <c r="FJ2" s="11">
        <f>DATE(YEAR(AB2)+65,MONTH(AB2),DAY(AB2))</f>
        <v>43538</v>
      </c>
      <c r="FK2" s="6">
        <f>IF(DOPT&gt;(FJ2-1),0,[1]!COMPM(DOPT,FJ2-1))</f>
        <v>62</v>
      </c>
      <c r="FL2" s="6">
        <f>[1]!PBGCERF(FK2)</f>
        <v>0.64329999999999998</v>
      </c>
      <c r="FM2" s="6">
        <f>IF(DOPT&gt;(FJ2+1),[1]!COMPM(FJ2+1,DOPT),0)</f>
        <v>0</v>
      </c>
      <c r="FN2" s="6">
        <f>[1]!PBGCLRF(65+(FM2/12))</f>
        <v>1</v>
      </c>
      <c r="FO2" s="6">
        <f>[1]!PBGCBFCF2("SLA",0,0,CA2,BY2,BZ2,MIN(65,BL2),0)</f>
        <v>1</v>
      </c>
      <c r="FP2" s="6">
        <f>ROUND(FI2*FL2*FN2*FO2,2)</f>
        <v>3081.26</v>
      </c>
      <c r="FQ2" s="6">
        <f>[1]!MAXLIM(DOPT,AB2,0,BK2,IF(BS2="null",0,BS2),BY2,CA2,1000000,C2)</f>
        <v>3081.26</v>
      </c>
      <c r="FR2" s="6" t="b">
        <f>FP2=FQ2</f>
        <v>1</v>
      </c>
      <c r="FS2" s="12">
        <f>MIN(FP2,ER2)</f>
        <v>33.29</v>
      </c>
      <c r="FT2" s="12" t="str">
        <f>FE2</f>
        <v>null</v>
      </c>
      <c r="FU2" s="6" t="str">
        <f>IF(BG2&lt;DOPT3,"Yes","No")</f>
        <v>No</v>
      </c>
      <c r="FV2" s="6">
        <f>IF(FU2="Yes","null",[1]!ATT(Y2,DOPT3))</f>
        <v>60</v>
      </c>
      <c r="FW2" s="6">
        <f>IF(FU2="Yes","null",IF(AG2&lt;DATE(2011,1,1),0,VLOOKUP(IF(AG2&gt;=DATE(2012,1,1),12*190,MONTH(AG2)*190),VS,2)))</f>
        <v>0</v>
      </c>
      <c r="FX2" s="6">
        <f>IF(FU2="Yes","null",IF(AG2&lt;DATE(2012,1,1),0,VLOOKUP(IF(AG2&gt;=DATE(2013,1,1),12*190,MONTH(AG2)*190),VS,2)))</f>
        <v>0</v>
      </c>
      <c r="FY2" s="6">
        <f>IF(FU2="Yes","null",IF(AG2&lt;DATE(2013,1,1),0,VLOOKUP(IF(AG2&gt;=DATE(2014,1,1),12*190,MONTH(AG2)*190),VS,2)))</f>
        <v>0</v>
      </c>
      <c r="FZ2" s="6">
        <f>IF(FU2="Yes","null",AM2-FW2-FX2-FY2)</f>
        <v>19.5</v>
      </c>
      <c r="GA2" s="7" t="str">
        <f>IF(FU2="Yes","Y",IF(AND(FV2&gt;=55,FZ2&gt;=5),"Y","N"))</f>
        <v>Y</v>
      </c>
      <c r="GB2" s="7" t="str">
        <f>IF(FU2="Yes","null",IF(GA2="N","null",IF(AND(MIN(AS2,FV2)&gt;=65,FZ2&gt;=5),"NR",IF(AND(MIN(AS2,FV2)&gt;=55,FZ2&gt;=10),"ER","DV"))))</f>
        <v>DV</v>
      </c>
      <c r="GC2" s="12">
        <f>IF(FU2="Yes","null",IF(GA2="Y",CI2,"null"))</f>
        <v>79.900000000000006</v>
      </c>
      <c r="GD2" s="6">
        <f>IF(FU2="Yes","null",IF(GA2="N","null",IF(AND(AF2&lt;=DATE(1989,4,10),AL2&gt;=30,MIN(FV2,AS2)&gt;=55),58,IF(AND(AF2&lt;=DATE(1989,4,10),FZ2&gt;=10,MIN(FV2,AS2)&gt;=55),62,IF(AND(AF2&gt;DATE(1989,4,10),FZ2&gt;=10,MIN(FV2,AS2)&gt;=62),62,65)))))</f>
        <v>65</v>
      </c>
      <c r="GE2" s="11">
        <f>IF(FU2="Yes","null",IF(GA2="N","null",[1]!NRD(Y2,GD2)))</f>
        <v>42095</v>
      </c>
      <c r="GF2" s="6">
        <f>IF(FU2="Yes","null",IF(GA2="N","null",IF([1]!NRD(DOPT3,0)&lt;GE2,[1]!COMPM([1]!NRD(DOPT3,0),GE2),0)))</f>
        <v>51</v>
      </c>
      <c r="GG2" s="249">
        <f>IF(FU2="Yes","null",IF(GA2="N","null",VLOOKUP(GF2,IF(GD2=65,erftable1,erftable2),2,FALSE)))</f>
        <v>0.69399999999999995</v>
      </c>
      <c r="GH2" s="6">
        <f>IF(FU2="Yes","null",IF(GA2="N","null",IF([1]!NRD(DOPT3,0)&gt;BA2,[1]!COMPM(BA2,[1]!NRD(DOPT3,0)),0)))</f>
        <v>0</v>
      </c>
      <c r="GI2" s="249">
        <f>IF(FU2="Yes","null",IF(GA2="N","null",ROUND([1]!LRFAEQ(0.045,"M",65,GH2,0,"AA06","AA06","MP","Y"),4)))</f>
        <v>1</v>
      </c>
      <c r="GJ2" s="249">
        <f>IF(FU2="Yes","null",IF(GA2="N","null",ROUND(MAX(1,GI2/CT2),4)))</f>
        <v>1</v>
      </c>
      <c r="GK2" s="12">
        <f>IF(FU2="Yes","null",IF(GA2="N","null",ROUND(GC2*GG2*GJ2,2)))</f>
        <v>55.45</v>
      </c>
      <c r="GL2" s="249">
        <f>IF(FU2="Yes","null",IF(GA2="N","null",DA2))</f>
        <v>0.95</v>
      </c>
      <c r="GM2" s="12">
        <f>IF(FU2="Yes","null",IF(GA2="N","null",ROUND(GK2*GL2,2)))</f>
        <v>52.68</v>
      </c>
      <c r="GN2" s="283">
        <f>IF(FU2="Yes","null",IF(OR(DL2={"",0,"null"}),"null",DR2))</f>
        <v>0.90790000000000004</v>
      </c>
      <c r="GO2" s="8">
        <f>IF(FU2="Yes","null",IF(OR(DL2={"",0,"null"}),"null",ROUND(DL2*GN2,2)))</f>
        <v>15.24</v>
      </c>
      <c r="GP2">
        <f>IF(OR(FU2="Yes",DL2="null",DK2="No"),"null",IF([1]!NRD(DOPT3,0)&lt;BA2,[1]!COMPM([1]!NRD(DOPT3,0),BA2),0))</f>
        <v>51</v>
      </c>
      <c r="GQ2" s="277">
        <f>IF(GP2="null","null",VLOOKUP(GP2,erftable1,2,FALSE))</f>
        <v>0.69399999999999995</v>
      </c>
      <c r="GR2" s="276">
        <f>IF(FU2="Yes","null",IF(GA2="N","null", IF(DK2="No","null",IF(BA2&gt;[1]!NRD(DOPT3,0),0,[1]!COMPM(BA2,[1]!NRD(DOPT3,0))))))</f>
        <v>0</v>
      </c>
      <c r="GS2" s="277">
        <f>IF(GR2="null","null",ROUND([1]!LRFAEQ(0.04,"M",65,GR2,0,"AA06","AA06","MP","Y"),4))</f>
        <v>1</v>
      </c>
      <c r="GT2" s="12">
        <f>IF(OR(FU2="Yes",OR(DL2={0,"null"})),"null",ROUND(GO2*GQ2*GS2,2))</f>
        <v>10.58</v>
      </c>
      <c r="GU2" s="277">
        <f>IF(GT2="null","null",IF(GA2="N","null",GL2))</f>
        <v>0.95</v>
      </c>
      <c r="GV2" s="12">
        <f>IF(GT2="null","null",ROUND(GT2*GU2,2))</f>
        <v>10.050000000000001</v>
      </c>
      <c r="GW2" s="12">
        <f>IF(FU2="Yes","null",IF(GA2="N","null",ROUND(GM2*IF(AG2&gt;=DATE(2001,4,15),0.6,0.55),2)))</f>
        <v>28.97</v>
      </c>
      <c r="GX2" s="12">
        <f>IF(GV2="null","null",ROUND(GV2*0.55,2))</f>
        <v>5.53</v>
      </c>
      <c r="GY2" s="12">
        <f>IF(GW2="null","null",MIN(ER2,ROUND(GW2,2)-ROUND(IF(GX2="null",0,GX2),2)))</f>
        <v>23.439999999999998</v>
      </c>
      <c r="GZ2" s="12">
        <f>IF(FU2="Yes",ER2,GY2)</f>
        <v>23.439999999999998</v>
      </c>
      <c r="HA2" s="12" t="str">
        <f>IF(GA2="N","null",IF(GB2="DV","null",FE2))</f>
        <v>null</v>
      </c>
      <c r="HB2" s="98">
        <f>IF(GA2="N","null",PC34044AR)</f>
        <v>1</v>
      </c>
      <c r="HC2" s="98" t="str">
        <f>IF(AND(GA2="Y",GZ2&gt;ER2),"Y","N")</f>
        <v>N</v>
      </c>
      <c r="HD2" s="12">
        <f>MAX(FS2,ROUND(GZ2*HB2,2))</f>
        <v>33.29</v>
      </c>
      <c r="HE2" s="12" t="str">
        <f>FT2</f>
        <v>null</v>
      </c>
      <c r="HF2" s="98">
        <f>SPARR</f>
        <v>4.9299999999999997E-2</v>
      </c>
      <c r="HG2" s="12">
        <f>0</f>
        <v>0</v>
      </c>
      <c r="HH2" s="303">
        <f>PC5AAR</f>
        <v>0.232181</v>
      </c>
      <c r="HI2" s="12">
        <f>HD2</f>
        <v>33.29</v>
      </c>
      <c r="HJ2" s="12" t="str">
        <f>HE2</f>
        <v>null</v>
      </c>
      <c r="HK2" s="6">
        <f>ROUND([1]!NPVF2("MP","SLA","N",DOPT,IF(R2="Y",V2,U2),AW2,BL2,0,0,0,0,DOPT,DOPT,"P","","",0),4)</f>
        <v>17.565100000000001</v>
      </c>
      <c r="HL2" s="6" t="str">
        <f>IF(FE2="null","null",[1]!COMPM(BK2,FF2))</f>
        <v>null</v>
      </c>
      <c r="HM2" s="6" t="str">
        <f>IF(HL2="null","null",ROUND([1]!NPVF2("MP","SLA","N",DOPT,U2,AW2,BL2,0,0,0,0,DOPT,DOPT,"P","","",0),4))</f>
        <v>null</v>
      </c>
      <c r="HN2" s="6" t="str">
        <f>IF(HL2="null","null",IF(HL2=0,0,ROUND([1]!NPVF2("MP","SLA","N",DOPT,U2,AW2,BL2,BJ2,0,0,HL2,DOPT,DOPT,"P","","",0),4)))</f>
        <v>null</v>
      </c>
      <c r="HO2" s="6" t="str">
        <f>IF(HL2="null","null",(HM2-HN2))</f>
        <v>null</v>
      </c>
      <c r="HP2" s="271">
        <f>ROUND((ER2*HK2*12),0)+ROUND(IF(FE2="null",0,(FE2*HO2*12)),0)</f>
        <v>7017</v>
      </c>
      <c r="HQ2" s="557">
        <f>LOADING</f>
        <v>8.0999999999999996E-3</v>
      </c>
      <c r="HR2" s="271">
        <f>ROUND(HP2*(1+HQ2),0)</f>
        <v>7074</v>
      </c>
      <c r="HS2" s="271">
        <f>HP2</f>
        <v>7017</v>
      </c>
      <c r="HT2" s="271">
        <f>HR2</f>
        <v>7074</v>
      </c>
      <c r="HU2" s="271">
        <f>IF(GA2="N","null",ROUND((GZ2*HK2*12),0)+ROUND(IF(HA2="null",0,(HA2*HO2*12)),0))</f>
        <v>4941</v>
      </c>
      <c r="HV2" s="12">
        <f>IF(GA2="N","null",ROUND(HU2*HQ2,0))</f>
        <v>40</v>
      </c>
      <c r="HW2" s="12">
        <f>IF(GA2="N","null",ROUND(HU2+HV2,0))</f>
        <v>4981</v>
      </c>
      <c r="HX2" s="271">
        <f>IF(GA2="N","",HR2)</f>
        <v>7074</v>
      </c>
      <c r="HY2" s="271">
        <f>HS2</f>
        <v>7017</v>
      </c>
      <c r="HZ2" s="271">
        <f>HT2</f>
        <v>7074</v>
      </c>
      <c r="IA2" s="271">
        <f>HY2</f>
        <v>7017</v>
      </c>
      <c r="IB2" s="271">
        <f>HZ2</f>
        <v>7074</v>
      </c>
      <c r="IC2" s="279">
        <f>ROUND([1]!NPVF2("MP","SLA","O",DOPT,U2,AW2,BL2,0,0,0,0,DOPT,DOPT,"P","",""),4)</f>
        <v>15.5886</v>
      </c>
      <c r="ID2" s="279" t="str">
        <f>IF(HJ2="null","null",ROUND([1]!NPVF2("MP","SLA","O",DOPT,U2,AW2,AW2,0,0,0,0,DOPT,DOPT,"P","",""),4))</f>
        <v>null</v>
      </c>
      <c r="IE2" s="279" t="str">
        <f>IF(HJ2="null","null",IF(HL2=0,0,ROUND([1]!NPVF2("MP","SLA","O",DOPT,U2,AW2,BL2,0,0,0,HL2,DOPT,DOPT,"P","",""),4)))</f>
        <v>null</v>
      </c>
      <c r="IF2" s="279" t="str">
        <f>IF(HJ2="null","null",ID2-IE2)</f>
        <v>null</v>
      </c>
      <c r="IG2" s="271">
        <f>ROUND((HI2*IC2*12),0)+ROUND(IF(HJ2="null",0,HJ2*IF2*12),0)</f>
        <v>6227</v>
      </c>
      <c r="IH2" s="21">
        <f>ROUND(AW2*IA2,0)</f>
        <v>421020</v>
      </c>
      <c r="II2" s="21">
        <f>IH2</f>
        <v>421020</v>
      </c>
      <c r="IJ2" s="271" t="str">
        <f>"U"</f>
        <v>U</v>
      </c>
      <c r="IK2" s="271" t="str">
        <f>"U"</f>
        <v>U</v>
      </c>
      <c r="IL2" s="6">
        <f>BL2</f>
        <v>60</v>
      </c>
      <c r="IM2" s="6">
        <v>999</v>
      </c>
      <c r="IN2" s="6" t="str">
        <f t="shared" ref="IN2:IS2" si="1">"N"</f>
        <v>N</v>
      </c>
      <c r="IO2" s="6" t="str">
        <f t="shared" si="1"/>
        <v>N</v>
      </c>
      <c r="IP2" s="6" t="str">
        <f t="shared" si="1"/>
        <v>N</v>
      </c>
      <c r="IQ2" s="6" t="str">
        <f t="shared" si="1"/>
        <v>N</v>
      </c>
      <c r="IR2" s="6" t="str">
        <f t="shared" si="1"/>
        <v>N</v>
      </c>
      <c r="IS2" s="6" t="str">
        <f t="shared" si="1"/>
        <v>N</v>
      </c>
      <c r="IT2" s="8" t="str">
        <f>IF(EP2="N","Y","N")</f>
        <v>Y</v>
      </c>
      <c r="IU2" s="8" t="str">
        <f>"N"</f>
        <v>N</v>
      </c>
      <c r="IV2" s="8" t="str">
        <f>"SB"</f>
        <v>SB</v>
      </c>
      <c r="IW2" s="6" t="str">
        <f>IF(IT2="N","null","Entitled")</f>
        <v>Entitled</v>
      </c>
      <c r="IX2" s="6" t="str">
        <f>IF(IT2="N","null",IF(AC2="","Participant",IF(AD2&lt;&gt;"","Estate","Beneficiary")))</f>
        <v>Beneficiary</v>
      </c>
      <c r="IY2" s="6" t="str">
        <f>IF(IX2&lt;&gt;"Estate","null","Beneficiary")</f>
        <v>null</v>
      </c>
      <c r="IZ2" s="6" t="str">
        <f>IF(AH2=AI2,"BSD","ARD")</f>
        <v>ARD</v>
      </c>
      <c r="JA2" s="6" t="str">
        <f>IF(IT2="N","null","Normal Retirement Date"&amp;IF(OR(DK2="Yes",MIN(AH2,AI2)&lt;&gt;BA2)," (NRD)","")&amp;":")</f>
        <v>Normal Retirement Date (NRD):</v>
      </c>
      <c r="JB2" s="6" t="str">
        <f>IF(IT2="N","null",IF(OR(IX2="Participant",IY2="Participant"),"Actual Retirement Date (ARD):","Benefit Starting Date (BSD):"))</f>
        <v>Benefit Starting Date (BSD):</v>
      </c>
      <c r="JC2" s="6" t="str">
        <f>IF(IT2="N","null","DOPT")</f>
        <v>DOPT</v>
      </c>
      <c r="JD2" s="6" t="s">
        <v>37</v>
      </c>
      <c r="JE2" s="6" t="str">
        <f>IF(AH2=AI2,"BSD","NRD")</f>
        <v>NRD</v>
      </c>
      <c r="JF2" s="6" t="str">
        <f>IF(IT2="N","null",IF(DK2="Yes","after Barnes Offset",IF(ISNUMBER(SEARCH("BFCF",JH2,1)),"after BFCF",IF(ISNUMBER(SEARCH("ERF",JH2,1)),"after ERF",IF(ISNUMBER(SEARCH("LRF",JH2,1)),"after LRF",IF(ISNUMBER(SEARCH("PRSA",JH2,1)),"after PRSA","after AMB"))))))</f>
        <v>after Barnes Offset</v>
      </c>
      <c r="JG2" s="6" t="str">
        <f>JE2</f>
        <v>NRD</v>
      </c>
      <c r="JH2" s="6" t="str">
        <f>IF(CD2="No","",IF(CM2="null","",IF(CM2&lt;1,"PRSA",""))&amp;IF(CQ2="null","",IF(CQ2&lt;1,"ERF",""))&amp;IF(CW2="null","",IF(CW2&gt;1,"LRF",""))&amp;IF(DA2="null","",IF(OR(DA2&lt;1,DA2&gt;1),"BFCF","")))</f>
        <v>ERFBFCF</v>
      </c>
      <c r="JI2" s="6" t="str">
        <f>IF(OR(IT2="N",DK2="No"),"",IF(DR2="null","",IF(DR2&lt;1,"PRSA",""))&amp;IF(DV2="null","",IF(DV2&lt;1,"ERF",""))&amp;IF(DY2="null","",IF(DY2&gt;1,"LRF",""))&amp;IF(DA2="null","",IF(OR(DA2&lt;1,DA2&gt;1),"BFCF","")))</f>
        <v>PRSAERFBFCF</v>
      </c>
      <c r="JJ2" s="6" t="str">
        <f>IF(IT2="N","null",IF(FS2&lt;ER2,"MGB","null"))</f>
        <v>null</v>
      </c>
      <c r="JK2" s="6" t="str">
        <f>"null"</f>
        <v>null</v>
      </c>
      <c r="JL2" s="6" t="str">
        <f>"Yes"</f>
        <v>Yes</v>
      </c>
      <c r="JM2" s="6" t="str">
        <f>IF(IT2="N","null","Bene of Dis")</f>
        <v>Bene of Dis</v>
      </c>
    </row>
    <row r="3" spans="1:275" s="13" customFormat="1" x14ac:dyDescent="0.2">
      <c r="A3" s="6"/>
      <c r="B3" s="18"/>
      <c r="C3" s="18"/>
      <c r="D3" s="18"/>
      <c r="E3" s="18"/>
      <c r="F3" s="18"/>
      <c r="G3" s="18"/>
      <c r="H3" s="18"/>
      <c r="I3" s="5"/>
      <c r="J3" s="5"/>
      <c r="K3" s="5"/>
      <c r="L3" s="5"/>
      <c r="M3" s="5"/>
      <c r="N3" s="5"/>
      <c r="O3" s="5"/>
      <c r="P3" s="5"/>
      <c r="Q3" s="5"/>
      <c r="R3" s="5"/>
      <c r="S3" s="5"/>
      <c r="T3" s="5"/>
      <c r="U3" s="6"/>
      <c r="V3" s="6"/>
      <c r="W3" s="6"/>
      <c r="X3" s="6"/>
      <c r="Y3" s="11"/>
      <c r="Z3" s="11"/>
      <c r="AA3" s="11"/>
      <c r="AB3" s="11"/>
      <c r="AC3" s="19"/>
      <c r="AD3" s="19"/>
      <c r="AE3" s="19"/>
      <c r="AF3" s="11"/>
      <c r="AG3" s="19"/>
      <c r="AH3" s="19"/>
      <c r="AI3" s="19"/>
      <c r="AJ3" s="19"/>
      <c r="AK3" s="92"/>
      <c r="AL3" s="19"/>
      <c r="AM3" s="19"/>
      <c r="AN3" s="272"/>
      <c r="AO3"/>
      <c r="AP3" s="170"/>
      <c r="AQ3" s="339"/>
      <c r="AR3" s="92"/>
      <c r="AS3" s="19"/>
      <c r="AT3" s="7"/>
      <c r="AU3" s="91"/>
      <c r="AV3" s="6"/>
      <c r="AW3" s="6"/>
      <c r="AX3" s="19"/>
      <c r="AY3" s="19"/>
      <c r="AZ3" s="6"/>
      <c r="BA3" s="11"/>
      <c r="BB3" s="274"/>
      <c r="BC3" s="274"/>
      <c r="BD3" s="19"/>
      <c r="BE3" s="19"/>
      <c r="BF3" s="19"/>
      <c r="BG3" s="19"/>
      <c r="BH3" s="19"/>
      <c r="BI3" s="19"/>
      <c r="BJ3" s="7"/>
      <c r="BK3" s="269"/>
      <c r="BL3" s="7"/>
      <c r="BM3" s="7"/>
      <c r="BN3" s="7"/>
      <c r="BO3" s="7"/>
      <c r="BP3" s="7"/>
      <c r="BQ3" s="7"/>
      <c r="BR3" s="7"/>
      <c r="BS3" s="6"/>
      <c r="BT3" s="271"/>
      <c r="BU3" s="12"/>
      <c r="BV3" s="12"/>
      <c r="BW3" s="6"/>
      <c r="BX3" s="6"/>
      <c r="BY3" s="20"/>
      <c r="BZ3" s="6"/>
      <c r="CA3" s="6"/>
      <c r="CB3" s="7"/>
      <c r="CC3" s="7"/>
      <c r="CD3" s="19"/>
      <c r="CE3" s="272"/>
      <c r="CF3"/>
      <c r="CG3"/>
      <c r="CH3"/>
      <c r="CI3" s="12"/>
      <c r="CJ3" s="12"/>
      <c r="CK3" s="12"/>
      <c r="CL3" s="12"/>
      <c r="CM3" s="7"/>
      <c r="CN3" s="6"/>
      <c r="CO3" s="7"/>
      <c r="CP3" s="12"/>
      <c r="CQ3" s="12"/>
      <c r="CR3" s="12"/>
      <c r="CS3" s="12"/>
      <c r="CT3" s="277"/>
      <c r="CU3" s="12"/>
      <c r="CV3" s="277"/>
      <c r="CW3" s="12"/>
      <c r="CX3" s="12"/>
      <c r="CY3" s="12"/>
      <c r="CZ3" s="274"/>
      <c r="DA3" s="277"/>
      <c r="DB3" s="12"/>
      <c r="DC3" s="12"/>
      <c r="DD3" s="12"/>
      <c r="DE3"/>
      <c r="DF3"/>
      <c r="DG3"/>
      <c r="DH3" s="12"/>
      <c r="DI3" s="12"/>
      <c r="DJ3" s="12"/>
      <c r="DK3" s="272"/>
      <c r="DL3" s="12"/>
      <c r="DM3" s="273"/>
      <c r="DN3" s="273"/>
      <c r="DO3" s="12"/>
      <c r="DP3" s="12"/>
      <c r="DQ3" s="12"/>
      <c r="DR3" s="12"/>
      <c r="DS3" s="12"/>
      <c r="DT3" s="12"/>
      <c r="DU3" s="12"/>
      <c r="DV3" s="12"/>
      <c r="DW3" s="12"/>
      <c r="DX3" s="12"/>
      <c r="DY3" s="12"/>
      <c r="DZ3" s="12"/>
      <c r="EA3" s="12"/>
      <c r="EB3" s="12"/>
      <c r="EC3" s="12"/>
      <c r="ED3" s="12"/>
      <c r="EE3" s="273"/>
      <c r="EF3" s="273"/>
      <c r="EG3" s="273"/>
      <c r="EH3" s="273"/>
      <c r="EI3" s="273"/>
      <c r="EJ3" s="273"/>
      <c r="EK3" s="12"/>
      <c r="EL3" s="19"/>
      <c r="EM3" s="12"/>
      <c r="EN3" s="12"/>
      <c r="EO3" s="98"/>
      <c r="EP3" s="12"/>
      <c r="EQ3" s="12"/>
      <c r="ER3" s="12"/>
      <c r="ES3" s="12"/>
      <c r="ET3" s="12"/>
      <c r="EU3" s="12"/>
      <c r="EV3" s="12"/>
      <c r="EW3" s="8"/>
      <c r="EX3" s="8"/>
      <c r="EY3" s="8"/>
      <c r="EZ3" s="8"/>
      <c r="FA3" s="12"/>
      <c r="FB3" s="12"/>
      <c r="FC3" s="12"/>
      <c r="FD3" s="8"/>
      <c r="FE3" s="6"/>
      <c r="FF3" s="12"/>
      <c r="FG3" s="12"/>
      <c r="FH3" s="269"/>
      <c r="FT3" s="12"/>
      <c r="FU3" s="6"/>
      <c r="FV3" s="6"/>
      <c r="FW3" s="6"/>
      <c r="FX3" s="6"/>
      <c r="FY3" s="6"/>
      <c r="FZ3" s="6"/>
      <c r="GA3" s="6"/>
      <c r="GB3" s="6"/>
      <c r="GC3" s="12"/>
      <c r="GD3" s="6"/>
      <c r="GE3" s="12"/>
      <c r="GF3" s="6"/>
      <c r="GG3" s="249"/>
      <c r="GH3" s="249"/>
      <c r="GI3" s="249"/>
      <c r="GJ3" s="249"/>
      <c r="GK3" s="12"/>
      <c r="GL3" s="249"/>
      <c r="GM3" s="12"/>
      <c r="GN3" s="277"/>
      <c r="GO3" s="8"/>
      <c r="GP3"/>
      <c r="GQ3" s="277"/>
      <c r="GR3" s="276"/>
      <c r="GS3" s="277"/>
      <c r="GT3" s="12"/>
      <c r="GU3" s="277"/>
      <c r="GV3" s="12"/>
      <c r="GW3" s="12"/>
      <c r="GX3" s="12"/>
      <c r="GY3" s="12"/>
      <c r="GZ3" s="12"/>
      <c r="HA3" s="12"/>
      <c r="HB3" s="98"/>
      <c r="HC3" s="98"/>
      <c r="HF3" s="98"/>
      <c r="HG3" s="12"/>
      <c r="HH3" s="12"/>
      <c r="HI3" s="12"/>
      <c r="HJ3" s="12"/>
      <c r="HK3" s="6"/>
      <c r="HL3" s="6"/>
      <c r="HM3" s="6"/>
      <c r="HN3" s="6"/>
      <c r="HO3" s="6"/>
      <c r="HQ3" s="108"/>
      <c r="HU3" s="12"/>
      <c r="HV3" s="12"/>
      <c r="HW3" s="12"/>
      <c r="HX3" s="12"/>
      <c r="HY3" s="12"/>
      <c r="HZ3" s="12"/>
      <c r="IA3" s="12"/>
      <c r="IB3" s="12"/>
      <c r="IC3" s="279"/>
      <c r="ID3" s="279"/>
      <c r="IE3" s="279"/>
      <c r="IF3" s="279"/>
      <c r="IG3" s="271"/>
      <c r="IH3" s="271"/>
      <c r="II3" s="271"/>
      <c r="IJ3" s="271"/>
      <c r="IK3" s="271"/>
      <c r="IL3" s="6"/>
      <c r="IM3" s="6"/>
      <c r="IN3" s="6"/>
      <c r="IO3" s="6"/>
      <c r="IP3" s="6"/>
      <c r="IQ3" s="6"/>
      <c r="IR3" s="6"/>
      <c r="IS3" s="6"/>
      <c r="IT3" s="12"/>
      <c r="IU3" s="12"/>
      <c r="IV3" s="12"/>
      <c r="IW3" s="6"/>
      <c r="IX3" s="6"/>
      <c r="IY3" s="6"/>
      <c r="IZ3" s="6"/>
      <c r="JA3" s="6"/>
      <c r="JB3" s="6"/>
      <c r="JC3" s="6"/>
      <c r="JD3" s="337"/>
      <c r="JE3" s="6"/>
      <c r="JF3" s="6"/>
      <c r="JG3" s="6"/>
      <c r="JH3" s="6"/>
      <c r="JI3" s="6"/>
      <c r="JJ3" s="6"/>
      <c r="JK3" s="6"/>
      <c r="JL3" s="6"/>
      <c r="JM3" s="6"/>
    </row>
    <row r="4" spans="1:275" s="13" customFormat="1" x14ac:dyDescent="0.2">
      <c r="A4" s="6"/>
      <c r="B4" s="18"/>
      <c r="C4" s="18"/>
      <c r="D4" s="18"/>
      <c r="E4" s="18"/>
      <c r="F4" s="18"/>
      <c r="G4" s="18"/>
      <c r="H4" s="18"/>
      <c r="I4" s="5"/>
      <c r="J4" s="5"/>
      <c r="K4" s="5"/>
      <c r="L4" s="5"/>
      <c r="M4" s="5"/>
      <c r="N4" s="5"/>
      <c r="O4" s="5"/>
      <c r="P4" s="5"/>
      <c r="Q4" s="5"/>
      <c r="R4" s="5"/>
      <c r="S4" s="5"/>
      <c r="T4" s="5"/>
      <c r="U4" s="6"/>
      <c r="V4" s="6"/>
      <c r="W4" s="6"/>
      <c r="X4" s="6"/>
      <c r="Y4" s="11"/>
      <c r="Z4" s="11"/>
      <c r="AA4" s="11"/>
      <c r="AB4" s="11"/>
      <c r="AC4" s="19"/>
      <c r="AD4" s="19"/>
      <c r="AE4" s="19"/>
      <c r="AF4" s="11"/>
      <c r="AG4" s="19"/>
      <c r="AH4" s="19"/>
      <c r="AI4" s="19"/>
      <c r="AJ4" s="19"/>
      <c r="AK4" s="19"/>
      <c r="AL4" s="19"/>
      <c r="AM4" s="19"/>
      <c r="AN4" s="272"/>
      <c r="AO4"/>
      <c r="AP4" s="170"/>
      <c r="AQ4" s="339"/>
      <c r="AR4" s="92"/>
      <c r="AS4" s="19"/>
      <c r="AT4" s="7"/>
      <c r="AU4" s="91"/>
      <c r="AV4" s="6"/>
      <c r="AW4" s="6"/>
      <c r="AX4" s="19"/>
      <c r="AY4" s="19"/>
      <c r="AZ4" s="6"/>
      <c r="BA4" s="11"/>
      <c r="BB4" s="274"/>
      <c r="BC4" s="274"/>
      <c r="BD4" s="19"/>
      <c r="BE4" s="19"/>
      <c r="BF4" s="19"/>
      <c r="BG4" s="19"/>
      <c r="BH4" s="19"/>
      <c r="BI4" s="19"/>
      <c r="BJ4" s="7"/>
      <c r="BK4" s="269"/>
      <c r="BL4" s="7"/>
      <c r="BM4" s="7"/>
      <c r="BN4" s="7"/>
      <c r="BO4" s="7"/>
      <c r="BP4" s="7"/>
      <c r="BQ4" s="7"/>
      <c r="BR4" s="7"/>
      <c r="BS4" s="6"/>
      <c r="BT4" s="271"/>
      <c r="BU4" s="12"/>
      <c r="BV4" s="12"/>
      <c r="BW4" s="6"/>
      <c r="BX4" s="6"/>
      <c r="BY4" s="20"/>
      <c r="BZ4" s="6"/>
      <c r="CA4" s="6"/>
      <c r="CB4" s="6"/>
      <c r="CC4" s="6"/>
      <c r="CD4" s="19"/>
      <c r="CE4" s="19"/>
      <c r="CF4" s="12"/>
      <c r="CG4" s="12"/>
      <c r="CH4" s="12"/>
      <c r="CI4" s="12"/>
      <c r="CJ4" s="12"/>
      <c r="CK4" s="12"/>
      <c r="CL4" s="12"/>
      <c r="CM4" s="6"/>
      <c r="CN4" s="6"/>
      <c r="CO4" s="6"/>
      <c r="CP4" s="12"/>
      <c r="CQ4" s="12"/>
      <c r="CR4" s="12"/>
      <c r="CS4" s="12"/>
      <c r="CT4" s="277"/>
      <c r="CU4" s="12"/>
      <c r="CV4" s="277"/>
      <c r="CW4" s="12"/>
      <c r="CX4" s="140" t="s">
        <v>984</v>
      </c>
      <c r="CY4" s="12"/>
      <c r="CZ4" s="12"/>
      <c r="DA4" s="12"/>
      <c r="DB4" s="12"/>
      <c r="DC4" s="140" t="s">
        <v>984</v>
      </c>
      <c r="DD4" s="12"/>
      <c r="DE4" s="140" t="s">
        <v>984</v>
      </c>
      <c r="DF4" s="140" t="s">
        <v>984</v>
      </c>
      <c r="DG4" s="140" t="s">
        <v>984</v>
      </c>
      <c r="DH4" s="12"/>
      <c r="DI4" s="12"/>
      <c r="DJ4" s="12"/>
      <c r="DK4" s="19"/>
      <c r="DL4" s="12"/>
      <c r="DM4" s="12"/>
      <c r="DN4" s="12"/>
      <c r="DO4" s="12"/>
      <c r="DP4" s="12"/>
      <c r="DQ4" s="12"/>
      <c r="DR4" s="12"/>
      <c r="DS4" s="12"/>
      <c r="DT4" s="12"/>
      <c r="DU4" s="148" t="s">
        <v>630</v>
      </c>
      <c r="DV4" s="148" t="s">
        <v>630</v>
      </c>
      <c r="DW4" s="148" t="s">
        <v>630</v>
      </c>
      <c r="DX4" s="149" t="s">
        <v>631</v>
      </c>
      <c r="DY4" s="149" t="s">
        <v>631</v>
      </c>
      <c r="DZ4" s="12"/>
      <c r="EA4" s="12"/>
      <c r="EB4" s="12"/>
      <c r="EC4" s="310" t="s">
        <v>985</v>
      </c>
      <c r="ED4" s="310" t="s">
        <v>985</v>
      </c>
      <c r="EE4" s="310" t="s">
        <v>985</v>
      </c>
      <c r="EF4" s="7" t="s">
        <v>1091</v>
      </c>
      <c r="EG4" s="7" t="s">
        <v>1771</v>
      </c>
      <c r="EH4" s="7" t="s">
        <v>1091</v>
      </c>
      <c r="EI4" s="7" t="s">
        <v>1091</v>
      </c>
      <c r="EJ4" s="7" t="s">
        <v>1091</v>
      </c>
      <c r="EK4" s="290" t="s">
        <v>894</v>
      </c>
      <c r="EL4" s="19"/>
      <c r="EM4" s="12"/>
      <c r="EN4" s="12"/>
      <c r="EO4" s="98"/>
      <c r="EP4" s="12"/>
      <c r="EQ4" s="12"/>
      <c r="ER4" s="290" t="s">
        <v>894</v>
      </c>
      <c r="ES4" s="47"/>
      <c r="ET4" s="47"/>
      <c r="EU4" s="12"/>
      <c r="EV4" s="47"/>
      <c r="EW4" s="8"/>
      <c r="EX4" s="8"/>
      <c r="EY4" s="8"/>
      <c r="EZ4" s="8"/>
      <c r="FA4" s="12"/>
      <c r="FB4" s="12"/>
      <c r="FC4" s="12"/>
      <c r="FD4" s="8"/>
      <c r="FE4" s="6"/>
      <c r="FF4" s="12"/>
      <c r="FG4" s="12"/>
      <c r="FH4" s="41"/>
      <c r="FS4" s="290" t="s">
        <v>894</v>
      </c>
      <c r="FT4" s="291" t="s">
        <v>895</v>
      </c>
      <c r="GC4" s="140" t="s">
        <v>984</v>
      </c>
      <c r="GK4" s="140" t="s">
        <v>984</v>
      </c>
      <c r="GM4" s="140" t="s">
        <v>984</v>
      </c>
      <c r="GN4" s="280" t="s">
        <v>784</v>
      </c>
      <c r="GO4" s="280" t="s">
        <v>784</v>
      </c>
      <c r="GP4" s="280" t="s">
        <v>784</v>
      </c>
      <c r="GQ4" s="280" t="s">
        <v>784</v>
      </c>
      <c r="GR4" s="280" t="s">
        <v>784</v>
      </c>
      <c r="GS4" s="280" t="s">
        <v>784</v>
      </c>
      <c r="GT4" s="280" t="s">
        <v>784</v>
      </c>
      <c r="GU4" s="280" t="s">
        <v>784</v>
      </c>
      <c r="GV4" s="280" t="s">
        <v>784</v>
      </c>
      <c r="GW4" s="140" t="s">
        <v>984</v>
      </c>
      <c r="GX4" s="306" t="s">
        <v>635</v>
      </c>
      <c r="GY4" s="302" t="s">
        <v>986</v>
      </c>
      <c r="GZ4" s="302" t="s">
        <v>986</v>
      </c>
      <c r="HA4" s="291" t="s">
        <v>895</v>
      </c>
      <c r="HD4" s="290" t="s">
        <v>894</v>
      </c>
      <c r="HE4" s="291" t="s">
        <v>895</v>
      </c>
      <c r="HF4" s="98"/>
      <c r="HG4" s="12"/>
      <c r="HH4" s="12"/>
      <c r="HI4" s="290" t="s">
        <v>894</v>
      </c>
      <c r="HJ4" s="291" t="s">
        <v>895</v>
      </c>
      <c r="HK4" s="319" t="s">
        <v>771</v>
      </c>
      <c r="HL4" s="6"/>
      <c r="HM4" s="319" t="s">
        <v>771</v>
      </c>
      <c r="HN4" s="319" t="s">
        <v>771</v>
      </c>
      <c r="HO4" s="319" t="s">
        <v>771</v>
      </c>
      <c r="HQ4" s="108"/>
      <c r="HY4" s="12"/>
      <c r="HZ4" s="12"/>
      <c r="IA4" s="12"/>
      <c r="IB4" s="12"/>
      <c r="IC4" s="315" t="s">
        <v>637</v>
      </c>
      <c r="ID4" s="315" t="s">
        <v>637</v>
      </c>
      <c r="IE4" s="315" t="s">
        <v>637</v>
      </c>
      <c r="IF4" s="315" t="s">
        <v>637</v>
      </c>
      <c r="IG4" s="315" t="s">
        <v>637</v>
      </c>
      <c r="IH4" s="271"/>
      <c r="II4" s="271"/>
      <c r="IJ4" s="271"/>
      <c r="IK4" s="271"/>
      <c r="IL4" s="6"/>
      <c r="IM4" s="6"/>
      <c r="IN4" s="6"/>
      <c r="IO4" s="6"/>
      <c r="IP4" s="6"/>
      <c r="IQ4" s="6"/>
      <c r="IR4" s="6"/>
      <c r="IS4" s="6"/>
      <c r="IT4" s="12"/>
      <c r="IU4" s="12"/>
      <c r="IV4" s="12"/>
      <c r="IW4" s="6"/>
      <c r="IX4" s="6"/>
      <c r="IY4" s="6"/>
      <c r="IZ4" s="6"/>
      <c r="JA4" s="318" t="s">
        <v>1066</v>
      </c>
      <c r="JB4" s="316" t="s">
        <v>1062</v>
      </c>
      <c r="JC4" s="247" t="s">
        <v>1065</v>
      </c>
      <c r="JD4" s="317" t="s">
        <v>1064</v>
      </c>
      <c r="JE4" s="317" t="s">
        <v>1064</v>
      </c>
      <c r="JF4" s="317" t="s">
        <v>1064</v>
      </c>
      <c r="JG4" s="317" t="s">
        <v>1064</v>
      </c>
      <c r="JH4" s="317" t="s">
        <v>1064</v>
      </c>
      <c r="JI4" s="317" t="s">
        <v>1064</v>
      </c>
      <c r="JJ4" s="317" t="s">
        <v>1064</v>
      </c>
      <c r="JK4" s="317" t="s">
        <v>1064</v>
      </c>
      <c r="JL4" s="6"/>
      <c r="JM4" s="6"/>
    </row>
    <row r="5" spans="1:275" s="13" customFormat="1" ht="13.6" x14ac:dyDescent="0.25">
      <c r="A5" s="5"/>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128"/>
      <c r="AL5" s="6"/>
      <c r="AM5" s="6"/>
      <c r="AN5" s="19"/>
      <c r="AO5" s="19"/>
      <c r="AP5" s="334"/>
      <c r="AQ5" s="340"/>
      <c r="AR5" s="19"/>
      <c r="AS5" s="6"/>
      <c r="AT5" s="7"/>
      <c r="AU5" s="19"/>
      <c r="AV5" s="6"/>
      <c r="AW5" s="6"/>
      <c r="AX5" s="6"/>
      <c r="AY5" s="6"/>
      <c r="AZ5" s="6"/>
      <c r="BA5" s="6"/>
      <c r="BB5" s="6"/>
      <c r="BC5" s="6"/>
      <c r="BD5" s="6"/>
      <c r="BE5" s="6"/>
      <c r="BF5" s="6"/>
      <c r="BG5" s="6"/>
      <c r="BH5" s="6"/>
      <c r="BI5" s="6"/>
      <c r="BJ5" s="6"/>
      <c r="BK5" s="6"/>
      <c r="BL5" s="6"/>
      <c r="BM5" s="6"/>
      <c r="BN5" s="6"/>
      <c r="BO5" s="6"/>
      <c r="BP5" s="324" t="s">
        <v>1085</v>
      </c>
      <c r="BQ5" s="324" t="s">
        <v>1085</v>
      </c>
      <c r="BR5" s="324" t="s">
        <v>1085</v>
      </c>
      <c r="BS5" s="6"/>
      <c r="BT5" s="325" t="s">
        <v>1084</v>
      </c>
      <c r="BU5" s="325" t="s">
        <v>1084</v>
      </c>
      <c r="BV5" s="325" t="s">
        <v>1084</v>
      </c>
      <c r="BW5" s="6"/>
      <c r="BX5" s="326" t="s">
        <v>1086</v>
      </c>
      <c r="BY5" s="326" t="s">
        <v>1086</v>
      </c>
      <c r="BZ5" s="326" t="s">
        <v>1086</v>
      </c>
      <c r="CA5" s="6"/>
      <c r="CB5" s="128"/>
      <c r="CC5" s="128"/>
      <c r="CD5" s="6"/>
      <c r="CE5" s="140" t="s">
        <v>984</v>
      </c>
      <c r="CF5" s="140" t="s">
        <v>984</v>
      </c>
      <c r="CG5" s="140" t="s">
        <v>984</v>
      </c>
      <c r="CH5" s="140" t="s">
        <v>984</v>
      </c>
      <c r="CI5" s="140" t="s">
        <v>984</v>
      </c>
      <c r="CJ5" s="346" t="s">
        <v>990</v>
      </c>
      <c r="CK5" s="346" t="s">
        <v>990</v>
      </c>
      <c r="CL5" s="346" t="s">
        <v>990</v>
      </c>
      <c r="CM5" s="128"/>
      <c r="CN5" s="6"/>
      <c r="CO5" s="128"/>
      <c r="CP5" s="148" t="s">
        <v>630</v>
      </c>
      <c r="CQ5" s="148" t="s">
        <v>630</v>
      </c>
      <c r="CR5" s="148" t="s">
        <v>630</v>
      </c>
      <c r="CS5" s="149" t="s">
        <v>631</v>
      </c>
      <c r="CT5" s="149" t="s">
        <v>631</v>
      </c>
      <c r="CU5" s="149" t="s">
        <v>631</v>
      </c>
      <c r="CV5" s="149" t="s">
        <v>631</v>
      </c>
      <c r="CW5" s="149" t="s">
        <v>631</v>
      </c>
      <c r="CX5" s="327" t="s">
        <v>64</v>
      </c>
      <c r="CY5" s="328"/>
      <c r="CZ5" s="141" t="s">
        <v>632</v>
      </c>
      <c r="DA5" s="141" t="s">
        <v>632</v>
      </c>
      <c r="DB5" s="287"/>
      <c r="DC5" s="327" t="s">
        <v>64</v>
      </c>
      <c r="DD5" s="328"/>
      <c r="DE5" s="310" t="s">
        <v>985</v>
      </c>
      <c r="DF5" s="310" t="s">
        <v>985</v>
      </c>
      <c r="DG5" s="310"/>
      <c r="DH5" s="4"/>
      <c r="DI5" s="306" t="s">
        <v>635</v>
      </c>
      <c r="DJ5" s="306" t="s">
        <v>635</v>
      </c>
      <c r="DK5" s="306" t="s">
        <v>635</v>
      </c>
      <c r="DL5" s="306" t="s">
        <v>635</v>
      </c>
      <c r="DM5" s="306" t="s">
        <v>635</v>
      </c>
      <c r="DN5" s="306" t="s">
        <v>635</v>
      </c>
      <c r="DO5" s="306" t="s">
        <v>635</v>
      </c>
      <c r="DP5" s="306" t="s">
        <v>635</v>
      </c>
      <c r="DQ5" s="306" t="s">
        <v>635</v>
      </c>
      <c r="DR5" s="306" t="s">
        <v>635</v>
      </c>
      <c r="DS5" s="306" t="s">
        <v>635</v>
      </c>
      <c r="DT5" s="306" t="s">
        <v>635</v>
      </c>
      <c r="DU5" s="306" t="s">
        <v>635</v>
      </c>
      <c r="DV5" s="306" t="s">
        <v>635</v>
      </c>
      <c r="DW5" s="306" t="s">
        <v>635</v>
      </c>
      <c r="DX5" s="306" t="s">
        <v>635</v>
      </c>
      <c r="DY5" s="306" t="s">
        <v>635</v>
      </c>
      <c r="DZ5" s="306" t="s">
        <v>635</v>
      </c>
      <c r="EA5" s="306" t="s">
        <v>635</v>
      </c>
      <c r="EB5" s="306" t="s">
        <v>635</v>
      </c>
      <c r="EC5" s="306" t="s">
        <v>635</v>
      </c>
      <c r="ED5" s="306" t="s">
        <v>635</v>
      </c>
      <c r="EE5" s="306" t="s">
        <v>635</v>
      </c>
      <c r="EF5" s="140" t="s">
        <v>984</v>
      </c>
      <c r="EG5" s="306" t="s">
        <v>635</v>
      </c>
      <c r="EH5" s="306" t="s">
        <v>635</v>
      </c>
      <c r="EI5" s="306" t="s">
        <v>635</v>
      </c>
      <c r="EJ5" s="306" t="s">
        <v>635</v>
      </c>
      <c r="EK5" s="329" t="s">
        <v>986</v>
      </c>
      <c r="EL5" s="6"/>
      <c r="EM5" s="96" t="s">
        <v>291</v>
      </c>
      <c r="EN5" s="96" t="s">
        <v>291</v>
      </c>
      <c r="EO5" s="99" t="s">
        <v>291</v>
      </c>
      <c r="EP5" s="96" t="s">
        <v>291</v>
      </c>
      <c r="EQ5" s="96" t="s">
        <v>291</v>
      </c>
      <c r="ER5" s="96" t="s">
        <v>291</v>
      </c>
      <c r="ES5" s="96"/>
      <c r="ET5" s="96"/>
      <c r="EU5" s="96"/>
      <c r="EV5" s="96"/>
      <c r="EW5" s="289" t="s">
        <v>896</v>
      </c>
      <c r="EX5" s="289" t="s">
        <v>896</v>
      </c>
      <c r="EY5" s="289" t="s">
        <v>896</v>
      </c>
      <c r="EZ5" s="289" t="s">
        <v>896</v>
      </c>
      <c r="FA5" s="289" t="s">
        <v>896</v>
      </c>
      <c r="FB5" s="289" t="s">
        <v>896</v>
      </c>
      <c r="FC5" s="291" t="s">
        <v>895</v>
      </c>
      <c r="FD5" s="291" t="s">
        <v>895</v>
      </c>
      <c r="FE5" s="291" t="s">
        <v>895</v>
      </c>
      <c r="FF5" s="291" t="s">
        <v>895</v>
      </c>
      <c r="FG5" s="291" t="s">
        <v>895</v>
      </c>
      <c r="FH5" s="291" t="s">
        <v>895</v>
      </c>
      <c r="FI5" s="309" t="s">
        <v>715</v>
      </c>
      <c r="FJ5" s="309" t="s">
        <v>715</v>
      </c>
      <c r="FK5" s="309" t="s">
        <v>715</v>
      </c>
      <c r="FL5" s="309" t="s">
        <v>715</v>
      </c>
      <c r="FM5" s="309" t="s">
        <v>715</v>
      </c>
      <c r="FN5" s="309" t="s">
        <v>715</v>
      </c>
      <c r="FO5" s="309" t="s">
        <v>715</v>
      </c>
      <c r="FP5" s="309" t="s">
        <v>715</v>
      </c>
      <c r="FQ5" s="309" t="s">
        <v>715</v>
      </c>
      <c r="FR5" s="309" t="s">
        <v>715</v>
      </c>
      <c r="FS5" s="311" t="s">
        <v>1012</v>
      </c>
      <c r="FT5" s="311" t="s">
        <v>1012</v>
      </c>
      <c r="FU5" s="312" t="s">
        <v>733</v>
      </c>
      <c r="FV5" s="312" t="s">
        <v>733</v>
      </c>
      <c r="FW5" s="312" t="s">
        <v>733</v>
      </c>
      <c r="FX5" s="312" t="s">
        <v>733</v>
      </c>
      <c r="FY5" s="312" t="s">
        <v>733</v>
      </c>
      <c r="FZ5" s="312" t="s">
        <v>733</v>
      </c>
      <c r="GA5" s="312" t="s">
        <v>733</v>
      </c>
      <c r="GB5" s="312" t="s">
        <v>733</v>
      </c>
      <c r="GC5" s="312" t="s">
        <v>733</v>
      </c>
      <c r="GD5" s="312" t="s">
        <v>733</v>
      </c>
      <c r="GE5" s="312" t="s">
        <v>733</v>
      </c>
      <c r="GF5" s="312" t="s">
        <v>733</v>
      </c>
      <c r="GG5" s="312" t="s">
        <v>733</v>
      </c>
      <c r="GH5" s="312" t="s">
        <v>733</v>
      </c>
      <c r="GI5" s="312"/>
      <c r="GJ5" s="312" t="s">
        <v>733</v>
      </c>
      <c r="GK5" s="312" t="s">
        <v>733</v>
      </c>
      <c r="GL5" s="312" t="s">
        <v>733</v>
      </c>
      <c r="GM5" s="312" t="s">
        <v>733</v>
      </c>
      <c r="GN5" s="312" t="s">
        <v>733</v>
      </c>
      <c r="GO5" s="312" t="s">
        <v>733</v>
      </c>
      <c r="GP5" s="312" t="s">
        <v>733</v>
      </c>
      <c r="GQ5" s="312" t="s">
        <v>733</v>
      </c>
      <c r="GR5" s="312" t="s">
        <v>733</v>
      </c>
      <c r="GS5" s="312" t="s">
        <v>733</v>
      </c>
      <c r="GT5" s="312" t="s">
        <v>733</v>
      </c>
      <c r="GU5" s="312" t="s">
        <v>733</v>
      </c>
      <c r="GV5" s="312" t="s">
        <v>733</v>
      </c>
      <c r="GW5" s="312" t="s">
        <v>733</v>
      </c>
      <c r="GX5" s="312" t="s">
        <v>733</v>
      </c>
      <c r="GY5" s="312" t="s">
        <v>733</v>
      </c>
      <c r="GZ5" s="312" t="s">
        <v>733</v>
      </c>
      <c r="HA5" s="312" t="s">
        <v>733</v>
      </c>
      <c r="HB5" s="312" t="s">
        <v>733</v>
      </c>
      <c r="HC5" s="312"/>
      <c r="HD5" s="104" t="s">
        <v>345</v>
      </c>
      <c r="HE5" s="104" t="s">
        <v>345</v>
      </c>
      <c r="HF5" s="105" t="s">
        <v>132</v>
      </c>
      <c r="HG5" s="106"/>
      <c r="HH5" s="106" t="s">
        <v>543</v>
      </c>
      <c r="HI5" s="112" t="s">
        <v>347</v>
      </c>
      <c r="HJ5" s="112" t="s">
        <v>347</v>
      </c>
      <c r="HK5" s="290" t="s">
        <v>894</v>
      </c>
      <c r="HL5" s="291" t="s">
        <v>895</v>
      </c>
      <c r="HM5" s="291" t="s">
        <v>895</v>
      </c>
      <c r="HN5" s="291" t="s">
        <v>895</v>
      </c>
      <c r="HO5" s="291" t="s">
        <v>895</v>
      </c>
      <c r="HP5" s="103" t="s">
        <v>344</v>
      </c>
      <c r="HQ5" s="109"/>
      <c r="HR5" s="103" t="s">
        <v>344</v>
      </c>
      <c r="HS5" s="311" t="s">
        <v>1012</v>
      </c>
      <c r="HT5" s="311" t="s">
        <v>1012</v>
      </c>
      <c r="HU5" s="312" t="s">
        <v>733</v>
      </c>
      <c r="HV5" s="312" t="s">
        <v>733</v>
      </c>
      <c r="HW5" s="312" t="s">
        <v>733</v>
      </c>
      <c r="HX5" s="312" t="s">
        <v>733</v>
      </c>
      <c r="HY5" s="104" t="s">
        <v>345</v>
      </c>
      <c r="HZ5" s="104" t="s">
        <v>345</v>
      </c>
      <c r="IA5" s="112" t="s">
        <v>347</v>
      </c>
      <c r="IB5" s="112" t="s">
        <v>347</v>
      </c>
      <c r="IC5" s="290" t="s">
        <v>894</v>
      </c>
      <c r="ID5" s="291" t="s">
        <v>895</v>
      </c>
      <c r="IE5" s="291" t="s">
        <v>895</v>
      </c>
      <c r="IF5" s="291" t="s">
        <v>895</v>
      </c>
      <c r="IG5" s="315" t="s">
        <v>637</v>
      </c>
      <c r="IH5" s="6"/>
      <c r="II5" s="6"/>
      <c r="IJ5" s="6"/>
      <c r="IK5" s="6"/>
      <c r="IL5" s="6"/>
      <c r="IM5" s="6"/>
      <c r="IN5" s="6"/>
      <c r="IO5" s="6"/>
      <c r="IP5" s="6"/>
      <c r="IQ5" s="6"/>
      <c r="IR5" s="6"/>
      <c r="IS5" s="6"/>
      <c r="IT5" s="6"/>
      <c r="IU5" s="6"/>
      <c r="IV5" s="6"/>
      <c r="IW5" s="281" t="s">
        <v>792</v>
      </c>
      <c r="IX5" s="281" t="s">
        <v>792</v>
      </c>
      <c r="IY5" s="281" t="s">
        <v>792</v>
      </c>
      <c r="IZ5" s="281" t="s">
        <v>792</v>
      </c>
      <c r="JA5" s="281" t="s">
        <v>792</v>
      </c>
      <c r="JB5" s="281" t="s">
        <v>792</v>
      </c>
      <c r="JC5" s="281" t="s">
        <v>792</v>
      </c>
      <c r="JD5" s="281" t="s">
        <v>792</v>
      </c>
      <c r="JE5" s="281" t="s">
        <v>792</v>
      </c>
      <c r="JF5" s="281" t="s">
        <v>792</v>
      </c>
      <c r="JG5" s="281" t="s">
        <v>792</v>
      </c>
      <c r="JH5" s="281" t="s">
        <v>792</v>
      </c>
      <c r="JI5" s="281" t="s">
        <v>792</v>
      </c>
      <c r="JJ5" s="281" t="s">
        <v>792</v>
      </c>
      <c r="JK5" s="281" t="s">
        <v>792</v>
      </c>
      <c r="JL5" s="281" t="s">
        <v>792</v>
      </c>
      <c r="JM5" s="281" t="s">
        <v>792</v>
      </c>
      <c r="JN5" s="138"/>
      <c r="JO5" s="138"/>
    </row>
    <row r="6" spans="1:275" s="50" customFormat="1" ht="119.55" x14ac:dyDescent="0.2">
      <c r="A6" s="50" t="s">
        <v>18</v>
      </c>
      <c r="B6" s="146">
        <v>22386400</v>
      </c>
      <c r="AG6" s="50" t="s">
        <v>229</v>
      </c>
      <c r="AH6" s="50" t="s">
        <v>1125</v>
      </c>
      <c r="AK6" s="52" t="s">
        <v>881</v>
      </c>
      <c r="AN6" s="52" t="s">
        <v>1028</v>
      </c>
      <c r="AO6" s="52" t="s">
        <v>887</v>
      </c>
      <c r="AP6" s="335" t="s">
        <v>1124</v>
      </c>
      <c r="AQ6" s="341" t="s">
        <v>885</v>
      </c>
      <c r="AR6" s="52" t="s">
        <v>886</v>
      </c>
      <c r="AU6" s="52" t="s">
        <v>942</v>
      </c>
      <c r="AX6" s="50" t="s">
        <v>654</v>
      </c>
      <c r="AY6" s="50" t="s">
        <v>654</v>
      </c>
      <c r="AZ6" s="50" t="s">
        <v>655</v>
      </c>
      <c r="BA6" s="50" t="s">
        <v>655</v>
      </c>
      <c r="BB6" s="52" t="s">
        <v>780</v>
      </c>
      <c r="BC6" s="52" t="s">
        <v>779</v>
      </c>
      <c r="BD6" s="50" t="s">
        <v>134</v>
      </c>
      <c r="BE6" s="50" t="s">
        <v>810</v>
      </c>
      <c r="BF6" s="50" t="s">
        <v>811</v>
      </c>
      <c r="BG6" s="50" t="s">
        <v>479</v>
      </c>
      <c r="BI6" s="50" t="s">
        <v>812</v>
      </c>
      <c r="BS6" s="50" t="s">
        <v>272</v>
      </c>
      <c r="BW6" s="50" t="s">
        <v>274</v>
      </c>
      <c r="CB6" s="52" t="s">
        <v>979</v>
      </c>
      <c r="CC6" s="52" t="s">
        <v>1109</v>
      </c>
      <c r="CD6" s="6"/>
      <c r="CE6" s="52" t="s">
        <v>973</v>
      </c>
      <c r="CF6" s="52" t="s">
        <v>137</v>
      </c>
      <c r="CG6" s="52" t="s">
        <v>1016</v>
      </c>
      <c r="CH6" s="52" t="s">
        <v>1088</v>
      </c>
      <c r="CI6" s="50" t="s">
        <v>589</v>
      </c>
      <c r="CJ6" s="50" t="s">
        <v>1126</v>
      </c>
      <c r="CK6" s="50" t="s">
        <v>1127</v>
      </c>
      <c r="CL6" s="50" t="s">
        <v>1128</v>
      </c>
      <c r="CM6" s="52" t="s">
        <v>1054</v>
      </c>
      <c r="CN6" s="50" t="s">
        <v>869</v>
      </c>
      <c r="CO6" s="52" t="s">
        <v>1002</v>
      </c>
      <c r="CP6" s="50" t="s">
        <v>747</v>
      </c>
      <c r="CQ6" s="50" t="s">
        <v>232</v>
      </c>
      <c r="CR6" s="50" t="s">
        <v>830</v>
      </c>
      <c r="CS6" s="50" t="s">
        <v>118</v>
      </c>
      <c r="CT6" s="50" t="s">
        <v>119</v>
      </c>
      <c r="CV6" s="50" t="s">
        <v>251</v>
      </c>
      <c r="CW6" s="50" t="s">
        <v>252</v>
      </c>
      <c r="CX6" s="50" t="s">
        <v>219</v>
      </c>
      <c r="CY6" s="50" t="s">
        <v>829</v>
      </c>
      <c r="CZ6" s="52" t="s">
        <v>982</v>
      </c>
      <c r="DA6" s="52" t="s">
        <v>233</v>
      </c>
      <c r="DB6" s="50" t="s">
        <v>828</v>
      </c>
      <c r="DC6" s="50" t="s">
        <v>181</v>
      </c>
      <c r="DD6" s="50" t="s">
        <v>827</v>
      </c>
      <c r="DE6" s="52" t="s">
        <v>994</v>
      </c>
      <c r="DF6" s="52" t="s">
        <v>996</v>
      </c>
      <c r="DG6" s="52" t="s">
        <v>1003</v>
      </c>
      <c r="DH6" s="50" t="s">
        <v>865</v>
      </c>
      <c r="DI6" s="50" t="s">
        <v>658</v>
      </c>
      <c r="DJ6" s="50" t="s">
        <v>871</v>
      </c>
      <c r="DK6" s="52" t="s">
        <v>831</v>
      </c>
      <c r="DL6" s="50" t="s">
        <v>659</v>
      </c>
      <c r="DM6" s="52" t="s">
        <v>1024</v>
      </c>
      <c r="DN6" s="52" t="s">
        <v>1025</v>
      </c>
      <c r="DO6" s="50" t="s">
        <v>1126</v>
      </c>
      <c r="DP6" s="50" t="s">
        <v>1127</v>
      </c>
      <c r="DQ6" s="50" t="s">
        <v>1128</v>
      </c>
      <c r="DR6" s="50" t="s">
        <v>255</v>
      </c>
      <c r="DS6" s="50" t="s">
        <v>186</v>
      </c>
      <c r="DT6" s="50" t="s">
        <v>832</v>
      </c>
      <c r="DU6" s="50" t="s">
        <v>661</v>
      </c>
      <c r="DV6" s="50" t="s">
        <v>193</v>
      </c>
      <c r="DW6" s="50" t="s">
        <v>824</v>
      </c>
      <c r="DX6" s="50" t="s">
        <v>1046</v>
      </c>
      <c r="DY6" s="50" t="s">
        <v>231</v>
      </c>
      <c r="DZ6" s="50" t="s">
        <v>184</v>
      </c>
      <c r="EA6" s="50" t="s">
        <v>825</v>
      </c>
      <c r="EB6" s="50" t="s">
        <v>826</v>
      </c>
      <c r="EC6" s="50" t="s">
        <v>185</v>
      </c>
      <c r="ED6" s="50" t="s">
        <v>836</v>
      </c>
      <c r="EE6" s="52" t="s">
        <v>1026</v>
      </c>
      <c r="EF6" s="50" t="s">
        <v>1090</v>
      </c>
      <c r="EG6" s="50" t="s">
        <v>1772</v>
      </c>
      <c r="EH6" s="50" t="s">
        <v>1089</v>
      </c>
      <c r="EI6" s="50" t="s">
        <v>1093</v>
      </c>
      <c r="EJ6" s="50" t="s">
        <v>1094</v>
      </c>
      <c r="EK6" s="50" t="s">
        <v>480</v>
      </c>
      <c r="EM6" s="50" t="s">
        <v>329</v>
      </c>
      <c r="EN6" s="50" t="s">
        <v>292</v>
      </c>
      <c r="EO6" s="50" t="s">
        <v>293</v>
      </c>
      <c r="EP6" s="50" t="s">
        <v>294</v>
      </c>
      <c r="EQ6" s="50" t="s">
        <v>295</v>
      </c>
      <c r="ER6" s="50" t="s">
        <v>623</v>
      </c>
      <c r="EW6" s="50" t="s">
        <v>121</v>
      </c>
      <c r="EX6" s="50" t="s">
        <v>657</v>
      </c>
      <c r="EY6" s="50" t="s">
        <v>318</v>
      </c>
      <c r="EZ6" s="50" t="s">
        <v>319</v>
      </c>
      <c r="FA6" s="50" t="s">
        <v>662</v>
      </c>
      <c r="FB6" s="50" t="s">
        <v>322</v>
      </c>
      <c r="FC6" s="50" t="s">
        <v>1095</v>
      </c>
      <c r="FD6" s="50" t="s">
        <v>481</v>
      </c>
      <c r="FE6" s="50" t="s">
        <v>321</v>
      </c>
      <c r="FF6" s="50" t="s">
        <v>324</v>
      </c>
      <c r="FG6" s="50" t="s">
        <v>323</v>
      </c>
      <c r="FH6" s="52" t="s">
        <v>1051</v>
      </c>
      <c r="FI6" s="52"/>
      <c r="FJ6" s="52" t="s">
        <v>716</v>
      </c>
      <c r="FK6" s="52"/>
      <c r="FL6" s="52"/>
      <c r="FM6" s="52"/>
      <c r="FN6" s="52"/>
      <c r="FO6" s="52"/>
      <c r="FP6" s="52"/>
      <c r="FQ6" s="52"/>
      <c r="FR6" s="52"/>
      <c r="FS6" s="52" t="s">
        <v>1047</v>
      </c>
      <c r="FT6" s="52" t="s">
        <v>898</v>
      </c>
      <c r="FU6" s="52" t="s">
        <v>1027</v>
      </c>
      <c r="FV6" s="52" t="s">
        <v>900</v>
      </c>
      <c r="FW6" s="52" t="s">
        <v>1043</v>
      </c>
      <c r="FX6" s="52" t="s">
        <v>1044</v>
      </c>
      <c r="FY6" s="52" t="s">
        <v>1045</v>
      </c>
      <c r="FZ6" s="52" t="s">
        <v>69</v>
      </c>
      <c r="GA6" s="52" t="s">
        <v>901</v>
      </c>
      <c r="GB6" s="52" t="s">
        <v>739</v>
      </c>
      <c r="GC6" s="52" t="s">
        <v>64</v>
      </c>
      <c r="GD6" s="52" t="s">
        <v>741</v>
      </c>
      <c r="GE6" s="52" t="s">
        <v>143</v>
      </c>
      <c r="GF6" s="52" t="s">
        <v>902</v>
      </c>
      <c r="GG6" s="52" t="s">
        <v>630</v>
      </c>
      <c r="GH6" s="52" t="s">
        <v>751</v>
      </c>
      <c r="GI6" s="52" t="s">
        <v>631</v>
      </c>
      <c r="GJ6" s="52" t="s">
        <v>631</v>
      </c>
      <c r="GK6" s="52" t="s">
        <v>782</v>
      </c>
      <c r="GL6" s="52" t="s">
        <v>632</v>
      </c>
      <c r="GM6" s="52" t="s">
        <v>783</v>
      </c>
      <c r="GN6" s="52" t="s">
        <v>255</v>
      </c>
      <c r="GO6" s="52" t="s">
        <v>186</v>
      </c>
      <c r="GP6" s="52" t="s">
        <v>785</v>
      </c>
      <c r="GQ6" s="52" t="s">
        <v>630</v>
      </c>
      <c r="GR6" s="52" t="s">
        <v>859</v>
      </c>
      <c r="GS6" s="52" t="s">
        <v>631</v>
      </c>
      <c r="GT6" s="52" t="s">
        <v>1098</v>
      </c>
      <c r="GU6" s="52" t="s">
        <v>632</v>
      </c>
      <c r="GV6" s="53" t="s">
        <v>1099</v>
      </c>
      <c r="GW6" s="52" t="s">
        <v>904</v>
      </c>
      <c r="GX6" s="52" t="s">
        <v>903</v>
      </c>
      <c r="GY6" s="52" t="s">
        <v>905</v>
      </c>
      <c r="GZ6" s="52" t="s">
        <v>905</v>
      </c>
      <c r="HA6" s="52" t="s">
        <v>898</v>
      </c>
      <c r="HB6" s="52" t="s">
        <v>987</v>
      </c>
      <c r="HC6" s="52" t="s">
        <v>837</v>
      </c>
      <c r="HD6" s="52" t="s">
        <v>1047</v>
      </c>
      <c r="HE6" s="52" t="s">
        <v>898</v>
      </c>
      <c r="HG6" s="50" t="s">
        <v>343</v>
      </c>
      <c r="HH6" s="50" t="s">
        <v>544</v>
      </c>
      <c r="HK6" s="50" t="s">
        <v>639</v>
      </c>
      <c r="HL6" s="52" t="s">
        <v>306</v>
      </c>
      <c r="HM6" s="52" t="s">
        <v>642</v>
      </c>
      <c r="HN6" s="52" t="s">
        <v>643</v>
      </c>
      <c r="HO6" s="52" t="s">
        <v>640</v>
      </c>
      <c r="HP6" s="52" t="s">
        <v>1010</v>
      </c>
      <c r="HQ6" s="50" t="s">
        <v>331</v>
      </c>
      <c r="HR6" s="52" t="s">
        <v>1009</v>
      </c>
      <c r="HS6" s="52" t="s">
        <v>1010</v>
      </c>
      <c r="HT6" s="52" t="s">
        <v>1009</v>
      </c>
      <c r="HU6" s="52" t="s">
        <v>1010</v>
      </c>
      <c r="HV6" s="52" t="s">
        <v>787</v>
      </c>
      <c r="HW6" s="52" t="s">
        <v>1009</v>
      </c>
      <c r="HX6" s="52" t="s">
        <v>1679</v>
      </c>
      <c r="HY6" s="52" t="s">
        <v>1010</v>
      </c>
      <c r="HZ6" s="52" t="s">
        <v>1009</v>
      </c>
      <c r="IA6" s="52" t="s">
        <v>1010</v>
      </c>
      <c r="IB6" s="52" t="s">
        <v>1009</v>
      </c>
      <c r="IC6" s="50" t="s">
        <v>352</v>
      </c>
      <c r="ID6" s="52" t="s">
        <v>642</v>
      </c>
      <c r="IE6" s="52" t="s">
        <v>643</v>
      </c>
      <c r="IF6" s="52" t="s">
        <v>640</v>
      </c>
      <c r="IN6" s="52" t="s">
        <v>1036</v>
      </c>
      <c r="IO6" s="52" t="s">
        <v>1037</v>
      </c>
      <c r="IP6" s="52" t="s">
        <v>1038</v>
      </c>
      <c r="IQ6" s="52" t="s">
        <v>1039</v>
      </c>
      <c r="IR6" s="52" t="s">
        <v>1040</v>
      </c>
      <c r="IS6" s="52" t="s">
        <v>1041</v>
      </c>
      <c r="IW6" s="50" t="s">
        <v>793</v>
      </c>
      <c r="IX6" s="50" t="s">
        <v>1056</v>
      </c>
      <c r="IY6" s="50" t="s">
        <v>1057</v>
      </c>
      <c r="IZ6" s="50" t="s">
        <v>1063</v>
      </c>
      <c r="JA6" s="50" t="s">
        <v>1067</v>
      </c>
      <c r="JB6" s="50" t="s">
        <v>1061</v>
      </c>
      <c r="JC6" s="50" t="s">
        <v>1058</v>
      </c>
      <c r="JD6" s="50" t="s">
        <v>1069</v>
      </c>
      <c r="JE6" s="50" t="s">
        <v>1068</v>
      </c>
      <c r="JF6" s="50" t="s">
        <v>1060</v>
      </c>
      <c r="JG6" s="50" t="s">
        <v>1059</v>
      </c>
      <c r="JH6" s="50" t="s">
        <v>794</v>
      </c>
      <c r="JI6" s="50" t="s">
        <v>795</v>
      </c>
      <c r="JJ6" s="50" t="s">
        <v>796</v>
      </c>
      <c r="JK6" s="50" t="s">
        <v>797</v>
      </c>
      <c r="JL6" s="50" t="s">
        <v>1820</v>
      </c>
      <c r="JM6" s="50" t="s">
        <v>799</v>
      </c>
      <c r="JN6" s="53" t="s">
        <v>1796</v>
      </c>
      <c r="JO6" s="53" t="s">
        <v>1797</v>
      </c>
    </row>
    <row r="7" spans="1:275" s="13" customFormat="1" ht="13.6" x14ac:dyDescent="0.25">
      <c r="A7" s="15" t="s">
        <v>15</v>
      </c>
      <c r="B7" s="22" t="s">
        <v>669</v>
      </c>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P7" s="336"/>
      <c r="AQ7" s="342"/>
      <c r="AS7" s="6"/>
      <c r="AT7" s="7"/>
      <c r="AV7" s="6"/>
      <c r="AW7" s="6"/>
      <c r="AX7" s="6"/>
      <c r="AY7" s="6"/>
      <c r="AZ7" s="6"/>
      <c r="BA7" s="11"/>
      <c r="BB7" s="11"/>
      <c r="BC7" s="11"/>
      <c r="BD7" s="6"/>
      <c r="BE7" s="6"/>
      <c r="BF7" s="6"/>
      <c r="BG7" s="6"/>
      <c r="BH7" s="6"/>
      <c r="BI7" s="6"/>
      <c r="BJ7" s="6"/>
      <c r="BK7" s="6"/>
      <c r="BL7" s="6"/>
      <c r="BM7" s="6"/>
      <c r="BN7" s="6"/>
      <c r="BO7" s="6"/>
      <c r="BP7" s="6"/>
      <c r="BQ7" s="6"/>
      <c r="BR7" s="6"/>
      <c r="BS7" s="6"/>
      <c r="BW7" s="6"/>
      <c r="BX7" s="6"/>
      <c r="BY7" s="6"/>
      <c r="BZ7" s="6"/>
      <c r="CA7" s="6"/>
      <c r="CB7" s="6"/>
      <c r="CC7" s="6"/>
      <c r="CD7" s="6"/>
      <c r="CE7" s="6"/>
      <c r="CF7" s="49"/>
      <c r="CG7" s="49"/>
      <c r="CH7" s="49"/>
      <c r="CI7" s="49"/>
      <c r="CJ7" s="49"/>
      <c r="CK7" s="49"/>
      <c r="CL7" s="49"/>
      <c r="CM7" s="6"/>
      <c r="CN7" s="6"/>
      <c r="CO7" s="6"/>
      <c r="CP7" s="79"/>
      <c r="CQ7" s="6"/>
      <c r="CR7" s="6"/>
      <c r="CS7" s="6"/>
      <c r="CT7" s="84"/>
      <c r="CU7" s="84"/>
      <c r="CV7" s="84"/>
      <c r="CW7" s="6"/>
      <c r="CX7" s="6"/>
      <c r="CY7" s="6"/>
      <c r="CZ7" s="49"/>
      <c r="DA7" s="6"/>
      <c r="DB7" s="6"/>
      <c r="DC7" s="6"/>
      <c r="DD7" s="6"/>
      <c r="DE7" s="6"/>
      <c r="DF7" s="6"/>
      <c r="DG7" s="6"/>
      <c r="DH7" s="6"/>
      <c r="DI7" s="6"/>
      <c r="DJ7" s="6"/>
      <c r="DK7" s="6"/>
      <c r="DL7" s="6"/>
      <c r="DM7" s="6"/>
      <c r="DN7" s="6"/>
      <c r="DO7" s="6"/>
      <c r="DP7" s="6"/>
      <c r="DQ7" s="6"/>
      <c r="DR7" s="6"/>
      <c r="DS7" s="6"/>
      <c r="DT7" s="6"/>
      <c r="DU7" s="6"/>
      <c r="DV7" s="6"/>
      <c r="DW7" s="6"/>
      <c r="DX7" s="84"/>
      <c r="DY7" s="6"/>
      <c r="DZ7" s="6"/>
      <c r="EA7" s="6"/>
      <c r="EB7" s="6"/>
      <c r="EC7" s="6"/>
      <c r="ED7" s="6"/>
      <c r="EE7" s="6"/>
      <c r="EF7" s="6"/>
      <c r="EG7" s="6"/>
      <c r="EH7" s="273" t="str">
        <f>IF(OR(AG7&lt;DATE(2001,4,15),DI7="",DI7=0),"null",ROUND(0.55*EC7,2))</f>
        <v>null</v>
      </c>
      <c r="EI7" s="6"/>
      <c r="EJ7" s="6"/>
      <c r="EK7" s="6"/>
      <c r="EL7" s="6"/>
      <c r="EM7" s="6"/>
      <c r="EN7" s="6"/>
      <c r="EO7" s="98"/>
      <c r="EP7" s="6"/>
      <c r="EQ7" s="6"/>
      <c r="ER7" s="6"/>
      <c r="ES7" s="6"/>
      <c r="ET7" s="6"/>
      <c r="EU7" s="6"/>
      <c r="EV7" s="6"/>
      <c r="EW7" s="7"/>
      <c r="EX7" s="7"/>
      <c r="EY7" s="7"/>
      <c r="EZ7" s="7"/>
      <c r="FA7" s="77"/>
      <c r="FB7" s="77"/>
      <c r="FC7" s="77"/>
      <c r="FD7" s="7"/>
      <c r="FE7" s="77"/>
      <c r="FF7" s="77"/>
      <c r="FG7" s="77"/>
      <c r="FH7" s="77"/>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98"/>
      <c r="HG7" s="6"/>
      <c r="HH7" s="6"/>
      <c r="HI7" s="6"/>
      <c r="HJ7" s="6"/>
      <c r="HK7" s="6"/>
      <c r="HL7" s="6"/>
      <c r="HM7" s="575"/>
      <c r="HN7" s="575"/>
      <c r="HO7" s="575"/>
      <c r="HP7" s="6"/>
      <c r="HQ7" s="102"/>
      <c r="HR7" s="6"/>
      <c r="HS7" s="6"/>
      <c r="HT7" s="6"/>
      <c r="HU7" s="6"/>
      <c r="HV7" s="6"/>
      <c r="HW7" s="6"/>
      <c r="HX7" s="6"/>
      <c r="HY7" s="6"/>
      <c r="HZ7" s="6"/>
      <c r="IA7" s="6"/>
      <c r="IB7" s="6"/>
      <c r="IC7" s="49"/>
      <c r="ID7" s="49"/>
      <c r="IE7" s="49"/>
      <c r="IF7" s="75"/>
      <c r="IG7" s="6"/>
      <c r="IH7" s="6"/>
      <c r="II7" s="6"/>
      <c r="IJ7" s="6"/>
      <c r="IK7" s="6"/>
      <c r="IL7" s="6"/>
      <c r="IM7" s="6"/>
      <c r="IN7" s="6"/>
      <c r="IO7" s="6"/>
      <c r="IP7" s="6"/>
      <c r="IQ7" s="6"/>
      <c r="IR7" s="6"/>
      <c r="IS7" s="6"/>
      <c r="IT7" s="6"/>
      <c r="IU7" s="6"/>
      <c r="IV7" s="6"/>
      <c r="JH7" s="47" t="s">
        <v>798</v>
      </c>
      <c r="JI7" s="47" t="s">
        <v>784</v>
      </c>
    </row>
    <row r="8" spans="1:275" s="13" customFormat="1" x14ac:dyDescent="0.2">
      <c r="A8" s="15" t="s">
        <v>16</v>
      </c>
      <c r="B8" s="5" t="s">
        <v>618</v>
      </c>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337"/>
      <c r="AQ8" s="343"/>
      <c r="AR8" s="6"/>
      <c r="AS8" s="6"/>
      <c r="AT8" s="7"/>
      <c r="AU8" s="6"/>
      <c r="AV8" s="6"/>
      <c r="AW8" s="6"/>
      <c r="AX8" s="6"/>
      <c r="AY8" s="6"/>
      <c r="AZ8" s="6"/>
      <c r="BA8" s="6"/>
      <c r="BB8" s="6"/>
      <c r="BC8" s="6"/>
      <c r="BD8" s="6"/>
      <c r="BE8" s="6"/>
      <c r="BF8" s="6"/>
      <c r="BG8" s="6"/>
      <c r="BH8" s="6"/>
      <c r="BI8" s="6"/>
      <c r="BJ8" s="6"/>
      <c r="BK8" s="6"/>
      <c r="BL8" s="6"/>
      <c r="BM8" s="6"/>
      <c r="BN8" s="6"/>
      <c r="BO8" s="6"/>
      <c r="BP8" s="6"/>
      <c r="BQ8" s="6"/>
      <c r="BR8" s="6"/>
      <c r="BS8" s="6"/>
      <c r="BW8" s="6"/>
      <c r="BX8" s="6"/>
      <c r="BY8" s="6"/>
      <c r="BZ8" s="6"/>
      <c r="CA8" s="6"/>
      <c r="CB8" s="6"/>
      <c r="CC8" s="6"/>
      <c r="CD8" s="6"/>
      <c r="CE8" s="6"/>
      <c r="CF8" s="49"/>
      <c r="CG8" s="49"/>
      <c r="CH8" s="49"/>
      <c r="CI8" s="49"/>
      <c r="CJ8" s="49"/>
      <c r="CK8" s="49"/>
      <c r="CL8" s="49"/>
      <c r="CM8" s="6"/>
      <c r="CN8" s="6"/>
      <c r="CO8" s="6"/>
      <c r="CP8" s="79"/>
      <c r="CQ8" s="6"/>
      <c r="CR8" s="6"/>
      <c r="CS8" s="6"/>
      <c r="CT8" s="84"/>
      <c r="CU8" s="84"/>
      <c r="CV8" s="84"/>
      <c r="CW8" s="6"/>
      <c r="CX8" s="6"/>
      <c r="CY8" s="6"/>
      <c r="CZ8" s="49"/>
      <c r="DA8" s="6"/>
      <c r="DB8" s="6"/>
      <c r="DC8" s="6"/>
      <c r="DD8" s="6"/>
      <c r="DE8" s="6"/>
      <c r="DF8" s="6"/>
      <c r="DG8" s="6"/>
      <c r="DH8" s="6"/>
      <c r="DI8" s="6"/>
      <c r="DJ8" s="6"/>
      <c r="DK8" s="6"/>
      <c r="DL8" s="6"/>
      <c r="DM8" s="6"/>
      <c r="DN8" s="6"/>
      <c r="DO8" s="6"/>
      <c r="DP8" s="6"/>
      <c r="DQ8" s="6"/>
      <c r="DR8" s="6"/>
      <c r="DS8" s="6"/>
      <c r="DT8" s="6"/>
      <c r="DU8" s="6"/>
      <c r="DV8" s="6"/>
      <c r="DW8" s="6"/>
      <c r="DX8" s="84"/>
      <c r="DY8" s="6"/>
      <c r="DZ8" s="6"/>
      <c r="EA8" s="6"/>
      <c r="EB8" s="6"/>
      <c r="EC8" s="6"/>
      <c r="ED8" s="6"/>
      <c r="EE8" s="6"/>
      <c r="EF8" s="6"/>
      <c r="EG8" s="6"/>
      <c r="EH8" s="6"/>
      <c r="EI8" s="6"/>
      <c r="EJ8" s="6"/>
      <c r="EK8" s="6"/>
      <c r="EL8" s="6"/>
      <c r="EM8" s="6"/>
      <c r="EN8" s="6"/>
      <c r="EO8" s="98"/>
      <c r="EP8" s="6"/>
      <c r="EQ8" s="6"/>
      <c r="ER8" s="6"/>
      <c r="ES8" s="6"/>
      <c r="ET8" s="6"/>
      <c r="EU8" s="6"/>
      <c r="EV8" s="6"/>
      <c r="EW8" s="7"/>
      <c r="EX8" s="7"/>
      <c r="EY8" s="7"/>
      <c r="EZ8" s="7"/>
      <c r="FA8" s="6"/>
      <c r="FB8" s="6"/>
      <c r="FC8" s="6"/>
      <c r="FD8" s="7"/>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98"/>
      <c r="HG8" s="6"/>
      <c r="HH8" s="6"/>
      <c r="HI8" s="6"/>
      <c r="HJ8" s="6"/>
      <c r="HK8" s="6"/>
      <c r="HL8" s="6"/>
      <c r="HM8" s="6"/>
      <c r="HN8" s="6"/>
      <c r="HO8" s="6"/>
      <c r="HP8" s="6"/>
      <c r="HQ8" s="102"/>
      <c r="HR8" s="6"/>
      <c r="HS8" s="6"/>
      <c r="HT8" s="6"/>
      <c r="HU8" s="6"/>
      <c r="HV8" s="6"/>
      <c r="HW8" s="6"/>
      <c r="HX8" s="6"/>
      <c r="HY8" s="6"/>
      <c r="HZ8" s="6"/>
      <c r="IA8" s="6"/>
      <c r="IB8" s="6"/>
      <c r="IC8" s="71"/>
      <c r="ID8" s="71"/>
      <c r="IE8" s="71"/>
      <c r="IF8" s="76"/>
      <c r="IG8" s="6"/>
      <c r="IH8" s="6"/>
      <c r="II8" s="6"/>
      <c r="IJ8" s="6"/>
      <c r="IK8" s="6"/>
      <c r="IL8" s="6"/>
      <c r="IM8" s="6"/>
      <c r="IN8" s="6"/>
      <c r="IO8" s="6"/>
      <c r="IP8" s="6"/>
      <c r="IQ8" s="6"/>
      <c r="IR8" s="6"/>
      <c r="IS8" s="6"/>
      <c r="IT8" s="6"/>
      <c r="IU8" s="6"/>
      <c r="IV8" s="6"/>
    </row>
    <row r="9" spans="1:275" s="13" customFormat="1" x14ac:dyDescent="0.2">
      <c r="A9" s="15" t="s">
        <v>11</v>
      </c>
      <c r="B9" s="23">
        <v>41639</v>
      </c>
      <c r="D9" s="6"/>
      <c r="E9" s="6">
        <f>COUNTIF(E13:E201,"=2")</f>
        <v>0</v>
      </c>
      <c r="F9" s="6"/>
      <c r="G9" s="6"/>
      <c r="H9" s="6"/>
      <c r="I9" s="6"/>
      <c r="J9" s="6"/>
      <c r="K9" s="6"/>
      <c r="L9" s="6"/>
      <c r="M9" s="6"/>
      <c r="N9" s="6"/>
      <c r="O9" s="6"/>
      <c r="P9" s="6"/>
      <c r="Q9" s="6"/>
      <c r="R9" s="6"/>
      <c r="S9" s="6"/>
      <c r="T9" s="9"/>
      <c r="U9" s="9"/>
      <c r="V9" s="9"/>
      <c r="W9" s="9"/>
      <c r="X9" s="9"/>
      <c r="Y9" s="9"/>
      <c r="Z9" s="9"/>
      <c r="AA9" s="9"/>
      <c r="AB9" s="9"/>
      <c r="AC9" s="6"/>
      <c r="AD9" s="6"/>
      <c r="AE9" s="6"/>
      <c r="AF9" s="9"/>
      <c r="AG9" s="6"/>
      <c r="AH9" s="6"/>
      <c r="AI9" s="6"/>
      <c r="AJ9" s="6"/>
      <c r="AK9" s="6"/>
      <c r="AL9" s="6"/>
      <c r="AM9" s="6"/>
      <c r="AN9" s="6"/>
      <c r="AO9" s="6"/>
      <c r="AP9" s="337"/>
      <c r="AQ9" s="343"/>
      <c r="AR9" s="6"/>
      <c r="AS9" s="6"/>
      <c r="AT9" s="10"/>
      <c r="AU9" s="6"/>
      <c r="AV9" s="9"/>
      <c r="AW9" s="9"/>
      <c r="AX9" s="6"/>
      <c r="AY9" s="6"/>
      <c r="AZ9" s="9"/>
      <c r="BA9" s="9"/>
      <c r="BB9" s="9"/>
      <c r="BC9" s="9"/>
      <c r="BD9" s="6"/>
      <c r="BE9" s="6"/>
      <c r="BF9" s="6"/>
      <c r="BG9" s="6"/>
      <c r="BH9" s="6"/>
      <c r="BI9" s="6"/>
      <c r="BJ9" s="9"/>
      <c r="BK9" s="9"/>
      <c r="BL9" s="9"/>
      <c r="BM9" s="9"/>
      <c r="BN9" s="9"/>
      <c r="BO9" s="9"/>
      <c r="BP9" s="9"/>
      <c r="BQ9" s="9"/>
      <c r="BR9" s="9"/>
      <c r="BS9" s="9"/>
      <c r="BW9" s="9"/>
      <c r="BX9" s="9"/>
      <c r="BY9" s="9"/>
      <c r="BZ9" s="9"/>
      <c r="CA9" s="9"/>
      <c r="CB9" s="9"/>
      <c r="CC9" s="9"/>
      <c r="CD9" s="6"/>
      <c r="CE9" s="6"/>
      <c r="CF9" s="9"/>
      <c r="CG9" s="9"/>
      <c r="CH9" s="9"/>
      <c r="CI9" s="9"/>
      <c r="CJ9" s="9"/>
      <c r="CK9" s="9"/>
      <c r="CL9" s="9"/>
      <c r="CM9" s="9"/>
      <c r="CN9" s="9"/>
      <c r="CO9" s="9"/>
      <c r="CP9" s="9"/>
      <c r="CQ9" s="9"/>
      <c r="CR9" s="9"/>
      <c r="CS9" s="9"/>
      <c r="CT9" s="88"/>
      <c r="CU9" s="88"/>
      <c r="CV9" s="88"/>
      <c r="CW9" s="9"/>
      <c r="CX9" s="9"/>
      <c r="CY9" s="9"/>
      <c r="CZ9" s="9"/>
      <c r="DA9" s="9"/>
      <c r="DB9" s="9"/>
      <c r="DC9" s="9"/>
      <c r="DD9" s="9"/>
      <c r="DE9" s="9"/>
      <c r="DF9" s="9"/>
      <c r="DG9" s="9"/>
      <c r="DH9" s="9"/>
      <c r="DI9" s="9"/>
      <c r="DJ9" s="9"/>
      <c r="DK9" s="6"/>
      <c r="DL9" s="9"/>
      <c r="DM9" s="9"/>
      <c r="DN9" s="9"/>
      <c r="DO9" s="9"/>
      <c r="DP9" s="9"/>
      <c r="DQ9" s="9"/>
      <c r="DR9" s="9"/>
      <c r="DS9" s="9"/>
      <c r="DT9" s="9"/>
      <c r="DU9" s="9"/>
      <c r="DV9" s="9"/>
      <c r="DW9" s="9"/>
      <c r="DX9" s="88"/>
      <c r="DY9" s="9"/>
      <c r="DZ9" s="9"/>
      <c r="EA9" s="9"/>
      <c r="EB9" s="9"/>
      <c r="EC9" s="9"/>
      <c r="ED9" s="9"/>
      <c r="EE9" s="9"/>
      <c r="EF9" s="9"/>
      <c r="EG9" s="9"/>
      <c r="EH9" s="9"/>
      <c r="EI9" s="9"/>
      <c r="EJ9" s="9"/>
      <c r="EK9" s="9"/>
      <c r="EL9" s="6"/>
      <c r="EM9" s="9"/>
      <c r="EN9" s="9"/>
      <c r="EO9" s="98"/>
      <c r="EP9" s="9"/>
      <c r="EQ9" s="9"/>
      <c r="ER9" s="9"/>
      <c r="ES9" s="9"/>
      <c r="ET9" s="9"/>
      <c r="EU9" s="9"/>
      <c r="EV9" s="9"/>
      <c r="EW9" s="9"/>
      <c r="EX9" s="9"/>
      <c r="EY9" s="9"/>
      <c r="EZ9" s="9"/>
      <c r="FA9" s="9"/>
      <c r="FB9" s="9"/>
      <c r="FC9" s="9"/>
      <c r="FD9" s="9"/>
      <c r="FE9" s="6"/>
      <c r="FF9" s="9"/>
      <c r="FG9" s="9"/>
      <c r="FH9" s="9"/>
      <c r="FI9" s="9"/>
      <c r="FJ9" s="9"/>
      <c r="FK9" s="9"/>
      <c r="FL9" s="9"/>
      <c r="FM9" s="9"/>
      <c r="FN9" s="9"/>
      <c r="FO9" s="9"/>
      <c r="FP9" s="9"/>
      <c r="FQ9" s="9"/>
      <c r="FR9" s="9"/>
      <c r="FS9" s="9"/>
      <c r="FT9" s="9"/>
      <c r="FU9" s="9"/>
      <c r="FV9" s="9"/>
      <c r="FW9" s="9"/>
      <c r="FX9" s="9"/>
      <c r="FY9" s="9"/>
      <c r="FZ9" s="9"/>
      <c r="GA9" s="9"/>
      <c r="GB9" s="9"/>
      <c r="GC9" s="9"/>
      <c r="GD9" s="9"/>
      <c r="GE9" s="9"/>
      <c r="GF9" s="9"/>
      <c r="GG9" s="9"/>
      <c r="GH9" s="9"/>
      <c r="GI9" s="9"/>
      <c r="GJ9" s="9"/>
      <c r="GK9" s="9"/>
      <c r="GL9" s="9"/>
      <c r="GM9" s="9"/>
      <c r="GN9" s="9"/>
      <c r="GO9" s="9"/>
      <c r="GP9" s="9"/>
      <c r="GQ9" s="9"/>
      <c r="GR9" s="9"/>
      <c r="GS9" s="9"/>
      <c r="GT9" s="9"/>
      <c r="GU9" s="9"/>
      <c r="GV9" s="9"/>
      <c r="GW9" s="9"/>
      <c r="GX9" s="9"/>
      <c r="GY9" s="9"/>
      <c r="GZ9" s="9"/>
      <c r="HA9" s="9"/>
      <c r="HB9" s="9"/>
      <c r="HC9" s="9"/>
      <c r="HD9" s="9"/>
      <c r="HE9" s="9"/>
      <c r="HF9" s="98"/>
      <c r="HG9" s="21">
        <f>SUM(HG13:HG161)</f>
        <v>0</v>
      </c>
      <c r="HH9" s="9"/>
      <c r="HI9" s="9"/>
      <c r="HJ9" s="9"/>
      <c r="HK9" s="6"/>
      <c r="HL9" s="6"/>
      <c r="HM9" s="6"/>
      <c r="HO9" s="6"/>
      <c r="HP9" s="21">
        <f>SUM(HP13:HP161)</f>
        <v>0</v>
      </c>
      <c r="HQ9" s="102"/>
      <c r="HR9" s="21">
        <f t="shared" ref="HR9:HW9" si="2">SUM(HR13:HR161)</f>
        <v>0</v>
      </c>
      <c r="HS9" s="21">
        <f t="shared" si="2"/>
        <v>0</v>
      </c>
      <c r="HT9" s="21">
        <f t="shared" si="2"/>
        <v>0</v>
      </c>
      <c r="HU9" s="21">
        <f t="shared" si="2"/>
        <v>0</v>
      </c>
      <c r="HV9" s="21">
        <f t="shared" si="2"/>
        <v>0</v>
      </c>
      <c r="HW9" s="21">
        <f t="shared" si="2"/>
        <v>0</v>
      </c>
      <c r="HX9" s="21">
        <f t="shared" ref="HX9" si="3">SUM(HX13:HX201)</f>
        <v>0</v>
      </c>
      <c r="HY9" s="21">
        <f t="shared" ref="HY9:IB9" si="4">SUM(HY13:HY161)</f>
        <v>0</v>
      </c>
      <c r="HZ9" s="21">
        <f t="shared" si="4"/>
        <v>0</v>
      </c>
      <c r="IA9" s="21">
        <f t="shared" si="4"/>
        <v>0</v>
      </c>
      <c r="IB9" s="21">
        <f t="shared" si="4"/>
        <v>0</v>
      </c>
      <c r="IC9" s="71"/>
      <c r="ID9" s="71"/>
      <c r="IE9" s="71"/>
      <c r="IF9" s="76"/>
      <c r="IG9" s="21">
        <f>SUM(IG13:IG161)</f>
        <v>0</v>
      </c>
      <c r="IH9" s="21">
        <f t="shared" ref="IH9:II9" si="5">SUM(IH13:IH161)</f>
        <v>0</v>
      </c>
      <c r="II9" s="21">
        <f t="shared" si="5"/>
        <v>0</v>
      </c>
      <c r="IJ9" s="9"/>
      <c r="IK9" s="9"/>
      <c r="IL9" s="6"/>
      <c r="IM9" s="6"/>
      <c r="IN9" s="6"/>
      <c r="IO9" s="6"/>
      <c r="IP9" s="6"/>
      <c r="IQ9" s="6"/>
      <c r="IR9" s="6"/>
      <c r="IS9" s="6"/>
      <c r="IT9" s="9"/>
      <c r="IU9" s="9"/>
      <c r="IV9" s="9"/>
      <c r="JN9" s="250">
        <f>SUM(JN13:JN201)</f>
        <v>0</v>
      </c>
      <c r="JO9" s="21">
        <f>SUM(JO13:JO201)</f>
        <v>0</v>
      </c>
    </row>
    <row r="10" spans="1:275" s="13" customFormat="1" ht="13.6" x14ac:dyDescent="0.2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28"/>
      <c r="AI10" s="28"/>
      <c r="AJ10" s="28"/>
      <c r="AK10" s="16"/>
      <c r="AL10" s="16"/>
      <c r="AM10" s="16"/>
      <c r="AN10" s="6"/>
      <c r="AO10" s="6"/>
      <c r="AP10" s="337"/>
      <c r="AQ10" s="343"/>
      <c r="AR10" s="6"/>
      <c r="AS10" s="16"/>
      <c r="AT10" s="16"/>
      <c r="AU10" s="6"/>
      <c r="AV10" s="16"/>
      <c r="AW10" s="16"/>
      <c r="AX10" s="16"/>
      <c r="AY10" s="16"/>
      <c r="AZ10" s="16"/>
      <c r="BA10" s="16"/>
      <c r="BB10" s="16"/>
      <c r="BC10" s="16"/>
      <c r="BD10" s="28"/>
      <c r="BE10" s="28"/>
      <c r="BF10" s="28"/>
      <c r="BG10" s="28"/>
      <c r="BH10" s="28"/>
      <c r="BI10" s="28"/>
      <c r="BJ10" s="16"/>
      <c r="BK10" s="16"/>
      <c r="BL10" s="16"/>
      <c r="BM10" s="16"/>
      <c r="BN10" s="16"/>
      <c r="BO10" s="16"/>
      <c r="BP10" s="16"/>
      <c r="BQ10" s="16"/>
      <c r="BR10" s="16"/>
      <c r="BS10" s="16"/>
      <c r="BW10" s="16"/>
      <c r="BX10" s="16"/>
      <c r="BY10" s="16"/>
      <c r="BZ10" s="16"/>
      <c r="CA10" s="16"/>
      <c r="CB10" s="16"/>
      <c r="CC10" s="16"/>
      <c r="CD10" s="28"/>
      <c r="CE10" s="28"/>
      <c r="CF10" s="17"/>
      <c r="CG10" s="17"/>
      <c r="CH10" s="17"/>
      <c r="CI10" s="17"/>
      <c r="CJ10" s="17"/>
      <c r="CK10" s="17"/>
      <c r="CL10" s="17"/>
      <c r="CM10" s="16"/>
      <c r="CN10" s="16"/>
      <c r="CO10" s="16"/>
      <c r="CP10" s="17"/>
      <c r="CQ10" s="17"/>
      <c r="CR10" s="17"/>
      <c r="CS10" s="17"/>
      <c r="CT10" s="17"/>
      <c r="CU10" s="17"/>
      <c r="CV10" s="17"/>
      <c r="CW10" s="17"/>
      <c r="CX10" s="16"/>
      <c r="CY10" s="16"/>
      <c r="CZ10" s="16"/>
      <c r="DA10" s="16"/>
      <c r="DB10" s="16"/>
      <c r="DC10" s="16"/>
      <c r="DD10" s="16"/>
      <c r="DE10" s="16"/>
      <c r="DF10" s="16"/>
      <c r="DG10" s="16"/>
      <c r="DH10" s="16"/>
      <c r="DI10" s="16"/>
      <c r="DJ10" s="16"/>
      <c r="DK10" s="28"/>
      <c r="DL10" s="16"/>
      <c r="DM10" s="16"/>
      <c r="DN10" s="16"/>
      <c r="DO10" s="16"/>
      <c r="DP10" s="16"/>
      <c r="DQ10" s="16"/>
      <c r="DR10" s="16"/>
      <c r="DS10" s="16"/>
      <c r="DT10" s="16"/>
      <c r="DU10" s="16"/>
      <c r="DV10" s="16"/>
      <c r="DW10" s="16"/>
      <c r="DX10" s="17"/>
      <c r="DY10" s="16"/>
      <c r="DZ10" s="16"/>
      <c r="EA10" s="16"/>
      <c r="EB10" s="16"/>
      <c r="EC10" s="16"/>
      <c r="ED10" s="16"/>
      <c r="EE10" s="16"/>
      <c r="EF10" s="16"/>
      <c r="EG10" s="16"/>
      <c r="EH10" s="16"/>
      <c r="EI10" s="16"/>
      <c r="EJ10" s="16"/>
      <c r="EK10" s="16"/>
      <c r="EL10" s="28"/>
      <c r="EM10" s="16"/>
      <c r="EN10" s="16"/>
      <c r="EO10" s="100"/>
      <c r="EP10" s="16"/>
      <c r="EQ10" s="16"/>
      <c r="ER10" s="16"/>
      <c r="ES10" s="16"/>
      <c r="ET10" s="16"/>
      <c r="EU10" s="16"/>
      <c r="EV10" s="16"/>
      <c r="EW10" s="17"/>
      <c r="EX10" s="17"/>
      <c r="EY10" s="17"/>
      <c r="EZ10" s="17"/>
      <c r="FA10" s="17"/>
      <c r="FB10" s="17"/>
      <c r="FC10" s="17"/>
      <c r="FD10" s="17"/>
      <c r="FE10" s="16"/>
      <c r="FF10" s="17"/>
      <c r="FG10" s="17"/>
      <c r="FH10" s="17"/>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c r="HB10" s="16"/>
      <c r="HC10" s="16"/>
      <c r="HD10" s="16"/>
      <c r="HE10" s="16"/>
      <c r="HF10" s="100"/>
      <c r="HG10" s="16"/>
      <c r="HH10" s="16"/>
      <c r="HI10" s="16"/>
      <c r="HJ10" s="16"/>
      <c r="HK10" s="16"/>
      <c r="HL10" s="16"/>
      <c r="HM10" s="16"/>
      <c r="HN10" s="16"/>
      <c r="HO10" s="16"/>
      <c r="HP10" s="16"/>
      <c r="HQ10" s="110"/>
      <c r="HR10" s="16"/>
      <c r="HS10" s="16"/>
      <c r="HT10" s="16"/>
      <c r="HU10" s="16"/>
      <c r="HV10" s="16"/>
      <c r="HW10" s="16"/>
      <c r="HX10" s="16"/>
      <c r="HY10" s="16"/>
      <c r="HZ10" s="16"/>
      <c r="IA10" s="16"/>
      <c r="IB10" s="16"/>
      <c r="IC10" s="16"/>
      <c r="ID10" s="16"/>
      <c r="IE10" s="16"/>
      <c r="IF10" s="7"/>
      <c r="IG10" s="27"/>
      <c r="IH10" s="27"/>
      <c r="II10" s="27"/>
      <c r="IJ10" s="27"/>
      <c r="IK10" s="27"/>
      <c r="IL10" s="27"/>
      <c r="IM10" s="27"/>
      <c r="IN10" s="27"/>
      <c r="IO10" s="27"/>
      <c r="IP10" s="27"/>
      <c r="IQ10" s="27"/>
      <c r="IR10" s="27"/>
      <c r="IS10" s="27"/>
      <c r="IT10" s="16"/>
      <c r="IU10" s="16"/>
      <c r="IV10" s="16"/>
    </row>
    <row r="11" spans="1:275" s="94" customFormat="1" x14ac:dyDescent="0.2">
      <c r="A11" s="7" t="s">
        <v>12</v>
      </c>
      <c r="B11" s="49" t="s">
        <v>13</v>
      </c>
      <c r="C11" s="49" t="s">
        <v>13</v>
      </c>
      <c r="D11" s="49" t="s">
        <v>13</v>
      </c>
      <c r="E11" s="49" t="s">
        <v>13</v>
      </c>
      <c r="F11" s="49" t="s">
        <v>31</v>
      </c>
      <c r="G11" s="49" t="s">
        <v>13</v>
      </c>
      <c r="H11" s="49" t="s">
        <v>13</v>
      </c>
      <c r="I11" s="49" t="s">
        <v>13</v>
      </c>
      <c r="J11" s="49" t="s">
        <v>13</v>
      </c>
      <c r="K11" s="49" t="s">
        <v>59</v>
      </c>
      <c r="L11" s="49" t="s">
        <v>13</v>
      </c>
      <c r="M11" s="49" t="s">
        <v>13</v>
      </c>
      <c r="N11" s="49" t="s">
        <v>13</v>
      </c>
      <c r="O11" s="49" t="s">
        <v>13</v>
      </c>
      <c r="P11" s="49" t="s">
        <v>13</v>
      </c>
      <c r="Q11" s="49" t="s">
        <v>13</v>
      </c>
      <c r="R11" s="49" t="s">
        <v>13</v>
      </c>
      <c r="S11" s="49" t="s">
        <v>13</v>
      </c>
      <c r="T11" s="49" t="s">
        <v>13</v>
      </c>
      <c r="U11" s="49" t="s">
        <v>13</v>
      </c>
      <c r="V11" s="49" t="s">
        <v>13</v>
      </c>
      <c r="W11" s="49" t="s">
        <v>13</v>
      </c>
      <c r="X11" s="49" t="s">
        <v>13</v>
      </c>
      <c r="Y11" s="49" t="s">
        <v>13</v>
      </c>
      <c r="Z11" s="49" t="s">
        <v>13</v>
      </c>
      <c r="AA11" s="49" t="s">
        <v>13</v>
      </c>
      <c r="AB11" s="49" t="s">
        <v>20</v>
      </c>
      <c r="AC11" s="49" t="s">
        <v>13</v>
      </c>
      <c r="AD11" s="49" t="s">
        <v>13</v>
      </c>
      <c r="AE11" s="49" t="s">
        <v>13</v>
      </c>
      <c r="AF11" s="49" t="s">
        <v>13</v>
      </c>
      <c r="AG11" s="49" t="s">
        <v>13</v>
      </c>
      <c r="AH11" s="49" t="s">
        <v>13</v>
      </c>
      <c r="AI11" s="49" t="s">
        <v>13</v>
      </c>
      <c r="AJ11" s="49" t="s">
        <v>13</v>
      </c>
      <c r="AK11" s="49" t="s">
        <v>13</v>
      </c>
      <c r="AL11" s="49" t="s">
        <v>13</v>
      </c>
      <c r="AM11" s="49" t="s">
        <v>13</v>
      </c>
      <c r="AN11" s="49" t="s">
        <v>59</v>
      </c>
      <c r="AO11" s="49" t="s">
        <v>59</v>
      </c>
      <c r="AP11" s="160" t="s">
        <v>13</v>
      </c>
      <c r="AQ11" s="344" t="s">
        <v>20</v>
      </c>
      <c r="AR11" s="49" t="s">
        <v>20</v>
      </c>
      <c r="AS11" s="49" t="s">
        <v>20</v>
      </c>
      <c r="AT11" s="49" t="s">
        <v>20</v>
      </c>
      <c r="AU11" s="49" t="s">
        <v>20</v>
      </c>
      <c r="AV11" s="49" t="s">
        <v>20</v>
      </c>
      <c r="AW11" s="49" t="s">
        <v>20</v>
      </c>
      <c r="AX11" s="49" t="s">
        <v>20</v>
      </c>
      <c r="AY11" s="49" t="s">
        <v>20</v>
      </c>
      <c r="AZ11" s="49" t="s">
        <v>20</v>
      </c>
      <c r="BA11" s="49" t="s">
        <v>20</v>
      </c>
      <c r="BB11" s="49" t="s">
        <v>59</v>
      </c>
      <c r="BC11" s="49" t="s">
        <v>59</v>
      </c>
      <c r="BD11" s="49" t="s">
        <v>20</v>
      </c>
      <c r="BE11" s="49" t="s">
        <v>59</v>
      </c>
      <c r="BF11" s="49" t="s">
        <v>59</v>
      </c>
      <c r="BG11" s="49" t="s">
        <v>59</v>
      </c>
      <c r="BH11" s="49" t="s">
        <v>59</v>
      </c>
      <c r="BI11" s="49" t="s">
        <v>59</v>
      </c>
      <c r="BJ11" s="49" t="s">
        <v>20</v>
      </c>
      <c r="BK11" s="49" t="s">
        <v>31</v>
      </c>
      <c r="BL11" s="49" t="s">
        <v>20</v>
      </c>
      <c r="BM11" s="49" t="s">
        <v>20</v>
      </c>
      <c r="BN11" s="49" t="s">
        <v>20</v>
      </c>
      <c r="BO11" s="49" t="s">
        <v>20</v>
      </c>
      <c r="BP11" s="49" t="s">
        <v>13</v>
      </c>
      <c r="BQ11" s="49" t="s">
        <v>13</v>
      </c>
      <c r="BR11" s="49" t="s">
        <v>13</v>
      </c>
      <c r="BS11" s="49" t="s">
        <v>20</v>
      </c>
      <c r="BT11" s="49" t="s">
        <v>13</v>
      </c>
      <c r="BU11" s="49" t="s">
        <v>13</v>
      </c>
      <c r="BV11" s="49" t="s">
        <v>13</v>
      </c>
      <c r="BW11" s="49" t="s">
        <v>20</v>
      </c>
      <c r="BX11" s="49" t="s">
        <v>31</v>
      </c>
      <c r="BY11" s="49" t="s">
        <v>31</v>
      </c>
      <c r="BZ11" s="49" t="s">
        <v>31</v>
      </c>
      <c r="CA11" s="49" t="s">
        <v>20</v>
      </c>
      <c r="CB11" s="49" t="s">
        <v>20</v>
      </c>
      <c r="CC11" s="49" t="s">
        <v>20</v>
      </c>
      <c r="CD11" s="49" t="s">
        <v>20</v>
      </c>
      <c r="CE11" s="49" t="s">
        <v>13</v>
      </c>
      <c r="CF11" s="49" t="s">
        <v>13</v>
      </c>
      <c r="CG11" s="49" t="s">
        <v>13</v>
      </c>
      <c r="CH11" s="49" t="s">
        <v>13</v>
      </c>
      <c r="CI11" s="49" t="s">
        <v>20</v>
      </c>
      <c r="CJ11" s="49" t="s">
        <v>59</v>
      </c>
      <c r="CK11" s="49" t="s">
        <v>59</v>
      </c>
      <c r="CL11" s="49" t="s">
        <v>59</v>
      </c>
      <c r="CM11" s="49" t="s">
        <v>20</v>
      </c>
      <c r="CN11" s="49" t="s">
        <v>13</v>
      </c>
      <c r="CO11" s="49" t="s">
        <v>20</v>
      </c>
      <c r="CP11" s="49" t="s">
        <v>20</v>
      </c>
      <c r="CQ11" s="49" t="s">
        <v>20</v>
      </c>
      <c r="CR11" s="49" t="s">
        <v>13</v>
      </c>
      <c r="CS11" s="49" t="s">
        <v>20</v>
      </c>
      <c r="CT11" s="49" t="s">
        <v>20</v>
      </c>
      <c r="CU11" s="49" t="s">
        <v>20</v>
      </c>
      <c r="CV11" s="49" t="s">
        <v>20</v>
      </c>
      <c r="CW11" s="49" t="s">
        <v>20</v>
      </c>
      <c r="CX11" s="49" t="s">
        <v>20</v>
      </c>
      <c r="CY11" s="49" t="s">
        <v>13</v>
      </c>
      <c r="CZ11" s="49" t="s">
        <v>20</v>
      </c>
      <c r="DA11" s="49" t="s">
        <v>20</v>
      </c>
      <c r="DB11" s="49" t="s">
        <v>13</v>
      </c>
      <c r="DC11" s="49" t="s">
        <v>20</v>
      </c>
      <c r="DD11" s="49" t="s">
        <v>13</v>
      </c>
      <c r="DE11" s="49" t="s">
        <v>20</v>
      </c>
      <c r="DF11" s="49" t="s">
        <v>59</v>
      </c>
      <c r="DG11" s="49" t="s">
        <v>59</v>
      </c>
      <c r="DH11" s="49" t="s">
        <v>13</v>
      </c>
      <c r="DI11" s="49" t="s">
        <v>13</v>
      </c>
      <c r="DJ11" s="49" t="s">
        <v>13</v>
      </c>
      <c r="DK11" s="49" t="s">
        <v>20</v>
      </c>
      <c r="DL11" s="49" t="s">
        <v>20</v>
      </c>
      <c r="DM11" s="49" t="s">
        <v>13</v>
      </c>
      <c r="DN11" s="49" t="s">
        <v>59</v>
      </c>
      <c r="DO11" s="49" t="s">
        <v>59</v>
      </c>
      <c r="DP11" s="49" t="s">
        <v>59</v>
      </c>
      <c r="DQ11" s="49" t="s">
        <v>59</v>
      </c>
      <c r="DR11" s="49" t="s">
        <v>20</v>
      </c>
      <c r="DS11" s="49" t="s">
        <v>20</v>
      </c>
      <c r="DT11" s="49" t="s">
        <v>13</v>
      </c>
      <c r="DU11" s="49" t="s">
        <v>20</v>
      </c>
      <c r="DV11" s="49" t="s">
        <v>20</v>
      </c>
      <c r="DW11" s="49" t="s">
        <v>13</v>
      </c>
      <c r="DX11" s="49" t="s">
        <v>20</v>
      </c>
      <c r="DY11" s="49" t="s">
        <v>20</v>
      </c>
      <c r="DZ11" s="49" t="s">
        <v>20</v>
      </c>
      <c r="EA11" s="49" t="s">
        <v>13</v>
      </c>
      <c r="EB11" s="49" t="s">
        <v>13</v>
      </c>
      <c r="EC11" s="49" t="s">
        <v>20</v>
      </c>
      <c r="ED11" s="49" t="s">
        <v>13</v>
      </c>
      <c r="EE11" s="49" t="s">
        <v>59</v>
      </c>
      <c r="EF11" s="49" t="s">
        <v>20</v>
      </c>
      <c r="EG11" s="49" t="s">
        <v>20</v>
      </c>
      <c r="EH11" s="49" t="s">
        <v>20</v>
      </c>
      <c r="EI11" s="49" t="s">
        <v>13</v>
      </c>
      <c r="EJ11" s="49" t="s">
        <v>20</v>
      </c>
      <c r="EK11" s="49" t="s">
        <v>20</v>
      </c>
      <c r="EL11" s="49" t="s">
        <v>13</v>
      </c>
      <c r="EM11" s="49" t="s">
        <v>20</v>
      </c>
      <c r="EN11" s="49" t="s">
        <v>20</v>
      </c>
      <c r="EO11" s="101" t="s">
        <v>59</v>
      </c>
      <c r="EP11" s="49" t="s">
        <v>20</v>
      </c>
      <c r="EQ11" s="49" t="s">
        <v>20</v>
      </c>
      <c r="ER11" s="49" t="s">
        <v>20</v>
      </c>
      <c r="ES11" s="49" t="s">
        <v>59</v>
      </c>
      <c r="ET11" s="49" t="s">
        <v>59</v>
      </c>
      <c r="EU11" s="49" t="s">
        <v>13</v>
      </c>
      <c r="EV11" s="49" t="s">
        <v>20</v>
      </c>
      <c r="EW11" s="49" t="s">
        <v>13</v>
      </c>
      <c r="EX11" s="49" t="s">
        <v>13</v>
      </c>
      <c r="EY11" s="49" t="s">
        <v>13</v>
      </c>
      <c r="EZ11" s="49" t="s">
        <v>13</v>
      </c>
      <c r="FA11" s="49" t="s">
        <v>20</v>
      </c>
      <c r="FB11" s="49" t="s">
        <v>20</v>
      </c>
      <c r="FC11" s="49" t="s">
        <v>20</v>
      </c>
      <c r="FD11" s="49" t="s">
        <v>20</v>
      </c>
      <c r="FE11" s="49" t="s">
        <v>20</v>
      </c>
      <c r="FF11" s="49" t="s">
        <v>20</v>
      </c>
      <c r="FG11" s="49" t="s">
        <v>20</v>
      </c>
      <c r="FH11" s="49" t="s">
        <v>20</v>
      </c>
      <c r="FI11" s="49" t="s">
        <v>59</v>
      </c>
      <c r="FJ11" s="49" t="s">
        <v>59</v>
      </c>
      <c r="FK11" s="49" t="s">
        <v>59</v>
      </c>
      <c r="FL11" s="49" t="s">
        <v>59</v>
      </c>
      <c r="FM11" s="49" t="s">
        <v>59</v>
      </c>
      <c r="FN11" s="49" t="s">
        <v>59</v>
      </c>
      <c r="FO11" s="49" t="s">
        <v>59</v>
      </c>
      <c r="FP11" s="49" t="s">
        <v>59</v>
      </c>
      <c r="FQ11" s="49" t="s">
        <v>59</v>
      </c>
      <c r="FR11" s="49" t="s">
        <v>59</v>
      </c>
      <c r="FS11" s="49" t="s">
        <v>20</v>
      </c>
      <c r="FT11" s="49" t="s">
        <v>20</v>
      </c>
      <c r="FU11" s="49" t="s">
        <v>20</v>
      </c>
      <c r="FV11" s="49" t="s">
        <v>20</v>
      </c>
      <c r="FW11" s="49" t="s">
        <v>20</v>
      </c>
      <c r="FX11" s="49" t="s">
        <v>20</v>
      </c>
      <c r="FY11" s="49" t="s">
        <v>20</v>
      </c>
      <c r="FZ11" s="49" t="s">
        <v>20</v>
      </c>
      <c r="GA11" s="49" t="s">
        <v>20</v>
      </c>
      <c r="GB11" s="49" t="s">
        <v>20</v>
      </c>
      <c r="GC11" s="49" t="s">
        <v>20</v>
      </c>
      <c r="GD11" s="49" t="s">
        <v>20</v>
      </c>
      <c r="GE11" s="49" t="s">
        <v>20</v>
      </c>
      <c r="GF11" s="49" t="s">
        <v>20</v>
      </c>
      <c r="GG11" s="49" t="s">
        <v>20</v>
      </c>
      <c r="GH11" s="49" t="s">
        <v>20</v>
      </c>
      <c r="GI11" s="49" t="s">
        <v>20</v>
      </c>
      <c r="GJ11" s="49" t="s">
        <v>20</v>
      </c>
      <c r="GK11" s="49" t="s">
        <v>20</v>
      </c>
      <c r="GL11" s="49" t="s">
        <v>20</v>
      </c>
      <c r="GM11" s="49" t="s">
        <v>20</v>
      </c>
      <c r="GN11" s="49" t="s">
        <v>20</v>
      </c>
      <c r="GO11" s="49" t="s">
        <v>20</v>
      </c>
      <c r="GP11" s="49" t="s">
        <v>20</v>
      </c>
      <c r="GQ11" s="49" t="s">
        <v>20</v>
      </c>
      <c r="GR11" s="49" t="s">
        <v>20</v>
      </c>
      <c r="GS11" s="49" t="s">
        <v>20</v>
      </c>
      <c r="GT11" s="49" t="s">
        <v>20</v>
      </c>
      <c r="GU11" s="49" t="s">
        <v>20</v>
      </c>
      <c r="GV11" s="49" t="s">
        <v>20</v>
      </c>
      <c r="GW11" s="49" t="s">
        <v>20</v>
      </c>
      <c r="GX11" s="49" t="s">
        <v>20</v>
      </c>
      <c r="GY11" s="49" t="s">
        <v>20</v>
      </c>
      <c r="GZ11" s="49" t="s">
        <v>20</v>
      </c>
      <c r="HA11" s="49" t="s">
        <v>20</v>
      </c>
      <c r="HB11" s="49" t="s">
        <v>20</v>
      </c>
      <c r="HC11" s="49" t="s">
        <v>59</v>
      </c>
      <c r="HD11" s="49" t="s">
        <v>20</v>
      </c>
      <c r="HE11" s="49" t="s">
        <v>20</v>
      </c>
      <c r="HF11" s="101" t="s">
        <v>20</v>
      </c>
      <c r="HG11" s="49" t="s">
        <v>20</v>
      </c>
      <c r="HH11" s="49" t="s">
        <v>20</v>
      </c>
      <c r="HI11" s="49" t="s">
        <v>20</v>
      </c>
      <c r="HJ11" s="49" t="s">
        <v>20</v>
      </c>
      <c r="HK11" s="49" t="s">
        <v>20</v>
      </c>
      <c r="HL11" s="49" t="s">
        <v>20</v>
      </c>
      <c r="HM11" s="49" t="s">
        <v>20</v>
      </c>
      <c r="HN11" s="49" t="s">
        <v>20</v>
      </c>
      <c r="HO11" s="49" t="s">
        <v>20</v>
      </c>
      <c r="HP11" s="49" t="s">
        <v>20</v>
      </c>
      <c r="HQ11" s="111" t="s">
        <v>20</v>
      </c>
      <c r="HR11" s="49" t="s">
        <v>20</v>
      </c>
      <c r="HS11" s="49" t="s">
        <v>20</v>
      </c>
      <c r="HT11" s="49" t="s">
        <v>20</v>
      </c>
      <c r="HU11" s="49" t="s">
        <v>20</v>
      </c>
      <c r="HV11" s="49" t="s">
        <v>20</v>
      </c>
      <c r="HW11" s="49" t="s">
        <v>20</v>
      </c>
      <c r="HX11" s="49" t="s">
        <v>20</v>
      </c>
      <c r="HY11" s="49" t="s">
        <v>20</v>
      </c>
      <c r="HZ11" s="49" t="s">
        <v>20</v>
      </c>
      <c r="IA11" s="49" t="s">
        <v>20</v>
      </c>
      <c r="IB11" s="49" t="s">
        <v>20</v>
      </c>
      <c r="IC11" s="49" t="s">
        <v>20</v>
      </c>
      <c r="ID11" s="49" t="s">
        <v>20</v>
      </c>
      <c r="IE11" s="49" t="s">
        <v>20</v>
      </c>
      <c r="IF11" s="49" t="s">
        <v>20</v>
      </c>
      <c r="IG11" s="49" t="s">
        <v>31</v>
      </c>
      <c r="IH11" s="49" t="s">
        <v>20</v>
      </c>
      <c r="II11" s="49" t="s">
        <v>20</v>
      </c>
      <c r="IJ11" s="49" t="s">
        <v>20</v>
      </c>
      <c r="IK11" s="49" t="s">
        <v>20</v>
      </c>
      <c r="IL11" s="49" t="s">
        <v>20</v>
      </c>
      <c r="IM11" s="49" t="s">
        <v>20</v>
      </c>
      <c r="IN11" s="49" t="s">
        <v>20</v>
      </c>
      <c r="IO11" s="49" t="s">
        <v>20</v>
      </c>
      <c r="IP11" s="49" t="s">
        <v>20</v>
      </c>
      <c r="IQ11" s="49" t="s">
        <v>20</v>
      </c>
      <c r="IR11" s="49" t="s">
        <v>20</v>
      </c>
      <c r="IS11" s="49" t="s">
        <v>20</v>
      </c>
      <c r="IT11" s="49" t="s">
        <v>20</v>
      </c>
      <c r="IU11" s="49" t="s">
        <v>20</v>
      </c>
      <c r="IV11" s="49" t="s">
        <v>20</v>
      </c>
      <c r="IW11" s="49" t="s">
        <v>20</v>
      </c>
      <c r="IX11" s="49" t="s">
        <v>20</v>
      </c>
      <c r="IY11" s="49" t="s">
        <v>20</v>
      </c>
      <c r="IZ11" s="49" t="s">
        <v>20</v>
      </c>
      <c r="JA11" s="49" t="s">
        <v>20</v>
      </c>
      <c r="JB11" s="49" t="s">
        <v>20</v>
      </c>
      <c r="JC11" s="49" t="s">
        <v>20</v>
      </c>
      <c r="JD11" s="49" t="s">
        <v>20</v>
      </c>
      <c r="JE11" s="49" t="s">
        <v>20</v>
      </c>
      <c r="JF11" s="49" t="s">
        <v>20</v>
      </c>
      <c r="JG11" s="49" t="s">
        <v>20</v>
      </c>
      <c r="JH11" s="49" t="s">
        <v>20</v>
      </c>
      <c r="JI11" s="49" t="s">
        <v>20</v>
      </c>
      <c r="JJ11" s="49" t="s">
        <v>20</v>
      </c>
      <c r="JK11" s="49" t="s">
        <v>20</v>
      </c>
      <c r="JL11" s="49" t="s">
        <v>20</v>
      </c>
      <c r="JM11" s="49" t="s">
        <v>20</v>
      </c>
      <c r="JN11" s="94" t="s">
        <v>13</v>
      </c>
      <c r="JO11" s="94" t="s">
        <v>13</v>
      </c>
    </row>
    <row r="12" spans="1:275" s="26" customFormat="1" ht="12.1" customHeight="1" x14ac:dyDescent="0.25">
      <c r="A12" s="4" t="s">
        <v>0</v>
      </c>
      <c r="B12" s="24" t="s">
        <v>263</v>
      </c>
      <c r="C12" s="24" t="s">
        <v>1</v>
      </c>
      <c r="D12" s="24" t="s">
        <v>2</v>
      </c>
      <c r="E12" s="25" t="s">
        <v>3</v>
      </c>
      <c r="F12" s="25" t="s">
        <v>122</v>
      </c>
      <c r="G12" s="25" t="s">
        <v>234</v>
      </c>
      <c r="H12" s="25" t="s">
        <v>77</v>
      </c>
      <c r="I12" s="4" t="s">
        <v>4</v>
      </c>
      <c r="J12" s="4" t="s">
        <v>5</v>
      </c>
      <c r="K12" s="4"/>
      <c r="L12" s="4" t="s">
        <v>71</v>
      </c>
      <c r="M12" s="4" t="s">
        <v>72</v>
      </c>
      <c r="N12" s="4" t="s">
        <v>73</v>
      </c>
      <c r="O12" s="4" t="s">
        <v>102</v>
      </c>
      <c r="P12" s="4" t="s">
        <v>103</v>
      </c>
      <c r="Q12" s="4" t="s">
        <v>104</v>
      </c>
      <c r="R12" s="4" t="s">
        <v>105</v>
      </c>
      <c r="S12" s="4" t="s">
        <v>110</v>
      </c>
      <c r="T12" s="4" t="s">
        <v>8</v>
      </c>
      <c r="U12" s="4" t="s">
        <v>9</v>
      </c>
      <c r="V12" s="4" t="s">
        <v>106</v>
      </c>
      <c r="W12" s="4" t="s">
        <v>21</v>
      </c>
      <c r="X12" s="4" t="s">
        <v>254</v>
      </c>
      <c r="Y12" s="4" t="s">
        <v>6</v>
      </c>
      <c r="Z12" s="4" t="s">
        <v>7</v>
      </c>
      <c r="AA12" s="4" t="s">
        <v>107</v>
      </c>
      <c r="AB12" s="4" t="s">
        <v>19</v>
      </c>
      <c r="AC12" s="4" t="s">
        <v>75</v>
      </c>
      <c r="AD12" s="4" t="s">
        <v>108</v>
      </c>
      <c r="AE12" s="4" t="s">
        <v>109</v>
      </c>
      <c r="AF12" s="4" t="s">
        <v>22</v>
      </c>
      <c r="AG12" s="4" t="s">
        <v>23</v>
      </c>
      <c r="AH12" s="4" t="s">
        <v>136</v>
      </c>
      <c r="AI12" s="4" t="s">
        <v>208</v>
      </c>
      <c r="AJ12" s="4" t="s">
        <v>113</v>
      </c>
      <c r="AK12" s="4" t="s">
        <v>880</v>
      </c>
      <c r="AL12" s="4" t="s">
        <v>260</v>
      </c>
      <c r="AM12" s="4" t="s">
        <v>259</v>
      </c>
      <c r="AN12" s="4"/>
      <c r="AO12" s="4"/>
      <c r="AP12" s="161" t="s">
        <v>435</v>
      </c>
      <c r="AQ12" s="338" t="s">
        <v>707</v>
      </c>
      <c r="AR12" s="4" t="s">
        <v>1075</v>
      </c>
      <c r="AS12" s="4" t="s">
        <v>117</v>
      </c>
      <c r="AT12" s="4" t="s">
        <v>126</v>
      </c>
      <c r="AU12" s="4" t="s">
        <v>883</v>
      </c>
      <c r="AV12" s="4" t="s">
        <v>34</v>
      </c>
      <c r="AW12" s="4" t="s">
        <v>35</v>
      </c>
      <c r="AX12" s="4" t="s">
        <v>142</v>
      </c>
      <c r="AY12" s="4" t="s">
        <v>95</v>
      </c>
      <c r="AZ12" s="4" t="s">
        <v>36</v>
      </c>
      <c r="BA12" s="4" t="s">
        <v>37</v>
      </c>
      <c r="BB12" s="4"/>
      <c r="BC12" s="4"/>
      <c r="BD12" s="4" t="s">
        <v>135</v>
      </c>
      <c r="BE12" s="4"/>
      <c r="BF12" s="4"/>
      <c r="BG12" s="4"/>
      <c r="BH12" s="4" t="s">
        <v>813</v>
      </c>
      <c r="BI12" s="4"/>
      <c r="BJ12" s="4" t="s">
        <v>42</v>
      </c>
      <c r="BK12" s="4" t="s">
        <v>43</v>
      </c>
      <c r="BL12" s="4" t="s">
        <v>44</v>
      </c>
      <c r="BM12" s="4" t="s">
        <v>25</v>
      </c>
      <c r="BN12" s="4" t="s">
        <v>27</v>
      </c>
      <c r="BO12" s="4" t="s">
        <v>29</v>
      </c>
      <c r="BP12" s="4" t="s">
        <v>476</v>
      </c>
      <c r="BQ12" s="4" t="s">
        <v>477</v>
      </c>
      <c r="BR12" s="4" t="s">
        <v>478</v>
      </c>
      <c r="BS12" s="4" t="s">
        <v>270</v>
      </c>
      <c r="BT12" s="4" t="s">
        <v>268</v>
      </c>
      <c r="BU12" s="4" t="s">
        <v>101</v>
      </c>
      <c r="BV12" s="4" t="s">
        <v>269</v>
      </c>
      <c r="BW12" s="4" t="s">
        <v>271</v>
      </c>
      <c r="BX12" s="4" t="s">
        <v>30</v>
      </c>
      <c r="BY12" s="4" t="s">
        <v>32</v>
      </c>
      <c r="BZ12" s="4" t="s">
        <v>33</v>
      </c>
      <c r="CA12" s="4" t="s">
        <v>277</v>
      </c>
      <c r="CB12" s="4" t="s">
        <v>276</v>
      </c>
      <c r="CC12" s="4" t="s">
        <v>1112</v>
      </c>
      <c r="CD12" s="4" t="s">
        <v>115</v>
      </c>
      <c r="CE12" s="4" t="s">
        <v>848</v>
      </c>
      <c r="CF12" s="4" t="s">
        <v>93</v>
      </c>
      <c r="CG12" s="4" t="s">
        <v>1014</v>
      </c>
      <c r="CH12" s="4" t="s">
        <v>1087</v>
      </c>
      <c r="CI12" s="4" t="s">
        <v>64</v>
      </c>
      <c r="CJ12" s="4"/>
      <c r="CK12" s="4"/>
      <c r="CL12" s="4"/>
      <c r="CM12" s="4" t="s">
        <v>1055</v>
      </c>
      <c r="CN12" s="4" t="s">
        <v>815</v>
      </c>
      <c r="CO12" s="4" t="s">
        <v>1070</v>
      </c>
      <c r="CP12" s="4" t="s">
        <v>47</v>
      </c>
      <c r="CQ12" s="4" t="s">
        <v>48</v>
      </c>
      <c r="CR12" s="4" t="s">
        <v>814</v>
      </c>
      <c r="CS12" s="4" t="s">
        <v>284</v>
      </c>
      <c r="CT12" s="4" t="s">
        <v>216</v>
      </c>
      <c r="CU12" s="4" t="s">
        <v>57</v>
      </c>
      <c r="CV12" s="4" t="s">
        <v>492</v>
      </c>
      <c r="CW12" s="4" t="s">
        <v>58</v>
      </c>
      <c r="CX12" s="4" t="s">
        <v>183</v>
      </c>
      <c r="CY12" s="4" t="s">
        <v>816</v>
      </c>
      <c r="CZ12" s="4" t="s">
        <v>187</v>
      </c>
      <c r="DA12" s="4" t="s">
        <v>49</v>
      </c>
      <c r="DB12" s="4" t="s">
        <v>817</v>
      </c>
      <c r="DC12" s="4" t="s">
        <v>190</v>
      </c>
      <c r="DD12" s="4" t="s">
        <v>818</v>
      </c>
      <c r="DE12" s="4" t="s">
        <v>1083</v>
      </c>
      <c r="DF12" s="4"/>
      <c r="DG12" s="4"/>
      <c r="DH12" s="4" t="s">
        <v>866</v>
      </c>
      <c r="DI12" s="4" t="s">
        <v>179</v>
      </c>
      <c r="DJ12" s="4" t="s">
        <v>845</v>
      </c>
      <c r="DK12" s="4" t="s">
        <v>1076</v>
      </c>
      <c r="DL12" s="4" t="s">
        <v>192</v>
      </c>
      <c r="DM12" s="4" t="s">
        <v>1005</v>
      </c>
      <c r="DN12" s="4"/>
      <c r="DO12" s="4"/>
      <c r="DP12" s="4"/>
      <c r="DQ12" s="4"/>
      <c r="DR12" s="4" t="s">
        <v>257</v>
      </c>
      <c r="DS12" s="4" t="s">
        <v>194</v>
      </c>
      <c r="DT12" s="4" t="s">
        <v>819</v>
      </c>
      <c r="DU12" s="4" t="s">
        <v>195</v>
      </c>
      <c r="DV12" s="4" t="s">
        <v>196</v>
      </c>
      <c r="DW12" s="4" t="s">
        <v>820</v>
      </c>
      <c r="DX12" s="4" t="s">
        <v>849</v>
      </c>
      <c r="DY12" s="4" t="s">
        <v>253</v>
      </c>
      <c r="DZ12" s="4" t="s">
        <v>197</v>
      </c>
      <c r="EA12" s="4" t="s">
        <v>821</v>
      </c>
      <c r="EB12" s="4" t="s">
        <v>822</v>
      </c>
      <c r="EC12" s="4" t="s">
        <v>474</v>
      </c>
      <c r="ED12" s="4" t="s">
        <v>823</v>
      </c>
      <c r="EE12" s="4"/>
      <c r="EF12" s="4" t="s">
        <v>239</v>
      </c>
      <c r="EG12" s="4" t="s">
        <v>1773</v>
      </c>
      <c r="EH12" s="4" t="s">
        <v>240</v>
      </c>
      <c r="EI12" s="4" t="s">
        <v>1092</v>
      </c>
      <c r="EJ12" s="4" t="s">
        <v>1096</v>
      </c>
      <c r="EK12" s="4" t="s">
        <v>97</v>
      </c>
      <c r="EL12" s="4" t="s">
        <v>301</v>
      </c>
      <c r="EM12" s="4" t="s">
        <v>300</v>
      </c>
      <c r="EN12" s="4" t="s">
        <v>298</v>
      </c>
      <c r="EO12" s="97"/>
      <c r="EP12" s="4" t="s">
        <v>296</v>
      </c>
      <c r="EQ12" s="4" t="s">
        <v>297</v>
      </c>
      <c r="ER12" s="4" t="s">
        <v>299</v>
      </c>
      <c r="ES12" s="4"/>
      <c r="ET12" s="4"/>
      <c r="EU12" s="4" t="s">
        <v>2794</v>
      </c>
      <c r="EV12" s="4" t="s">
        <v>114</v>
      </c>
      <c r="EW12" s="4" t="s">
        <v>289</v>
      </c>
      <c r="EX12" s="4" t="s">
        <v>290</v>
      </c>
      <c r="EY12" s="4" t="s">
        <v>316</v>
      </c>
      <c r="EZ12" s="4" t="s">
        <v>317</v>
      </c>
      <c r="FA12" s="4" t="s">
        <v>225</v>
      </c>
      <c r="FB12" s="4" t="s">
        <v>314</v>
      </c>
      <c r="FC12" s="4" t="s">
        <v>1097</v>
      </c>
      <c r="FD12" s="4" t="s">
        <v>2317</v>
      </c>
      <c r="FE12" s="4" t="s">
        <v>325</v>
      </c>
      <c r="FF12" s="4" t="s">
        <v>224</v>
      </c>
      <c r="FG12" s="4" t="s">
        <v>326</v>
      </c>
      <c r="FH12" s="4" t="s">
        <v>1050</v>
      </c>
      <c r="FI12" s="4" t="s">
        <v>706</v>
      </c>
      <c r="FJ12" s="4"/>
      <c r="FK12" s="4" t="s">
        <v>708</v>
      </c>
      <c r="FL12" s="4" t="s">
        <v>709</v>
      </c>
      <c r="FM12" s="4" t="s">
        <v>710</v>
      </c>
      <c r="FN12" s="4" t="s">
        <v>711</v>
      </c>
      <c r="FO12" s="4" t="s">
        <v>712</v>
      </c>
      <c r="FP12" s="4" t="s">
        <v>713</v>
      </c>
      <c r="FQ12" s="4"/>
      <c r="FR12" s="4"/>
      <c r="FS12" s="4" t="s">
        <v>1006</v>
      </c>
      <c r="FT12" s="4" t="s">
        <v>1011</v>
      </c>
      <c r="FU12" s="4" t="s">
        <v>864</v>
      </c>
      <c r="FV12" s="4" t="s">
        <v>714</v>
      </c>
      <c r="FW12" s="4" t="s">
        <v>1078</v>
      </c>
      <c r="FX12" s="4" t="s">
        <v>1079</v>
      </c>
      <c r="FY12" s="4" t="s">
        <v>926</v>
      </c>
      <c r="FZ12" s="4" t="s">
        <v>94</v>
      </c>
      <c r="GA12" s="4" t="s">
        <v>734</v>
      </c>
      <c r="GB12" s="4" t="s">
        <v>884</v>
      </c>
      <c r="GC12" s="4" t="s">
        <v>92</v>
      </c>
      <c r="GD12" s="4" t="s">
        <v>1080</v>
      </c>
      <c r="GE12" s="4" t="s">
        <v>743</v>
      </c>
      <c r="GF12" s="4" t="s">
        <v>745</v>
      </c>
      <c r="GG12" s="4" t="s">
        <v>746</v>
      </c>
      <c r="GH12" s="4" t="s">
        <v>749</v>
      </c>
      <c r="GI12" s="4" t="s">
        <v>1081</v>
      </c>
      <c r="GJ12" s="4" t="s">
        <v>750</v>
      </c>
      <c r="GK12" s="4" t="s">
        <v>862</v>
      </c>
      <c r="GL12" s="4" t="s">
        <v>753</v>
      </c>
      <c r="GM12" s="4" t="s">
        <v>863</v>
      </c>
      <c r="GN12" s="4" t="s">
        <v>852</v>
      </c>
      <c r="GO12" s="4" t="s">
        <v>853</v>
      </c>
      <c r="GP12" s="4" t="s">
        <v>854</v>
      </c>
      <c r="GQ12" s="4" t="s">
        <v>855</v>
      </c>
      <c r="GR12" s="4" t="s">
        <v>860</v>
      </c>
      <c r="GS12" s="4" t="s">
        <v>861</v>
      </c>
      <c r="GT12" s="4" t="s">
        <v>856</v>
      </c>
      <c r="GU12" s="4" t="s">
        <v>857</v>
      </c>
      <c r="GV12" s="4" t="s">
        <v>858</v>
      </c>
      <c r="GW12" s="4" t="s">
        <v>906</v>
      </c>
      <c r="GX12" s="4" t="s">
        <v>907</v>
      </c>
      <c r="GY12" s="4" t="s">
        <v>908</v>
      </c>
      <c r="GZ12" s="4" t="s">
        <v>752</v>
      </c>
      <c r="HA12" s="4" t="s">
        <v>927</v>
      </c>
      <c r="HB12" s="4" t="s">
        <v>791</v>
      </c>
      <c r="HC12" s="4"/>
      <c r="HD12" s="4" t="s">
        <v>82</v>
      </c>
      <c r="HE12" s="4" t="s">
        <v>337</v>
      </c>
      <c r="HF12" s="97" t="s">
        <v>335</v>
      </c>
      <c r="HG12" s="4" t="s">
        <v>336</v>
      </c>
      <c r="HH12" s="4" t="s">
        <v>542</v>
      </c>
      <c r="HI12" s="4" t="s">
        <v>50</v>
      </c>
      <c r="HJ12" s="4" t="s">
        <v>349</v>
      </c>
      <c r="HK12" s="4" t="s">
        <v>159</v>
      </c>
      <c r="HL12" s="4" t="s">
        <v>302</v>
      </c>
      <c r="HM12" s="4" t="s">
        <v>303</v>
      </c>
      <c r="HN12" s="4" t="s">
        <v>305</v>
      </c>
      <c r="HO12" s="26" t="s">
        <v>154</v>
      </c>
      <c r="HP12" s="4" t="s">
        <v>99</v>
      </c>
      <c r="HQ12" s="107" t="s">
        <v>330</v>
      </c>
      <c r="HR12" s="4" t="s">
        <v>332</v>
      </c>
      <c r="HS12" s="4" t="s">
        <v>1007</v>
      </c>
      <c r="HT12" s="4" t="s">
        <v>1008</v>
      </c>
      <c r="HU12" s="4" t="s">
        <v>788</v>
      </c>
      <c r="HV12" s="4" t="s">
        <v>789</v>
      </c>
      <c r="HW12" s="4" t="s">
        <v>790</v>
      </c>
      <c r="HX12" s="4" t="s">
        <v>1135</v>
      </c>
      <c r="HY12" s="4" t="s">
        <v>333</v>
      </c>
      <c r="HZ12" s="4" t="s">
        <v>334</v>
      </c>
      <c r="IA12" s="4" t="s">
        <v>350</v>
      </c>
      <c r="IB12" s="4" t="s">
        <v>351</v>
      </c>
      <c r="IC12" s="4" t="s">
        <v>51</v>
      </c>
      <c r="ID12" s="4" t="s">
        <v>200</v>
      </c>
      <c r="IE12" s="4" t="s">
        <v>202</v>
      </c>
      <c r="IF12" s="4" t="s">
        <v>355</v>
      </c>
      <c r="IG12" s="4" t="s">
        <v>52</v>
      </c>
      <c r="IH12" s="4" t="s">
        <v>54</v>
      </c>
      <c r="II12" s="4" t="s">
        <v>55</v>
      </c>
      <c r="IJ12" s="4" t="s">
        <v>359</v>
      </c>
      <c r="IK12" s="4" t="s">
        <v>76</v>
      </c>
      <c r="IL12" s="4" t="s">
        <v>45</v>
      </c>
      <c r="IM12" s="4" t="s">
        <v>360</v>
      </c>
      <c r="IN12" s="4" t="s">
        <v>361</v>
      </c>
      <c r="IO12" s="4" t="s">
        <v>362</v>
      </c>
      <c r="IP12" s="4" t="s">
        <v>363</v>
      </c>
      <c r="IQ12" s="4" t="s">
        <v>364</v>
      </c>
      <c r="IR12" s="4" t="s">
        <v>365</v>
      </c>
      <c r="IS12" s="4" t="s">
        <v>366</v>
      </c>
      <c r="IT12" s="4" t="s">
        <v>204</v>
      </c>
      <c r="IU12" s="4" t="s">
        <v>205</v>
      </c>
      <c r="IV12" s="4" t="s">
        <v>63</v>
      </c>
      <c r="IW12" s="4" t="s">
        <v>802</v>
      </c>
      <c r="IX12" s="4" t="s">
        <v>801</v>
      </c>
      <c r="IY12" s="4" t="s">
        <v>1100</v>
      </c>
      <c r="IZ12" s="4" t="s">
        <v>800</v>
      </c>
      <c r="JA12" s="4" t="s">
        <v>1101</v>
      </c>
      <c r="JB12" s="4" t="s">
        <v>1102</v>
      </c>
      <c r="JC12" s="4" t="s">
        <v>1103</v>
      </c>
      <c r="JD12" s="4" t="s">
        <v>1104</v>
      </c>
      <c r="JE12" s="4" t="s">
        <v>1105</v>
      </c>
      <c r="JF12" s="4" t="s">
        <v>1106</v>
      </c>
      <c r="JG12" s="4" t="s">
        <v>1107</v>
      </c>
      <c r="JH12" s="4" t="s">
        <v>803</v>
      </c>
      <c r="JI12" s="4" t="s">
        <v>804</v>
      </c>
      <c r="JJ12" s="4" t="s">
        <v>805</v>
      </c>
      <c r="JK12" s="4" t="s">
        <v>806</v>
      </c>
      <c r="JL12" s="4" t="s">
        <v>1818</v>
      </c>
      <c r="JM12" s="4" t="s">
        <v>807</v>
      </c>
      <c r="JN12" s="26" t="s">
        <v>1794</v>
      </c>
      <c r="JO12" s="26" t="s">
        <v>1795</v>
      </c>
    </row>
  </sheetData>
  <autoFilter ref="A12:JM43" xr:uid="{FC4308E6-543B-4357-8571-62F0377CEF9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B3E88-0FD8-4524-AEB3-151A77C07782}">
  <sheetPr codeName="Sheet6"/>
  <dimension ref="A1:XFA166"/>
  <sheetViews>
    <sheetView zoomScale="85" zoomScaleNormal="85" workbookViewId="0"/>
  </sheetViews>
  <sheetFormatPr defaultRowHeight="12.9" x14ac:dyDescent="0.2"/>
  <cols>
    <col min="1" max="1" width="19.625" bestFit="1" customWidth="1"/>
    <col min="2" max="2" width="14.25" bestFit="1" customWidth="1"/>
    <col min="3" max="3" width="17.625" bestFit="1" customWidth="1"/>
    <col min="4" max="4" width="17.125" bestFit="1" customWidth="1"/>
    <col min="5" max="5" width="11" bestFit="1" customWidth="1"/>
    <col min="6" max="6" width="19.875" bestFit="1" customWidth="1"/>
    <col min="7" max="7" width="22.75" bestFit="1" customWidth="1"/>
    <col min="8" max="8" width="9.625" bestFit="1" customWidth="1"/>
    <col min="9" max="9" width="10" bestFit="1" customWidth="1"/>
    <col min="10" max="10" width="12.75" bestFit="1" customWidth="1"/>
    <col min="11" max="11" width="12.875" bestFit="1" customWidth="1"/>
    <col min="12" max="12" width="25.75" bestFit="1" customWidth="1"/>
    <col min="13" max="13" width="11.25" bestFit="1" customWidth="1"/>
    <col min="14" max="14" width="13.875" bestFit="1" customWidth="1"/>
    <col min="15" max="15" width="14.125" bestFit="1" customWidth="1"/>
    <col min="16" max="16" width="11.25" bestFit="1" customWidth="1"/>
    <col min="17" max="17" width="13.875" bestFit="1" customWidth="1"/>
    <col min="18" max="18" width="14.125" bestFit="1" customWidth="1"/>
    <col min="19" max="19" width="24.375" bestFit="1" customWidth="1"/>
    <col min="20" max="20" width="10" bestFit="1" customWidth="1"/>
    <col min="21" max="23" width="11" bestFit="1" customWidth="1"/>
    <col min="24" max="24" width="13.125" bestFit="1" customWidth="1"/>
    <col min="25" max="25" width="10.75" bestFit="1" customWidth="1"/>
    <col min="26" max="26" width="10.25" bestFit="1" customWidth="1"/>
    <col min="27" max="28" width="11.375" bestFit="1" customWidth="1"/>
    <col min="29" max="29" width="16.25" bestFit="1" customWidth="1"/>
    <col min="30" max="30" width="10.25" bestFit="1" customWidth="1"/>
    <col min="31" max="32" width="12.375" bestFit="1" customWidth="1"/>
    <col min="33" max="33" width="11.25" bestFit="1" customWidth="1"/>
    <col min="34" max="34" width="13.875" bestFit="1" customWidth="1"/>
    <col min="35" max="35" width="23.25" bestFit="1" customWidth="1"/>
    <col min="36" max="36" width="11.25" bestFit="1" customWidth="1"/>
    <col min="37" max="37" width="10.25" bestFit="1" customWidth="1"/>
    <col min="38" max="39" width="11.375" bestFit="1" customWidth="1"/>
    <col min="40" max="41" width="11.625" bestFit="1" customWidth="1"/>
    <col min="42" max="43" width="10.75" bestFit="1" customWidth="1"/>
    <col min="44" max="44" width="14.625" bestFit="1" customWidth="1"/>
    <col min="45" max="45" width="11.25" bestFit="1" customWidth="1"/>
    <col min="46" max="46" width="9" bestFit="1" customWidth="1"/>
    <col min="47" max="47" width="44.125" bestFit="1" customWidth="1"/>
    <col min="48" max="48" width="12.625" bestFit="1" customWidth="1"/>
    <col min="49" max="49" width="9.625" bestFit="1" customWidth="1"/>
    <col min="50" max="50" width="12.25" bestFit="1" customWidth="1"/>
    <col min="51" max="51" width="14.375" bestFit="1" customWidth="1"/>
    <col min="52" max="52" width="12.75" bestFit="1" customWidth="1"/>
    <col min="53" max="53" width="12.625" bestFit="1" customWidth="1"/>
    <col min="54" max="54" width="9.625" bestFit="1" customWidth="1"/>
    <col min="55" max="55" width="15.75" bestFit="1" customWidth="1"/>
    <col min="56" max="56" width="12.75" bestFit="1" customWidth="1"/>
    <col min="57" max="57" width="12.625" bestFit="1" customWidth="1"/>
    <col min="58" max="58" width="9.625" bestFit="1" customWidth="1"/>
    <col min="59" max="60" width="15.75" bestFit="1" customWidth="1"/>
    <col min="61" max="61" width="14.625" bestFit="1" customWidth="1"/>
    <col min="62" max="63" width="10.75" bestFit="1" customWidth="1"/>
    <col min="64" max="64" width="9" bestFit="1" customWidth="1"/>
    <col min="65" max="65" width="10.25" bestFit="1" customWidth="1"/>
    <col min="66" max="66" width="11.375" bestFit="1" customWidth="1"/>
    <col min="67" max="67" width="13.375" bestFit="1" customWidth="1"/>
    <col min="68" max="68" width="13.25" bestFit="1" customWidth="1"/>
    <col min="69" max="69" width="14.75" bestFit="1" customWidth="1"/>
    <col min="70" max="70" width="10.25" bestFit="1" customWidth="1"/>
    <col min="71" max="71" width="14.625" bestFit="1" customWidth="1"/>
    <col min="72" max="72" width="14.375" bestFit="1" customWidth="1"/>
    <col min="73" max="73" width="16" bestFit="1" customWidth="1"/>
    <col min="74" max="74" width="11" bestFit="1" customWidth="1"/>
    <col min="75" max="76" width="10.25" bestFit="1" customWidth="1"/>
    <col min="77" max="77" width="10.25" customWidth="1"/>
    <col min="78" max="78" width="22.25" bestFit="1" customWidth="1"/>
    <col min="79" max="80" width="10.25" bestFit="1" customWidth="1"/>
    <col min="81" max="81" width="13.875" bestFit="1" customWidth="1"/>
    <col min="82" max="82" width="10.75" bestFit="1" customWidth="1"/>
    <col min="83" max="83" width="8.375" bestFit="1" customWidth="1"/>
    <col min="84" max="84" width="10.25" bestFit="1" customWidth="1"/>
    <col min="85" max="85" width="11.375" bestFit="1" customWidth="1"/>
    <col min="86" max="86" width="18.875" bestFit="1" customWidth="1"/>
    <col min="87" max="87" width="9.375" bestFit="1" customWidth="1"/>
    <col min="88" max="89" width="10.75" bestFit="1" customWidth="1"/>
    <col min="90" max="91" width="11.75" customWidth="1"/>
    <col min="92" max="92" width="20.75" bestFit="1" customWidth="1"/>
    <col min="93" max="93" width="15.75" bestFit="1" customWidth="1"/>
    <col min="94" max="94" width="13.625" bestFit="1" customWidth="1"/>
    <col min="95" max="95" width="14.25" bestFit="1" customWidth="1"/>
    <col min="96" max="96" width="7.625" bestFit="1" customWidth="1"/>
    <col min="97" max="97" width="8.875" bestFit="1" customWidth="1"/>
    <col min="98" max="99" width="10.75" bestFit="1" customWidth="1"/>
    <col min="100" max="100" width="9" bestFit="1" customWidth="1"/>
    <col min="101" max="101" width="17.125" bestFit="1" customWidth="1"/>
    <col min="102" max="102" width="14.25" bestFit="1" customWidth="1"/>
    <col min="103" max="104" width="10.75" bestFit="1" customWidth="1"/>
    <col min="105" max="105" width="10.875" bestFit="1" customWidth="1"/>
    <col min="106" max="107" width="12.25" bestFit="1" customWidth="1"/>
    <col min="108" max="108" width="9.625" bestFit="1" customWidth="1"/>
    <col min="109" max="109" width="8.875" bestFit="1" customWidth="1"/>
    <col min="110" max="110" width="10.25" bestFit="1" customWidth="1"/>
    <col min="111" max="111" width="15.25" bestFit="1" customWidth="1"/>
    <col min="112" max="112" width="10.25" bestFit="1" customWidth="1"/>
    <col min="113" max="113" width="12.25" bestFit="1" customWidth="1"/>
    <col min="114" max="114" width="10.875" bestFit="1" customWidth="1"/>
    <col min="115" max="115" width="12.125" bestFit="1" customWidth="1"/>
    <col min="116" max="116" width="11.375" bestFit="1" customWidth="1"/>
    <col min="117" max="117" width="13.375" bestFit="1" customWidth="1"/>
    <col min="118" max="119" width="22.375" bestFit="1" customWidth="1"/>
    <col min="120" max="120" width="15" bestFit="1" customWidth="1"/>
    <col min="121" max="121" width="16.375" bestFit="1" customWidth="1"/>
    <col min="122" max="122" width="31.875" bestFit="1" customWidth="1"/>
    <col min="123" max="123" width="20" bestFit="1" customWidth="1"/>
    <col min="124" max="124" width="22.125" bestFit="1" customWidth="1"/>
    <col min="125" max="125" width="13.625" bestFit="1" customWidth="1"/>
    <col min="126" max="126" width="15.125" bestFit="1" customWidth="1"/>
    <col min="127" max="127" width="22.75" bestFit="1" customWidth="1"/>
    <col min="128" max="128" width="14.125" bestFit="1" customWidth="1"/>
    <col min="129" max="129" width="15.625" bestFit="1" customWidth="1"/>
    <col min="130" max="130" width="24" bestFit="1" customWidth="1"/>
    <col min="131" max="131" width="17.625" bestFit="1" customWidth="1"/>
    <col min="132" max="132" width="17.875" bestFit="1" customWidth="1"/>
    <col min="133" max="133" width="28.75" bestFit="1" customWidth="1"/>
    <col min="134" max="134" width="21" bestFit="1" customWidth="1"/>
    <col min="135" max="135" width="22.375" bestFit="1" customWidth="1"/>
    <col min="136" max="136" width="24.875" bestFit="1" customWidth="1"/>
    <col min="137" max="137" width="22.75" bestFit="1" customWidth="1"/>
    <col min="138" max="138" width="17.625" bestFit="1" customWidth="1"/>
    <col min="139" max="139" width="15.125" bestFit="1" customWidth="1"/>
    <col min="140" max="140" width="11.75" bestFit="1" customWidth="1"/>
    <col min="141" max="141" width="11.375" bestFit="1" customWidth="1"/>
    <col min="142" max="142" width="9.375" bestFit="1" customWidth="1"/>
    <col min="143" max="143" width="15.625" bestFit="1" customWidth="1"/>
    <col min="144" max="144" width="17.375" bestFit="1" customWidth="1"/>
    <col min="145" max="145" width="35" bestFit="1" customWidth="1"/>
    <col min="146" max="146" width="7.375" bestFit="1" customWidth="1"/>
    <col min="147" max="148" width="10.25" bestFit="1" customWidth="1"/>
    <col min="149" max="149" width="10.375" bestFit="1" customWidth="1"/>
    <col min="150" max="150" width="11.125" bestFit="1" customWidth="1"/>
    <col min="151" max="151" width="10.75" bestFit="1" customWidth="1"/>
    <col min="152" max="152" width="12.375" bestFit="1" customWidth="1"/>
    <col min="153" max="153" width="11.625" bestFit="1" customWidth="1"/>
    <col min="154" max="154" width="9.875" bestFit="1" customWidth="1"/>
    <col min="155" max="155" width="13.875" bestFit="1" customWidth="1"/>
    <col min="156" max="156" width="14.375" bestFit="1" customWidth="1"/>
    <col min="157" max="157" width="10.75" bestFit="1" customWidth="1"/>
    <col min="158" max="158" width="15.125" bestFit="1" customWidth="1"/>
    <col min="159" max="159" width="10.75" bestFit="1" customWidth="1"/>
    <col min="160" max="160" width="14.125" bestFit="1" customWidth="1"/>
    <col min="161" max="161" width="10.75" bestFit="1" customWidth="1"/>
    <col min="162" max="162" width="14.625" bestFit="1" customWidth="1"/>
    <col min="163" max="165" width="10.75" bestFit="1" customWidth="1"/>
    <col min="166" max="166" width="15.75" bestFit="1" customWidth="1"/>
    <col min="167" max="169" width="10.75" bestFit="1" customWidth="1"/>
    <col min="170" max="170" width="6.375" bestFit="1" customWidth="1"/>
    <col min="171" max="171" width="10.75" bestFit="1" customWidth="1"/>
    <col min="172" max="172" width="10.25" bestFit="1" customWidth="1"/>
    <col min="173" max="173" width="15" bestFit="1" customWidth="1"/>
    <col min="174" max="174" width="14.375" bestFit="1" customWidth="1"/>
    <col min="175" max="175" width="8.625" bestFit="1" customWidth="1"/>
    <col min="176" max="176" width="7.875" bestFit="1" customWidth="1"/>
    <col min="177" max="177" width="13.125" bestFit="1" customWidth="1"/>
    <col min="178" max="189" width="10.75" bestFit="1" customWidth="1"/>
    <col min="190" max="190" width="15.25" bestFit="1" customWidth="1"/>
    <col min="191" max="193" width="10.75" bestFit="1" customWidth="1"/>
    <col min="194" max="194" width="11.875" bestFit="1" customWidth="1"/>
    <col min="195" max="195" width="10.75" bestFit="1" customWidth="1"/>
    <col min="196" max="196" width="13.625" bestFit="1" customWidth="1"/>
    <col min="197" max="197" width="17.625" bestFit="1" customWidth="1"/>
    <col min="198" max="198" width="17" bestFit="1" customWidth="1"/>
    <col min="199" max="199" width="20.875" bestFit="1" customWidth="1"/>
    <col min="200" max="200" width="28" bestFit="1" customWidth="1"/>
    <col min="201" max="201" width="28" customWidth="1"/>
    <col min="202" max="202" width="16.875" bestFit="1" customWidth="1"/>
    <col min="203" max="203" width="16.75" bestFit="1" customWidth="1"/>
    <col min="204" max="204" width="10.75" bestFit="1" customWidth="1"/>
    <col min="205" max="205" width="11.375" bestFit="1" customWidth="1"/>
    <col min="206" max="206" width="10.75" bestFit="1" customWidth="1"/>
    <col min="207" max="207" width="10.25" bestFit="1" customWidth="1"/>
    <col min="208" max="208" width="15.125" bestFit="1" customWidth="1"/>
    <col min="209" max="209" width="23.375" bestFit="1" customWidth="1"/>
    <col min="210" max="210" width="23.375" customWidth="1"/>
    <col min="211" max="211" width="10.75" bestFit="1" customWidth="1"/>
    <col min="212" max="212" width="14.75" bestFit="1" customWidth="1"/>
    <col min="213" max="213" width="14.625" bestFit="1" customWidth="1"/>
    <col min="214" max="215" width="9.875" bestFit="1" customWidth="1"/>
    <col min="216" max="216" width="17.625" bestFit="1" customWidth="1"/>
    <col min="217" max="217" width="11" bestFit="1" customWidth="1"/>
    <col min="218" max="218" width="10.875" bestFit="1" customWidth="1"/>
    <col min="219" max="220" width="17.625" bestFit="1" customWidth="1"/>
    <col min="221" max="221" width="11" bestFit="1" customWidth="1"/>
    <col min="222" max="222" width="10.75" bestFit="1" customWidth="1"/>
    <col min="223" max="223" width="10.25" bestFit="1" customWidth="1"/>
    <col min="224" max="224" width="17.625" bestFit="1" customWidth="1"/>
    <col min="225" max="225" width="10.25" bestFit="1" customWidth="1"/>
    <col min="226" max="226" width="11" bestFit="1" customWidth="1"/>
    <col min="227" max="228" width="10.75" bestFit="1" customWidth="1"/>
    <col min="229" max="229" width="9.875" bestFit="1" customWidth="1"/>
    <col min="230" max="230" width="10.75" bestFit="1" customWidth="1"/>
    <col min="231" max="231" width="9.875" bestFit="1" customWidth="1"/>
    <col min="232" max="232" width="10.75" bestFit="1" customWidth="1"/>
    <col min="233" max="233" width="9.875" bestFit="1" customWidth="1"/>
    <col min="234" max="234" width="10.75" bestFit="1" customWidth="1"/>
    <col min="235" max="235" width="18.125" bestFit="1" customWidth="1"/>
    <col min="236" max="236" width="14.375" bestFit="1" customWidth="1"/>
    <col min="237" max="237" width="12.375" bestFit="1" customWidth="1"/>
    <col min="238" max="238" width="15.375" bestFit="1" customWidth="1"/>
    <col min="239" max="239" width="16.125" customWidth="1"/>
    <col min="240" max="240" width="10.75" bestFit="1" customWidth="1"/>
    <col min="241" max="241" width="14.75" bestFit="1" customWidth="1"/>
    <col min="242" max="242" width="19.625" bestFit="1" customWidth="1"/>
    <col min="243" max="243" width="19.375" bestFit="1" customWidth="1"/>
    <col min="244" max="244" width="19.375" customWidth="1"/>
    <col min="245" max="245" width="7.375" bestFit="1" customWidth="1"/>
    <col min="246" max="246" width="11.625" bestFit="1" customWidth="1"/>
    <col min="247" max="247" width="12.625" bestFit="1" customWidth="1"/>
    <col min="248" max="248" width="14.25" bestFit="1" customWidth="1"/>
    <col min="249" max="249" width="12.125" bestFit="1" customWidth="1"/>
    <col min="250" max="251" width="7.875" bestFit="1" customWidth="1"/>
    <col min="252" max="252" width="8.75" bestFit="1" customWidth="1"/>
    <col min="253" max="253" width="10.375" bestFit="1" customWidth="1"/>
    <col min="254" max="254" width="10.75" customWidth="1"/>
    <col min="255" max="255" width="7.875" bestFit="1" customWidth="1"/>
    <col min="256" max="256" width="8.75" bestFit="1" customWidth="1"/>
    <col min="257" max="258" width="8.875" bestFit="1" customWidth="1"/>
    <col min="259" max="261" width="11.875" bestFit="1" customWidth="1"/>
    <col min="262" max="262" width="15.75" bestFit="1" customWidth="1"/>
    <col min="263" max="263" width="8.375" bestFit="1" customWidth="1"/>
    <col min="264" max="264" width="10.375" bestFit="1" customWidth="1"/>
    <col min="265" max="265" width="6.75" bestFit="1" customWidth="1"/>
    <col min="266" max="267" width="11" bestFit="1" customWidth="1"/>
    <col min="268" max="268" width="11.625" bestFit="1" customWidth="1"/>
    <col min="269" max="269" width="11.75" bestFit="1" customWidth="1"/>
    <col min="270" max="270" width="11" bestFit="1" customWidth="1"/>
    <col min="271" max="271" width="10.875" bestFit="1" customWidth="1"/>
    <col min="272" max="272" width="13.125" customWidth="1"/>
    <col min="273" max="273" width="10.625" bestFit="1" customWidth="1"/>
    <col min="274" max="274" width="10.375" bestFit="1" customWidth="1"/>
    <col min="275" max="275" width="15.75" bestFit="1" customWidth="1"/>
    <col min="276" max="276" width="12.875" bestFit="1" customWidth="1"/>
    <col min="277" max="277" width="17.625" customWidth="1"/>
    <col min="278" max="278" width="13.125" customWidth="1"/>
    <col min="279" max="279" width="12.375" bestFit="1" customWidth="1"/>
    <col min="280" max="280" width="12.875" bestFit="1" customWidth="1"/>
    <col min="281" max="281" width="12.625" bestFit="1" customWidth="1"/>
    <col min="282" max="282" width="10.75" bestFit="1" customWidth="1"/>
    <col min="283" max="283" width="9.375" bestFit="1" customWidth="1"/>
    <col min="284" max="285" width="10.25" bestFit="1" customWidth="1"/>
    <col min="286" max="286" width="9.375" bestFit="1" customWidth="1"/>
    <col min="287" max="289" width="13.125" customWidth="1"/>
    <col min="290" max="290" width="12.75" bestFit="1" customWidth="1"/>
    <col min="291" max="291" width="14.25" bestFit="1" customWidth="1"/>
    <col min="292" max="292" width="15.125" bestFit="1" customWidth="1"/>
    <col min="293" max="293" width="16" bestFit="1" customWidth="1"/>
    <col min="294" max="294" width="11" bestFit="1" customWidth="1"/>
    <col min="295" max="295" width="6.375" bestFit="1" customWidth="1"/>
    <col min="296" max="296" width="7" bestFit="1" customWidth="1"/>
    <col min="297" max="297" width="11" customWidth="1"/>
    <col min="298" max="298" width="10.25" customWidth="1"/>
    <col min="299" max="299" width="11" bestFit="1" customWidth="1"/>
    <col min="300" max="300" width="10.375" bestFit="1" customWidth="1"/>
    <col min="301" max="301" width="10" bestFit="1" customWidth="1"/>
    <col min="302" max="302" width="10.75" bestFit="1" customWidth="1"/>
    <col min="303" max="303" width="9.625" bestFit="1" customWidth="1"/>
    <col min="304" max="304" width="13.125" bestFit="1" customWidth="1"/>
    <col min="305" max="305" width="9.625" bestFit="1" customWidth="1"/>
    <col min="306" max="307" width="9.625" customWidth="1"/>
    <col min="308" max="310" width="10.375" customWidth="1"/>
    <col min="311" max="311" width="10.375" bestFit="1" customWidth="1"/>
    <col min="312" max="312" width="11.625" customWidth="1"/>
    <col min="313" max="313" width="9.625" bestFit="1" customWidth="1"/>
    <col min="314" max="314" width="12.25" bestFit="1" customWidth="1"/>
    <col min="315" max="315" width="9.125" bestFit="1" customWidth="1"/>
    <col min="316" max="316" width="11.75" bestFit="1" customWidth="1"/>
    <col min="317" max="317" width="11.25" bestFit="1" customWidth="1"/>
    <col min="318" max="318" width="11.25" customWidth="1"/>
    <col min="319" max="323" width="15.75" customWidth="1"/>
    <col min="324" max="324" width="15.75" bestFit="1" customWidth="1"/>
    <col min="325" max="325" width="15.75" customWidth="1"/>
    <col min="326" max="326" width="16.25" bestFit="1" customWidth="1"/>
    <col min="327" max="327" width="11.875" bestFit="1" customWidth="1"/>
    <col min="328" max="328" width="17.875" bestFit="1" customWidth="1"/>
    <col min="329" max="330" width="10.875" customWidth="1"/>
    <col min="331" max="331" width="12.25" bestFit="1" customWidth="1"/>
    <col min="332" max="333" width="12.25" customWidth="1"/>
    <col min="334" max="335" width="7" bestFit="1" customWidth="1"/>
    <col min="336" max="336" width="7.125" bestFit="1" customWidth="1"/>
    <col min="337" max="338" width="7" bestFit="1" customWidth="1"/>
    <col min="339" max="339" width="10.625" bestFit="1" customWidth="1"/>
    <col min="340" max="342" width="10.875" customWidth="1"/>
    <col min="343" max="343" width="10.75" bestFit="1" customWidth="1"/>
    <col min="344" max="344" width="10.375" bestFit="1" customWidth="1"/>
    <col min="345" max="347" width="10.875" customWidth="1"/>
    <col min="348" max="348" width="26.125" bestFit="1" customWidth="1"/>
    <col min="349" max="349" width="29.875" bestFit="1" customWidth="1"/>
    <col min="350" max="350" width="19.625" bestFit="1" customWidth="1"/>
    <col min="351" max="352" width="10.75" bestFit="1" customWidth="1"/>
    <col min="353" max="353" width="10" customWidth="1"/>
    <col min="354" max="354" width="10.75" bestFit="1" customWidth="1"/>
    <col min="355" max="356" width="10" bestFit="1" customWidth="1"/>
    <col min="357" max="357" width="10.75" bestFit="1" customWidth="1"/>
    <col min="358" max="358" width="9" bestFit="1" customWidth="1"/>
    <col min="359" max="359" width="13.625" bestFit="1" customWidth="1"/>
    <col min="360" max="360" width="8.125" bestFit="1" customWidth="1"/>
    <col min="361" max="361" width="15.375" bestFit="1" customWidth="1"/>
    <col min="362" max="362" width="17.625" bestFit="1" customWidth="1"/>
    <col min="363" max="363" width="20.25" bestFit="1" customWidth="1"/>
    <col min="364" max="364" width="17.375" bestFit="1" customWidth="1"/>
    <col min="365" max="365" width="15.625" bestFit="1" customWidth="1"/>
    <col min="366" max="366" width="9.375" bestFit="1" customWidth="1"/>
    <col min="367" max="369" width="8.625" bestFit="1" customWidth="1"/>
    <col min="370" max="370" width="13.625" bestFit="1" customWidth="1"/>
    <col min="371" max="371" width="8.875" bestFit="1" customWidth="1"/>
    <col min="372" max="372" width="18.375" bestFit="1" customWidth="1"/>
    <col min="373" max="373" width="8.875" bestFit="1" customWidth="1"/>
    <col min="374" max="374" width="13.625" bestFit="1" customWidth="1"/>
    <col min="375" max="375" width="8.125" bestFit="1" customWidth="1"/>
    <col min="376" max="376" width="14.75" bestFit="1" customWidth="1"/>
    <col min="377" max="377" width="14.375" bestFit="1" customWidth="1"/>
    <col min="378" max="378" width="5.625" bestFit="1" customWidth="1"/>
    <col min="379" max="379" width="15.625" bestFit="1" customWidth="1"/>
    <col min="380" max="380" width="15.25" bestFit="1" customWidth="1"/>
    <col min="381" max="381" width="9.25" bestFit="1" customWidth="1"/>
    <col min="382" max="382" width="8.625" bestFit="1" customWidth="1"/>
    <col min="383" max="383" width="8.375" bestFit="1" customWidth="1"/>
    <col min="384" max="384" width="9.125" bestFit="1" customWidth="1"/>
    <col min="385" max="386" width="8.375" bestFit="1" customWidth="1"/>
    <col min="387" max="387" width="8.625" bestFit="1" customWidth="1"/>
    <col min="388" max="388" width="6.75" bestFit="1" customWidth="1"/>
    <col min="389" max="389" width="9.125" bestFit="1" customWidth="1"/>
    <col min="390" max="390" width="7.875" bestFit="1" customWidth="1"/>
    <col min="391" max="391" width="10.375" bestFit="1" customWidth="1"/>
    <col min="392" max="392" width="11" bestFit="1" customWidth="1"/>
    <col min="393" max="395" width="10.375" bestFit="1" customWidth="1"/>
    <col min="396" max="396" width="9.75" bestFit="1" customWidth="1"/>
    <col min="397" max="397" width="9.625" bestFit="1" customWidth="1"/>
    <col min="398" max="399" width="10.75" bestFit="1" customWidth="1"/>
    <col min="400" max="400" width="11" customWidth="1"/>
    <col min="401" max="402" width="10.875" bestFit="1" customWidth="1"/>
    <col min="403" max="403" width="12.625" bestFit="1" customWidth="1"/>
    <col min="404" max="404" width="14.875" bestFit="1" customWidth="1"/>
    <col min="405" max="405" width="12.375" bestFit="1" customWidth="1"/>
    <col min="406" max="406" width="8.375" bestFit="1" customWidth="1"/>
    <col min="407" max="407" width="8.125" bestFit="1" customWidth="1"/>
    <col min="408" max="408" width="7" bestFit="1" customWidth="1"/>
    <col min="409" max="411" width="8.375" bestFit="1" customWidth="1"/>
    <col min="412" max="412" width="13.375" bestFit="1" customWidth="1"/>
    <col min="413" max="413" width="13.875" bestFit="1" customWidth="1"/>
    <col min="414" max="414" width="15.375" bestFit="1" customWidth="1"/>
    <col min="415" max="415" width="11" bestFit="1" customWidth="1"/>
    <col min="416" max="416" width="11.625" bestFit="1" customWidth="1"/>
    <col min="417" max="417" width="10.75" bestFit="1" customWidth="1"/>
    <col min="418" max="418" width="10" bestFit="1" customWidth="1"/>
    <col min="419" max="419" width="10.625" bestFit="1" customWidth="1"/>
    <col min="420" max="420" width="11" bestFit="1" customWidth="1"/>
    <col min="421" max="421" width="9" bestFit="1" customWidth="1"/>
    <col min="422" max="423" width="9.875" bestFit="1" customWidth="1"/>
    <col min="424" max="424" width="11.125" bestFit="1" customWidth="1"/>
    <col min="425" max="425" width="12.625" bestFit="1" customWidth="1"/>
    <col min="426" max="426" width="20.75" bestFit="1" customWidth="1"/>
    <col min="427" max="427" width="22.125" bestFit="1" customWidth="1"/>
    <col min="428" max="428" width="21.75" bestFit="1" customWidth="1"/>
    <col min="429" max="429" width="12.625" bestFit="1" customWidth="1"/>
    <col min="430" max="432" width="12.375" bestFit="1" customWidth="1"/>
    <col min="433" max="433" width="11.375" bestFit="1" customWidth="1"/>
    <col min="434" max="434" width="17.625" bestFit="1" customWidth="1"/>
    <col min="435" max="435" width="25.25" bestFit="1" customWidth="1"/>
    <col min="436" max="436" width="22.375" bestFit="1" customWidth="1"/>
    <col min="437" max="437" width="26.75" bestFit="1" customWidth="1"/>
    <col min="438" max="438" width="23.75" bestFit="1" customWidth="1"/>
    <col min="439" max="439" width="15.625" bestFit="1" customWidth="1"/>
    <col min="440" max="440" width="15" bestFit="1" customWidth="1"/>
    <col min="441" max="441" width="15.75" bestFit="1" customWidth="1"/>
    <col min="442" max="442" width="16.625" bestFit="1" customWidth="1"/>
    <col min="443" max="445" width="18" bestFit="1" customWidth="1"/>
    <col min="446" max="446" width="17.125" bestFit="1" customWidth="1"/>
    <col min="447" max="447" width="18.25" customWidth="1"/>
    <col min="448" max="448" width="19.625" bestFit="1" customWidth="1"/>
    <col min="449" max="449" width="19.125" bestFit="1" customWidth="1"/>
    <col min="450" max="450" width="24" bestFit="1" customWidth="1"/>
    <col min="451" max="451" width="13.75" customWidth="1"/>
    <col min="452" max="454" width="12.375" bestFit="1" customWidth="1"/>
    <col min="455" max="455" width="20" bestFit="1" customWidth="1"/>
    <col min="456" max="456" width="21.375" customWidth="1"/>
    <col min="457" max="457" width="19.125" bestFit="1" customWidth="1"/>
    <col min="458" max="458" width="25.125" bestFit="1" customWidth="1"/>
    <col min="459" max="459" width="22.125" bestFit="1" customWidth="1"/>
    <col min="460" max="460" width="18.375" bestFit="1" customWidth="1"/>
    <col min="461" max="461" width="17.25" bestFit="1" customWidth="1"/>
    <col min="462" max="463" width="21" bestFit="1" customWidth="1"/>
    <col min="464" max="464" width="25.875" bestFit="1" customWidth="1"/>
    <col min="465" max="465" width="15.625" bestFit="1" customWidth="1"/>
    <col min="466" max="466" width="13.75" bestFit="1" customWidth="1"/>
    <col min="467" max="467" width="14.625" bestFit="1" customWidth="1"/>
    <col min="468" max="468" width="15.625" customWidth="1"/>
    <col min="469" max="469" width="15.125" bestFit="1" customWidth="1"/>
    <col min="470" max="470" width="13.375" bestFit="1" customWidth="1"/>
    <col min="471" max="472" width="15.625" customWidth="1"/>
    <col min="473" max="473" width="19.625" bestFit="1" customWidth="1"/>
    <col min="474" max="474" width="20.875" bestFit="1" customWidth="1"/>
    <col min="475" max="475" width="15.375" bestFit="1" customWidth="1"/>
    <col min="476" max="476" width="16.75" customWidth="1"/>
    <col min="477" max="477" width="16.625" bestFit="1" customWidth="1"/>
    <col min="478" max="478" width="15.375" bestFit="1" customWidth="1"/>
    <col min="479" max="479" width="16.125" bestFit="1" customWidth="1"/>
    <col min="480" max="480" width="14.375" bestFit="1" customWidth="1"/>
    <col min="481" max="481" width="15.75" bestFit="1" customWidth="1"/>
    <col min="482" max="483" width="16.375" bestFit="1" customWidth="1"/>
    <col min="484" max="484" width="11.625" bestFit="1" customWidth="1"/>
    <col min="485" max="485" width="10.625" bestFit="1" customWidth="1"/>
    <col min="486" max="486" width="9.25" bestFit="1" customWidth="1"/>
    <col min="487" max="487" width="10.875" bestFit="1" customWidth="1"/>
    <col min="488" max="488" width="9.25" bestFit="1" customWidth="1"/>
    <col min="489" max="489" width="10.875" bestFit="1" customWidth="1"/>
    <col min="490" max="490" width="20.25" bestFit="1" customWidth="1"/>
    <col min="491" max="491" width="19.25" bestFit="1" customWidth="1"/>
    <col min="492" max="492" width="18.875" bestFit="1" customWidth="1"/>
    <col min="493" max="493" width="20.125" bestFit="1" customWidth="1"/>
    <col min="494" max="494" width="20.25" bestFit="1" customWidth="1"/>
    <col min="495" max="495" width="19.25" bestFit="1" customWidth="1"/>
    <col min="496" max="496" width="17.625" bestFit="1" customWidth="1"/>
    <col min="497" max="497" width="17" bestFit="1" customWidth="1"/>
    <col min="498" max="498" width="21.125" bestFit="1" customWidth="1"/>
    <col min="499" max="499" width="21" bestFit="1" customWidth="1"/>
    <col min="500" max="501" width="20.875" bestFit="1" customWidth="1"/>
    <col min="502" max="502" width="19.375" bestFit="1" customWidth="1"/>
    <col min="503" max="503" width="19.625" bestFit="1" customWidth="1"/>
    <col min="504" max="504" width="19.875" bestFit="1" customWidth="1"/>
    <col min="505" max="505" width="16.25" bestFit="1" customWidth="1"/>
    <col min="506" max="506" width="14.75" bestFit="1" customWidth="1"/>
    <col min="507" max="507" width="23" bestFit="1" customWidth="1"/>
    <col min="508" max="508" width="12.875" bestFit="1" customWidth="1"/>
    <col min="509" max="509" width="21" bestFit="1" customWidth="1"/>
    <col min="510" max="510" width="21" customWidth="1"/>
    <col min="511" max="512" width="20.875" bestFit="1" customWidth="1"/>
    <col min="513" max="513" width="19.375" bestFit="1" customWidth="1"/>
    <col min="514" max="514" width="22.75" bestFit="1" customWidth="1"/>
    <col min="515" max="515" width="18.125" bestFit="1" customWidth="1"/>
    <col min="516" max="517" width="18.375" customWidth="1"/>
    <col min="518" max="518" width="11.875" bestFit="1" customWidth="1"/>
    <col min="519" max="519" width="18.25" bestFit="1" customWidth="1"/>
    <col min="520" max="520" width="16.125" bestFit="1" customWidth="1"/>
    <col min="521" max="521" width="22.25" bestFit="1" customWidth="1"/>
    <col min="522" max="522" width="18.25" bestFit="1" customWidth="1"/>
    <col min="523" max="523" width="19" bestFit="1" customWidth="1"/>
    <col min="524" max="524" width="22.625" bestFit="1" customWidth="1"/>
    <col min="525" max="525" width="20.125" bestFit="1" customWidth="1"/>
    <col min="526" max="526" width="21.625" bestFit="1" customWidth="1"/>
    <col min="527" max="527" width="22.875" bestFit="1" customWidth="1"/>
    <col min="528" max="528" width="18" bestFit="1" customWidth="1"/>
    <col min="529" max="530" width="10.25" bestFit="1" customWidth="1"/>
    <col min="531" max="534" width="9.625" bestFit="1" customWidth="1"/>
    <col min="535" max="535" width="14.25" bestFit="1" customWidth="1"/>
    <col min="536" max="536" width="16.125" bestFit="1" customWidth="1"/>
    <col min="537" max="537" width="12.125" bestFit="1" customWidth="1"/>
    <col min="538" max="538" width="11.25" bestFit="1" customWidth="1"/>
    <col min="539" max="541" width="11.25" customWidth="1"/>
    <col min="542" max="542" width="9.625" bestFit="1" customWidth="1"/>
    <col min="543" max="543" width="14.25" bestFit="1" customWidth="1"/>
    <col min="544" max="544" width="11.875" customWidth="1"/>
    <col min="545" max="545" width="10.25" bestFit="1" customWidth="1"/>
    <col min="546" max="546" width="11.875" bestFit="1" customWidth="1"/>
    <col min="547" max="547" width="11.875" customWidth="1"/>
    <col min="548" max="548" width="11.375" bestFit="1" customWidth="1"/>
    <col min="549" max="549" width="11" bestFit="1" customWidth="1"/>
    <col min="550" max="550" width="11.875" bestFit="1" customWidth="1"/>
    <col min="551" max="554" width="9.625" customWidth="1"/>
    <col min="555" max="555" width="9.875" bestFit="1" customWidth="1"/>
    <col min="556" max="556" width="9.875" customWidth="1"/>
    <col min="557" max="557" width="11.125" bestFit="1" customWidth="1"/>
    <col min="558" max="558" width="10.25" bestFit="1" customWidth="1"/>
    <col min="559" max="559" width="9.75" bestFit="1" customWidth="1"/>
    <col min="560" max="561" width="10.25" bestFit="1" customWidth="1"/>
    <col min="562" max="562" width="9.875" bestFit="1" customWidth="1"/>
    <col min="563" max="565" width="9.875" customWidth="1"/>
    <col min="566" max="567" width="12.625" customWidth="1"/>
    <col min="568" max="568" width="9.625" bestFit="1" customWidth="1"/>
    <col min="569" max="569" width="10.625" bestFit="1" customWidth="1"/>
    <col min="570" max="570" width="14.625" bestFit="1" customWidth="1"/>
    <col min="571" max="571" width="9.75" bestFit="1" customWidth="1"/>
    <col min="572" max="573" width="15.125" bestFit="1" customWidth="1"/>
    <col min="574" max="574" width="21.125" bestFit="1" customWidth="1"/>
    <col min="575" max="575" width="20" bestFit="1" customWidth="1"/>
    <col min="576" max="577" width="21.125" bestFit="1" customWidth="1"/>
    <col min="578" max="579" width="22.125" bestFit="1" customWidth="1"/>
    <col min="580" max="580" width="14.125" bestFit="1" customWidth="1"/>
    <col min="581" max="581" width="9.25" bestFit="1" customWidth="1"/>
    <col min="582" max="582" width="19.375" bestFit="1" customWidth="1"/>
    <col min="583" max="583" width="11.75" customWidth="1"/>
    <col min="584" max="584" width="11.125" bestFit="1" customWidth="1"/>
    <col min="585" max="585" width="11.375" bestFit="1" customWidth="1"/>
    <col min="586" max="586" width="11.75" customWidth="1"/>
    <col min="587" max="590" width="11.375" bestFit="1" customWidth="1"/>
    <col min="591" max="592" width="21.75" bestFit="1" customWidth="1"/>
    <col min="593" max="593" width="22.75" bestFit="1" customWidth="1"/>
    <col min="594" max="594" width="26" bestFit="1" customWidth="1"/>
    <col min="595" max="595" width="23.625" bestFit="1" customWidth="1"/>
    <col min="596" max="596" width="13.625" bestFit="1" customWidth="1"/>
    <col min="597" max="597" width="26.375" bestFit="1" customWidth="1"/>
    <col min="598" max="598" width="5.25" bestFit="1" customWidth="1"/>
    <col min="599" max="599" width="10.75" bestFit="1" customWidth="1"/>
    <col min="600" max="602" width="12.125" bestFit="1" customWidth="1"/>
    <col min="603" max="603" width="9.75" bestFit="1" customWidth="1"/>
    <col min="604" max="605" width="16" bestFit="1" customWidth="1"/>
    <col min="606" max="606" width="10.75" bestFit="1" customWidth="1"/>
    <col min="607" max="607" width="6.75" bestFit="1" customWidth="1"/>
    <col min="608" max="608" width="10.75" bestFit="1" customWidth="1"/>
    <col min="609" max="609" width="16.125" bestFit="1" customWidth="1"/>
    <col min="610" max="610" width="8.375" bestFit="1" customWidth="1"/>
    <col min="611" max="611" width="14.625" bestFit="1" customWidth="1"/>
    <col min="612" max="612" width="20" bestFit="1" customWidth="1"/>
    <col min="613" max="613" width="17.875" customWidth="1"/>
    <col min="614" max="614" width="17" bestFit="1" customWidth="1"/>
    <col min="615" max="615" width="8.625" bestFit="1" customWidth="1"/>
    <col min="616" max="616" width="17.125" bestFit="1" customWidth="1"/>
    <col min="617" max="617" width="10.75" customWidth="1"/>
    <col min="618" max="618" width="9.875" bestFit="1" customWidth="1"/>
    <col min="619" max="619" width="11" bestFit="1" customWidth="1"/>
    <col min="620" max="620" width="15.125" bestFit="1" customWidth="1"/>
    <col min="621" max="621" width="11.75" bestFit="1" customWidth="1"/>
    <col min="622" max="622" width="15.125" bestFit="1" customWidth="1"/>
    <col min="623" max="623" width="9.25" bestFit="1" customWidth="1"/>
    <col min="624" max="624" width="7" bestFit="1" customWidth="1"/>
    <col min="625" max="625" width="17.25" bestFit="1" customWidth="1"/>
    <col min="626" max="626" width="8.625" bestFit="1" customWidth="1"/>
    <col min="627" max="627" width="23.625" bestFit="1" customWidth="1"/>
    <col min="628" max="628" width="13.75" bestFit="1" customWidth="1"/>
    <col min="629" max="629" width="10.75" customWidth="1"/>
    <col min="630" max="630" width="16.625" bestFit="1" customWidth="1"/>
    <col min="631" max="634" width="16.375" bestFit="1" customWidth="1"/>
    <col min="635" max="635" width="16.125" bestFit="1" customWidth="1"/>
    <col min="636" max="636" width="7.375" bestFit="1" customWidth="1"/>
    <col min="637" max="637" width="7.75" bestFit="1" customWidth="1"/>
    <col min="638" max="638" width="9.75" bestFit="1" customWidth="1"/>
    <col min="639" max="639" width="9.625" bestFit="1" customWidth="1"/>
    <col min="640" max="640" width="21" bestFit="1" customWidth="1"/>
    <col min="641" max="642" width="12.75" bestFit="1" customWidth="1"/>
    <col min="643" max="645" width="10.75" bestFit="1" customWidth="1"/>
    <col min="646" max="646" width="8.875" bestFit="1" customWidth="1"/>
    <col min="647" max="647" width="19.25" bestFit="1" customWidth="1"/>
    <col min="648" max="648" width="27" bestFit="1" customWidth="1"/>
    <col min="649" max="649" width="32.875" bestFit="1" customWidth="1"/>
    <col min="650" max="650" width="11" bestFit="1" customWidth="1"/>
    <col min="651" max="651" width="27.625" bestFit="1" customWidth="1"/>
    <col min="652" max="652" width="11.875" bestFit="1" customWidth="1"/>
    <col min="653" max="653" width="12.625" bestFit="1" customWidth="1"/>
    <col min="654" max="655" width="11" bestFit="1" customWidth="1"/>
    <col min="656" max="656" width="13.875" bestFit="1" customWidth="1"/>
    <col min="657" max="657" width="11" bestFit="1" customWidth="1"/>
    <col min="658" max="658" width="5.875" customWidth="1"/>
    <col min="659" max="659" width="7" bestFit="1" customWidth="1"/>
    <col min="660" max="660" width="11" bestFit="1" customWidth="1"/>
    <col min="661" max="661" width="9.125" bestFit="1" customWidth="1"/>
    <col min="662" max="662" width="10.75" bestFit="1" customWidth="1"/>
    <col min="663" max="664" width="10.75" style="92" customWidth="1"/>
    <col min="665" max="669" width="10.75" customWidth="1"/>
    <col min="670" max="670" width="10.75" style="92" customWidth="1"/>
  </cols>
  <sheetData>
    <row r="1" spans="1:670" s="26" customFormat="1" ht="13.6" x14ac:dyDescent="0.25">
      <c r="A1" s="4" t="s">
        <v>0</v>
      </c>
      <c r="B1" s="237" t="s">
        <v>263</v>
      </c>
      <c r="C1" s="237" t="s">
        <v>1</v>
      </c>
      <c r="D1" s="237" t="s">
        <v>2</v>
      </c>
      <c r="E1" s="238" t="s">
        <v>3</v>
      </c>
      <c r="F1" s="238" t="s">
        <v>379</v>
      </c>
      <c r="G1" s="238" t="s">
        <v>122</v>
      </c>
      <c r="H1" s="238" t="s">
        <v>234</v>
      </c>
      <c r="I1" s="238" t="s">
        <v>77</v>
      </c>
      <c r="J1" s="239" t="s">
        <v>4</v>
      </c>
      <c r="K1" s="239" t="s">
        <v>5</v>
      </c>
      <c r="L1" s="239"/>
      <c r="M1" s="239" t="s">
        <v>71</v>
      </c>
      <c r="N1" s="239" t="s">
        <v>72</v>
      </c>
      <c r="O1" s="239" t="s">
        <v>73</v>
      </c>
      <c r="P1" s="239" t="s">
        <v>102</v>
      </c>
      <c r="Q1" s="239" t="s">
        <v>103</v>
      </c>
      <c r="R1" s="239" t="s">
        <v>104</v>
      </c>
      <c r="S1" s="239" t="s">
        <v>105</v>
      </c>
      <c r="T1" s="239" t="s">
        <v>110</v>
      </c>
      <c r="U1" s="239" t="s">
        <v>8</v>
      </c>
      <c r="V1" s="239" t="s">
        <v>9</v>
      </c>
      <c r="W1" s="239" t="s">
        <v>106</v>
      </c>
      <c r="X1" s="239" t="s">
        <v>21</v>
      </c>
      <c r="Y1" s="239" t="s">
        <v>254</v>
      </c>
      <c r="Z1" s="239" t="s">
        <v>6</v>
      </c>
      <c r="AA1" s="239" t="s">
        <v>7</v>
      </c>
      <c r="AB1" s="239" t="s">
        <v>107</v>
      </c>
      <c r="AC1" s="239" t="s">
        <v>19</v>
      </c>
      <c r="AD1" s="239" t="s">
        <v>22</v>
      </c>
      <c r="AE1" s="239" t="s">
        <v>1224</v>
      </c>
      <c r="AF1" s="239" t="s">
        <v>1225</v>
      </c>
      <c r="AG1" s="239" t="s">
        <v>23</v>
      </c>
      <c r="AH1" s="239" t="s">
        <v>117</v>
      </c>
      <c r="AI1" s="239" t="s">
        <v>867</v>
      </c>
      <c r="AJ1" s="239" t="s">
        <v>126</v>
      </c>
      <c r="AK1" s="239" t="s">
        <v>75</v>
      </c>
      <c r="AL1" s="239" t="s">
        <v>108</v>
      </c>
      <c r="AM1" s="239" t="s">
        <v>109</v>
      </c>
      <c r="AN1" s="239" t="s">
        <v>259</v>
      </c>
      <c r="AO1" s="239" t="s">
        <v>260</v>
      </c>
      <c r="AP1" s="239" t="s">
        <v>1022</v>
      </c>
      <c r="AQ1" s="239" t="s">
        <v>695</v>
      </c>
      <c r="AR1" s="239" t="s">
        <v>697</v>
      </c>
      <c r="AS1" s="239" t="s">
        <v>698</v>
      </c>
      <c r="AT1" s="239" t="s">
        <v>692</v>
      </c>
      <c r="AU1" s="239"/>
      <c r="AV1" s="239"/>
      <c r="AW1" s="239"/>
      <c r="AX1" s="239"/>
      <c r="AY1" s="239"/>
      <c r="AZ1" s="239"/>
      <c r="BA1" s="239"/>
      <c r="BB1" s="239"/>
      <c r="BC1" s="239"/>
      <c r="BD1" s="239"/>
      <c r="BE1" s="239"/>
      <c r="BF1" s="239"/>
      <c r="BG1" s="239"/>
      <c r="BH1" s="239"/>
      <c r="BI1" s="239" t="s">
        <v>1226</v>
      </c>
      <c r="BJ1" s="239" t="s">
        <v>1227</v>
      </c>
      <c r="BK1" s="239" t="s">
        <v>883</v>
      </c>
      <c r="BL1" s="239" t="s">
        <v>70</v>
      </c>
      <c r="BM1" s="239" t="s">
        <v>34</v>
      </c>
      <c r="BN1" s="239" t="s">
        <v>35</v>
      </c>
      <c r="BO1" s="239" t="s">
        <v>144</v>
      </c>
      <c r="BP1" s="239" t="s">
        <v>96</v>
      </c>
      <c r="BQ1" s="239" t="s">
        <v>41</v>
      </c>
      <c r="BR1" s="239" t="s">
        <v>127</v>
      </c>
      <c r="BS1" s="239" t="s">
        <v>142</v>
      </c>
      <c r="BT1" s="239" t="s">
        <v>95</v>
      </c>
      <c r="BU1" s="239" t="s">
        <v>39</v>
      </c>
      <c r="BV1" s="239" t="s">
        <v>143</v>
      </c>
      <c r="BW1" s="239" t="s">
        <v>36</v>
      </c>
      <c r="BX1" s="239" t="s">
        <v>37</v>
      </c>
      <c r="BY1" s="239" t="s">
        <v>2746</v>
      </c>
      <c r="BZ1" s="239" t="s">
        <v>56</v>
      </c>
      <c r="CA1" s="239"/>
      <c r="CB1" s="239"/>
      <c r="CC1" s="239" t="s">
        <v>135</v>
      </c>
      <c r="CD1" s="239" t="s">
        <v>868</v>
      </c>
      <c r="CE1" s="239"/>
      <c r="CF1" s="239"/>
      <c r="CG1" s="239" t="s">
        <v>208</v>
      </c>
      <c r="CH1" s="239" t="s">
        <v>301</v>
      </c>
      <c r="CI1" s="239"/>
      <c r="CJ1" s="239" t="s">
        <v>1229</v>
      </c>
      <c r="CK1" s="239" t="s">
        <v>1230</v>
      </c>
      <c r="CL1" s="239" t="s">
        <v>1231</v>
      </c>
      <c r="CM1" s="239"/>
      <c r="CN1" s="239" t="s">
        <v>128</v>
      </c>
      <c r="CO1" s="239" t="s">
        <v>40</v>
      </c>
      <c r="CP1" s="239" t="s">
        <v>38</v>
      </c>
      <c r="CQ1" s="239" t="s">
        <v>93</v>
      </c>
      <c r="CR1" s="239"/>
      <c r="CS1" s="239" t="s">
        <v>679</v>
      </c>
      <c r="CT1" s="239" t="s">
        <v>1014</v>
      </c>
      <c r="CU1" s="239" t="s">
        <v>64</v>
      </c>
      <c r="CV1" s="239" t="s">
        <v>65</v>
      </c>
      <c r="CW1" s="240" t="s">
        <v>1232</v>
      </c>
      <c r="CX1" s="239" t="s">
        <v>179</v>
      </c>
      <c r="CY1" s="239" t="s">
        <v>845</v>
      </c>
      <c r="CZ1" s="239" t="s">
        <v>192</v>
      </c>
      <c r="DA1" s="240"/>
      <c r="DB1" s="240"/>
      <c r="DC1" s="240"/>
      <c r="DD1" s="240"/>
      <c r="DE1" s="239" t="s">
        <v>46</v>
      </c>
      <c r="DF1" s="239" t="s">
        <v>42</v>
      </c>
      <c r="DG1" s="239" t="s">
        <v>1719</v>
      </c>
      <c r="DH1" s="239"/>
      <c r="DI1" s="239" t="s">
        <v>136</v>
      </c>
      <c r="DJ1" s="239" t="s">
        <v>275</v>
      </c>
      <c r="DK1" s="239" t="s">
        <v>66</v>
      </c>
      <c r="DL1" s="239" t="s">
        <v>44</v>
      </c>
      <c r="DM1" s="239" t="s">
        <v>63</v>
      </c>
      <c r="DN1" s="239" t="s">
        <v>113</v>
      </c>
      <c r="DO1" s="239" t="s">
        <v>268</v>
      </c>
      <c r="DP1" s="239" t="s">
        <v>101</v>
      </c>
      <c r="DQ1" s="239" t="s">
        <v>269</v>
      </c>
      <c r="DR1" s="239" t="s">
        <v>590</v>
      </c>
      <c r="DS1" s="239" t="s">
        <v>599</v>
      </c>
      <c r="DT1" s="239" t="s">
        <v>24</v>
      </c>
      <c r="DU1" s="239" t="s">
        <v>26</v>
      </c>
      <c r="DV1" s="239" t="s">
        <v>28</v>
      </c>
      <c r="DW1" s="239" t="s">
        <v>25</v>
      </c>
      <c r="DX1" s="239" t="s">
        <v>27</v>
      </c>
      <c r="DY1" s="239" t="s">
        <v>29</v>
      </c>
      <c r="DZ1" s="239" t="s">
        <v>488</v>
      </c>
      <c r="EA1" s="239" t="s">
        <v>598</v>
      </c>
      <c r="EB1" s="239" t="s">
        <v>489</v>
      </c>
      <c r="EC1" s="239" t="s">
        <v>506</v>
      </c>
      <c r="ED1" s="239" t="s">
        <v>507</v>
      </c>
      <c r="EE1" s="239" t="s">
        <v>508</v>
      </c>
      <c r="EF1" s="239" t="s">
        <v>681</v>
      </c>
      <c r="EG1" s="239" t="s">
        <v>682</v>
      </c>
      <c r="EH1" s="239" t="s">
        <v>30</v>
      </c>
      <c r="EI1" s="239" t="s">
        <v>32</v>
      </c>
      <c r="EJ1" s="239" t="s">
        <v>33</v>
      </c>
      <c r="EK1" s="239" t="s">
        <v>270</v>
      </c>
      <c r="EL1" s="239"/>
      <c r="EM1" s="239" t="s">
        <v>271</v>
      </c>
      <c r="EN1" s="239" t="s">
        <v>277</v>
      </c>
      <c r="EO1" s="239"/>
      <c r="EP1" s="239"/>
      <c r="EQ1" s="239"/>
      <c r="ER1" s="239"/>
      <c r="ES1" s="239"/>
      <c r="ET1" s="239"/>
      <c r="EU1" s="239" t="s">
        <v>1055</v>
      </c>
      <c r="EV1" s="239" t="s">
        <v>815</v>
      </c>
      <c r="EW1" s="239" t="s">
        <v>1070</v>
      </c>
      <c r="EX1" s="239"/>
      <c r="EY1" s="239" t="s">
        <v>281</v>
      </c>
      <c r="EZ1" s="239" t="s">
        <v>282</v>
      </c>
      <c r="FA1" s="239" t="s">
        <v>814</v>
      </c>
      <c r="FB1" s="239" t="s">
        <v>284</v>
      </c>
      <c r="FC1" s="239" t="s">
        <v>216</v>
      </c>
      <c r="FD1" s="239" t="s">
        <v>283</v>
      </c>
      <c r="FE1" s="239" t="s">
        <v>230</v>
      </c>
      <c r="FF1" s="239" t="s">
        <v>328</v>
      </c>
      <c r="FG1" s="239" t="s">
        <v>436</v>
      </c>
      <c r="FH1" s="239" t="s">
        <v>816</v>
      </c>
      <c r="FI1" s="239" t="s">
        <v>394</v>
      </c>
      <c r="FJ1" s="239" t="s">
        <v>327</v>
      </c>
      <c r="FK1" s="239" t="s">
        <v>817</v>
      </c>
      <c r="FL1" s="239" t="s">
        <v>402</v>
      </c>
      <c r="FM1" s="239" t="s">
        <v>818</v>
      </c>
      <c r="FN1" s="239"/>
      <c r="FO1" s="239" t="s">
        <v>866</v>
      </c>
      <c r="FP1" s="239"/>
      <c r="FQ1" s="239"/>
      <c r="FR1" s="239"/>
      <c r="FS1" s="239"/>
      <c r="FT1" s="239"/>
      <c r="FU1" s="239" t="s">
        <v>257</v>
      </c>
      <c r="FV1" s="239" t="s">
        <v>194</v>
      </c>
      <c r="FW1" s="239" t="s">
        <v>819</v>
      </c>
      <c r="FX1" s="239" t="s">
        <v>407</v>
      </c>
      <c r="FY1" s="239" t="s">
        <v>413</v>
      </c>
      <c r="FZ1" s="239" t="s">
        <v>820</v>
      </c>
      <c r="GA1" s="239" t="s">
        <v>417</v>
      </c>
      <c r="GB1" s="239" t="s">
        <v>421</v>
      </c>
      <c r="GC1" s="239" t="s">
        <v>821</v>
      </c>
      <c r="GD1" s="239" t="s">
        <v>822</v>
      </c>
      <c r="GE1" s="239" t="s">
        <v>425</v>
      </c>
      <c r="GF1" s="239" t="s">
        <v>823</v>
      </c>
      <c r="GG1" s="239" t="s">
        <v>420</v>
      </c>
      <c r="GH1" s="239" t="s">
        <v>398</v>
      </c>
      <c r="GI1" s="239" t="s">
        <v>1196</v>
      </c>
      <c r="GJ1" s="239" t="s">
        <v>1197</v>
      </c>
      <c r="GK1" s="239" t="s">
        <v>1198</v>
      </c>
      <c r="GL1" s="239" t="s">
        <v>1199</v>
      </c>
      <c r="GM1" s="410" t="s">
        <v>1760</v>
      </c>
      <c r="GN1" s="246"/>
      <c r="GO1" s="246" t="s">
        <v>1761</v>
      </c>
      <c r="GP1" s="246" t="s">
        <v>227</v>
      </c>
      <c r="GQ1" s="240" t="s">
        <v>1247</v>
      </c>
      <c r="GR1" s="239" t="s">
        <v>2316</v>
      </c>
      <c r="GS1" s="239"/>
      <c r="GT1" s="239" t="s">
        <v>1248</v>
      </c>
      <c r="GU1" s="239" t="s">
        <v>1249</v>
      </c>
      <c r="GV1" s="239" t="s">
        <v>1762</v>
      </c>
      <c r="GW1" s="239" t="s">
        <v>493</v>
      </c>
      <c r="GX1" s="239" t="s">
        <v>627</v>
      </c>
      <c r="GY1" s="240"/>
      <c r="GZ1" s="239" t="s">
        <v>289</v>
      </c>
      <c r="HA1" s="239" t="s">
        <v>1250</v>
      </c>
      <c r="HB1" s="239"/>
      <c r="HC1" s="239" t="s">
        <v>510</v>
      </c>
      <c r="HD1" s="239" t="s">
        <v>1251</v>
      </c>
      <c r="HE1" s="239" t="s">
        <v>1252</v>
      </c>
      <c r="HF1" s="239"/>
      <c r="HG1" s="239"/>
      <c r="HH1" s="240" t="s">
        <v>514</v>
      </c>
      <c r="HI1" s="240"/>
      <c r="HJ1" s="239" t="s">
        <v>515</v>
      </c>
      <c r="HK1" s="240" t="s">
        <v>516</v>
      </c>
      <c r="HL1" s="240" t="s">
        <v>518</v>
      </c>
      <c r="HM1" s="240"/>
      <c r="HN1" s="239" t="s">
        <v>522</v>
      </c>
      <c r="HO1" s="239"/>
      <c r="HP1" s="240" t="s">
        <v>526</v>
      </c>
      <c r="HQ1" s="240"/>
      <c r="HR1" s="240"/>
      <c r="HS1" s="239" t="s">
        <v>528</v>
      </c>
      <c r="HT1" s="239" t="s">
        <v>182</v>
      </c>
      <c r="HU1" s="240"/>
      <c r="HV1" s="239" t="s">
        <v>532</v>
      </c>
      <c r="HW1" s="240"/>
      <c r="HX1" s="239" t="s">
        <v>533</v>
      </c>
      <c r="HY1" s="240"/>
      <c r="HZ1" s="239" t="s">
        <v>534</v>
      </c>
      <c r="IA1" s="239" t="s">
        <v>497</v>
      </c>
      <c r="IB1" s="239" t="s">
        <v>505</v>
      </c>
      <c r="IC1" s="239"/>
      <c r="ID1" s="239"/>
      <c r="IE1" s="239"/>
      <c r="IF1" s="239" t="s">
        <v>501</v>
      </c>
      <c r="IG1" s="239" t="s">
        <v>1253</v>
      </c>
      <c r="IH1" s="240" t="s">
        <v>1254</v>
      </c>
      <c r="II1" s="240" t="s">
        <v>1255</v>
      </c>
      <c r="IJ1" s="240"/>
      <c r="IK1" s="239"/>
      <c r="IL1" s="239"/>
      <c r="IM1" s="239"/>
      <c r="IN1" s="239"/>
      <c r="IO1" s="239"/>
      <c r="IP1" s="239"/>
      <c r="IQ1" s="239"/>
      <c r="IR1" s="239"/>
      <c r="IS1" s="239"/>
      <c r="IT1" s="239"/>
      <c r="IU1" s="239"/>
      <c r="IV1" s="239"/>
      <c r="IW1" s="239"/>
      <c r="IX1" s="239"/>
      <c r="IY1" s="239"/>
      <c r="IZ1" s="239"/>
      <c r="JA1" s="239"/>
      <c r="JB1" s="239"/>
      <c r="JC1" s="239"/>
      <c r="JD1" s="239"/>
      <c r="JE1" s="239"/>
      <c r="JF1" s="239"/>
      <c r="JG1" s="239"/>
      <c r="JH1" s="239"/>
      <c r="JI1" s="239"/>
      <c r="JJ1" s="239"/>
      <c r="JK1" s="239"/>
      <c r="JL1" s="239"/>
      <c r="JM1" s="239"/>
      <c r="JN1" s="410"/>
      <c r="JO1" s="410"/>
      <c r="JP1" s="239"/>
      <c r="JQ1" s="239"/>
      <c r="JR1" s="239"/>
      <c r="JS1" s="239"/>
      <c r="JT1" s="239"/>
      <c r="JU1" s="239"/>
      <c r="JV1" s="239"/>
      <c r="JW1" s="239"/>
      <c r="JX1" s="239"/>
      <c r="JY1" s="239"/>
      <c r="JZ1" s="239"/>
      <c r="KA1" s="239"/>
      <c r="KB1" s="239"/>
      <c r="KC1" s="239"/>
      <c r="KD1" s="239"/>
      <c r="KE1" s="239"/>
      <c r="KF1" s="239"/>
      <c r="KG1" s="239"/>
      <c r="KH1" s="239"/>
      <c r="KI1" s="239"/>
      <c r="KJ1" s="239"/>
      <c r="KK1" s="239"/>
      <c r="KL1" s="239"/>
      <c r="KM1" s="239"/>
      <c r="KN1" s="239"/>
      <c r="KO1" s="239"/>
      <c r="KP1" s="239"/>
      <c r="KQ1" s="239"/>
      <c r="KR1" s="239"/>
      <c r="KS1" s="239"/>
      <c r="KT1" s="239"/>
      <c r="KU1" s="239"/>
      <c r="KV1" s="239"/>
      <c r="KW1" s="239"/>
      <c r="KX1" s="239"/>
      <c r="KY1" s="239"/>
      <c r="KZ1" s="239"/>
      <c r="LA1" s="239"/>
      <c r="LB1" s="239"/>
      <c r="LC1" s="239"/>
      <c r="LD1" s="239"/>
      <c r="LE1" s="239"/>
      <c r="LF1" s="239"/>
      <c r="LG1" s="239"/>
      <c r="LH1" s="239"/>
      <c r="LI1" s="239"/>
      <c r="LJ1" s="239"/>
      <c r="LK1" s="239"/>
      <c r="LL1" s="239"/>
      <c r="LM1" s="239"/>
      <c r="LN1" s="243" t="s">
        <v>330</v>
      </c>
      <c r="LO1" s="239"/>
      <c r="LP1" s="239"/>
      <c r="LQ1" s="239"/>
      <c r="LR1" s="239"/>
      <c r="LS1" s="239"/>
      <c r="LT1" s="239"/>
      <c r="LU1" s="239"/>
      <c r="LV1" s="239"/>
      <c r="LW1" s="239"/>
      <c r="LX1" s="239"/>
      <c r="LY1" s="239"/>
      <c r="LZ1" s="239"/>
      <c r="MA1" s="239"/>
      <c r="MB1" s="239"/>
      <c r="MC1" s="239"/>
      <c r="MD1" s="239"/>
      <c r="ME1" s="239"/>
      <c r="MF1" s="239"/>
      <c r="MG1" s="239"/>
      <c r="MH1" s="239"/>
      <c r="MI1" s="239"/>
      <c r="MJ1" s="239"/>
      <c r="MK1" s="239"/>
      <c r="ML1" s="239"/>
      <c r="MM1" s="239" t="s">
        <v>1256</v>
      </c>
      <c r="MN1" s="239" t="s">
        <v>1257</v>
      </c>
      <c r="MO1" s="239"/>
      <c r="MP1" s="239" t="s">
        <v>1258</v>
      </c>
      <c r="MQ1" s="239"/>
      <c r="MR1" s="239"/>
      <c r="MS1" s="239" t="s">
        <v>1259</v>
      </c>
      <c r="MT1" s="239"/>
      <c r="MU1" s="239"/>
      <c r="MV1" s="239"/>
      <c r="MW1" s="239" t="s">
        <v>1261</v>
      </c>
      <c r="MX1" s="239"/>
      <c r="MY1" s="239"/>
      <c r="MZ1" s="239"/>
      <c r="NA1" s="239"/>
      <c r="NB1" s="239"/>
      <c r="NC1" s="239"/>
      <c r="ND1" s="239"/>
      <c r="NE1" s="239"/>
      <c r="NF1" s="239" t="s">
        <v>94</v>
      </c>
      <c r="NG1" s="239"/>
      <c r="NH1" s="239" t="s">
        <v>734</v>
      </c>
      <c r="NI1" s="239"/>
      <c r="NJ1" s="239" t="s">
        <v>91</v>
      </c>
      <c r="NK1" s="239"/>
      <c r="NL1" s="239" t="s">
        <v>1685</v>
      </c>
      <c r="NM1" s="239" t="s">
        <v>742</v>
      </c>
      <c r="NN1" s="239"/>
      <c r="NO1" s="239" t="s">
        <v>743</v>
      </c>
      <c r="NP1" s="239" t="s">
        <v>92</v>
      </c>
      <c r="NQ1" s="239"/>
      <c r="NR1" s="239"/>
      <c r="NS1" s="239"/>
      <c r="NT1" s="239"/>
      <c r="NU1" s="239"/>
      <c r="NV1" s="239"/>
      <c r="NW1" s="239"/>
      <c r="NX1" s="239"/>
      <c r="NY1" s="239"/>
      <c r="NZ1" s="239"/>
      <c r="OA1" s="239"/>
      <c r="OB1" s="239"/>
      <c r="OC1" s="239"/>
      <c r="OD1" s="239"/>
      <c r="OE1" s="239"/>
      <c r="OF1" s="239"/>
      <c r="OG1" s="239"/>
      <c r="OH1" s="239"/>
      <c r="OI1" s="239"/>
      <c r="OJ1" s="239"/>
      <c r="OK1" s="239"/>
      <c r="OL1" s="239"/>
      <c r="OM1" s="239"/>
      <c r="ON1" s="239"/>
      <c r="OO1" s="239"/>
      <c r="OP1" s="239"/>
      <c r="OQ1" s="239"/>
      <c r="OR1" s="239"/>
      <c r="OS1" s="239"/>
      <c r="OT1" s="239"/>
      <c r="OU1" s="239"/>
      <c r="OV1" s="239"/>
      <c r="OW1" s="239"/>
      <c r="OX1" s="239"/>
      <c r="OY1" s="239"/>
      <c r="OZ1" s="239"/>
      <c r="PA1" s="239"/>
      <c r="PB1" s="239"/>
      <c r="PC1" s="239"/>
      <c r="PD1" s="239"/>
      <c r="PE1" s="239"/>
      <c r="PF1" s="239"/>
      <c r="PG1" s="239"/>
      <c r="PH1" s="239"/>
      <c r="PI1" s="239"/>
      <c r="PJ1" s="239"/>
      <c r="PK1" s="239"/>
      <c r="PL1" s="239"/>
      <c r="PM1" s="239"/>
      <c r="PN1" s="239"/>
      <c r="PO1" s="239"/>
      <c r="PP1" s="239"/>
      <c r="PQ1" s="239"/>
      <c r="PR1" s="239"/>
      <c r="PS1" s="239"/>
      <c r="PT1" s="239"/>
      <c r="PU1" s="239"/>
      <c r="PV1" s="239"/>
      <c r="PW1" s="239"/>
      <c r="PX1" s="239"/>
      <c r="PY1" s="239"/>
      <c r="PZ1" s="239" t="s">
        <v>1686</v>
      </c>
      <c r="QA1" s="239"/>
      <c r="QB1" s="239"/>
      <c r="QC1" s="239"/>
      <c r="QD1" s="239"/>
      <c r="QE1" s="239"/>
      <c r="QF1" s="239"/>
      <c r="QG1" s="239"/>
      <c r="QH1" s="239" t="s">
        <v>468</v>
      </c>
      <c r="QI1" s="239"/>
      <c r="QJ1" s="239"/>
      <c r="QK1" s="239"/>
      <c r="QL1" s="239"/>
      <c r="QM1" s="239"/>
      <c r="QN1" s="239"/>
      <c r="QO1" s="239"/>
      <c r="QP1" s="239"/>
      <c r="QQ1" s="239"/>
      <c r="QR1" s="239"/>
      <c r="QS1" s="239"/>
      <c r="QT1" s="239"/>
      <c r="QU1" s="239"/>
      <c r="QV1" s="239"/>
      <c r="QW1" s="239"/>
      <c r="QX1" s="239"/>
      <c r="QY1" s="239"/>
      <c r="QZ1" s="239"/>
      <c r="RA1" s="239"/>
      <c r="RB1" s="239"/>
      <c r="RC1" s="239"/>
      <c r="RD1" s="239"/>
      <c r="RE1" s="239"/>
      <c r="RF1" s="239"/>
      <c r="RG1" s="239"/>
      <c r="RH1" s="239"/>
      <c r="RI1" s="239"/>
      <c r="RJ1" s="239"/>
      <c r="RK1" s="239"/>
      <c r="RL1" s="239"/>
      <c r="RM1" s="239"/>
      <c r="RN1" s="239"/>
      <c r="RO1" s="239"/>
      <c r="RP1" s="239"/>
      <c r="RQ1" s="239"/>
      <c r="RR1" s="239"/>
      <c r="RS1" s="239"/>
      <c r="RT1" s="239"/>
      <c r="RU1" s="239"/>
      <c r="RV1" s="239"/>
      <c r="RW1" s="239"/>
      <c r="RX1" s="239" t="s">
        <v>1262</v>
      </c>
      <c r="RY1" s="412" t="s">
        <v>1074</v>
      </c>
      <c r="RZ1" s="239"/>
      <c r="SA1" s="239"/>
      <c r="SB1" s="239"/>
      <c r="SC1" s="239"/>
      <c r="SD1" s="239" t="s">
        <v>557</v>
      </c>
      <c r="SE1" s="239"/>
      <c r="SF1" s="239"/>
      <c r="SG1" s="239"/>
      <c r="SH1" s="239"/>
      <c r="SI1" s="239"/>
      <c r="SJ1" s="239" t="s">
        <v>559</v>
      </c>
      <c r="SK1" s="239" t="s">
        <v>561</v>
      </c>
      <c r="SL1" s="239"/>
      <c r="SM1" s="239"/>
      <c r="SN1" s="239"/>
      <c r="SO1" s="239" t="s">
        <v>61</v>
      </c>
      <c r="SP1" s="239"/>
      <c r="SQ1" s="239"/>
      <c r="SR1" s="239"/>
      <c r="SS1" s="239"/>
      <c r="ST1" s="239" t="s">
        <v>125</v>
      </c>
      <c r="SU1" s="239" t="s">
        <v>578</v>
      </c>
      <c r="SV1" s="239"/>
      <c r="SW1" s="239"/>
      <c r="SX1" s="239"/>
      <c r="SY1" s="239"/>
      <c r="SZ1" s="239" t="s">
        <v>473</v>
      </c>
      <c r="TA1" s="239"/>
      <c r="TB1" s="239"/>
      <c r="TC1" s="239"/>
      <c r="TD1" s="239"/>
      <c r="TE1" s="239"/>
      <c r="TF1" s="239"/>
      <c r="TG1" s="239"/>
      <c r="TH1" s="239" t="s">
        <v>351</v>
      </c>
      <c r="TI1" s="239"/>
      <c r="TJ1" s="239"/>
      <c r="TK1" s="239"/>
      <c r="TL1" s="239"/>
      <c r="TM1" s="239"/>
      <c r="TN1" s="239"/>
      <c r="TO1" s="239"/>
      <c r="TP1" s="239"/>
      <c r="TQ1" s="245"/>
      <c r="TR1" s="245"/>
      <c r="TS1" s="245"/>
      <c r="TT1" s="245"/>
      <c r="TU1" s="245"/>
      <c r="TV1" s="245"/>
      <c r="TW1" s="239"/>
      <c r="TX1" s="239"/>
      <c r="TY1" s="239"/>
      <c r="TZ1" s="239"/>
      <c r="UA1" s="239"/>
      <c r="UB1" s="239"/>
      <c r="UC1" s="239"/>
      <c r="UD1" s="239"/>
      <c r="UE1" s="239"/>
      <c r="UF1" s="239"/>
      <c r="UG1" s="239"/>
      <c r="UH1" s="239"/>
      <c r="UI1" s="239"/>
      <c r="UJ1" s="239"/>
      <c r="UK1" s="239"/>
      <c r="UL1" s="239"/>
      <c r="UM1" s="239"/>
      <c r="UN1" s="239"/>
      <c r="UO1" s="239"/>
      <c r="UP1" s="239"/>
      <c r="UQ1" s="239"/>
      <c r="UR1" s="239"/>
      <c r="US1" s="239"/>
      <c r="UT1" s="239"/>
      <c r="UU1" s="239"/>
      <c r="UV1" s="239"/>
      <c r="UW1" s="239"/>
      <c r="UX1" s="239"/>
      <c r="UY1" s="239"/>
      <c r="UZ1" s="239"/>
      <c r="VA1" s="239"/>
      <c r="VB1" s="239" t="s">
        <v>452</v>
      </c>
      <c r="VC1" s="239" t="s">
        <v>116</v>
      </c>
      <c r="VD1" s="239" t="s">
        <v>83</v>
      </c>
      <c r="VE1" s="239" t="s">
        <v>84</v>
      </c>
      <c r="VF1" s="239" t="s">
        <v>85</v>
      </c>
      <c r="VG1" s="239" t="s">
        <v>86</v>
      </c>
      <c r="VH1" s="239"/>
      <c r="VI1" s="239"/>
      <c r="VJ1" s="239"/>
      <c r="VK1" s="239"/>
      <c r="VL1" s="239"/>
      <c r="VM1" s="239"/>
      <c r="VN1" s="239"/>
      <c r="VO1" s="239"/>
      <c r="VP1" s="239"/>
      <c r="VQ1" s="239"/>
      <c r="VR1" s="239"/>
      <c r="VS1" s="239" t="s">
        <v>87</v>
      </c>
      <c r="VT1" s="239" t="s">
        <v>88</v>
      </c>
      <c r="VU1" s="239" t="s">
        <v>89</v>
      </c>
      <c r="VV1" s="239" t="s">
        <v>90</v>
      </c>
      <c r="VW1" s="239" t="s">
        <v>583</v>
      </c>
      <c r="VX1" s="239" t="s">
        <v>358</v>
      </c>
      <c r="VY1" s="239" t="s">
        <v>112</v>
      </c>
      <c r="VZ1" s="239"/>
      <c r="WA1" s="239" t="s">
        <v>1755</v>
      </c>
      <c r="WB1" s="239" t="s">
        <v>582</v>
      </c>
      <c r="WC1" s="239" t="s">
        <v>584</v>
      </c>
      <c r="WD1" s="239" t="s">
        <v>577</v>
      </c>
      <c r="WE1" s="239"/>
      <c r="WF1" s="239" t="s">
        <v>300</v>
      </c>
      <c r="WG1" s="239"/>
      <c r="WH1" s="239" t="s">
        <v>703</v>
      </c>
      <c r="WI1" s="239"/>
      <c r="WJ1" s="239" t="s">
        <v>704</v>
      </c>
      <c r="WK1" s="239" t="s">
        <v>298</v>
      </c>
      <c r="WL1" s="243"/>
      <c r="WM1" s="239" t="s">
        <v>296</v>
      </c>
      <c r="WN1" s="239" t="s">
        <v>297</v>
      </c>
      <c r="WO1" s="239" t="s">
        <v>299</v>
      </c>
      <c r="WP1" s="239" t="s">
        <v>1799</v>
      </c>
      <c r="WQ1" s="239"/>
      <c r="WR1" s="239" t="s">
        <v>1121</v>
      </c>
      <c r="WS1" s="239" t="s">
        <v>1733</v>
      </c>
      <c r="WT1" s="239"/>
      <c r="WU1" s="239"/>
      <c r="WV1" s="239"/>
      <c r="WW1" s="239"/>
      <c r="WX1" s="239"/>
      <c r="WY1" s="239"/>
      <c r="WZ1" s="239"/>
      <c r="XA1" s="239"/>
      <c r="XB1" s="239"/>
      <c r="XC1" s="239" t="s">
        <v>2794</v>
      </c>
      <c r="XD1" s="239" t="s">
        <v>114</v>
      </c>
      <c r="XE1" s="239" t="s">
        <v>1734</v>
      </c>
      <c r="XF1" s="239"/>
      <c r="XG1" s="239"/>
      <c r="XH1" s="239"/>
      <c r="XI1" s="239"/>
      <c r="XJ1" s="239"/>
      <c r="XK1" s="239"/>
      <c r="XL1" s="239"/>
      <c r="XM1" s="239"/>
      <c r="XN1" s="239"/>
      <c r="XO1" s="239"/>
      <c r="XP1" s="239" t="s">
        <v>1777</v>
      </c>
      <c r="XQ1" s="239" t="s">
        <v>204</v>
      </c>
      <c r="XR1" s="239" t="s">
        <v>205</v>
      </c>
      <c r="XS1" s="239" t="s">
        <v>802</v>
      </c>
      <c r="XT1" s="239" t="s">
        <v>801</v>
      </c>
      <c r="XU1" s="239" t="s">
        <v>1100</v>
      </c>
      <c r="XV1" s="239"/>
      <c r="XW1" s="239" t="s">
        <v>800</v>
      </c>
      <c r="XX1" s="239" t="s">
        <v>1102</v>
      </c>
      <c r="XY1" s="239" t="s">
        <v>1103</v>
      </c>
      <c r="XZ1" s="239" t="s">
        <v>1104</v>
      </c>
      <c r="YA1" s="239" t="s">
        <v>1101</v>
      </c>
      <c r="YB1" s="239" t="s">
        <v>1105</v>
      </c>
      <c r="YC1" s="239" t="s">
        <v>1264</v>
      </c>
      <c r="YD1" s="239" t="s">
        <v>1106</v>
      </c>
      <c r="YE1" s="239" t="s">
        <v>1107</v>
      </c>
      <c r="YF1" s="239" t="s">
        <v>1265</v>
      </c>
      <c r="YG1" s="239" t="s">
        <v>1266</v>
      </c>
      <c r="YH1" s="239"/>
      <c r="YI1" s="239"/>
      <c r="YJ1" s="239" t="s">
        <v>1267</v>
      </c>
      <c r="YK1" s="239"/>
      <c r="YL1" s="239" t="s">
        <v>807</v>
      </c>
      <c r="YM1" s="240"/>
      <c r="YN1" s="240"/>
      <c r="YO1" s="239"/>
      <c r="YP1" s="239"/>
      <c r="YQ1" s="239"/>
      <c r="YR1" s="239"/>
      <c r="YS1" s="239"/>
      <c r="YT1" s="240"/>
    </row>
    <row r="2" spans="1:670" s="13" customFormat="1" x14ac:dyDescent="0.2">
      <c r="A2" s="6" t="s">
        <v>10</v>
      </c>
      <c r="B2" s="3">
        <v>22386400</v>
      </c>
      <c r="C2" s="3" t="s">
        <v>158</v>
      </c>
      <c r="D2" s="3"/>
      <c r="E2" s="3" t="s">
        <v>17</v>
      </c>
      <c r="F2" s="3" t="s">
        <v>136</v>
      </c>
      <c r="G2" t="s">
        <v>266</v>
      </c>
      <c r="H2"/>
      <c r="I2" s="3"/>
      <c r="J2" s="3"/>
      <c r="K2" s="3"/>
      <c r="L2" s="3" t="str">
        <f>PROPER(K2)&amp;", "&amp;PROPER(J2)</f>
        <v xml:space="preserve">, </v>
      </c>
      <c r="M2"/>
      <c r="N2"/>
      <c r="O2"/>
      <c r="P2"/>
      <c r="Q2"/>
      <c r="R2"/>
      <c r="S2"/>
      <c r="T2">
        <v>0</v>
      </c>
      <c r="U2" s="3" t="s">
        <v>74</v>
      </c>
      <c r="V2"/>
      <c r="W2"/>
      <c r="X2" s="89" t="s">
        <v>74</v>
      </c>
      <c r="Y2" s="90">
        <v>35987</v>
      </c>
      <c r="Z2" s="92">
        <v>18336</v>
      </c>
      <c r="AA2" s="92"/>
      <c r="AB2" s="92"/>
      <c r="AC2" s="269">
        <f>IF(AND(G2="R",S2="Y"),AB2,IF(AND(G2="V",OR(X2={"S","W","D"}),F2&lt;&gt;"QPSA"),"null",IF(AA2="",DATE(YEAR(Z2)+IF(U2="M",4,-4),MONTH(Z2),DAY(Z2)),AA2)))</f>
        <v>19797</v>
      </c>
      <c r="AD2" s="92">
        <v>26406</v>
      </c>
      <c r="AE2" s="92"/>
      <c r="AF2" s="92"/>
      <c r="AG2" s="92">
        <v>33168</v>
      </c>
      <c r="AH2" s="270">
        <f>[1]!ATT(Z2,AG2)</f>
        <v>40</v>
      </c>
      <c r="AI2" s="92"/>
      <c r="AJ2" s="269" t="str">
        <f>IF(AG2&gt;=DOBF,DOBF,"null")</f>
        <v>null</v>
      </c>
      <c r="AK2" s="92"/>
      <c r="AL2" s="92"/>
      <c r="AM2" s="92"/>
      <c r="AN2" s="91">
        <f>19.5</f>
        <v>19.5</v>
      </c>
      <c r="AO2" s="91">
        <f>19.3</f>
        <v>19.3</v>
      </c>
      <c r="AP2" s="91"/>
      <c r="AQ2" s="91"/>
      <c r="AR2">
        <f>IF(AND(AE2&lt;DATE(2010,1,1),AF2&gt;DOBF),0,IF(AG2&gt;=DATE(2010,1,1),IF(AQ2&lt;&gt;"",ROUND((MIN(AG2,DATE(2010,6,15))-MAX(AF2-1,DATE(2009,12,31)))/(MIN(AG2,DATE(2010,12,31))-MAX(AF2-1,DATE(2009,12,31)))*AQ2,2),IF(YEAR(AG2)=2010,MIN(6,MONTH(AG2)),6)*190),0))</f>
        <v>0</v>
      </c>
      <c r="AS2">
        <f>ROUND(MIN(1,AR2/1700),1)</f>
        <v>0</v>
      </c>
      <c r="AT2" s="91">
        <f>IF(AP2&gt;0,AP2,AO2)+AS2</f>
        <v>19.3</v>
      </c>
      <c r="AU2" s="92" t="str">
        <f>IF(AG2&lt;=DOBF,"null",IF(AND(AE2&gt;0,AE2&lt;DATE(2010,1,1),AF2&gt;=DATE(2011,1,1)),"null",MAX(DOBF,AF2)))</f>
        <v>null</v>
      </c>
      <c r="AV2" s="92" t="str">
        <f>IF(AU2="null","null",MIN(DATE(2010,12,31),AG2))</f>
        <v>null</v>
      </c>
      <c r="AW2" t="str">
        <f>IF(AU2="null","null",IF(AQ2&lt;&gt;"",AQ2,12*190))</f>
        <v>null</v>
      </c>
      <c r="AX2" s="91">
        <f>IF(AU2="null",0,VLOOKUP(AW2,CS,2))</f>
        <v>0</v>
      </c>
      <c r="AY2" s="91">
        <f>IF(AU2="null",0,AX2-AS2)</f>
        <v>0</v>
      </c>
      <c r="AZ2" s="92" t="str">
        <f>IF(AF2&gt;=DATE(2012,1,1),"null",IF(AG2&lt;DATE(2011,1,1),"null",MAX(DATE(2011,1,1),AF2)))</f>
        <v>null</v>
      </c>
      <c r="BA2" s="92" t="str">
        <f>IF(AZ2="null","null",MIN(DATE(2011,12,31),AG2))</f>
        <v>null</v>
      </c>
      <c r="BB2" s="91" t="str">
        <f>IF(BA2="null","null",(MONTH(BA2)-MONTH(AZ2)+1)*190)</f>
        <v>null</v>
      </c>
      <c r="BC2" s="91">
        <f>IF(BB2="null",0,VLOOKUP(BB2,CS,2))</f>
        <v>0</v>
      </c>
      <c r="BD2" s="92" t="str">
        <f>IF(AF2&gt;=DATE(2013,1,1),"null",IF(AG2&lt;DATE(2012,1,1),"null",MAX(DATE(2012,1,1),AF2)))</f>
        <v>null</v>
      </c>
      <c r="BE2" s="92" t="str">
        <f>IF(BD2="null","null",MIN(DATE(2012,12,31),AG2))</f>
        <v>null</v>
      </c>
      <c r="BF2" s="91" t="str">
        <f>IF(BE2="null","null",(MONTH(BE2)-MONTH(BD2)+1)*190)</f>
        <v>null</v>
      </c>
      <c r="BG2" s="91">
        <f>IF(BF2="null",0,VLOOKUP(BF2,CS,2))</f>
        <v>0</v>
      </c>
      <c r="BH2" s="91">
        <f>IF(AG2&gt;=DATE(2013,1,1),VLOOKUP(MONTH(AG2)*190,CS,2),0)</f>
        <v>0</v>
      </c>
      <c r="BI2" s="91">
        <f>AY2+BC2+BG2+BH2</f>
        <v>0</v>
      </c>
      <c r="BJ2" s="91">
        <f>AT2+BI2</f>
        <v>19.3</v>
      </c>
      <c r="BK2" s="91" t="str">
        <f>IF(AND(AH2&gt;=65,IF(AN2&gt;0,AN2,BJ2)&gt;=5),"NR",IF(AND(AH2&gt;=55,IF(AN2&gt;0,AN2,BJ2)&gt;=10),"ER","DV"))</f>
        <v>DV</v>
      </c>
      <c r="BL2" s="270">
        <f>IF(OR(AN2&gt;=5,AND(AD2&lt;=BX2,AG2&gt;=BX2)),1,0)</f>
        <v>1</v>
      </c>
      <c r="BM2" s="7">
        <f>[1]!anb(Z2,DOPT)</f>
        <v>64</v>
      </c>
      <c r="BN2" s="7">
        <f>IF(AC2="null","null",IF(AC2&gt;DOPT,0,[1]!anb(AC2,DOPT)))</f>
        <v>60</v>
      </c>
      <c r="BO2" s="270">
        <f>IF(AN2&gt;=5,55,65)</f>
        <v>55</v>
      </c>
      <c r="BP2" s="272">
        <f>[1]!NRD(Z2,BO2)</f>
        <v>38443</v>
      </c>
      <c r="BQ2" s="270">
        <f>MAX(BM2,BO2)</f>
        <v>64</v>
      </c>
      <c r="BR2" s="272">
        <f>MAX(DOPT2,BP2)</f>
        <v>41640</v>
      </c>
      <c r="BS2" s="270">
        <f>IF(AND(AD2&lt;=DATE(1989,4,10),BJ2&gt;=30,AH2&gt;=55),58,IF(AND(AD2&lt;=DATE(1989,4,10),BJ2&lt;30,AN2&gt;=10,AH2&gt;=55),62,IF(AND(AD2&gt;DATE(1989,4,10),AN2&gt;=10,AH2&gt;=62),62,65)))</f>
        <v>65</v>
      </c>
      <c r="BT2" s="272">
        <f>[1]!NRD(Z2,BS2)</f>
        <v>42095</v>
      </c>
      <c r="BU2" s="270">
        <f>MAX(BM2,BS2)</f>
        <v>65</v>
      </c>
      <c r="BV2" s="272">
        <f>MAX(DOPT2,BT2)</f>
        <v>42095</v>
      </c>
      <c r="BW2" s="7">
        <f>65</f>
        <v>65</v>
      </c>
      <c r="BX2" s="269">
        <f>[1]!NRD(Z2,65)</f>
        <v>42095</v>
      </c>
      <c r="BY2" s="269" t="str">
        <f>IF(DG2="Y",MIN(BX2,[1]!NRD(AI2,0)),"null")</f>
        <v>null</v>
      </c>
      <c r="BZ2" s="274">
        <f>IF(BS2=BW2,0,IF(OR(BX2&lt;BV2,BX2&lt;DOPT,BX2&lt;=AI2,BV2=CF2,BV2&gt;=STALE,AND(CF2&gt;0,CF2&lt;=MAX(BV2,IF(AI2&gt;0,[1]!NRD(AI2,0),0)))),0,1))</f>
        <v>0</v>
      </c>
      <c r="CA2" s="269">
        <f>DATE(YEAR(Z2)+70,MONTH(Z2)+6,DAY(Z2))</f>
        <v>44088</v>
      </c>
      <c r="CB2" s="269">
        <f>DATE(YEAR(CA2)+1,4,1)</f>
        <v>44287</v>
      </c>
      <c r="CC2" s="272">
        <f>[1]!RBD(C2,DOPT,"P",Z2,AG2)</f>
        <v>45017</v>
      </c>
      <c r="CD2" s="272">
        <f>[1]!RBD(C2,DOPT,IF(AK2&gt;0,"B","P"),Z2,AG2,AK2)</f>
        <v>45017</v>
      </c>
      <c r="CE2" s="272" t="str">
        <f>IF(AG2&lt;&gt;"",IF(AG2&gt;CA2,"Y","N"),"null")</f>
        <v>N</v>
      </c>
      <c r="CF2" s="272"/>
      <c r="CG2" s="272"/>
      <c r="CH2" s="272"/>
      <c r="CI2" s="70" t="str">
        <f>IF(DR2="PBGC","Post-DOTR","Pre-DOTR")</f>
        <v>Pre-DOTR</v>
      </c>
      <c r="CJ2" s="70"/>
      <c r="CK2" s="70"/>
      <c r="CL2" s="70"/>
      <c r="CM2" s="272">
        <f>STALE</f>
        <v>44197</v>
      </c>
      <c r="CN2" s="272">
        <f>STALE</f>
        <v>44197</v>
      </c>
      <c r="CO2" s="269">
        <f>MIN(CD2,MAX(CN2,BR2))</f>
        <v>44197</v>
      </c>
      <c r="CP2" s="11">
        <f>MIN(CD2,MAX(CN2,BV2))</f>
        <v>44197</v>
      </c>
      <c r="CQ2">
        <f>958.74</f>
        <v>958.74</v>
      </c>
      <c r="CR2">
        <f>ROUND(CQ2/12,2)</f>
        <v>79.900000000000006</v>
      </c>
      <c r="CS2" t="str">
        <f>IF(YEAR(AG2)&lt;2010,"null",IF(AD2&lt;DATE(2006,4,16),37,32))</f>
        <v>null</v>
      </c>
      <c r="CT2"/>
      <c r="CU2" s="273">
        <f>IF(AG2&gt;DATE(2010,1,1),ROUND(CS2*AT2,2),IF(CT2&gt;0,CT2,ROUND(CQ2/12,2)))</f>
        <v>79.900000000000006</v>
      </c>
      <c r="CV2" s="12">
        <f>ROUND(BL2*CU2,2)</f>
        <v>79.900000000000006</v>
      </c>
      <c r="CW2" s="11" t="str">
        <f>IF(BZ2=1,MAX(IF(AI2&gt;0,[1]!NRD(AI2,0),0),BV2),"null")</f>
        <v>null</v>
      </c>
      <c r="CX2" s="273"/>
      <c r="CY2" s="273"/>
      <c r="CZ2" s="273">
        <f>IF(AD2&gt;=DATE(1986,10,1),"null",IF(CY2&gt;0,CY2,CX2))</f>
        <v>0</v>
      </c>
      <c r="DA2" s="6">
        <f>IF(AD2&gt;=DATE(1986,10,1),"null",[1]!COMPM(BT2,BX2))</f>
        <v>0</v>
      </c>
      <c r="DB2" s="330">
        <f>IF(DA2="null","null",VLOOKUP(DA2,erftable1,2,FALSE))</f>
        <v>1</v>
      </c>
      <c r="DC2" s="165">
        <f>IF(DB2="null","null",ROUND(CZ2*DB2,2))</f>
        <v>0</v>
      </c>
      <c r="DD2" s="165">
        <f>ROUND(CU2-IF(DC2="null",0,DC2),2)</f>
        <v>79.900000000000006</v>
      </c>
      <c r="DE2" s="269" t="str">
        <f>[1]!BL(DOPT,Z2,AG2,"N",IF(C2="2","N","Y"),"Y",C2,BU2,DD2)</f>
        <v>HIGH</v>
      </c>
      <c r="DF2" s="7">
        <f>[1]!XRA2(DE2,BQ2,BU2,DOPT,Z2,IF(AC2="null",0,AC2),C2,E2)</f>
        <v>64</v>
      </c>
      <c r="DG2" s="7" t="str">
        <f>IF(AND(CH2&gt;0,CF2&lt;AI2,CF2&lt;BX2),"Y","N")</f>
        <v>N</v>
      </c>
      <c r="DH2" s="269">
        <f>[1]!XRD2(C2,DOPT,BR2,DF2,Z2,0)</f>
        <v>41640</v>
      </c>
      <c r="DI2" s="269">
        <f>IF(AND(BZ2=1,CF2&gt;0,G2="R"),CW2,DH2)</f>
        <v>41640</v>
      </c>
      <c r="DJ2" s="7">
        <f>[1]!anb(Z2,DI2)</f>
        <v>64</v>
      </c>
      <c r="DK2" s="274">
        <f>IF(OR(AC2="",AC2="null"),"null",IF(AC2&gt;DOPT2,0,[1]!anb(AC2,DI2)))</f>
        <v>60</v>
      </c>
      <c r="DL2" s="7">
        <f>IF(AC2="null","null",[1]!SXRA2(C2,DOPT,AC2,DI2,BP2))</f>
        <v>60</v>
      </c>
      <c r="DM2" s="7" t="str">
        <f>IF(CF2&gt;0,IF(CF2&lt;BX2,"ER",IF(CF2&gt;BX2,"LR","NR")),IF(DI2&lt;BX2,"ER",IF(DI2&gt;BX2,"LR","NR")))</f>
        <v>ER</v>
      </c>
      <c r="DN2" s="21"/>
      <c r="DO2" s="7"/>
      <c r="DP2" s="7"/>
      <c r="DQ2" s="7"/>
      <c r="DR2" s="272"/>
      <c r="DS2" s="7"/>
      <c r="DT2" s="8" t="str">
        <f>"2"</f>
        <v>2</v>
      </c>
      <c r="DU2" s="275">
        <f>0</f>
        <v>0</v>
      </c>
      <c r="DV2" s="276">
        <f>0</f>
        <v>0</v>
      </c>
      <c r="DW2" s="8" t="str">
        <f>"0"</f>
        <v>0</v>
      </c>
      <c r="DX2" s="275">
        <f>IF(AG2&lt;DATE(2001,4,15),0.55,0.6)</f>
        <v>0.55000000000000004</v>
      </c>
      <c r="DY2" s="276">
        <f>0</f>
        <v>0</v>
      </c>
      <c r="DZ2" s="8" t="str">
        <f>DT2</f>
        <v>2</v>
      </c>
      <c r="EA2" s="7">
        <f>0</f>
        <v>0</v>
      </c>
      <c r="EB2" s="7">
        <f>0</f>
        <v>0</v>
      </c>
      <c r="EC2" s="8" t="str">
        <f>DW2</f>
        <v>0</v>
      </c>
      <c r="ED2" s="275">
        <f>DX2</f>
        <v>0.55000000000000004</v>
      </c>
      <c r="EE2" s="276">
        <f>DY2</f>
        <v>0</v>
      </c>
      <c r="EF2" s="7"/>
      <c r="EG2" s="7"/>
      <c r="EH2" s="7">
        <f>IF(OR(AND(OR(AND(F2="XRD",G2="V"),F2="RBD"),OR(X2="M",X2="U")),AND(OR(F2="DOR",F2="RETRO_DOR"),DS2="3",OR(DO2="9",DO2="0"))),DW2,IF(OR(F2="QPSA",AND(OR(F2="ERD",F2="EURD",F2="NRD",AND(F2="RETRO",DR2&lt;&gt;"PLAN")),X2="M",NOT(ISBLANK(AK2)),OR(ISBLANK(AL2),AL2&gt;AK2)),AND(OR(F2="RETRO_DOR",F2="DOR",F2="DORNSF"),DN2="Y")),EC2,IF(AND(OR(F2="DOR",F2="RETRO_DOR"),DS2&lt;&gt;"3"),DO2,DT2)))</f>
        <v>0</v>
      </c>
      <c r="EI2" s="275">
        <f>IF(OR(AND(OR(AND(F2="XRD",G2="V"),F2="RBD"),OR(X2="M",X2="U")),AND(OR(F2="DOR",F2="RETRO_DOR"),DS2="3",OR(DO2="9",DO2="0"))),DX2,IF(OR(F2="QPSA",AND(OR(F2="ERD",F2="EURD",F2="NRD",AND(F2="RETRO",PI2&lt;&gt;"PLAN")),X2="M",NOT(ISBLANK(AK2)),OR(ISBLANK(AL2),AL2&gt;AK2)),AND(OR(F2="RETRO_DOR",F2="DOR",F2="DORNSF"),DN2="Y")),ED2,IF(AND(OR(F2="DOR",F2="RETRO_DOR"),DS2&lt;&gt;"3"),DP2,DU2)))</f>
        <v>0</v>
      </c>
      <c r="EJ2" s="7">
        <f>IF(EH2="9",0,IF(EH2="2",0,DV2))</f>
        <v>0</v>
      </c>
      <c r="EK2" s="7" t="str">
        <f>IF(EJ2=0,"null",DATE(YEAR(DI2)+EJ2/12,MONTH(DI2)-1,1))</f>
        <v>null</v>
      </c>
      <c r="EL2" s="7" t="str">
        <f>IF(EK2="null","null",DATE(YEAR(EK2),MONTH(EK2)+1,1))</f>
        <v>null</v>
      </c>
      <c r="EM2" s="7">
        <f>IF(EK2="null",0,IF(EK2&lt;DOPT,0,[1]!COMPM(DOPT2,EL2)))</f>
        <v>0</v>
      </c>
      <c r="EN2" s="7" t="str">
        <f>IF(EH2="9","JSC",IF(EH2="0","JSP","SLA"))</f>
        <v>SLA</v>
      </c>
      <c r="EO2" s="7" t="str">
        <f>IF(CH2&gt;0,IF(DN2="Y",IF(EF2="2","Straight Life Annuity",IF(EJ2=60,"5-year Certain-and-Continuous Annuity",IF(EJ2=120,"10-year Certain-and-Continuous Annuity","15-year Certain-and-Continuous Annuity"))),IF(DO2="2","Straight Life Annuity",IF(DO2="0",IF(DP2=0.55,"Joint-and-55% Survivor "&amp;IF(DO2="0","'Pop-up'","")&amp;" Annuity","Joint-and-60% Survivor "&amp;IF(DO2="0","'Pop-up'","")&amp;" Annuity"),IF(DO2="9",IF(DP2=0.4,"Joint-and-40% Survivor Annuity",IF(DP2=0.5,"Joint-and-50% Survivor Annuity",IF(DP2=0.75,"Joint-and-75% Survivor Annuity","Joint-and-100% Survivor Annuity"))),IF(DQ2=60,"5-year Certain-and-Continuous Annuity",IF(DQ2=120,"10-year Certain-and-Continuous Annuity","15-year Certain-and-Continuous Annuity")))))),IF(EH2="2","Straight Life Annuity",IF(EH2="0",IF(EI2=0.55,"Joint-and-55% Survivor "&amp;IF(DO2="0","'Pop-up'","")&amp;" Annuity","Joint-and-60% Survivor "&amp;IF(DO2="0","'Pop-up'","")&amp;" Annuity"),IF(EH2="9",IF(EI2=0.4,"Joint-and-40% Survivor Annuity",IF(EI2=0.5,"Joint-and-50% Survivor Annuity",IF(EI2=0.75,"Joint-and-75% Survivor Annuity","Joint-and-100% Survivor Annuity"))),IF(EJ2=60,"5-year Certain-and-Continuous Annuity",IF(EJ2=120,"10-year Certain-and-Continuous Annuity","15-year Certain-and-Continuous Annuity"))))))</f>
        <v>15-year Certain-and-Continuous Annuity</v>
      </c>
      <c r="EP2" s="7" t="str">
        <f>IF(CH2&gt;0,IF(DN2="Y",IF(EF2="2","SLA",IF(EJ2=60,"5 C&amp;C",IF(EJ2=120,"10 C&amp;C","15 C&amp;C"))),IF(DO2="2","SLA",IF(DO2="0",IF(DP2=0.55,"J&amp;55%P","J&amp;60%P"),IF(DO2="9",IF(DP2=0.4,"J&amp;40%S",IF(DP2=0.5,"J&amp;50%S",IF(DP2=0.75,"J&amp;75%S","J&amp;100%S"))),IF(DQ2=60,"5 C&amp;C",IF(DQ2=120,"10 C&amp;C","15 C&amp;C")))))),IF(EH2="2","SLA",IF(EH2="0",IF(EI2=0.55,"J&amp;55%P","J&amp;60%P"),IF(EH2="9",IF(EI2=0.4,"J&amp;40%S",IF(EI2=0.5,"J&amp;50%S",IF(EI2=0.75,"J&amp;75%S","J&amp;100&amp;S"))),IF(EJ2=60,"5C&amp;C",IF(EJ2=120,"10 C&amp;C","15 C&amp;C"))))))</f>
        <v>15 C&amp;C</v>
      </c>
      <c r="EQ2" s="269" t="str">
        <f>IF(AG2&gt;=DATE(1989,4,10),"null",[1]!NRD(Z2,45))</f>
        <v>null</v>
      </c>
      <c r="ER2" s="269" t="str">
        <f>IF(AG2&gt;=DATE(1989,4,10),"null",MAX(EQ2,DATE(1986,10,1)))</f>
        <v>null</v>
      </c>
      <c r="ES2" s="7" t="str">
        <f>IF(AG2&gt;=DATE(1989,4,10),"null",IF(ER2&gt;DOPT2,0,IF(OR(DAY(ER2)=1,DAY(ER2)=2),[1]!COMPM(ER2,DOPT2),[1]!COMPM(ER2,DOPT2)+1)))</f>
        <v>null</v>
      </c>
      <c r="ET2" s="7" t="str">
        <f>IF(AG2&gt;=DATE(1989,4,10),"null",ROUND(ES2*1/24*0.01,4))</f>
        <v>null</v>
      </c>
      <c r="EU2" s="284" t="str">
        <f>IF(AG2&gt;=DATE(1989,4,10),"null",ROUND(1-ET2,4))</f>
        <v>null</v>
      </c>
      <c r="EV2" s="7"/>
      <c r="EW2" s="8">
        <f>ROUND(CV2*IF(OR(EU2={"null",""}),1,EU2),2)</f>
        <v>79.900000000000006</v>
      </c>
      <c r="EX2" s="269" t="str">
        <f>IF(BS2=65,"erftable1","erftable2")</f>
        <v>erftable1</v>
      </c>
      <c r="EY2" s="7">
        <f>IF(DI2&lt;BT2,[1]!COMPM(DI2,BT2),0)</f>
        <v>15</v>
      </c>
      <c r="EZ2" s="277">
        <f ca="1">VLOOKUP(EY2,INDIRECT(EX2),2,FALSE)</f>
        <v>0.91</v>
      </c>
      <c r="FA2" s="277"/>
      <c r="FB2" s="276">
        <f>IF(AG2&lt;BX2,0,[1]!COMPM(BX2,[1]!NRD(AG2,0)))</f>
        <v>0</v>
      </c>
      <c r="FC2" s="277">
        <f>ROUND([1]!LRFAEQ(0.045,"M",65,FB2,0,"AA06","AA06","MP","Y"),4)</f>
        <v>1</v>
      </c>
      <c r="FD2" s="7">
        <f>IF(BX2&gt;DI2,0,[1]!COMPM(BX2,DI2))</f>
        <v>0</v>
      </c>
      <c r="FE2" s="277">
        <f>ROUND([1]!LRFAEQ(0.045,"M",65,FD2,0,"AA06","AA06","MP","Y"),4)</f>
        <v>1</v>
      </c>
      <c r="FF2" s="278">
        <f>IF(F2="NRD",1,ROUND(FE2/FC2,4))</f>
        <v>1</v>
      </c>
      <c r="FG2" s="12">
        <f ca="1">ROUND(EW2*EZ2*FF2,2)</f>
        <v>72.709999999999994</v>
      </c>
      <c r="FH2" s="12"/>
      <c r="FI2" s="274">
        <f>IF(AC2="null",0,IF(AC2&lt;Z2,(YEAR(Z2)-YEAR(AC2))-IF(Z2&gt;=DATE(YEAR(Z2),MONTH(AC2),DAY(AC2)),0,1),-(YEAR(AC2)-YEAR(Z2))+IF(AC2&gt;=DATE(YEAR(AC2),MONTH(Z2),DAY(Z2)),0,1)))</f>
        <v>-4</v>
      </c>
      <c r="FJ2" s="277">
        <f>IF(EH2="2",1,IF(ABS(FI2)&lt;=5,0.95,IF(FI2&gt;0,MIN(1,0.95+0.005*(ABS(FI2)-5)),0.95-0.005*(ABS(FI2)-5))))</f>
        <v>0.95</v>
      </c>
      <c r="FK2" s="277"/>
      <c r="FL2" s="273">
        <f ca="1">ROUND(FG2*FJ2,2)</f>
        <v>69.069999999999993</v>
      </c>
      <c r="FM2" s="273"/>
      <c r="FN2" s="273" t="str">
        <f>IF(AD2&lt;DATE(1986,10,1),"Y","N")</f>
        <v>Y</v>
      </c>
      <c r="FO2" s="273"/>
      <c r="FP2" s="269" t="str">
        <f>IF(OR(CZ2={"","null",0}),"null",[1]!NRD(Z2,45))</f>
        <v>null</v>
      </c>
      <c r="FQ2" s="269" t="str">
        <f>IF(OR(CZ2={"","null",0}),"null",MAX(FP2,DATE(1986,10,1)))</f>
        <v>null</v>
      </c>
      <c r="FR2" s="269" t="str">
        <f>IF(OR(CZ2={"","null",0}),"null",DOPT2)</f>
        <v>null</v>
      </c>
      <c r="FS2" s="274" t="str">
        <f>IF(OR(CZ2={"","null",0}),"null",IF(FQ2&gt;FR2,0,IF(OR(DAY(FQ2)=1,DAY(FQ2)=2),[1]!COMPM(FQ2,FR2),[1]!COMPM(FQ2,FR2)+1)))</f>
        <v>null</v>
      </c>
      <c r="FT2" s="274" t="str">
        <f>IF(OR(CZ2={"","null",0}),"null",ROUND(FS2*1/24*0.01,4))</f>
        <v>null</v>
      </c>
      <c r="FU2" s="277" t="str">
        <f>IF(OR(CZ2={"","null",0}),"null",ROUND(1-FT2,4))</f>
        <v>null</v>
      </c>
      <c r="FV2" s="273" t="str">
        <f>IF(OR(CZ2={"","null",0}),"null",ROUND(CZ2*FU2,2))</f>
        <v>null</v>
      </c>
      <c r="FW2" s="273"/>
      <c r="FX2" s="276">
        <f>IF(OR($CZ2="",$CZ2="null"),"null",IF(DI2&gt;$BX2,0,[1]!COMPM(DI2,$BX2)))</f>
        <v>15</v>
      </c>
      <c r="FY2" s="277" t="str">
        <f>IF(OR($CZ2="",$CZ2="null",CZ2=0),"null",VLOOKUP(FX2,erftable1,2,FALSE))</f>
        <v>null</v>
      </c>
      <c r="FZ2" s="277"/>
      <c r="GA2" s="277" t="str">
        <f>IF(OR($CZ2="",$CZ2="null",CZ2=0),"null",ROUND([1]!LRFAEQ(0.04,"M",65,FD2,0,"AA06","AA06","MP","Y"),4))</f>
        <v>null</v>
      </c>
      <c r="GB2" s="273" t="str">
        <f>IF(OR(CZ2={"","null",0}),"null",ROUND($FV2*FY2*GA2,2))</f>
        <v>null</v>
      </c>
      <c r="GC2" s="273"/>
      <c r="GD2" s="273"/>
      <c r="GE2" s="273" t="str">
        <f>IF(OR(CZ2={"","null",0}),"null",ROUND(GB2*FJ2,2))</f>
        <v>null</v>
      </c>
      <c r="GF2" s="273"/>
      <c r="GG2" s="273">
        <f ca="1">ROUND(FG2-IF(GB2="null",0,GB2),2)</f>
        <v>72.709999999999994</v>
      </c>
      <c r="GH2" s="12">
        <f ca="1">ROUND(FL2-IF(GE2="null",0,GE2),2)</f>
        <v>69.069999999999993</v>
      </c>
      <c r="GI2" s="273" t="str">
        <f>IF(OR(CZ2={"null",0,""}),"null",IF(EI2&gt;0,ROUND(IF(AND(OR(F2={"DOR","RETRO_DOR"}),DS2="3"),DX2,EI2)*FL2,2),"null"))</f>
        <v>null</v>
      </c>
      <c r="GJ2" s="273" t="str">
        <f>IF(OR(CZ2="null",CZ2="",CZ2=0),"null",IF(EI2&gt;0,ROUND(0.55*GE2,2),"null"))</f>
        <v>null</v>
      </c>
      <c r="GK2" s="273" t="str">
        <f>IF(EI2&gt;0,IF(OR(CZ2={"",0,"null"}),ROUND(GH2*IF(AND(OR(F2={"DOR","RETRO_DOR"}),DS2="3"),DX2,EI2),2),MAX(0,ROUND(GI2-GJ2,2))),"null")</f>
        <v>null</v>
      </c>
      <c r="GL2" s="520">
        <f>IF(EI2&gt;0,ROUND(GK2/GH2,4),EI2)</f>
        <v>0</v>
      </c>
      <c r="GM2" s="6">
        <f>IF(GL2="null","null",IF(GL2=0,1,ROUND([1]!PBGCBFCF2("SLA",0,0,"JSP",GL2,0,DJ2,DK2),4)))</f>
        <v>1</v>
      </c>
      <c r="GN2" s="8" t="str">
        <f>IF(EI2&gt;0,GG2,"null")</f>
        <v>null</v>
      </c>
      <c r="GO2" s="8" t="str">
        <f>IF(EI2&gt;0,ROUND(GN2-GH2,2),"null")</f>
        <v>null</v>
      </c>
      <c r="GP2" s="8"/>
      <c r="GQ2" s="269">
        <f>[1]!NRD(Z2,62)</f>
        <v>41000</v>
      </c>
      <c r="GR2" s="8" t="str" cm="1">
        <f t="array" ref="GR2">IF(AND(AD2&lt;=DATE(1989,4,10),BJ2&gt;=30,AND(AH2&lt;62,AH2&gt;=55),DI2&lt;GQ2),IF(AND(CH2&lt;&gt;"",OR(F2={"NRD","EURD","ERD","RBD","RETRO"},AND(OR(AND(F2="XRD",G2="R"),F2="DOR"),AI2&gt;=GQ2))),"No","Yes"),"No")</f>
        <v>No</v>
      </c>
      <c r="GS2" s="8" t="str">
        <f>IF(GR2="No","null","0")</f>
        <v>null</v>
      </c>
      <c r="GT2" s="269" t="str">
        <f>IF(GR2="No","null",DI2)</f>
        <v>null</v>
      </c>
      <c r="GU2" s="269" t="str">
        <f>IF(GR2="No","null",DATE(YEAR(GQ2),MONTH(GQ2)-1,1))</f>
        <v>null</v>
      </c>
      <c r="GV2" s="273" t="str">
        <f>IF(GR2="Yes",450,"null")</f>
        <v>null</v>
      </c>
      <c r="GW2" s="269" t="str">
        <f>IF(AND(GR2="Yes",DI2&lt;GQ2),"Yes","No")</f>
        <v>No</v>
      </c>
      <c r="GX2" s="7" t="str">
        <f>IF(GW2="No","null",IF(DI2&gt;=GQ2,0,[1]!COMPM(DI2,GQ2)))</f>
        <v>null</v>
      </c>
      <c r="GY2" s="269">
        <f>[1]!retdate(Z2,65,1)</f>
        <v>42095</v>
      </c>
      <c r="GZ2" s="7"/>
      <c r="HA2" s="8" t="str">
        <f>IF(BK2="DV","No",IF(AND(DR2="PLAN",GZ2="",OR(F2="DORNSF",F2="DOR",F2="RETRO_DOR",AND(F2="XRD",G2="R")),DI2&gt;=GY2),"No","Yes"))</f>
        <v>No</v>
      </c>
      <c r="HB2" s="277" t="str">
        <f>IF(HA2="No","null","0")</f>
        <v>null</v>
      </c>
      <c r="HC2" s="12" t="str">
        <f>IF(HA2="Yes",25,"null")</f>
        <v>null</v>
      </c>
      <c r="HD2" s="269" t="str">
        <f>IF(HA2="Yes",MAX(IF(DI2&gt;0,DI2,0),[1]!retdate(Z2,65,1)),"null")</f>
        <v>null</v>
      </c>
      <c r="HE2" s="269" t="str">
        <f>IF(HA2="Yes",DATE(2099,12,1),"null")</f>
        <v>null</v>
      </c>
      <c r="HF2" s="277" t="str">
        <f>IF(HD2="null","null",IF(BX2=HD2,0,ROUND([1]!LLF(DOPT,Z2,BX2,HD2),4)))</f>
        <v>null</v>
      </c>
      <c r="HG2" s="277" t="str">
        <f>IF(HF2="null","null",1-HF2)</f>
        <v>null</v>
      </c>
      <c r="HH2" s="11" t="str">
        <f>IF(AND(F2="DOR",GW2="No"),"null",IF(DI2&gt;=GQ2,"null",DI2))</f>
        <v>null</v>
      </c>
      <c r="HI2" s="12" t="str">
        <f>IF(DI2&gt;=GQ2,"null",FL2+IF(GW2="No",0,GV2))</f>
        <v>null</v>
      </c>
      <c r="HJ2" s="12" t="str">
        <f>IF(DI2&gt;=GQ2,"null",GH2+IF(GW2="No",0,GV2))</f>
        <v>null</v>
      </c>
      <c r="HK2" s="11" t="str">
        <f>IF(AND(F2="DOR",GW2="No"),"null",IF(DI2&gt;=GQ2,"null",DATE(YEAR(GQ2),MONTH(GQ2)-1,1)))</f>
        <v>null</v>
      </c>
      <c r="HL2" s="11" t="str">
        <f>IF(AND(F2="DOR",HA2="No"),"null",IF(DI2&gt;=BX2,"null",MAX(DI2,GQ2)))</f>
        <v>null</v>
      </c>
      <c r="HM2" s="12" t="str">
        <f>IF(HL2="null","null",FL2)</f>
        <v>null</v>
      </c>
      <c r="HN2" s="12" t="str">
        <f>IF(HL2="null","null",GH2)</f>
        <v>null</v>
      </c>
      <c r="HO2" s="11">
        <f>[1]!retdate(Z2,65,1)</f>
        <v>42095</v>
      </c>
      <c r="HP2" s="11" t="str">
        <f>IF(AND(F2="DOR",GW2="No"),"null",IF(DI2&gt;=HO2,"null",DATE(YEAR(HO2),MONTH(HO2)-1,1)))</f>
        <v>null</v>
      </c>
      <c r="HQ2" s="11">
        <f>MAX(DI2,HO2)</f>
        <v>42095</v>
      </c>
      <c r="HR2" s="12">
        <f ca="1">ROUND(FL2+IF(HC2="null",0,HC2),2)</f>
        <v>69.069999999999993</v>
      </c>
      <c r="HS2" s="12">
        <f ca="1">ROUND(GH2+IF(HC2="null",0,HC2),2)</f>
        <v>69.069999999999993</v>
      </c>
      <c r="HT2" s="12">
        <f>CU2+IF(HC2="null",0,ROUND(HC2*IF(HG2="null",1,HG2),2))</f>
        <v>79.900000000000006</v>
      </c>
      <c r="HU2" s="12" t="str">
        <f>IF(HJ2="null","null",MIN(FL2+IF(GV2="null",0,GV2),HT2))</f>
        <v>null</v>
      </c>
      <c r="HV2" s="273" t="str">
        <f>IF(HJ2="null","null",MIN(FL2+IF(GV2="null",0,GV2),HT2)-IF(GE2="null",0,GE2))</f>
        <v>null</v>
      </c>
      <c r="HW2" s="273" t="str">
        <f>IF(HN2="null","null",MIN(FL2,HT2))</f>
        <v>null</v>
      </c>
      <c r="HX2" s="273" t="str">
        <f>IF(HN2="null","null",MIN(FL2,HT2)-IF(GE2="null",0,GE2))</f>
        <v>null</v>
      </c>
      <c r="HY2" s="273">
        <f ca="1">HR2</f>
        <v>69.069999999999993</v>
      </c>
      <c r="HZ2" s="273">
        <f ca="1">HS2</f>
        <v>69.069999999999993</v>
      </c>
      <c r="IA2" s="273" t="str">
        <f>IF(GR2="No","null",ROUND(HV2-HN2,2))</f>
        <v>null</v>
      </c>
      <c r="IB2" s="273" t="str">
        <f>IF(GW2="No","null",ROUND(GV2-IA2,2))</f>
        <v>null</v>
      </c>
      <c r="IC2" s="273" t="str">
        <f>IF(GO2="null","null",IF(DI2&gt;=GQ2,"null",MAX(0,MIN(GO2,HT2-FL2-IF(GV2="null",0,GV2)))))</f>
        <v>null</v>
      </c>
      <c r="ID2" s="273" t="str">
        <f>IF(IC2="null","null",GO2-IC2)</f>
        <v>null</v>
      </c>
      <c r="IE2" s="273" t="str">
        <f>GO2</f>
        <v>null</v>
      </c>
      <c r="IF2" s="8" t="str">
        <f>IF(GW2="No","null",IF(IA2&lt;GV2,"Yes","No"))</f>
        <v>null</v>
      </c>
      <c r="IG2" s="273" t="str" cm="1">
        <f t="array" ref="IG2">IF(OR(S2="Y",F2="QPSA"),"null",IF(AND(HA2="Yes",EI2&gt;0),IF(OR(AND(F2="XRD",G2="V"),F2="RBD"),25,IF(OR(F2={"NRD","EURD","ERD","RETRO"}),IF(AND(AK2&gt;0,OR(AL2="",AL2&gt;AK2),AA2&gt;0),25,"null"),IF(F2="DORNSF","null",25))),"null"))</f>
        <v>null</v>
      </c>
      <c r="IH2" s="126" t="str">
        <f>IF(IG2="null","null",MAX(DI2,[1]!retdate(AC2,65,1)))</f>
        <v>null</v>
      </c>
      <c r="II2" s="126" t="str">
        <f>IF(IG2="null","null",DATE(2099,12,1))</f>
        <v>null</v>
      </c>
      <c r="IJ2" s="269" t="str">
        <f>II2</f>
        <v>null</v>
      </c>
      <c r="IK2" s="7">
        <f>[1]!ATT(Z2,DI2)</f>
        <v>63</v>
      </c>
      <c r="IL2" s="126">
        <f>IF(C2="2",AG2,DI2)</f>
        <v>33168</v>
      </c>
      <c r="IM2" s="67">
        <f>[1]!ATT(Z2,IL2)</f>
        <v>40</v>
      </c>
      <c r="IN2" s="67">
        <f>IF(C2="2",0,IF(YEAR(IL2)=2014,0,YEAR(IL2)-2014))</f>
        <v>0</v>
      </c>
      <c r="IO2" s="417">
        <f>IF(C2="2",0,VLOOKUP((MONTH(IL2)-1)*190,VS,2))</f>
        <v>0</v>
      </c>
      <c r="IP2" s="67">
        <f>IF(C2="2",0,IN2+IO2)</f>
        <v>0</v>
      </c>
      <c r="IQ2" s="67">
        <v>0</v>
      </c>
      <c r="IR2" s="417">
        <f>AN2+IP2</f>
        <v>19.5</v>
      </c>
      <c r="IS2" s="417">
        <f>IF(C2="2",0,IF(YEAR(IL2)=2014,0,YEAR(IL2)-2014))</f>
        <v>0</v>
      </c>
      <c r="IT2" s="417">
        <f>IF(C2="2",0,VLOOKUP((MONTH(IL2)-1)*190,CS,2))</f>
        <v>0</v>
      </c>
      <c r="IU2" s="67">
        <f>IF(C2="2",0,IS2+IT2)</f>
        <v>0</v>
      </c>
      <c r="IV2" s="417">
        <f>BJ2+IU2</f>
        <v>19.3</v>
      </c>
      <c r="IW2" s="417" t="str">
        <f>IF(AND(AH2&gt;=55,AN2&gt;=10),"Yes","No")</f>
        <v>No</v>
      </c>
      <c r="IX2" s="417" t="str">
        <f>IF(AND(IM2&gt;=65,IR2&gt;=5),"NR",IF(AND(IM2&gt;=55,IR2&gt;=10),"ER","DV"))</f>
        <v>DV</v>
      </c>
      <c r="IY2" s="67">
        <f>IF(AND(AD2&lt;=DATE(1989,4,10),IV2&gt;=30,IM2&gt;=55),58,IF(AND(AD2&lt;=DATE(1989,4,10),IV2&lt;30,IR2&gt;=10,IM2&gt;=55),62,IF(AND(AD2&gt;DATE(1989,4,10),IR2&gt;=10,IM2&gt;=62),62,65)))</f>
        <v>65</v>
      </c>
      <c r="IZ2" s="126">
        <f>IF(IY2="null","null",[1]!NRD(Z2,IY2))</f>
        <v>42095</v>
      </c>
      <c r="JA2" s="126" t="str">
        <f>IF(IY2&lt;&gt;BS2,"Yes","No")</f>
        <v>No</v>
      </c>
      <c r="JB2" s="417" t="str">
        <f>JA2</f>
        <v>No</v>
      </c>
      <c r="JC2" s="269" t="str">
        <f>IF(IY2=65,"erftable1","erftable2")</f>
        <v>erftable1</v>
      </c>
      <c r="JD2" s="67">
        <f>IF(DI2&lt;IZ2,[1]!COMPM(DI2,IZ2),0)</f>
        <v>15</v>
      </c>
      <c r="JE2" s="279">
        <f ca="1">VLOOKUP(JD2,INDIRECT(JC2),2,FALSE)</f>
        <v>0.91</v>
      </c>
      <c r="JF2" s="273">
        <f ca="1">ROUND(EW2*JE2*FF2,2)</f>
        <v>72.709999999999994</v>
      </c>
      <c r="JG2" s="273">
        <f ca="1">ROUND(JF2*FJ2,2)</f>
        <v>69.069999999999993</v>
      </c>
      <c r="JH2" s="273">
        <f ca="1">JF2-IF(GB2="null",0,GB2)</f>
        <v>72.709999999999994</v>
      </c>
      <c r="JI2" s="273">
        <f ca="1">JG2-IF(GE2="null",0,GE2)</f>
        <v>69.069999999999993</v>
      </c>
      <c r="JJ2" s="273" t="str">
        <f>IF(OR(CZ2={"null",0,""}),"null",IF(EI2&gt;0,ROUND(EI2*JG2,2),"null"))</f>
        <v>null</v>
      </c>
      <c r="JK2" s="273" t="str">
        <f>IF(EI2&gt;0,IF(OR(CZ2={"null","",0}),ROUND(JG2*EI2,2),MAX(0,ROUND(JJ2-GJ2,2))),"null")</f>
        <v>null</v>
      </c>
      <c r="JL2" s="520">
        <f>IF(EI2&gt;0,ROUND(JK2/JI2,4),EI2)</f>
        <v>0</v>
      </c>
      <c r="JM2" s="521">
        <f>IF(JL2=0,1,ROUND([1]!PBGCBFCF2("SLA",0,0,"JSP",JL2,0,DJ2,DK2),4))</f>
        <v>1</v>
      </c>
      <c r="JN2" s="249">
        <f>ROUND(GM2/JM2,4)</f>
        <v>1</v>
      </c>
      <c r="JO2" s="12">
        <f ca="1">ROUND(JN2*JI2,2)</f>
        <v>69.069999999999993</v>
      </c>
      <c r="JP2" s="273" t="str">
        <f>IF(EI2&gt;0,JH2,"null")</f>
        <v>null</v>
      </c>
      <c r="JQ2" s="273" t="str">
        <f>IF(EI2&gt;0,ROUND(ROUND(JP2-JI2,2)*JN2,2),"null")</f>
        <v>null</v>
      </c>
      <c r="JR2" s="126" t="str">
        <f>IF(AND(AD2&lt;=DATE(1989,4,10),IV2&gt;=30,AND(IM2&lt;62,IM2&gt;=55),DI2&lt;GQ2),"Yes","No")</f>
        <v>No</v>
      </c>
      <c r="JS2" s="126" t="str">
        <f>IF(JR2="No","null",DI2)</f>
        <v>null</v>
      </c>
      <c r="JT2" s="269" t="str">
        <f>IF(JR2="No","null",DATE(YEAR(GQ2),MONTH(GQ2)-1,1))</f>
        <v>null</v>
      </c>
      <c r="JU2" s="273" t="str">
        <f>IF(JR2="Yes",450,"null")</f>
        <v>null</v>
      </c>
      <c r="JV2" s="67" t="str">
        <f>IF(OR(IX2="LR",IX2="NR",IX2="ER"),"Yes","No")</f>
        <v>No</v>
      </c>
      <c r="JW2" s="67" t="str">
        <f>IF(JV2="No","null",25)</f>
        <v>null</v>
      </c>
      <c r="JX2" s="126" t="str">
        <f>IF(JV2="Yes",MAX(IF(DI2&gt;0,DI2,0),[1]!retdate(Z2,65,1)),"null")</f>
        <v>null</v>
      </c>
      <c r="JY2" s="126" t="str">
        <f>IF(JV2="No","null",DATE(2099,12,1))</f>
        <v>null</v>
      </c>
      <c r="JZ2" s="67" t="str">
        <f>IF(OR(S2="Y",JV2="No"),"null",IF(EI2&gt;0,JW2,"null"))</f>
        <v>null</v>
      </c>
      <c r="KA2" s="126" t="str">
        <f>IF(JZ2="null","null",MAX(DI2,[1]!retdate(AC2,65,1)))</f>
        <v>null</v>
      </c>
      <c r="KB2" s="126" t="str">
        <f>IF(KA2="null","null",DATE(2099,12,1))</f>
        <v>null</v>
      </c>
      <c r="KC2" s="67">
        <f>IF(AND(OR(F2={"XRD","QPSA"}),G2="V"),DF2,MAX(BM2,DJ2))</f>
        <v>64</v>
      </c>
      <c r="KD2" s="67">
        <f>IF(AND(OR(F2={"XRD","QPSA"}),G2="V"),DL2,MAX(BN2,DK2))</f>
        <v>60</v>
      </c>
      <c r="KE2" s="67">
        <f>ROUND([1]!NPVF2("MP",IF(EN2="JSP","JSC",EN2),"N",DOPT,U2,BM2,KC2,IF(KD2="null",0,KD2),GL2,EJ2,0,DOPT,DOPT,"P","","",T2),4)</f>
        <v>14.726800000000001</v>
      </c>
      <c r="KF2" s="67">
        <f>IF(AG2&lt;DATE(1989,4,10),"null",IF(OR(X2={"S","D","W"}),"null",ROUND(1-([1]!lx(IF(U2="M","2M13","2F13"),U2,KC2)/[1]!lx(IF(U2="M","2M13","2F13"),U2,BM2)),4)))</f>
        <v>0</v>
      </c>
      <c r="KG2" s="67">
        <f>IF(AG2&lt;DATE(1989,4,10),"null",IF(OR(X2={"S","D","W"}),"null",IF(EI2=0,0,ROUND([1]!NPVF2("MP","SLA","N",DOPT,IF(U2="M","F","M"),IF(BN2="null",0,BN2),IF(KD2="null",0,KD2),0,0,0,0,DOPT,DOPT,"N","","","0"),4))))</f>
        <v>0</v>
      </c>
      <c r="KH2" s="67">
        <f>IF(AG2&lt;DATE(1989,4,10),"null",IF(OR(X2={"S","D","W"}),"null",ROUND(KF2*KG2,4)))</f>
        <v>0</v>
      </c>
      <c r="KI2" s="67">
        <f>IF(AC2="NULL",0,ROUND([1]!QPSAPVF("MP","SLA",DOPT,T2,U2,IF(V2&gt;0,V2,IF(U2="M","F","M")),BM2,KC2,IF(BN2="NULL",0,BN2),IF(KD2="NULL",0,KD2),0,0),4))</f>
        <v>0</v>
      </c>
      <c r="KJ2" s="67" t="b">
        <f>KH2=KI2</f>
        <v>1</v>
      </c>
      <c r="KK2" s="6" t="str">
        <f>IF(EH2&lt;&gt;"0","null",ROUND([1]!NPVF2("MP","SLA","N",DOPT,U2,BM2,KC2,0,0,0,0,DOPT,DOPT,"P","","",T2),4))</f>
        <v>null</v>
      </c>
      <c r="KL2" s="6" t="str">
        <f>IF(EH2&lt;&gt;"0","null",ROUND([1]!NPVF2("MP","JSJ","N",DOPT,U2,BM2,KC2,IF(KD2="null",0,KD2),0,0,0,DOPT,DOPT,"P","","",T2),4))</f>
        <v>null</v>
      </c>
      <c r="KM2" s="6" t="str">
        <f>IF(EH2&lt;&gt;"0","null",ROUND(KK2-KL2,4))</f>
        <v>null</v>
      </c>
      <c r="KN2" s="6" t="str">
        <f>IF(EH2&lt;&gt;"0","null",IF(DI2&gt;=GQ2,"null",ROUND([1]!NPVF2("MP","SLA","N",DOPT,U2,BM2,KC2,0,0,0,KQ2,DOPT,DOPT,"P","","",T2),4)))</f>
        <v>null</v>
      </c>
      <c r="KO2" s="6" t="str">
        <f>IF(KN2="null","null",ROUND([1]!NPVF2("MP","JSJ","N",DOPT,U2,BM2,KC2,IF(KD2="null",0,KD2),0,0,KQ2,DOPT,DOPT,"P","","",T2),4))</f>
        <v>null</v>
      </c>
      <c r="KP2" s="6" t="str">
        <f>IF(KN2="null","null",ROUND(KN2-KO2,4))</f>
        <v>null</v>
      </c>
      <c r="KQ2" s="67">
        <f>IF(DI2&gt;GQ2,0,[1]!COMPM(DI2,GQ2))</f>
        <v>0</v>
      </c>
      <c r="KR2" s="67" t="str">
        <f>IF(JR2="No","null",ROUND([1]!NPVF2("MP","SLA","N",DOPT,U2,BM2,KC2,0,0,0,KQ2,DOPT,DOPT,"P","","",T2),4))</f>
        <v>null</v>
      </c>
      <c r="KS2" s="67" t="str">
        <f>IF(JV2="No","null",IF(DI2&gt;=JX2,0,[1]!COMPM(DI2,JX2)))</f>
        <v>null</v>
      </c>
      <c r="KT2" s="67" t="str">
        <f>IF(JV2="No","null",ROUND([1]!NPVF2("MP","SLA","N",DOPT,U2,BM2,KC2,0,0,0,0,DOPT,DOPT,"P","","","0"),4))</f>
        <v>null</v>
      </c>
      <c r="KU2" s="67" t="str">
        <f>IF(JV2="No","null",IF(KS2=0,0,ROUND([1]!NPVF2("MP","SLA","N",DOPT,U2,BM2,KC2,0,0,0,KS2,DOPT,DOPT,"P","","","0"),4)))</f>
        <v>null</v>
      </c>
      <c r="KV2" s="67" t="str">
        <f>IF(JV2="No","null",[1]!anb(Z2,JX2))</f>
        <v>null</v>
      </c>
      <c r="KW2" s="67" t="str">
        <f>IF(JV2="No","null",ROUND([1]!NPVF2("MP","SLA","N",DOPT,U2,BM2,MAX(BM2,KV2),0,0,0,0,DOPT,DOPT,"P","","","0"),4))</f>
        <v>null</v>
      </c>
      <c r="KX2" s="67" t="str">
        <f>IF(JV2="No","null",ROUND(KT2-KU2,4))</f>
        <v>null</v>
      </c>
      <c r="KY2" s="67" t="str">
        <f>IF(JV2="No","null",KW2)</f>
        <v>null</v>
      </c>
      <c r="KZ2" s="67" t="str">
        <f>IF(KX2&lt;&gt;"null",KX2-KY2,"null")</f>
        <v>null</v>
      </c>
      <c r="LA2" s="67" t="str">
        <f>IF(JZ2="null","null",IF(DI2&gt;=KA2,0,[1]!COMPM(DI2,KA2)))</f>
        <v>null</v>
      </c>
      <c r="LB2" s="279" t="str">
        <f>IF(JZ2="null","null",ROUND([1]!NPVF2("MP","SLA","N",DOPT,IF(V2&gt;0,V2,IF(U2="M","F","M")),BN2,KD2,0,0,0,0,DOPT,DOPT,"N","","",0),4))</f>
        <v>null</v>
      </c>
      <c r="LC2" s="279" t="str">
        <f>IF(JZ2="null","null",ROUND([1]!NPVF2("MP","JSJ","N",DOPT,IF(V2&gt;0,V2,IF(U2="M","F","M")),BN2,KD2,KC2,0,0,0,DOPT,DOPT,"N","","",0),4))</f>
        <v>null</v>
      </c>
      <c r="LD2" s="279" t="str">
        <f>IF(JZ2="null","null",IF(LA2=0,0,ROUND([1]!NPVF2("MP","SLA","N",DOPT,IF(V2&gt;0,V2,IF(U2="M","F","M")),BN2,KD2,0,0,0,LA2,DOPT,DOPT,"N","","",0),4)))</f>
        <v>null</v>
      </c>
      <c r="LE2" s="279" t="str">
        <f>IF(JZ2="null","null",IF(LA2=0,0,ROUND([1]!NPVF2("MP","JSJ","N",DOPT,IF(V2&gt;0,V2,IF(U2="M","F","M")),BN2,KD2,KC2,0,0,LA2,DOPT,DOPT,"N","","",0),4)))</f>
        <v>null</v>
      </c>
      <c r="LF2" s="279" t="str">
        <f>IF(LE2="null","null",ROUND(1-([1]!lx(DOPT,U2,KC2,"N",0)/[1]!lx(DOPT,U2,BM2,"N",0)),4))</f>
        <v>null</v>
      </c>
      <c r="LG2" s="1" t="str">
        <f>IF(OR(JV2="No",KA2="null"),"null",[1]!anb(AC2,KA2))</f>
        <v>null</v>
      </c>
      <c r="LH2" s="1" t="str">
        <f>IF(OR(JV2="No",KA2="null"),"null",[1]!anb(Z2,KA2))</f>
        <v>null</v>
      </c>
      <c r="LI2" s="279" t="str">
        <f>IF(JZ2="null","null",ROUND([1]!NPVF2("MP","SLA","N",DOPT,IF(V2&gt;0,V2,IF(U2="M","F","M")),BN2,MAX(BN2,LG2),0,0,0,0,DOPT,DOPT,"P","","",0),4))</f>
        <v>null</v>
      </c>
      <c r="LJ2" s="279" t="str">
        <f>IF(JZ2="null","null",ROUND([1]!NPVF2("MP","JSJ","N",DOPT,IF(V2&gt;0,V2,IF(U2="M","F","M")),BN2,MAX(BN2,LG2),MIN(120,MAX(BM2,LH2)),0,0,0,DOPT,DOPT,"B","","",0),4))</f>
        <v>null</v>
      </c>
      <c r="LK2" s="279" t="str">
        <f>IF(JZ2="null","null",ROUND(((LB2-LD2)-(LC2-LE2))*(1-LF2),4))</f>
        <v>null</v>
      </c>
      <c r="LL2" s="279" t="str">
        <f>IF(JZ2="null","null",ROUND(LI2-LJ2,4))</f>
        <v>null</v>
      </c>
      <c r="LM2" s="279" t="str">
        <f>IF(LK2&lt;&gt;"null",LK2-LL2,"null")</f>
        <v>null</v>
      </c>
      <c r="LN2" s="125">
        <f>LOADING</f>
        <v>8.0999999999999996E-3</v>
      </c>
      <c r="LO2" s="68" t="str">
        <f>IF(OR(GK2="null",KH2="null"),"null",ROUND(GK2*KH2*12,0))</f>
        <v>null</v>
      </c>
      <c r="LP2" s="568">
        <f ca="1">ROUND(GH2*KE2*12,0)+ROUND(IF(IA2="null",0,IA2*KR2*12),0)+ROUND((IF(HC2="null",0,HC2*KY2*12)),0)+ROUND((IF(OR(IG2="null",IG2=0),0,IG2*LL2*12)),0)+IF(GR2="No",IF(GO2="null",0,ROUND(GO2*KM2*12,0)),ROUND(IF(IC2="null",0,IC2*KP2*12),0)+ROUND(IF(IE2="null",0,IE2*(KM2-IF(KP2="null",0,KP2))*12),0))+IF(LO2="null",0,LO2)</f>
        <v>12206</v>
      </c>
      <c r="LQ2" s="68">
        <f ca="1">ROUND(LP2*(1+$LN2),0)</f>
        <v>12305</v>
      </c>
      <c r="LR2" s="568" t="str">
        <f>IF(IB2="null","null",ROUND(IB2*KR2*12,0)+IF(ID2="null",0,ROUND(ID2*KP2*12,0)))</f>
        <v>null</v>
      </c>
      <c r="LS2" s="68" t="str">
        <f>IF(LR2="null","null",ROUND(LR2*(1+$LN2),0))</f>
        <v>null</v>
      </c>
      <c r="LT2" s="68">
        <f ca="1">LP2+IF(LR2="null",0,LR2)</f>
        <v>12206</v>
      </c>
      <c r="LU2" s="68">
        <f ca="1">LQ2+IF(LS2="null",0,LS2)</f>
        <v>12305</v>
      </c>
      <c r="LV2" s="68" t="b">
        <f ca="1">JO2=GH2</f>
        <v>1</v>
      </c>
      <c r="LW2" s="68" t="b">
        <f>GV2=JU2</f>
        <v>1</v>
      </c>
      <c r="LX2" s="68" t="b">
        <f>JW2=HC2</f>
        <v>1</v>
      </c>
      <c r="LY2" s="68" t="b">
        <f>JZ2=IG2</f>
        <v>1</v>
      </c>
      <c r="LZ2" s="68" t="b">
        <f>JQ2=GO2</f>
        <v>1</v>
      </c>
      <c r="MA2" s="68" t="str">
        <f ca="1">IF(AND(LV2=TRUE,LW2=TRUE,LX2=TRUE,LY2=TRUE,LZ2=TRUE),"Yes","No")</f>
        <v>Yes</v>
      </c>
      <c r="MB2" s="68" t="str">
        <f>IF(OR(JK2="null",KH2="null"),"null",IF(GK2=JK2,LO2,ROUND(ROUND(JK2*JN2,2)*KH2*12,0)))</f>
        <v>null</v>
      </c>
      <c r="MC2" s="68">
        <f ca="1">IF(AND(JO2=GH2,GV2=JU2,JW2=HC2,JZ2=IG2,JQ2=GO2),LT2,ROUND(JO2*KE2*12,0)+ROUND(IF(C2="2",IF(IA2="null",0,ROUND(IA2*KR2*12,0)+ROUND(IB2*KR2*12,0)),IF(JU2="null",0,JU2*KR2*12)),0)+ROUND((IF(OR(KY2=0,KY2="null"),0,JW2*KY2*12)),0)+ROUND((IF(OR(JZ2="null",JZ2=0),0,JZ2*LL2*12)),0)+ROUND((IF(OR(KM2="null",KM2=0),0,JQ2*KM2*12)),0)+IF(MB2="null",0,MB2))</f>
        <v>12206</v>
      </c>
      <c r="MD2" s="68">
        <f ca="1">IF(C2="2",LU2,ROUND(MC2*(1+$LN2),0))</f>
        <v>12305</v>
      </c>
      <c r="ME2" s="68" t="b">
        <f ca="1">LU2=MD2</f>
        <v>1</v>
      </c>
      <c r="MF2" s="419">
        <f>GROWIN</f>
        <v>0.52115</v>
      </c>
      <c r="MG2" s="68" t="str">
        <f>IF(LO2="null","null",ROUND((MB2-LO2)*MF2,0))</f>
        <v>null</v>
      </c>
      <c r="MH2" s="68">
        <f ca="1">ROUND((MC2-(LP2+IF(LR2="null",0,LR2)))*MF2,0)</f>
        <v>0</v>
      </c>
      <c r="MI2" s="68">
        <f ca="1">ROUND(MH2*(1+LN2),0)</f>
        <v>0</v>
      </c>
      <c r="MJ2" s="68" t="str">
        <f>IF(AND(LO2="NULL",MG2="NULL"),"NULL",LO2+MG2)</f>
        <v>NULL</v>
      </c>
      <c r="MK2" s="68">
        <f ca="1">LT2+MH2</f>
        <v>12206</v>
      </c>
      <c r="ML2" s="68">
        <f ca="1">LU2+MI2</f>
        <v>12305</v>
      </c>
      <c r="MM2" s="12">
        <f ca="1">FL2</f>
        <v>69.069999999999993</v>
      </c>
      <c r="MN2" s="12">
        <f ca="1">GH2</f>
        <v>69.069999999999993</v>
      </c>
      <c r="MO2" s="12" t="str">
        <f>GK2</f>
        <v>null</v>
      </c>
      <c r="MP2" s="12" t="str">
        <f>GN2</f>
        <v>null</v>
      </c>
      <c r="MQ2" s="12" t="str">
        <f>IC2</f>
        <v>null</v>
      </c>
      <c r="MR2" s="12" t="str">
        <f>IE2</f>
        <v>null</v>
      </c>
      <c r="MS2" s="12" t="str">
        <f>GO2</f>
        <v>null</v>
      </c>
      <c r="MT2" s="12" t="str">
        <f>IA2</f>
        <v>null</v>
      </c>
      <c r="MU2" s="12" t="str">
        <f>HC2</f>
        <v>null</v>
      </c>
      <c r="MV2" s="12" t="str">
        <f>IG2</f>
        <v>null</v>
      </c>
      <c r="MW2" s="12">
        <f ca="1">MN2</f>
        <v>69.069999999999993</v>
      </c>
      <c r="MX2" s="271" t="str">
        <f>IF(OR(MO2="null",KH2="null"),"null",ROUND(MO2*KH2*12,0))</f>
        <v>null</v>
      </c>
      <c r="MY2" s="569">
        <f ca="1">ROUND(MW2*KE2*12,0)+ROUND(IF(MT2="null",0,MT2*KR2*12),0)+ROUND(IF(MU2="null",0,MU2*KY2*12),0)+ROUND(IF(MV2="null",0,MV2*LL2*12),0)+IF(GR2="No",IF(MS2="null",0,ROUND(MS2*KM2*12,0)),ROUND(IF(MQ2="null",0,MQ2*KP2*12),0)+ROUND(IF(MR2="null",0,MR2*(KM2-IF(KP2="null",0,KP2))*12),0))+IF(MX2="null",0,MX2)</f>
        <v>12206</v>
      </c>
      <c r="MZ2" s="21">
        <f ca="1">ROUND(MY2*LN2,0)</f>
        <v>99</v>
      </c>
      <c r="NA2" s="21">
        <f ca="1">ROUND(MY2+MZ2,0)</f>
        <v>12305</v>
      </c>
      <c r="NB2" s="6">
        <f>[1]!ATT(Z2,DOPT3)</f>
        <v>60</v>
      </c>
      <c r="NC2" s="6">
        <f>IF(OR(AF2&gt;=DATE(2012,1,1),AG2&lt;DATE(2011,1,1)),0,VLOOKUP((MONTH(MIN(AG2,DATE(2011,12,31)))-MONTH(MAX(AF2,DATE(2011,1,1)))+1)*190,VS,2))</f>
        <v>0</v>
      </c>
      <c r="ND2" s="6">
        <f>IF(OR(AF2&gt;=DATE(2013,1,1),AG2&lt;DATE(2012,1,1)),0,VLOOKUP((MONTH(MIN(AG2,DATE(2012,12,31)))-MONTH(MAX(AF2,DATE(2012,1,1)))+1)*190,VS,2))</f>
        <v>0</v>
      </c>
      <c r="NE2" s="6">
        <f>IF(OR(AF2&gt;=DATE(2014,1,1),AG2&lt;DATE(2013,1,1)),0,VLOOKUP((MONTH(MIN(AG2,DATE(2013,12,31)))-MONTH(MAX(AF2,DATE(2013,1,1)))+1)*190,VS,2))</f>
        <v>0</v>
      </c>
      <c r="NF2" s="6">
        <f>IF(AG2&lt;=DOPT3,AN2,AN2-IF(NC2="null",0,NC2)-IF(ND2="null",0,ND2)-IF(NE2="null",0,NE2))</f>
        <v>19.5</v>
      </c>
      <c r="NG2" s="6" t="str">
        <f>IF(AG2&lt;DOPT3,"DOTE","DOPT-3")</f>
        <v>DOTE</v>
      </c>
      <c r="NH2" s="6" t="str">
        <f>IF(AND(NB2&gt;=55,NF2&gt;=5),"Y","N")</f>
        <v>Y</v>
      </c>
      <c r="NI2" s="6" t="str">
        <f>IF(NH2="N","null",IF(AND(MIN(AH2,NB2)&gt;=65,NF2&gt;=5),"NR",IF(AND(MIN(AH2,NB2)&gt;=55,NF2&gt;=10),"ER","DV")))</f>
        <v>DV</v>
      </c>
      <c r="NJ2" s="248">
        <f>IF(NH2="N","null",AT2)</f>
        <v>19.3</v>
      </c>
      <c r="NK2" s="248">
        <f>IF(NH2="N","null",AY2)</f>
        <v>0</v>
      </c>
      <c r="NL2" s="248">
        <f>IF(NH2="N","null",NJ2+NK2)</f>
        <v>19.3</v>
      </c>
      <c r="NM2" s="11">
        <f>IF(NH2="N","null",[1]!NRD(DOPT3,0))</f>
        <v>40544</v>
      </c>
      <c r="NN2" s="6">
        <f>IF(NH2="N","null",IF(AND(AD2&lt;=DATE(1989,4,10),NL2&gt;=30,MIN(AH2,NB2)&gt;=55),58,IF(AND(AD2&lt;=DATE(1989,4,10),NF2&gt;=10,MIN(AH2,NB2)&gt;=55),62,IF(AND(AD2&gt;DATE(1989,4,10),NF2&gt;=10,MIN(AH2,NB2)&gt;=62),62,65))))</f>
        <v>65</v>
      </c>
      <c r="NO2" s="11">
        <f>IF(NH2="N","null",[1]!NRD(Z2,NN2))</f>
        <v>42095</v>
      </c>
      <c r="NP2" s="12">
        <f>IF(NH2="N","null",CU2)</f>
        <v>79.900000000000006</v>
      </c>
      <c r="NQ2" s="12">
        <f>IF(NH2="N","null",ROUND(NP2*IF(OR(EU2={"null",""}),1,EU2),2))</f>
        <v>79.900000000000006</v>
      </c>
      <c r="NR2" s="269" t="str">
        <f>IF(NH2="N","null",IF(NN2=65,"erftable1","erftable2"))</f>
        <v>erftable1</v>
      </c>
      <c r="NS2" s="6">
        <f>IF(NH2="N","null",IF(NM2&lt;NO2,[1]!COMPM(NM2,NO2),0))</f>
        <v>51</v>
      </c>
      <c r="NT2" s="277">
        <f ca="1">IF(NH2="N","null",VLOOKUP(NS2,INDIRECT(NR2),2,FALSE))</f>
        <v>0.69399999999999995</v>
      </c>
      <c r="NU2" s="6">
        <f>IF(NH2="N","null",IF(MIN([1]!NRD(AG2,0),[1]!NRD(DOPT3,0))&lt;BX2,0,[1]!COMPM(BX2,MIN([1]!NRD(DOPT3,0),[1]!NRD(AG2,0)))))</f>
        <v>0</v>
      </c>
      <c r="NV2" s="249">
        <f>IF(NH2="N","null",ROUND([1]!LRFAEQ(4.5%,"M",65,NU2,0,"AA06","AA06","MP","Y"),4))</f>
        <v>1</v>
      </c>
      <c r="NW2" s="6">
        <f>IF(NH2="N","null",IF(NM2&gt;BX2,[1]!COMPM(BX2,NM2),0))</f>
        <v>0</v>
      </c>
      <c r="NX2" s="249">
        <f>IF(NH2="N","null",ROUND([1]!LRFAEQ(4.5%,"M",65,NW2,0,"AA06","AA06","MP","Y"),4))</f>
        <v>1</v>
      </c>
      <c r="NY2" s="249">
        <f>IF(NH2="N","null",ROUND(NX2/NV2,4))</f>
        <v>1</v>
      </c>
      <c r="NZ2" s="6">
        <f ca="1">IF(NH2="N","null",ROUND(NQ2*NT2*NY2,2))</f>
        <v>55.45</v>
      </c>
      <c r="OA2" s="277">
        <f>IF(NH2="N","null",IF(EH2="2",1,IF(ABS(FI2)&lt;=5,0.95,IF(FI2&gt;0,MIN(1,0.95+0.005*(ABS(FI2)-5)),0.95-0.005*(ABS(FI2)-5)))))</f>
        <v>0.95</v>
      </c>
      <c r="OB2" s="6">
        <f ca="1">IF(NH2="N","null",ROUND(NZ2*OA2,2))</f>
        <v>52.68</v>
      </c>
      <c r="OC2" s="12">
        <f>CZ2</f>
        <v>0</v>
      </c>
      <c r="OD2" s="8" t="str">
        <f>IF(NH2="N","null",IF(OR(OC2="",OC2="null",OC2=0),"null",FV2))</f>
        <v>null</v>
      </c>
      <c r="OE2" s="276" t="str">
        <f>IF(OD2="null","null",IF([1]!NRD(DOPT3,0)&gt;$BX2,0,[1]!COMPM([1]!NRD(DOPT3,0),$BX2)))</f>
        <v>null</v>
      </c>
      <c r="OF2" s="277" t="str">
        <f>IF(OE2="null","null",VLOOKUP(OE2,erftable1,2))</f>
        <v>null</v>
      </c>
      <c r="OG2" s="277" t="str">
        <f>IF(OD2="null","null",ROUND([1]!LRFAEQ(0.04,"M",65,NW2,0,"AA06","AA06","MP","Y"),4))</f>
        <v>null</v>
      </c>
      <c r="OH2" s="273" t="str">
        <f>IF(OD2="null","null",ROUND(OD2*OF2*OG2,2))</f>
        <v>null</v>
      </c>
      <c r="OI2" s="273" t="str">
        <f>IF(OG2="null","null",ROUND(OH2*OA2,2))</f>
        <v>null</v>
      </c>
      <c r="OJ2" s="273" t="str">
        <f>IF(NH2="N","null",IF(EI2&gt;0,ROUND(MIN(GG2,MAX(0,NZ2-IF(OH2="null",0,OH2))),2),"null"))</f>
        <v>null</v>
      </c>
      <c r="OK2" s="273" t="str">
        <f>IF(NH2="N","null",IF(EI2&gt;0,ROUND(MAX(0,NZ2-IF(OH2="null",0,OH2)),2),"null"))</f>
        <v>null</v>
      </c>
      <c r="OL2" s="273">
        <f ca="1">IF(NH2="N","null",ROUND(MAX(0,OB2-IF(OI2="null",0,OI2)),2))</f>
        <v>52.68</v>
      </c>
      <c r="OM2" s="6" t="str">
        <f>IF(NH2="N","null",IF(AND(AD2&lt;=DATE(1989,4,10),NL2&gt;=30,MIN(AH2,NB2)&gt;=55,IF(OR(AND(F2="XRD",G2="R"),F2="DOR"),MAX(AI2,DI2),DI2)&lt;GQ2),"Yes","No"))</f>
        <v>No</v>
      </c>
      <c r="ON2" s="6" t="str">
        <f>IF(NH2="N","null",IF(NI2="DV","No",IF(AND(DR2="PLAN",GZ2="",OR(F2="DORNSF",F2="DOR",F2="RETRO_DOR",AND(F2="XRD",G2="R")),DI2&gt;=GY2),"No","Yes")))</f>
        <v>No</v>
      </c>
      <c r="OO2" s="12" t="str">
        <f ca="1">IF(NH2="N","null",IF(OL2&gt;GH2,"Yes","No"))</f>
        <v>No</v>
      </c>
      <c r="OP2" s="12" t="str">
        <f>GR2</f>
        <v>No</v>
      </c>
      <c r="OQ2" s="12" t="str">
        <f>OM2</f>
        <v>No</v>
      </c>
      <c r="OR2" s="12" t="b">
        <f>OP2=OQ2</f>
        <v>1</v>
      </c>
      <c r="OS2" s="12" t="str">
        <f>HA2</f>
        <v>No</v>
      </c>
      <c r="OT2" s="12" t="str">
        <f>ON2</f>
        <v>No</v>
      </c>
      <c r="OU2" s="12" t="b">
        <f>OS2=OT2</f>
        <v>1</v>
      </c>
      <c r="OV2" s="12" t="str">
        <f ca="1">IF(NH2="N","null",IF(AND(OL2&gt;GH2,GR2=OM2,HA2=ON2),"Yes","No"))</f>
        <v>No</v>
      </c>
      <c r="OW2" s="12" t="str">
        <f>IF(NH2="N","null",IF(EI2&gt;0,IF(OV2="Yes",GG2,OK2),"null"))</f>
        <v>null</v>
      </c>
      <c r="OX2" s="12">
        <f ca="1">IF(NH2="N","null",IF(OV2="Yes",GH2,OL2))</f>
        <v>52.68</v>
      </c>
      <c r="OY2" s="12" t="str">
        <f ca="1">IF(OB2="null","null",IF(EH2="2","null",IF(OR(CZ2={"",0,"null"}),"null",IF(OV2="Yes",GI2,ROUND(OB2*IF(AND(OR(F2={"DOR","RETRO_DOR"}),DS2="3"),DX2,EI2),2)))))</f>
        <v>null</v>
      </c>
      <c r="OZ2" s="12" t="str">
        <f ca="1">IF(OY2="null","null",IF(OV2="Yes",GJ2,ROUND(OI2*0.55,2)))</f>
        <v>null</v>
      </c>
      <c r="PA2" s="12" t="str">
        <f ca="1">IF(NH2="N","null",IF(OV2="Yes",GK2,IF(EI2&gt;0,IF(OR(CZ2={"null","",0}),ROUND(OX2*IF(AND(OR(F2={"DOR","RETRO_DOR"}),DS2="3"),DX2,EI2),2),ROUND(MAX(0,OY2-OZ2),2)),"null")))</f>
        <v>null</v>
      </c>
      <c r="PB2" s="98">
        <f>IF(NH2="N","null",IF(EI2=0,0,IF(AND(PA2=0,OX2=0),GL2,ROUND(PA2/OX2,4))))</f>
        <v>0</v>
      </c>
      <c r="PC2" s="6">
        <f>IF(PB2="null","null",IF(PB2=0,1,ROUND([1]!PBGCBFCF2("SLA",0,0,"JSP",PB2,0,DJ2,DK2),4)))</f>
        <v>1</v>
      </c>
      <c r="PD2" s="420">
        <f>IF(NH2="N","null",ROUND(GM2/PC2,4))</f>
        <v>1</v>
      </c>
      <c r="PE2" s="12">
        <f ca="1">IF(NH2="N","null",ROUND(PD2*OX2,2))</f>
        <v>52.68</v>
      </c>
      <c r="PF2" s="12" t="str">
        <f>IF(NH2="N","null",IF(EI2&gt;0,OW2-OX2,"null"))</f>
        <v>null</v>
      </c>
      <c r="PG2" s="12" t="str">
        <f>IF(PF2="null","null",ROUND(PF2*PD2,2))</f>
        <v>null</v>
      </c>
      <c r="PH2" s="12" t="str">
        <f ca="1">IF(PA2="null","null",ROUND(PA2*PD2,2))</f>
        <v>null</v>
      </c>
      <c r="PI2" s="13" t="str">
        <f>IF(OR(OM2={"null","No"}),"null",450)</f>
        <v>null</v>
      </c>
      <c r="PJ2" s="6" t="str">
        <f>IF(PI2="null","null",MAX(0,MIN(PI2,HT2-OB2)))</f>
        <v>null</v>
      </c>
      <c r="PK2" s="6" t="str">
        <f>IF(PI2="null","null",ROUND(PI2-PJ2,2))</f>
        <v>null</v>
      </c>
      <c r="PL2" s="250" t="str">
        <f>IF(OR(NH2="N",ON2="No"),"null",25)</f>
        <v>null</v>
      </c>
      <c r="PM2" s="250" t="str" cm="1">
        <f t="array" ref="PM2">IF(NH2="N","null",IF(F2="QPSA","null",IF(IG2="null","null",IF(AND(ON2="Yes",EI2&gt;0),IF(OR(AND(F2="XRD",G2="V"),F2="RBD"),25,IF(OR(F2={"NRD","EURD","ERD","RETRO"}),IF(AND(AK2&gt;0,OR(AL2="",AL2&gt;AK2),AA2&gt;0),25,"null"),IF(F2="DORNSF","null",25))),"null"))))</f>
        <v>null</v>
      </c>
      <c r="PN2" s="250" t="str">
        <f>IF(PG2="null","null",IF(DI2&gt;=GQ2,"null",MAX(0,MIN(PG2,HT2-OB2-IF(PI2="null",0,PI2)))))</f>
        <v>null</v>
      </c>
      <c r="PO2" s="250" t="str">
        <f>IF(PN2="null","null",PG2-PN2)</f>
        <v>null</v>
      </c>
      <c r="PP2" s="250" t="str">
        <f>PG2</f>
        <v>null</v>
      </c>
      <c r="PQ2" s="250" t="str">
        <f ca="1">IF(NH2="N","null",IF(PE2&gt;MW2,"Yes","No"))</f>
        <v>No</v>
      </c>
      <c r="PR2" s="271">
        <f ca="1">IF(NH2="N","null",IF(OR(KH2="null",PH2="null"),0,ROUND(PH2*KH2*12,0)))</f>
        <v>0</v>
      </c>
      <c r="PS2" s="570">
        <f ca="1">IF(NH2="N","null",ROUND(PE2*KE2*12,0)+IF(GR2="No",IF(PG2="null",0,ROUND(PG2*KM2*12,0)),ROUND(IF(PN2="null",0,PN2*KP2*12),0)+ROUND(IF(PP2="null",0,PP2*(KM2-IF(KP2="null",0,KP2))*12),0))+ROUND(IF(PJ2="null",0,PJ2*KR2*12),0)+ROUND(IF(PL2="null",0,PL2*KY2*12),0)+ROUND(IF(PM2="null",0,PM2*LL2*12),0)+IF(PR2="null",0,PR2))</f>
        <v>9310</v>
      </c>
      <c r="PT2" s="271">
        <f ca="1">IF(NH2="N","null",ROUND(PS2*LN2,0))</f>
        <v>75</v>
      </c>
      <c r="PU2" s="570" t="str">
        <f>IF(NH2="N","null",IF(AND(PK2="null",PO2="null"),"null",IF(PK2="null",0,ROUND(PK2*KR2*12,0))+IF(PO2="null",0,ROUND(PO2*KP2*12,0))))</f>
        <v>null</v>
      </c>
      <c r="PV2" s="271" t="str">
        <f>IF(NH2="N","null",IF(PU2="null","null",ROUND(PU2*LN2,0)))</f>
        <v>null</v>
      </c>
      <c r="PW2" s="271">
        <f ca="1">IF(NH2="N","null",ROUND(PS2+PT2+IF(PU2="null",0,PU2)+IF(PV2="null",0,PV2),0))</f>
        <v>9385</v>
      </c>
      <c r="PX2" s="271">
        <f ca="1">IF(NH2="N","null",ML2)</f>
        <v>12305</v>
      </c>
      <c r="PY2" s="271">
        <f ca="1">ROUND(MAX(0,NA2-IF(PS2="null",0,PS2+PT2)),0)</f>
        <v>2920</v>
      </c>
      <c r="PZ2" s="421">
        <f>IF(NH2="N","null",PC34044AR)</f>
        <v>1</v>
      </c>
      <c r="QA2" s="271">
        <f ca="1">IF(NH2="N","null",IF(PW2="null","null",ROUND(PW2*PZ2,0)))</f>
        <v>9385</v>
      </c>
      <c r="QB2" s="271">
        <f ca="1">IF(NH2="N","null",MIN(QA2,PS2+PT2))</f>
        <v>9385</v>
      </c>
      <c r="QC2" s="271">
        <f ca="1">IF(NH2="N","null",MAX(0,QA2-QB2))</f>
        <v>0</v>
      </c>
      <c r="QD2" s="271" t="str">
        <f ca="1">IF(NH2="N","Guaranteed Benefit",IF(NA2&gt;=(PS2+PT2),"Guaranteed Benefit","Asset Allocation"))</f>
        <v>Guaranteed Benefit</v>
      </c>
      <c r="QE2" s="421">
        <f ca="1">IF(NH2="N","null",IF(QB2=0,0,ROUND(QB2/(PS2+PT2),6)))</f>
        <v>1</v>
      </c>
      <c r="QF2" s="421">
        <f ca="1">IF(NH2="N","null",IF(QC2=0,0,ROUND(QC2/(PU2+PV2),6)))</f>
        <v>0</v>
      </c>
      <c r="QG2" s="12">
        <f ca="1">IF(QD2="Guaranteed Benefit",MN2,ROUND(PE2*QE2,2))</f>
        <v>69.069999999999993</v>
      </c>
      <c r="QH2" s="165">
        <f ca="1">IF(QD2="Guaranteed Benefit",MN2,ROUND(OX2*QE2,2))</f>
        <v>69.069999999999993</v>
      </c>
      <c r="QI2" s="165" t="str">
        <f ca="1">IF(QD2="Guaranteed Benefit",MS2,IF(PF2="null","null",ROUND(PF2*QE2,2)))</f>
        <v>null</v>
      </c>
      <c r="QJ2" s="165" t="str">
        <f ca="1">IF(QD2="Guaranteed Benefit",MQ2,IF(PN2="null","null",ROUND(PN2*QE2,2)))</f>
        <v>null</v>
      </c>
      <c r="QK2" s="165" t="str">
        <f ca="1">IF(QJ2="null","null",IF(PO2="null",0,ROUND(PO2*QF2,2)))</f>
        <v>null</v>
      </c>
      <c r="QL2" s="165" t="str">
        <f ca="1">IF(QD2="Guaranteed Benefit",MR2,IF(PP2="null","null",ROUND(PP2*QE2,2)))</f>
        <v>null</v>
      </c>
      <c r="QM2" s="165" t="str">
        <f ca="1">IF(QD2="Guaranteed Benefit",MT2,IF(PJ2="null","null",ROUND(PJ2*QE2,2)))</f>
        <v>null</v>
      </c>
      <c r="QN2" s="165" t="str">
        <f>IF(GV2="null","null",IF(PI2="null",0,ROUND(PK2*QF2,2)))</f>
        <v>null</v>
      </c>
      <c r="QO2" s="165" t="str">
        <f>MU2</f>
        <v>null</v>
      </c>
      <c r="QP2" s="165" t="str">
        <f>MV2</f>
        <v>null</v>
      </c>
      <c r="QQ2" s="166" t="str">
        <f>MX2</f>
        <v>null</v>
      </c>
      <c r="QR2" s="568">
        <f ca="1">ROUND(QG2*KE2*12,0)+IF(GR2="No",IF(QI2="null",0,ROUND(QI2*KM2*12,0)),ROUND(IF(QJ2="null",0,QJ2*KP2*12),0)+ROUND(IF(QL2="null",0,QL2*(KM2-IF(KP2="null",0,KP2))*12),0))+ROUND(IF(QM2="null",0,QM2*KR2*12),0)+ROUND(IF(QO2="null",0,QO2*KY2*12),0)+ROUND(IF(QP2="null",0,QP2*LL2*12),0)+IF(QQ2="null",0,QQ2)</f>
        <v>12206</v>
      </c>
      <c r="QS2" s="68">
        <f ca="1">ROUND(QR2*(1+LN2),0)</f>
        <v>12305</v>
      </c>
      <c r="QT2" s="568" t="str">
        <f ca="1">IF(AND(QN2="null",QK2="null"),"null",IF(QN2="null",0,ROUND(QN2*KR2*12,0))+IF(QK2="null",0,ROUND(QK2*KP2*12,0)))</f>
        <v>null</v>
      </c>
      <c r="QU2" s="68" t="str">
        <f ca="1">IF(QT2="null","null",ROUND(QT2*(1+LN2),0))</f>
        <v>null</v>
      </c>
      <c r="QV2" s="68">
        <f ca="1">ROUND(QR2+IF(QT2="null",0,QT2),0)</f>
        <v>12206</v>
      </c>
      <c r="QW2" s="68">
        <f ca="1">ROUND(QS2+IF(QU2="null",0,QU2),0)</f>
        <v>12305</v>
      </c>
      <c r="QX2" s="68">
        <f ca="1">IF(PT2="null","null",MAX(0,PS2+PT2-QS2))</f>
        <v>0</v>
      </c>
      <c r="QY2" s="68" t="str">
        <f>IF(PU2="null","null",ROUND(MAX(0,PU2+PV2-QU2-PY2),0))</f>
        <v>null</v>
      </c>
      <c r="QZ2" s="68">
        <f ca="1">IF(PW2="null","null",ROUND(MAX(0,PW2-QW2),0))</f>
        <v>0</v>
      </c>
      <c r="RA2" s="125">
        <f ca="1">IF(QZ2="null","null",PC34022CAR)</f>
        <v>0</v>
      </c>
      <c r="RB2" s="68">
        <f ca="1">IF(QZ2="null","null",ROUND(QZ2*RA2,0))</f>
        <v>0</v>
      </c>
      <c r="RC2" s="68">
        <f ca="1">IF(RB2="null","null",MIN(QX2,RB2))</f>
        <v>0</v>
      </c>
      <c r="RD2" s="68" t="str">
        <f>IF(QY2="null","null",ROUND(MAX(0,MIN(QY2,RB2-RC2)),0))</f>
        <v>null</v>
      </c>
      <c r="RE2" s="413">
        <f ca="1">IF(RC2="null","null",ROUND(RC2/LQ2,6))</f>
        <v>0</v>
      </c>
      <c r="RF2" s="413" t="str">
        <f>IF(OR(RD2="null",LS2="null"),"null",ROUND(RD2/LS2,6))</f>
        <v>null</v>
      </c>
      <c r="RG2" s="273">
        <f ca="1">MAX(0,GH2-QH2)</f>
        <v>0</v>
      </c>
      <c r="RH2" s="273" t="str">
        <f>IF(GO2="null","null",GO2-QI2)</f>
        <v>null</v>
      </c>
      <c r="RI2" s="273" t="str">
        <f>IF(IC2="null","null",MAX(0,IC2-QJ2))</f>
        <v>null</v>
      </c>
      <c r="RJ2" s="273" t="str">
        <f>IF(ID2="null","null",MAX(0,ID2-QK2))</f>
        <v>null</v>
      </c>
      <c r="RK2" s="273" t="str">
        <f>IF(IE2="null","null",MAX(0,IE2-QL2))</f>
        <v>null</v>
      </c>
      <c r="RL2" s="273" t="str">
        <f>IF(IA2="null","null",MAX(0,IA2-QM2))</f>
        <v>null</v>
      </c>
      <c r="RM2" s="273" t="str">
        <f>IF(OR(IB2="null",IA2="null"),"null",MAX(0,IB2-QN2))</f>
        <v>null</v>
      </c>
      <c r="RN2" s="273" t="str">
        <f>IF(HC2="null","null",MAX(0,HC2-QO2))</f>
        <v>null</v>
      </c>
      <c r="RO2" s="273" t="str">
        <f>IF(IG2="null","null",MAX(0,IG2-QP2))</f>
        <v>null</v>
      </c>
      <c r="RP2" s="568">
        <f ca="1">ROUND(RG2*KE2*12,0)+IF(GR2="No",IF(RH2="null",0,ROUND(RH2*KM2*12,0)),ROUND(IF(RI2="null",0,RI2*KP2*12),0)+ROUND(IF(RK2="null",0,RK2*(KM2-IF(KP2="null",0,KP2))*12),0))+ROUND(IF(RL2="null",0,RL2*KR2*12),0)+ROUND(IF(RN2="null",0,RN2*KY2*12),0)+ROUND(IF(RO2="null",0,RO2*LL2*12),0)</f>
        <v>0</v>
      </c>
      <c r="RQ2" s="68">
        <f ca="1">ROUND(RP2*(1+LN2),0)</f>
        <v>0</v>
      </c>
      <c r="RR2" s="568" t="str">
        <f>IF(AND(RJ2="null",RM2="null"),"null",IF(RM2="null",0,ROUND(RM2*KR2*12,0))+IF(RJ2="null",0,ROUND(RJ2*KP2*12,0)))</f>
        <v>null</v>
      </c>
      <c r="RS2" s="68" t="str">
        <f>IF(RR2="null","null",ROUND(RR2*(1+LN2),0))</f>
        <v>null</v>
      </c>
      <c r="RT2" s="68">
        <f ca="1">IF(RP2="null","null",RP2+IF(RR2="null",0,RR2))</f>
        <v>0</v>
      </c>
      <c r="RU2" s="68">
        <f ca="1">IF(RQ2="null","null",RQ2+IF(RS2="null",0,RS2))</f>
        <v>0</v>
      </c>
      <c r="RV2" s="68">
        <f ca="1">MAX(0,LT2-QV2)</f>
        <v>0</v>
      </c>
      <c r="RW2" s="68">
        <f ca="1">MAX(0,LU2-QW2)</f>
        <v>0</v>
      </c>
      <c r="RX2" s="413">
        <f>PC54044AR</f>
        <v>0</v>
      </c>
      <c r="RY2" s="522">
        <f>PC5AAR</f>
        <v>0.232181</v>
      </c>
      <c r="RZ2" s="523">
        <f ca="1">MH2</f>
        <v>0</v>
      </c>
      <c r="SA2" s="523">
        <f ca="1">MI2</f>
        <v>0</v>
      </c>
      <c r="SB2" s="523">
        <f ca="1">RV2+RZ2</f>
        <v>0</v>
      </c>
      <c r="SC2" s="523">
        <f ca="1">RW2+SA2</f>
        <v>0</v>
      </c>
      <c r="SD2" s="273">
        <f ca="1">IF(RE2="null",0,ROUND(PE2*RE2,2))</f>
        <v>0</v>
      </c>
      <c r="SE2" s="273" t="str">
        <f>IF(PF2="null","null",IF(RE2="null",0,ROUND(PF2*RE2,2)))</f>
        <v>null</v>
      </c>
      <c r="SF2" s="273" t="str">
        <f>IF(SE2="null","null",IF(DI2&gt;=GQ2,"null",0))</f>
        <v>null</v>
      </c>
      <c r="SG2" s="273" t="str">
        <f>IF(RJ2="null","null",ROUND(RJ2*$RY2,2))</f>
        <v>null</v>
      </c>
      <c r="SH2" s="273" t="str">
        <f>IF(RK2="null","null",ROUND(RK2*$RY2,2))</f>
        <v>null</v>
      </c>
      <c r="SI2" s="273" t="str">
        <f ca="1">IF(QM2="null","null",IF(PJ2="null",0,IF($RE2="null",0,ROUND(PJ2*$RE2,2))))</f>
        <v>null</v>
      </c>
      <c r="SJ2" s="273" t="str">
        <f ca="1">IF(QM2="null","null",IF(PK2="null",0,ROUND(PK2*$RF2,2))+IF(RM2="null",0,ROUND(RM2*$RY2,2)))</f>
        <v>null</v>
      </c>
      <c r="SK2" s="273" t="str">
        <f>IF(QO2="null","null",IF(RE2="null",0,ROUND(RE2*QO2,2)))</f>
        <v>null</v>
      </c>
      <c r="SL2" s="273" t="str">
        <f>IF(QP2="null","null",IF(RE2="null",0,ROUND(RE2*QP2,2)))</f>
        <v>null</v>
      </c>
      <c r="SM2" s="571">
        <f ca="1">ROUND(IF(SD2="null",0,SD2*KE2*12)+IF(OR(SJ2=0,SJ2="null"),0,SJ2*KR2*12)+IF(OR(SK2=0,SK2="null"),0,SK2*KY2*12),0)+IF(GR2="No",IF(SE2="null",0,ROUND(SE2*KM2*12,0)),ROUND(IF(SF2="null",0,SF2*KP2*12),0)+ROUND(IF(SH2="null",0,SH2*(KM2-IF(KP2="null",0,KP2))*12),0))+IF(SG2="null",0,ROUND(SG2*KP2*12,0))</f>
        <v>0</v>
      </c>
      <c r="SN2" s="166">
        <f ca="1">ROUND(SM2*(1+LOADING),0)</f>
        <v>0</v>
      </c>
      <c r="SO2" s="12">
        <f ca="1">IF(SD2="null",0,SD2)+QH2</f>
        <v>69.069999999999993</v>
      </c>
      <c r="SP2" s="12" t="str">
        <f ca="1">IF(QI2="null","null",QI2+IF(SE2="null",0,SE2))</f>
        <v>null</v>
      </c>
      <c r="SQ2" s="12" t="str">
        <f ca="1">IF(QJ2="null","null",QJ2+IF(SF2="null",0,SF2))</f>
        <v>null</v>
      </c>
      <c r="SR2" s="12" t="str">
        <f ca="1">IF(QK2="null","null",QK2+IF(SG2="null",0,SG2))</f>
        <v>null</v>
      </c>
      <c r="SS2" s="12" t="str">
        <f ca="1">IF(QL2="null","null",QL2+IF(SH2="null",0,SH2))</f>
        <v>null</v>
      </c>
      <c r="ST2" s="70" t="str">
        <f>IF(OR(EH2="0",AND(F2="DOR",DS2="3",EH2="9")),SO2+IF(SP2="null",0,SP2),"NULL")</f>
        <v>NULL</v>
      </c>
      <c r="SU2" s="12" t="str">
        <f ca="1">IF(QM2="null","null",QM2+IF(SI2="null",0,SI2))</f>
        <v>null</v>
      </c>
      <c r="SV2" s="12" t="str">
        <f>IF(QN2="null","null",QN2+IF(SJ2="null",0,SJ2))</f>
        <v>null</v>
      </c>
      <c r="SW2" s="12" t="str">
        <f>IF(SV2="null","null",ROUND(SU2+SV2,2))</f>
        <v>null</v>
      </c>
      <c r="SX2" s="12" t="str">
        <f>IF(QN2&lt;&gt;"null",ROUND(SO2+QN2,2),"null")</f>
        <v>null</v>
      </c>
      <c r="SY2" s="12" t="str">
        <f>IF(SV2&lt;&gt;"null",ROUND(SX2+SV2+SU2,2),"null")</f>
        <v>null</v>
      </c>
      <c r="SZ2" s="12" t="str">
        <f>QO2</f>
        <v>null</v>
      </c>
      <c r="TA2" s="12" t="str">
        <f>QP2</f>
        <v>null</v>
      </c>
      <c r="TB2" s="12" t="str">
        <f>GI2</f>
        <v>null</v>
      </c>
      <c r="TC2" s="12" t="str">
        <f>GJ2</f>
        <v>null</v>
      </c>
      <c r="TD2" s="12" t="str">
        <f>GK2</f>
        <v>null</v>
      </c>
      <c r="TE2" s="12">
        <f ca="1">ROUND(SO2*JL2,2)</f>
        <v>0</v>
      </c>
      <c r="TF2" s="12"/>
      <c r="TG2" s="21">
        <f ca="1">QV2+SM2</f>
        <v>12206</v>
      </c>
      <c r="TH2" s="21">
        <f ca="1">QW2+SN2</f>
        <v>12305</v>
      </c>
      <c r="TI2" s="11">
        <f>IF(OR(X2="S",X2="D",X2="W"),"null",IF(AA2&gt;0,AA2,Z2))</f>
        <v>18336</v>
      </c>
      <c r="TJ2" s="11">
        <f>IF(OR(TI2="null",EH2="2"),"null",IF(DAY(TI2)=1,DATE(YEAR(TI2)+65,MONTH(TI2)+1,1),[1]!NRD(TI2,65)))</f>
        <v>42095</v>
      </c>
      <c r="TK2" s="6">
        <f>IF(OR(TI2="null",TI2="",TI2&gt;DOPT),0,[1]!anb(TI2,DOPT))</f>
        <v>64</v>
      </c>
      <c r="TL2" s="6">
        <f>KC2</f>
        <v>64</v>
      </c>
      <c r="TM2" s="6">
        <f>IF(OR(TI2="null",TI2=""),0,IF(AA2&gt;0,KD2,KC2))</f>
        <v>64</v>
      </c>
      <c r="TN2" s="276">
        <f>FI2</f>
        <v>-4</v>
      </c>
      <c r="TO2" s="277">
        <f>IF(EH2="2",1,IF(ABS(TN2)&lt;=5,0.95,IF(TN2&gt;0,MIN(1,0.95+0.005*(ABS(TN2)-5)),0.95-0.005*(ABS(TN2)-5))))</f>
        <v>0.95</v>
      </c>
      <c r="TP2" s="277">
        <f>ROUND(TO2/FJ2,4)</f>
        <v>1</v>
      </c>
      <c r="TQ2" s="273">
        <f ca="1">ROUND(SO2*TP2,2)</f>
        <v>69.069999999999993</v>
      </c>
      <c r="TR2" s="273" t="str">
        <f ca="1">SP2</f>
        <v>null</v>
      </c>
      <c r="TS2" s="273" t="str">
        <f ca="1">SQ2</f>
        <v>null</v>
      </c>
      <c r="TT2" s="273" t="str">
        <f ca="1">SR2</f>
        <v>null</v>
      </c>
      <c r="TU2" s="273" t="str">
        <f ca="1">SS2</f>
        <v>null</v>
      </c>
      <c r="TV2" s="7">
        <f>[1]!ATT(Z2,DOPT)</f>
        <v>63</v>
      </c>
      <c r="TW2" s="279">
        <f>ROUND([1]!NPVF2("MP",IF(EN2="JSP","JSC",EN2),"O",DOPT,U2,BM2,TL2,IF(TM2="null",0,TM2),GL2,EJ2,0,DOPT,DOPT,"P","",""),4)</f>
        <v>13.549300000000001</v>
      </c>
      <c r="TX2" s="279" t="str">
        <f>IF(EH2&lt;&gt;"0","null",ROUND([1]!NPVF2("MP","SLA","O",DOPT,U2,BM2,TL2,0,0,0,0,DOPT,DOPT,"P","",""),4))</f>
        <v>null</v>
      </c>
      <c r="TY2" s="279" t="str">
        <f>IF(EH2&lt;&gt;"0","null",ROUND([1]!NPVF2("MP","JSJ","O",DOPT,U2,BM2,TL2,IF(TM2="null",0,TM2),0,0,0,DOPT,DOPT,"P","",""),4))</f>
        <v>null</v>
      </c>
      <c r="TZ2" s="279" t="e">
        <f>IF(OR(EH2="2",EH2="9"),"null",TX2-TY2)</f>
        <v>#VALUE!</v>
      </c>
      <c r="UA2" s="279" t="str">
        <f>IF(EH2&lt;&gt;"0","null",IF(DI2&gt;=GQ2,"null",ROUND([1]!NPVF2("MP","SLA","O",DOPT,U2,BM2,TL2,0,0,0,KQ2,DOPT,DOPT,"P","",""),4)))</f>
        <v>null</v>
      </c>
      <c r="UB2" s="279" t="str">
        <f>IF(UA2="null","null",ROUND([1]!NPVF2("MP","JSJ","O",DOPT,U2,BM2,TL2,IF(TM2="null",0,TM2),0,0,KQ2,DOPT,DOPT,"P","",""),4))</f>
        <v>null</v>
      </c>
      <c r="UC2" s="6" t="str">
        <f>IF(UA2="null","null",ROUND(UA2-UB2,4))</f>
        <v>null</v>
      </c>
      <c r="UD2" s="279" t="str">
        <f>IF(OR(KQ2="null",KQ2=0),"null",ROUND([1]!NPVF2("MP","SLA","O",DOPT,U2,BM2,TL2,0,0,0,KQ2,DOPT,DOPT,"P","",""),4))</f>
        <v>null</v>
      </c>
      <c r="UE2" s="7" t="str">
        <f>IF(HA2="No","null",ROUND([1]!NPVF2("MP","SLA","O",DOPT,U2,BM2,TL2,0,0,0,0,DOPT,DOPT,"P","",""),4))</f>
        <v>null</v>
      </c>
      <c r="UF2" s="7" t="str">
        <f>IF(HA2="No","null",IF(OR(KS2="null",KS2=0),"null",ROUND([1]!NPVF2("MP","SLA","O",DOPT,U2,BM2,TL2,0,0,0,KS2,DOPT,DOPT,"P","",""),4)))</f>
        <v>null</v>
      </c>
      <c r="UG2" s="7" t="str">
        <f>IF(HA2="No","null",ROUND([1]!NPVF2("MP","SLA","O",DOPT,U2,BM2,MAX(KV2,TL2),0,0,0,0,DOPT,DOPT,"P","",""),4))</f>
        <v>null</v>
      </c>
      <c r="UH2" s="7" t="str">
        <f>IF(HA2="No","null",UE2-IF(UF2="null",0,UF2))</f>
        <v>null</v>
      </c>
      <c r="UI2" s="67" t="str">
        <f>IF(HA2="No","null",UG2)</f>
        <v>null</v>
      </c>
      <c r="UJ2" s="67" t="str">
        <f>IF(HA2="No","null",UI2-UH2)</f>
        <v>null</v>
      </c>
      <c r="UK2" s="7" t="str">
        <f>IF(HA2="No","null",IF(EH2="2","null",IF(S2="Y","null",IF(DI2&gt;=TJ2,0,[1]!COMPM(DI2,TJ2)))))</f>
        <v>null</v>
      </c>
      <c r="UL2" s="7" t="str">
        <f>IF(OR(EH2="2",HA2="No"),"null",ROUND([1]!NPVF2("MP","SLA","O",DOPT,IF(V2&gt;0,V2,IF(U2="M","F","M")),TK2,TM2,0,0,0,0,DOPT,DOPT,"N","",""),4))</f>
        <v>null</v>
      </c>
      <c r="UM2" s="7" t="str">
        <f>IF(OR(EH2="2",HA2="No"),"null",ROUND([1]!NPVF2("MP","JSJ","O",DOPT,IF(V2&gt;0,V2,IF(U2="M","F","M")),TK2,TM2,TL2,0,0,0,DOPT,DOPT,"N","",""),4))</f>
        <v>null</v>
      </c>
      <c r="UN2" s="7" t="str">
        <f>IF(OR(EH2="2",HA2="No"),"null",IF(OR(UK2="null",UK2=0),0,ROUND([1]!NPVF2("MP","SLA","O",DOPT,IF(V2&gt;0,V2,IF(U2="M","F","M")),TK2,TM2,0,0,0,UK2,DOPT,DOPT,"N","",""),4)))</f>
        <v>null</v>
      </c>
      <c r="UO2" s="7" t="str">
        <f>IF(OR(EH2="2",HA2="No"),"null",IF(OR(UK2="null",UK2=0),0,ROUND([1]!NPVF2("MP","JSJ","O",DOPT,IF(V2&gt;0,V2,IF(U2="M","F","M")),TK2,TM2,TL2,0,0,UK2,DOPT,DOPT,"N","",""),4)))</f>
        <v>null</v>
      </c>
      <c r="UP2" s="7" t="str">
        <f>IF(UO2="null","null",ROUND(1-([1]!lx(IF(U2="M","UP84","UP84"),U2,DF2)/[1]!lx(IF(U2="M","UP84","UP84"),U2,BM2)),4))</f>
        <v>null</v>
      </c>
      <c r="UQ2" s="7" t="str">
        <f>IF(OR(EH2="2",HA2="No",TA2="null"),"null",ROUND([1]!NPVF2("MP","SLA","O",DOPT,IF(V2&gt;0,V2,IF(U2="M","F","M")),TK2,MAX(LG2,TM2),0,0,0,0,DOPT,DOPT,"P","",""),4))</f>
        <v>null</v>
      </c>
      <c r="UR2" s="7" t="str">
        <f>IF(OR(EH2="2",HA2="No",TA2="null"),"null",ROUND([1]!NPVF2("MP","JSJ","O",DOPT,IF(V2&gt;0,V2,IF(U2="M","F","M")),TK2,MAX(LG2,TM2),MIN(120,MAX(LH2,TL2)),0,0,0,DOPT,DOPT,"B","",""),4))</f>
        <v>null</v>
      </c>
      <c r="US2" s="7" t="str">
        <f>IF(OR(EH2="2",HA2="No"),"null",ROUND(((UL2-UN2)-(UM2-UO2))*(1-UP2),4))</f>
        <v>null</v>
      </c>
      <c r="UT2" s="67" t="str">
        <f>IF(OR(EH2="2",HA2="No",TA2="null"),"null",ROUND(UQ2-UR2,4))</f>
        <v>null</v>
      </c>
      <c r="UU2" s="67" t="str">
        <f>IF(OR(EH2="2",HA2="No"),"null",UT2-US2)</f>
        <v>null</v>
      </c>
      <c r="UV2" s="21">
        <f ca="1">ROUND(TQ2*TW2*12,0)+IF(GR2="No",IF(TR2="null",0,ROUND(TR2*TZ2*12,0)),ROUND(IF(TS2="null",0,TS2*KP2*12),0)+ROUND(IF(TU2="null",0,TU2*(TZ2-IF(UC2="null",0,UC2))*12),0))+IF(TT2="null",0,ROUND(TT2*UC2*12,0))+ROUND(IF(IA2="null",0,(SU2+SV2)*UD2*12),0)+ROUND(IF(SZ2="null",0,SZ2*UI2*12),0)+ROUND(IF(TA2="null",0,TA2*UT2*12),0)</f>
        <v>11230</v>
      </c>
      <c r="UW2" s="7" t="str">
        <f ca="1">IF(UV2&gt;5000,"N","Y")</f>
        <v>N</v>
      </c>
      <c r="UX2" s="69" t="str">
        <f>IF(DN2="Y",IF(OR(X2={"S","D","W"},E2="2"),"null",ROUND([1]!NPVF2("MP","SLA","O",DOPT,IF(U2="M","F","M"),IF(TI2&gt;DOPT,0,[1]!anb(TI2,DOPT)),IF(TI2&gt;DOPT,0,[1]!anb(TI2,DI2)),0,0,0,0,DOPT,DOPT,"P","",""),4)),"null")</f>
        <v>null</v>
      </c>
      <c r="UY2" s="68" t="str">
        <f>IF(UX2="null","null",IF(DN2="Y",ROUND(TD2*UX2*12,0),"null"))</f>
        <v>null</v>
      </c>
      <c r="UZ2" s="166">
        <f ca="1">ROUND(BM2*TG2,0)</f>
        <v>781184</v>
      </c>
      <c r="VA2" s="166">
        <f ca="1">ROUND(DF2*TG2,0)</f>
        <v>781184</v>
      </c>
      <c r="VB2" s="276" t="str">
        <f>IF(AND(F2="XRD",G2="V"),"N","Y")</f>
        <v>Y</v>
      </c>
      <c r="VC2" s="70">
        <f ca="1">IF(VB2="N","null",GG2)</f>
        <v>72.709999999999994</v>
      </c>
      <c r="VD2" s="70">
        <f ca="1">IF(VB2="N","null",[1]!PBGCOFA(DOPT,IF(DN2="Y",AA2,Z2),0,0,"N",DI2,"MP","SLA",0,0,0,IF(DN2="Y",TD2,VC2),0,0,"SLA",0,0,0,0,0,0,0,0,IF(DN2="Y",IF(IG2="null",0,MAX(DI2,IH2)),IF(HD2="null",0,MAX(DI2,HD2))),IF(HC2="null",0,HC2),0,0,1))</f>
        <v>72.709999999999994</v>
      </c>
      <c r="VE2" s="70">
        <f ca="1">IF(VB2="N","null",[1]!PBGCOFA(DOPT,IF(DN2="Y",AA2,Z2),0,0,"N",DI2,"MP","SLA",0,0,0,IF(DN2="Y",TD2,VC2),0,VD2,"5CC",0,0,0,0,0,0,0,0,IF(DN2="Y",IF(IG2="null",0,MAX(DI2,IH2)),IF(HD2="null",0,MAX(DI2,HD2))),IF(HC2="null",0,HC2),0,0,1))</f>
        <v>71.95</v>
      </c>
      <c r="VF2" s="70">
        <f ca="1">IF(VB2="N","null",[1]!PBGCOFA(DOPT,IF(DN2="Y",AA2,Z2),0,0,"N",DI2,"MP","SLA",0,0,0,IF(DN2="Y",TD2,VC2),0,VD2,"10CC",0,0,0,0,0,0,0,0,IF(DN2="Y",IF(IG2="null",0,MAX(DI2,IH2)),IF(HD2="null",0,MAX(DI2,HD2))),IF(HC2="null",0,HC2),0,0,1))</f>
        <v>69.78</v>
      </c>
      <c r="VG2" s="70">
        <f ca="1">IF(VB2="N","null",[1]!PBGCOFA(DOPT,IF(DN2="Y",AA2,Z2),0,0,"N",DI2,"MP","SLA",0,0,0,IF(DN2="Y",TD2,VC2),0,VD2,"15CC",0,0,0,0,0,0,0,0,IF(DN2="Y",IF(IG2="null",0,MAX(DI2,IH2)),IF(HD2="null",0,MAX(DI2,HD2))),IF(HC2="null",0,HC2),0,0,1))</f>
        <v>66.53</v>
      </c>
      <c r="VH2" s="70">
        <f ca="1">IF(OR(EH2="2",DN2="Y",AC2="null",VB2="N"),"null",GH2)</f>
        <v>69.069999999999993</v>
      </c>
      <c r="VI2" s="70">
        <f ca="1">IF(OR(EH2="2",DN2="Y",AC2="null",VB2="N"),"null",SO2)</f>
        <v>69.069999999999993</v>
      </c>
      <c r="VJ2" s="47" t="str">
        <f ca="1">IF(VH2="null","null",IF(OR(GR2="No",DI2&gt;=HK2,HK2="null"),"null",IF(HT2&lt;IF(IA2="null",0,IA2)+IF(GB2="null",0,GB2)+GG2,"Yes","No")))</f>
        <v>null</v>
      </c>
      <c r="VK2" s="70" t="str">
        <f ca="1">IF(VH2="null","null",IF(OR(GR2="No",DI2&gt;=HK2,HK2="null"),"null",IF(VJ2="No","null",ROUND(GG2-GH2,2))))</f>
        <v>null</v>
      </c>
      <c r="VL2" s="47" t="str">
        <f ca="1">IF(VH2="null","null",IF(OR(GR2="No",DI2&gt;=HK2,HK2="null"),"null",IF(VJ2="No","null",KQ2)))</f>
        <v>null</v>
      </c>
      <c r="VM2" s="147" t="str">
        <f ca="1">IF(VH2="null","null",IF(OR(GR2="No",DI2&gt;=HK2,HK2="null"),"null",IF(VJ2="No","null",[1]!NPVF2("MP","SLA","N",PBGCOptionalFormRate,"M",DJ2,DJ2,0,0,0,IF(VL2="null",0,VL2),MMORT,FMORT,"P","","")-[1]!NPVF2("MP","JSJ","N",PBGCOptionalFormRate,"M",DJ2,DJ2,IF(DK2="null",0,DK2),0,0,IF(VL2="null",0,VL2),MMORT,FMORT,"B","",""))))</f>
        <v>null</v>
      </c>
      <c r="VN2" s="70" t="str">
        <f ca="1">IF(VH2="null","null",IF(OR(GR2="No",DI2&gt;=HK2,HK2="null"),"null",IF(VJ2="No","null",VK2*VM2*12)))</f>
        <v>null</v>
      </c>
      <c r="VO2" s="70" t="str">
        <f ca="1">IF(VH2="null","null",IF(OR(GR2="No",DI2&gt;=HK2,HK2="null"),"null",IF(VJ2="No","null",ROUND(VN2/[1]!NPVF2("MP","JSC","N",PBGCOptionalFormRate,"M",DJ2,DJ2,IF(DK2="null",0,DK2),0.5,0,0,MMORT,FMORT,"P","","")/12,2))))</f>
        <v>null</v>
      </c>
      <c r="VP2" s="70" t="str">
        <f ca="1">IF(VH2="null","null",IF(OR(GR2="No",DI2&gt;=HK2,HK2="null"),"null",IF(VJ2="No","null",ROUND(VN2/[1]!NPVF2("MP","JSC","N",PBGCOptionalFormRate,"M",DJ2,DJ2,IF(DK2="null",0,DK2),0.75,0,0,MMORT,FMORT,"P","","")/12,2))))</f>
        <v>null</v>
      </c>
      <c r="VQ2" s="70" t="str">
        <f ca="1">IF(VH2="null","null",IF(OR(GR2="No",DI2&gt;=HK2,HK2="null"),"null",IF(VJ2="No","null",ROUND(VN2/[1]!NPVF2("MP","JSC","N",PBGCOptionalFormRate,"M",DJ2,DJ2,IF(DK2="null",0,DK2),1,0,0,MMORT,FMORT,"P","","")/12,2))))</f>
        <v>null</v>
      </c>
      <c r="VR2" s="70" t="str">
        <f ca="1">IF(VH2="null","null",IF(OR(GR2="No",DI2&gt;=HK2,HK2="null"),"null",IF(VJ2="No","null",ROUND(VN2/([1]!NPVF2("MP","JSC","N",PBGCOptionalFormRate,"M",DJ2,DJ2,IF(DK2="null",0,DK2),0.5,0,0,MMORT,FMORT,"P","","")-[1]!NPVF2("MP","SLA","N",PBGCOptionalFormRate,"M",DJ2,DJ2,0,0,0,0,MMORT,FMORT,"P","","")+[1]!NPVF2("MP","JSJ","N",PBGCOptionalFormRate,"M",DJ2,DJ2,IF(DK2="null",0,DK2),0,0,0,MMORT,FMORT,"B","",""))/12,2))))</f>
        <v>null</v>
      </c>
      <c r="VS2" s="70">
        <f ca="1">IF(VH2="null","null",[1]!PBGCOFA(DOPT,Z2,AC2,AC2,IF(S2="Y",S2,"N"),DI2,"MP","JSP",GL2,0,0,VH2,VC2,VD2,"JS50",0,0,0,0,0,0,0,0,IF(HD2="null",0,MAX(DI2,HD2)),IF(HC2="null",0,HC2),IF(OR(S2="Y",IH2="null"),0,MAX(DI2,IH2)),IF(OR(S2="Y",IH2="null"),0,IG2),1)-IF(VO2="null",0,VO2))</f>
        <v>62.91</v>
      </c>
      <c r="VT2" s="70">
        <f ca="1">IF(VH2="null","null",[1]!PBGCOFA(DOPT,Z2,AC2,AC2,IF(S2="Y",S2,"N"),DI2,"MP","JSP",GL2,0,0,VH2,VC2,VD2,"JS75",0,0,0,0,0,0,0,0,IF(HD2="null",0,MAX(DI2,HD2)),IF(HC2="null",0,HC2),IF(OR(S2="Y",IH2="null"),0,MAX(DI2,IH2)),IF(OR(S2="Y",IH2="null"),0,IG2),1)-IF(VP2="null",0,VP2))</f>
        <v>60.06</v>
      </c>
      <c r="VU2" s="70">
        <f ca="1">IF(VH2="null","null",[1]!PBGCOFA(DOPT,Z2,AC2,AC2,IF(S2="Y",S2,"N"),DI2,"MP","JSP",GL2,0,0,VH2,VC2,VD2,"JS100",0,0,0,0,0,0,0,0,IF(HD2="null",0,MAX(DI2,HD2)),IF(HC2="null",0,HC2),IF(OR(S2="Y",IH2="null"),0,MAX(DI2,IH2)),IF(OR(S2="Y",IH2="null"),0,IG2),1)-IF(VQ2="null",0,VQ2))</f>
        <v>57.46</v>
      </c>
      <c r="VV2" s="70">
        <f ca="1">IF(VH2="null","null",[1]!PBGCOFA(DOPT,Z2,AC2,AC2,IF(S2="Y",S2,"N"),DI2,"MP","JSP",GL2,0,0,VH2,VC2,VD2,"JSPOP",0,0,0,0,0,0,0,0,IF(HD2="null",0,MAX(DI2,HD2)),IF(HC2="null",0,HC2),IF(OR(S2="Y",IH2="null"),0,MAX(DI2,IH2)),IF(OR(S2="Y",IH2="null"),0,IG2),1)-IF(VR2="null",0,VR2))</f>
        <v>61.73</v>
      </c>
      <c r="VW2" s="70">
        <f ca="1">IF(OR(AND(F2="XRD",G2="V"),AND(F2="XRD",G2="R",CH2=""),AND(F2="XRD",G2="R",CH2&gt;0,DP2&gt;0,EI2=0)),"null",IF(DN2="Y",IF(EF2="5",IF(EG2=60,VE2,IF(EG2=120,VF2,VG2)),VD2),IF(DS2="0",VC2,IF(DS2="1",VI2,IF(DO2="2",VD2,IF(DO2="5",IF(DQ2=60,VE2,IF(DQ2=120,VF2,VG2)),IF(AND(DS2="3",VS2="null"),SO2,IF(DO2="0",VV2,IF(DP2=0.5,VS2,IF(DP2=0.75,VT2,VU2))))))))))</f>
        <v>57.46</v>
      </c>
      <c r="VX2" s="70" t="str">
        <f>"null"</f>
        <v>null</v>
      </c>
      <c r="VY2" s="399">
        <f ca="1">IF(VW2="null","null",IF(DN2="Y",VW2,ROUND(IF(DS2="0",VC2,IF(DS2="1",VI2,IF(DO2="2",VD2,IF(DO2="5",IF(DQ2=60,VE2,IF(DQ2=120,VF2,VG2)),IF(DO2="0",VV2,IF(DP2=0.5,VS2,IF(DP2=0.75,VT2,VU2)))))))*EI2,2)))</f>
        <v>0</v>
      </c>
      <c r="VZ2" s="70"/>
      <c r="WA2" s="70"/>
      <c r="WB2" s="70" t="str">
        <f>IF(AND(G2="R",VZ2="Y"),"null",IF(OR(AND(F2="XRD",G2="V"),AND(F2="XRD",G2="R",CH2=""),AND(F2="XRD",G2="R",CH2&gt;0,DP2&gt;0,EI2=0)),"null",IF(OR(F2="DOR",F2="XRD"),IF(DI2&gt;=GQ2,"null",ROUND(VW2+IF(SU2="null",0,SU2)+IF(SV2="null",0,SV2),2)),"null")))</f>
        <v>null</v>
      </c>
      <c r="WC2" s="70">
        <f ca="1">IF(AND(G2="R",VZ2="Y"),"null",IF(OR(AND(F2="XRD",G2="V"),AND(F2="XRD",G2="R",CH2=""),AND(F2="XRD",G2="R",CH2&gt;0,DP2&gt;0,EI2=0)),"null",IF(OR(F2="DOR",F2="XRD"),IF(DI2&gt;=GY2,"null",IF(WA2&gt;0,WA2,VW2)),"null")))</f>
        <v>57.46</v>
      </c>
      <c r="WD2" s="70">
        <f ca="1">IF(AND(G2="R",VZ2="Y"),"null",IF(OR(AND(F2="XRD",G2="V"),AND(F2="XRD",G2="R",CH2=""),AND(F2="XRD",G2="R",CH2&gt;0,DP2&gt;0,EI2=0)),"null",IF(OR(F2="DOR",F2="XRD"),IF(WA2&gt;0,WA2,VW2)+IF(DS2="3",0,IF(SZ2="null",0,SZ2)),"null")))</f>
        <v>57.46</v>
      </c>
      <c r="WE2" s="70" t="str">
        <f>IF(AND(G2="R",VZ2="Y"),"null",IF(OR(AND(F2="XRD",G2="V"),AND(F2="XRD",G2="R",CH2=""),AND(F2="XRD",G2="R",CH2&gt;0,DP2&gt;0,EI2=0)),"null",IF(CK2&gt;0,ST2,"null")))</f>
        <v>null</v>
      </c>
      <c r="WF2" s="12" t="str">
        <f>IF(AND(G2="R",VZ2="Y"),"null",IF(OR(AND(F2="XRD",G2="V"),AND(F2="XRD",G2="R",CH2=""),AND(F2="XRD",G2="R",CH2&gt;0,DP2&gt;0,EI2=0)),"null",IF(CH2&gt;0,CH2,"null")))</f>
        <v>null</v>
      </c>
      <c r="WG2" s="12" t="str">
        <f>IF(AND(G2="R",VZ2="Y"),"null",IF(OR(AND(F2="XRD",G2="V"),AND(F2="XRD",G2="R",CH2=""),AND(F2="XRD",G2="R",CH2&gt;0,DP2&gt;0,EI2=0)),"null",IF(CH2&gt;0,CH2+IF(WH2="Pre-62",GP2,0)+IF(WH2="Post-65",GZ2,0),"null")))</f>
        <v>null</v>
      </c>
      <c r="WH2" s="12" t="str">
        <f ca="1">IF(AND(G2="R",VZ2="Y"),"null",IF(WB2="null",IF(WC2="null",IF(WE2="null","Post-65","Pop-Up"),"Level"),"Pre-62"))</f>
        <v>Level</v>
      </c>
      <c r="WI2" s="6">
        <f>IF(AND(G2="R",VZ2="Y"),"null",[1]!ATT(Z2,CN2))</f>
        <v>70</v>
      </c>
      <c r="WJ2" s="12">
        <f ca="1">IF(AND(G2="R",VZ2="Y"),"null",IF(OR(AND(F2="XRD",G2="V"),AND(F2="XRD",G2="R",CH2=""),AND(F2="XRD",G2="R",CH2&gt;0,DP2&gt;0,EI2=0)),"null",IF(WH2="Pop-Up",WE2,IF(WH2="Post-65",WD2,IF(WH2="Pre-62",WB2,WC2)))))</f>
        <v>57.46</v>
      </c>
      <c r="WK2" s="12" t="str">
        <f>IF(AND(G2="R",VZ2="Y"),"null",IF(OR(AND(F2="XRD",G2="V"),AND(F2="XRD",G2="R",CH2=""),AND(F2="XRD",G2="R",CH2&gt;0,DP2&gt;0,EI2=0)),"null",IF(CH2&gt;0,ROUND(WJ2-WG2,2),"null")))</f>
        <v>null</v>
      </c>
      <c r="WL2" s="98" t="str">
        <f>IF(AND(G2="R",VZ2="Y"),"null",IF(OR(AND(F2="XRD",G2="V"),AND(F2="XRD",G2="R",CH2=""),AND(F2="XRD",G2="R",CH2&gt;0,DP2&gt;0,EI2=0)),"null",IF(CH2&gt;0,ROUND(ABS((WJ2-WG2)/MIN(WJ2,WG2)),4),"null")))</f>
        <v>null</v>
      </c>
      <c r="WM2" s="12" t="str">
        <f>IF(AND(G2="R",VZ2="Y"),"null",IF(OR(AND(F2="XRD",G2="V"),AND(F2="XRD",G2="R",CH2=""),AND(F2="XRD",G2="R",CH2&gt;0,DP2&gt;0,EI2=0)),"null",IF(CH2&gt;0,IF(EI2="PLAN",IF(ABS(WK2)&lt;MAX(5,0.05*MIN(WF2,VW2)),"Y","N"),IF(OR(WK2&gt;0,WK2&lt;-1),"N","Y")),"null")))</f>
        <v>null</v>
      </c>
      <c r="WN2" s="12" t="str">
        <f>IF(AND(G2="R",VZ2="Y"),"null",IF(OR(AND(F2="XRD",G2="V"),AND(F2="XRD",G2="R",CH2=""),AND(F2="XRD",G2="R",CH2&gt;0,DP2&gt;0,EI2=0)),"null",IF(CH2&gt;0,IF(WK2=0,"M",IF(WM2="Y","N",IF(WJ2&gt;WG2,"I","D"))),"null")))</f>
        <v>null</v>
      </c>
      <c r="WO2" s="12" t="str">
        <f>IF(AND(G2="R",VZ2="Y"),"null",IF(OR(AND(F2="XRD",G2="V"),AND(F2="XRD",G2="R",CH2=""),AND(F2="XRD",G2="R",CH2&gt;0,DP2&gt;0,EI2=0)),"null",IF(CH2="","null",IF(WA2&gt;0,WA2,IF(DS2&lt;&gt;"3",IF(WM2="Y",CH2,SO2+IF(WH2="Pop-Up",SP2,0)),IF(WM2="Y",CH2,VW2))))))</f>
        <v>null</v>
      </c>
      <c r="WP2" s="12" t="str">
        <f>IF(AND(G2="R",VZ2="Y"),"null",IF(OR(AND(F2="XRD",G2="V"),AND(F2="XRD",G2="R",CH2=""),AND(F2="XRD",G2="R",CH2&gt;0,DP2&gt;0,EI2=0)),"null",WO2))</f>
        <v>null</v>
      </c>
      <c r="WQ2" s="12" t="e">
        <f>WP2-WO2</f>
        <v>#VALUE!</v>
      </c>
      <c r="WR2" s="12" t="e">
        <f>IF(OR(DO2="2",DO2="5"),"null",IF(DN2="Y",WP2,ROUND(WO2*DP2,2)))</f>
        <v>#VALUE!</v>
      </c>
      <c r="WS2" s="12"/>
      <c r="WT2" s="12" t="str">
        <f>IF(AK2="","Participant",IF(AL2&lt;&gt;"","Estate","Beneficiary"))</f>
        <v>Participant</v>
      </c>
      <c r="WU2" s="12" t="str">
        <f>IF(WT2&lt;&gt;"Estate","null",IF(DO2="2","Participant",IF(AL2&lt;AK2,"Participant","Beneficiary")))</f>
        <v>null</v>
      </c>
      <c r="WV2" s="12" t="str">
        <f ca="1">IF(TODAY()&gt;=GY2,"Post-65",IF(TODAY()&gt;=GQ2,"62to65","Pre-62"))</f>
        <v>Post-65</v>
      </c>
      <c r="WW2" s="6" t="str">
        <f>IF(WF2&lt;&gt;"null",WF2+IF(WV2="Post-65",IF(GZ2&gt;0,GZ2,0),0),"null")</f>
        <v>null</v>
      </c>
      <c r="WX2" s="12" t="str">
        <f ca="1">IF(WO2&lt;&gt;"null",WO2+IF(HC2="null",0,IF(DS2="3",0,IF(TODAY()&gt;=HD2,HC2,0)))+IF(QM2="null",0,IF(TODAY()&gt;=GQ2,0,SW2)),"null")</f>
        <v>null</v>
      </c>
      <c r="WY2" s="12" t="str">
        <f>IF(WO2&lt;&gt;"null",WO2+IF(AND(WH2="Pre-62",WI2&gt;=65,DS2&lt;&gt;"3",HA2="Yes"),HC2,0)+IF(AND(GU2&gt;CN2,SW2&lt;&gt;"null"),SW2,0),"null")</f>
        <v>null</v>
      </c>
      <c r="WZ2" s="12" t="b">
        <f ca="1">WY2=WX2</f>
        <v>1</v>
      </c>
      <c r="XA2" s="12" t="str">
        <f ca="1">IF(WW2=WX2,"M",IF(WW2&gt;WX2,"D","I"))</f>
        <v>M</v>
      </c>
      <c r="XB2" s="12" t="str">
        <f>IF(WN2="null","null",IF(AND(WN2=XA2,WN2="I"),IF(WT2="Estate",IF(VG2="Beneficiary","The beneficiary's","The participant's"),"Your current")&amp;" monthly benefit of "&amp;DOLLAR(WW2,2)&amp;" will increase to "&amp;DOLLAR(WX2,2)&amp;IF(BZ2="1",".",IF(WT2="Estate",". The net difference is payable to the estate. See the Benefit Calculation section for further details.",". See the Benefit Calculation section for further details.")),IF(WN2="N",IF(WT2="Estate",IF(WU2="Beneficiary","The beneficiary's","The participant's"),"Your current")&amp;" monthly benefit of "&amp;DOLLAR(WW2,2)&amp;" will not change. Although the amount of the PBGC monthly benefit shown above is slightly "&amp;IF(WK2&lt;0,"less","more")&amp;" than the amount you are currently receiving, we will not change the amount of your current monthly benefit.",IF(WN2="D",IF(WT2="Estate",IF(WU2="Beneficiary","The beneficiary's","The participant's"),"Your current")&amp;" monthly benefit of "&amp;DOLLAR(WW2,2)&amp;" will decrease to "&amp;DOLLAR(WX2,2),IF(WN2="M",IF(WT2="Estate",IF(WU2="Beneficiary","The beneficiary's","The participant's"),"Your current")&amp;" monthly benefit of "&amp;DOLLAR(WW2,2)&amp;" will not change.",IF(WT2="Estate",IF(WU2="Beneficiary","The beneficiary's","The participant's"),"Your current")&amp;" monthly benefit of "&amp;DOLLAR(WW2,2)&amp;" will decrease to "&amp;DOLLAR(WX2,2))))))</f>
        <v>null</v>
      </c>
      <c r="XC2" s="12"/>
      <c r="XD2" s="12" t="str">
        <f>IF(CH2="","null",IF(OR(AND(XA2="D",WN2="I"),WN2="D"),XB2&amp;" "&amp;XC2&amp;IF(BZ2=1,""," See the Benefit Calculation section for further details."),XB2))</f>
        <v>null</v>
      </c>
      <c r="XE2" s="12"/>
      <c r="XF2" s="70" t="str">
        <f t="shared" ref="XF2:XK2" si="0">"N"</f>
        <v>N</v>
      </c>
      <c r="XG2" s="70" t="str">
        <f t="shared" si="0"/>
        <v>N</v>
      </c>
      <c r="XH2" s="70" t="str">
        <f t="shared" si="0"/>
        <v>N</v>
      </c>
      <c r="XI2" s="70" t="str">
        <f>IF(AND(AD2&lt;=DATE(1989,4,10),BJ2&gt;=30,AND(AH2&lt;62,AH2&gt;=55),GQ2&gt;DOPT2),"Y","N")</f>
        <v>N</v>
      </c>
      <c r="XJ2" s="70" t="str">
        <f t="shared" si="0"/>
        <v>N</v>
      </c>
      <c r="XK2" s="70" t="str">
        <f t="shared" si="0"/>
        <v>N</v>
      </c>
      <c r="XL2" s="70" t="s">
        <v>265</v>
      </c>
      <c r="XM2" s="70" t="s">
        <v>265</v>
      </c>
      <c r="XN2" s="120">
        <f>DF2</f>
        <v>64</v>
      </c>
      <c r="XO2" s="120">
        <f>999</f>
        <v>999</v>
      </c>
      <c r="XP2" s="120"/>
      <c r="XQ2" s="8" t="str">
        <f>IF(OR(XP2="Y",AND(WM2="Y",DR2="PLAN")),"N","Y")</f>
        <v>Y</v>
      </c>
      <c r="XR2" s="8" t="str">
        <f>IF(CH2&gt;0,IF(XP2="Y","Y","N"),"Y")</f>
        <v>Y</v>
      </c>
      <c r="XS2" s="6" t="str">
        <f>IF(AND(XR2="N",XQ2="N"),"null",IF(AND(AK2&gt;0,N2=""),"Not Entitled","Entitled"))</f>
        <v>Entitled</v>
      </c>
      <c r="XT2" s="6" t="str">
        <f>IF(AK2&lt;&gt;"",IF(AND(O2="",R2=""),IF(XW2="ARD","Participant","Estate"),"Beneficiary"),"Participant")</f>
        <v>Participant</v>
      </c>
      <c r="XU2" s="6" t="str">
        <f>IF(XT2&lt;&gt;"Estate","null",IF(DO2="2","Participant",IF(AL2&lt;AK2,"Participant","Beneficiary")))</f>
        <v>null</v>
      </c>
      <c r="XV2" s="6" t="str">
        <f>IF(OR(CD2&lt;=CN2,CD2&lt;=DI2),"Yes","No")</f>
        <v>No</v>
      </c>
      <c r="XW2" s="6" t="str">
        <f>IF(AND(XV2="Yes",OR(DI2&gt;=CD2,CF2="")),"ARD",IF(CF2&gt;0,"ARD",IF(CO2&lt;&gt;BX2,"EBSD","")&amp;IF(AND(CP2&lt;&gt;CO2,BQ2&lt;&gt;BU2,HG2&gt;0),IF(BU2=65,"","EURD"),"")&amp;IF(CO2&lt;=BX2,"NRD","")))&amp;IF(AND(BV2&lt;=CN2,BZ2=1),"RRD","")</f>
        <v>EBSD</v>
      </c>
      <c r="XX2" t="str">
        <f>IF(XS2="Not Entitled","null",IF(G2&lt;&gt;"R","null",IF(AND(CF2=CD2,CH2=""),"Required Beginning Date (RBD):",IF(AND(BZ2=1,CF2&gt;0),"Benefit Commencement Date (BCD):",IF(AK2="","Actual Retirement Date (ARD):",IF(O2="","Actual Retirement Date (ARD):","Benefit Starting Date (BSD):"))))))</f>
        <v>null</v>
      </c>
      <c r="XY2" s="6" t="str">
        <f>IF(AND(XR2="N",XQ2="N"),"null",IF(ISNUMBER(SEARCH("BSD",XX2,1)),"BSD",IF(ISNUMBER(SEARCH("RBD",XX2,1)),"RBD",IF(AND(BY2&lt;&gt;"null",BY2&gt;0),"ARD Payable on and after "&amp;TEXT(BY2,"MM/DD/YYYY"),"ARD"))))</f>
        <v>ARD</v>
      </c>
      <c r="XZ2" s="6" t="str">
        <f>IF(AND(XR2="N",XQ2="N"),"null",IF(MIN(AG2,AI2)=BX2,IF(DN2="Y","BSD","ARD"),IF(IF(CW2&lt;&gt;"null",CW2,CF2)=BX2,IF(DN2="Y","BSD","ARD"),IF(AND(IF(CW2&lt;&gt;"null",CW2,CF2)&gt;=BT2,IF(CW2&lt;&gt;"null",CW2,CF2)&lt;BX2),IF(DN2="Y","BSD","ARD"),IF(MIN(AG2,AI2)&gt;BX2,"DOTE","NRD")))))</f>
        <v>NRD</v>
      </c>
      <c r="YA2" s="6" t="str">
        <f>IF(XS2="Not Entitled","null","Normal Retirement Date"&amp;IF(DG2="Y"," (NRD)",IF(DI2=BX2,"",IF(AND(DI2&gt;=BT2,DI2&lt;BX2,GE2="null"),""," (NRD)")))&amp;":")</f>
        <v>Normal Retirement Date (NRD):</v>
      </c>
      <c r="YB2" s="6" t="str">
        <f>IF(AND(XR2="N",XQ2="N"),"null",IF(AND(CF2=CC2,CH2="",CF2&lt;&gt;""),"RBD",IF(CF2&gt;0,IF(AK2&gt;0,IF(CH2&gt;0,IF(CF2=CG2,"BSD","ARD"),"BSD"),"ARD"),"")))</f>
        <v/>
      </c>
      <c r="YC2" s="6" t="str">
        <f ca="1">IF(EU2="null","",IF(AND(EU2&lt;&gt;"",EU2&lt;1),"PRSA",""))&amp;IF(EZ2="null","",IF(EZ2&lt;1,"ERF",""))&amp;IF(FF2="null","",IF(FF2&gt;1,"LRF",""))&amp;IF(FJ2="null","",IF(OR(FJ2&lt;1,FJ2&gt;1,DN2="Y",AND(EI2&lt;&gt;"null",EI2&gt;0)),"BFCF",""))</f>
        <v>ERFBFCF</v>
      </c>
      <c r="YD2" s="6" t="str">
        <f ca="1">IF(AND(XR2="N",XQ2="N"),"null",IF(GE2&lt;&gt;"null","after Barnes Offset",IF(ISNUMBER(SEARCH("BFCF",YC2,1)),"after BFCF",IF(ISNUMBER(SEARCH("ERF",YC2,1)),"after ERF",IF(ISNUMBER(SEARCH("LRF",YC2,1)),"after LRF",IF(ISNUMBER(SEARCH("PRSA",YC2,1)),"after PRSA","after AMB"))))))</f>
        <v>after BFCF</v>
      </c>
      <c r="YE2" s="6" t="str">
        <f>YB2</f>
        <v/>
      </c>
      <c r="YF2" s="6" t="str">
        <f>IF(CZ2&gt;0,IF(FU2="null","",IF(FU2&lt;1,"PRSA",""))&amp;IF(FY2="null","",IF(FY2&lt;1,"ERF",""))&amp;IF(GA2="null","",IF(GA2&gt;1,"LRF",""))&amp;IF(FJ2="null","",IF(AND(FN2="Y",OR(FJ2&lt;1,FJ2&gt;1,DN2="Y",AND(EI2&lt;&gt;"null",EI2&gt;0))),"BFCF","")),"")</f>
        <v/>
      </c>
      <c r="YG2" s="6" t="str">
        <f>IF(DG2="Y","WRD","")&amp;IF(IA2="null","","ANL")</f>
        <v/>
      </c>
      <c r="YH2" s="6" t="str">
        <f>IF(OR(AND(CF2="",AI2="",C2="3",BX2&gt;CN2),AND(C2="3",CF2&gt;0,OR(AI2="",CF2&lt;MAX(AG2,AI2)),CF2&lt;BX2)),"WRD","")&amp;IF(IA2="null","","ANL")</f>
        <v/>
      </c>
      <c r="YI2" s="6" t="b">
        <f>YH2=YG2</f>
        <v>1</v>
      </c>
      <c r="YJ2" s="6" t="str">
        <f ca="1">IF(OR(QN2="null",QN2=0),"","4044")&amp;IF(OR(SJ2="null",SJ2=0),"","4022c")</f>
        <v/>
      </c>
      <c r="YK2" s="6" t="str">
        <f>IF(G2="V",IF(OR(AND(AK2&lt;&gt;"",OR(AA2&lt;&gt;"",AB2&lt;&gt;"")),OR(DO2="0",DO2="9")),"Yes","No"),IF(OR(EH2="0",EH2="9"),"Yes","No"))</f>
        <v>No</v>
      </c>
      <c r="YL2" s="6" t="str">
        <f>IF(AND(XR2="N",XQ2="N"),"null","Vesteds")</f>
        <v>Vesteds</v>
      </c>
      <c r="YM2" s="11" t="str">
        <f>IF(AK2&gt;0,AK2,"null")</f>
        <v>null</v>
      </c>
      <c r="YN2" s="11" t="str">
        <f>IF(AL2&gt;0,AL2,"null")</f>
        <v>null</v>
      </c>
      <c r="YO2" t="str">
        <f>IF(HA2="No","null",IF(AND(CF2&gt;0,CH2&gt;0),IF(OR(DS2="0",DS2="1"),"MS2",IF(YM2&lt;&gt;"null","MS4","MS3")),IF(CF2&gt;0,IF(AK2&gt;0,"MS10","MS9"),"MS1")))</f>
        <v>null</v>
      </c>
      <c r="YP2" s="92">
        <f>BX2</f>
        <v>42095</v>
      </c>
      <c r="YQ2" s="92" t="str">
        <f>IF(CF2&gt;0,CF2,"null")</f>
        <v>null</v>
      </c>
      <c r="YR2" s="92">
        <f ca="1">TODAY()</f>
        <v>46219</v>
      </c>
      <c r="YS2" s="92" t="str">
        <f>IF(HA2="No","null",MAX(YP2,YQ2))</f>
        <v>null</v>
      </c>
      <c r="YT2" s="11" t="str">
        <f>IF(OR(DO2="9",DO2="2",DO2="5"),"null",KA2)</f>
        <v>null</v>
      </c>
    </row>
    <row r="3" spans="1:670" s="13" customFormat="1" x14ac:dyDescent="0.2">
      <c r="A3" s="6"/>
      <c r="B3" s="3"/>
      <c r="C3" s="3"/>
      <c r="D3" s="3"/>
      <c r="E3" s="3"/>
      <c r="F3" s="3"/>
      <c r="G3"/>
      <c r="H3"/>
      <c r="I3" s="3"/>
      <c r="J3" s="3"/>
      <c r="K3" s="3"/>
      <c r="L3" s="3"/>
      <c r="M3"/>
      <c r="N3"/>
      <c r="O3"/>
      <c r="P3"/>
      <c r="Q3"/>
      <c r="R3"/>
      <c r="S3"/>
      <c r="T3"/>
      <c r="U3" s="3"/>
      <c r="V3"/>
      <c r="W3"/>
      <c r="X3" s="89"/>
      <c r="Y3" s="90"/>
      <c r="Z3" s="92"/>
      <c r="AA3" s="92"/>
      <c r="AB3" s="92"/>
      <c r="AC3" s="269"/>
      <c r="AD3" s="92"/>
      <c r="AE3" s="92"/>
      <c r="AF3" s="92"/>
      <c r="AG3" s="92"/>
      <c r="AH3" s="270"/>
      <c r="AI3" s="92"/>
      <c r="AJ3" s="269"/>
      <c r="AK3" s="92"/>
      <c r="AL3" s="92"/>
      <c r="AM3" s="92"/>
      <c r="AN3" s="91"/>
      <c r="AO3" s="91"/>
      <c r="AP3" s="91"/>
      <c r="AQ3" s="91"/>
      <c r="AR3"/>
      <c r="AS3" s="323"/>
      <c r="AT3" s="91"/>
      <c r="AU3" s="91"/>
      <c r="AV3" s="91"/>
      <c r="AW3" s="91"/>
      <c r="AX3" s="91"/>
      <c r="AY3" s="91"/>
      <c r="AZ3" s="91"/>
      <c r="BA3" s="91"/>
      <c r="BB3" s="91"/>
      <c r="BC3" s="91"/>
      <c r="BD3" s="91"/>
      <c r="BE3" s="91"/>
      <c r="BF3" s="91"/>
      <c r="BG3" s="91"/>
      <c r="BH3" s="91"/>
      <c r="BI3" s="91"/>
      <c r="BJ3" s="91"/>
      <c r="BK3" s="91"/>
      <c r="BL3" s="270"/>
      <c r="BM3" s="7"/>
      <c r="BN3" s="7"/>
      <c r="BO3" s="270"/>
      <c r="BP3" s="272"/>
      <c r="BQ3" s="270"/>
      <c r="BR3" s="272"/>
      <c r="BS3" s="270"/>
      <c r="BT3" s="272"/>
      <c r="BU3" s="270"/>
      <c r="BV3" s="272"/>
      <c r="BW3" s="7"/>
      <c r="BX3" s="269"/>
      <c r="BY3" s="269"/>
      <c r="BZ3" s="274"/>
      <c r="CA3" s="269"/>
      <c r="CB3" s="269"/>
      <c r="CC3" s="272"/>
      <c r="CD3" s="272"/>
      <c r="CE3" s="272"/>
      <c r="CF3" s="272"/>
      <c r="CG3" s="272"/>
      <c r="CH3" s="272"/>
      <c r="CI3" s="70"/>
      <c r="CJ3" s="70"/>
      <c r="CK3" s="70"/>
      <c r="CL3" s="70"/>
      <c r="CM3" s="70"/>
      <c r="CN3" s="272"/>
      <c r="CO3" s="269"/>
      <c r="CP3" s="11"/>
      <c r="CQ3"/>
      <c r="CR3"/>
      <c r="CS3"/>
      <c r="CT3"/>
      <c r="CU3" s="273"/>
      <c r="CV3" s="12"/>
      <c r="CW3" s="11"/>
      <c r="CX3" s="273"/>
      <c r="CY3" s="273"/>
      <c r="CZ3" s="273"/>
      <c r="DA3" s="6"/>
      <c r="DB3" s="330"/>
      <c r="DC3" s="165"/>
      <c r="DD3" s="165"/>
      <c r="DE3" s="269"/>
      <c r="DF3" s="7"/>
      <c r="DG3" s="7"/>
      <c r="DH3" s="7"/>
      <c r="DI3" s="268"/>
      <c r="DJ3" s="7"/>
      <c r="DK3" s="274"/>
      <c r="DL3" s="7"/>
      <c r="DM3" s="7"/>
      <c r="DN3" s="21"/>
      <c r="DO3" s="7"/>
      <c r="DP3" s="7"/>
      <c r="DQ3" s="7"/>
      <c r="DR3" s="272"/>
      <c r="DS3" s="7"/>
      <c r="DT3" s="8"/>
      <c r="DU3" s="275"/>
      <c r="DV3" s="276"/>
      <c r="DW3" s="8"/>
      <c r="DX3" s="275"/>
      <c r="DY3" s="276"/>
      <c r="DZ3" s="8"/>
      <c r="EA3" s="7"/>
      <c r="EB3" s="7"/>
      <c r="EC3" s="8"/>
      <c r="ED3" s="275"/>
      <c r="EE3" s="276"/>
      <c r="EF3" s="7"/>
      <c r="EG3" s="7"/>
      <c r="EH3" s="7"/>
      <c r="EI3" s="275"/>
      <c r="EJ3" s="7"/>
      <c r="EK3" s="7"/>
      <c r="EL3" s="7"/>
      <c r="EM3" s="7"/>
      <c r="EN3" s="7"/>
      <c r="EO3" s="7"/>
      <c r="EP3" s="7"/>
      <c r="EQ3" s="269"/>
      <c r="ER3" s="269"/>
      <c r="ES3" s="7"/>
      <c r="ET3" s="7"/>
      <c r="EU3" s="7"/>
      <c r="EV3" s="7"/>
      <c r="EW3" s="8"/>
      <c r="EX3" s="269"/>
      <c r="EY3" s="7"/>
      <c r="EZ3" s="277"/>
      <c r="FA3" s="277"/>
      <c r="FB3" s="276"/>
      <c r="FC3" s="277"/>
      <c r="FD3" s="7"/>
      <c r="FE3" s="277"/>
      <c r="FF3" s="278"/>
      <c r="FG3" s="12"/>
      <c r="FH3" s="12"/>
      <c r="FI3" s="274"/>
      <c r="FJ3" s="277"/>
      <c r="FK3" s="277"/>
      <c r="FL3" s="273"/>
      <c r="FM3" s="273"/>
      <c r="FN3" s="273"/>
      <c r="FO3" s="273"/>
      <c r="FP3" s="269"/>
      <c r="FQ3" s="269"/>
      <c r="FR3" s="268"/>
      <c r="FS3" s="274"/>
      <c r="FT3" s="274"/>
      <c r="FU3" s="283"/>
      <c r="FV3" s="273"/>
      <c r="FW3" s="273"/>
      <c r="FX3" s="276"/>
      <c r="FY3" s="277"/>
      <c r="FZ3" s="277"/>
      <c r="GA3" s="277"/>
      <c r="GB3" s="273"/>
      <c r="GC3" s="273"/>
      <c r="GD3" s="273"/>
      <c r="GE3" s="273"/>
      <c r="GF3" s="273"/>
      <c r="GG3" s="273"/>
      <c r="GH3" s="12"/>
      <c r="GI3" s="273"/>
      <c r="GJ3" s="273"/>
      <c r="GK3" s="273"/>
      <c r="GL3" s="520"/>
      <c r="GM3" s="6"/>
      <c r="GN3" s="8"/>
      <c r="GO3" s="8"/>
      <c r="GP3" s="8"/>
      <c r="GQ3" s="269"/>
      <c r="GR3" s="8"/>
      <c r="GS3" s="8"/>
      <c r="GT3" s="269"/>
      <c r="GU3" s="269"/>
      <c r="GV3" s="273"/>
      <c r="GW3" s="269"/>
      <c r="GX3" s="7"/>
      <c r="GY3" s="269"/>
      <c r="GZ3" s="7"/>
      <c r="HA3" s="8"/>
      <c r="HB3" s="277"/>
      <c r="HC3" s="12"/>
      <c r="HD3" s="269"/>
      <c r="HE3" s="269"/>
      <c r="HF3" s="277"/>
      <c r="HG3" s="277"/>
      <c r="HH3" s="11"/>
      <c r="HI3" s="12"/>
      <c r="HJ3" s="12"/>
      <c r="HK3" s="11"/>
      <c r="HL3" s="11"/>
      <c r="HM3" s="12"/>
      <c r="HN3" s="12"/>
      <c r="HO3" s="11"/>
      <c r="HP3" s="11"/>
      <c r="HQ3" s="11"/>
      <c r="HR3" s="12"/>
      <c r="HS3" s="12"/>
      <c r="HT3" s="12"/>
      <c r="HU3" s="12"/>
      <c r="HV3" s="273"/>
      <c r="HW3" s="273"/>
      <c r="HX3" s="273"/>
      <c r="HY3" s="273"/>
      <c r="HZ3" s="273"/>
      <c r="IA3" s="273"/>
      <c r="IB3" s="273"/>
      <c r="IC3" s="273"/>
      <c r="ID3" s="273"/>
      <c r="IE3" s="273"/>
      <c r="IF3" s="8"/>
      <c r="IG3" s="273"/>
      <c r="IH3" s="126"/>
      <c r="II3" s="126"/>
      <c r="IJ3" s="269"/>
      <c r="IK3" s="126"/>
      <c r="IL3" s="126"/>
      <c r="IM3" s="67"/>
      <c r="IN3" s="67"/>
      <c r="IO3" s="417"/>
      <c r="IP3" s="67"/>
      <c r="IQ3" s="67"/>
      <c r="IR3" s="417"/>
      <c r="IS3" s="273"/>
      <c r="IT3" s="273"/>
      <c r="IU3" s="273"/>
      <c r="IV3" s="273"/>
      <c r="IW3" s="417"/>
      <c r="IX3" s="417"/>
      <c r="IY3" s="67"/>
      <c r="IZ3" s="126"/>
      <c r="JA3" s="126"/>
      <c r="JB3" s="417"/>
      <c r="JC3" s="269"/>
      <c r="JD3" s="67"/>
      <c r="JE3" s="279"/>
      <c r="JF3" s="273"/>
      <c r="JG3" s="273"/>
      <c r="JH3" s="273"/>
      <c r="JI3" s="273"/>
      <c r="JJ3" s="273"/>
      <c r="JK3" s="273"/>
      <c r="JL3" s="520"/>
      <c r="JM3" s="521"/>
      <c r="JN3" s="249"/>
      <c r="JO3" s="12"/>
      <c r="JP3" s="273"/>
      <c r="JQ3" s="273"/>
      <c r="JR3" s="126"/>
      <c r="JS3" s="126"/>
      <c r="JT3" s="269"/>
      <c r="JU3" s="273"/>
      <c r="JV3" s="67"/>
      <c r="JW3" s="67"/>
      <c r="JX3" s="126"/>
      <c r="JY3" s="126"/>
      <c r="JZ3" s="67"/>
      <c r="KA3" s="126"/>
      <c r="KB3" s="67"/>
      <c r="KC3" s="67"/>
      <c r="KD3" s="67"/>
      <c r="KE3" s="67"/>
      <c r="KF3" s="67"/>
      <c r="KG3" s="67"/>
      <c r="KH3" s="67"/>
      <c r="KI3" s="67"/>
      <c r="KJ3" s="67"/>
      <c r="KK3" s="6"/>
      <c r="KL3" s="6"/>
      <c r="KM3" s="6"/>
      <c r="KN3" s="6"/>
      <c r="KO3" s="6"/>
      <c r="KP3" s="6"/>
      <c r="KQ3" s="67"/>
      <c r="KR3" s="67"/>
      <c r="KS3" s="67"/>
      <c r="KT3" s="67"/>
      <c r="KU3" s="67"/>
      <c r="KV3" s="67"/>
      <c r="KW3" s="67"/>
      <c r="KX3" s="67"/>
      <c r="KY3" s="67"/>
      <c r="KZ3" s="67"/>
      <c r="LA3" s="67"/>
      <c r="LB3" s="67"/>
      <c r="LC3" s="67"/>
      <c r="LD3" s="67"/>
      <c r="LE3" s="67"/>
      <c r="LF3" s="67"/>
      <c r="LG3" s="67"/>
      <c r="LH3" s="67"/>
      <c r="LI3" s="67"/>
      <c r="LJ3" s="67"/>
      <c r="LK3" s="67"/>
      <c r="LL3" s="67"/>
      <c r="LM3" s="67"/>
      <c r="LN3" s="125"/>
      <c r="LO3" s="68"/>
      <c r="LP3" s="68"/>
      <c r="LQ3" s="68"/>
      <c r="LR3" s="68"/>
      <c r="LS3" s="68"/>
      <c r="LT3" s="68"/>
      <c r="LU3" s="68"/>
      <c r="LV3" s="68"/>
      <c r="LW3" s="68"/>
      <c r="LX3" s="68"/>
      <c r="LY3" s="68"/>
      <c r="LZ3" s="68"/>
      <c r="MA3" s="68"/>
      <c r="MB3" s="68"/>
      <c r="MC3" s="68"/>
      <c r="MD3" s="68"/>
      <c r="ME3" s="68"/>
      <c r="MF3" s="419"/>
      <c r="MG3" s="68"/>
      <c r="MH3" s="68"/>
      <c r="MI3" s="68"/>
      <c r="MJ3" s="68"/>
      <c r="MK3" s="68"/>
      <c r="ML3" s="68"/>
      <c r="MM3" s="6"/>
      <c r="MN3" s="12"/>
      <c r="MO3" s="12"/>
      <c r="MP3" s="12"/>
      <c r="MQ3" s="12"/>
      <c r="MR3" s="12"/>
      <c r="MS3" s="12"/>
      <c r="MT3" s="12"/>
      <c r="MU3" s="12"/>
      <c r="MV3" s="12"/>
      <c r="MW3" s="12"/>
      <c r="MX3" s="271"/>
      <c r="MY3" s="21"/>
      <c r="MZ3" s="21"/>
      <c r="NA3" s="21"/>
      <c r="NB3" s="6"/>
      <c r="NC3" s="6"/>
      <c r="ND3" s="6"/>
      <c r="NE3" s="6"/>
      <c r="NF3" s="6"/>
      <c r="NG3" s="6"/>
      <c r="NH3" s="6"/>
      <c r="NI3" s="6"/>
      <c r="NJ3" s="248"/>
      <c r="NK3" s="248"/>
      <c r="NL3" s="248"/>
      <c r="NM3" s="11"/>
      <c r="NN3" s="6"/>
      <c r="NO3" s="11"/>
      <c r="NP3" s="12"/>
      <c r="NQ3" s="12"/>
      <c r="NR3" s="269"/>
      <c r="NS3" s="6"/>
      <c r="NT3" s="277"/>
      <c r="NU3" s="6"/>
      <c r="NV3" s="249"/>
      <c r="NW3" s="6"/>
      <c r="NX3" s="249"/>
      <c r="NY3" s="249"/>
      <c r="NZ3" s="6"/>
      <c r="OA3" s="277"/>
      <c r="OB3" s="6"/>
      <c r="OC3" s="12"/>
      <c r="OD3" s="8"/>
      <c r="OE3" s="276"/>
      <c r="OF3" s="277"/>
      <c r="OG3" s="277"/>
      <c r="OH3" s="273"/>
      <c r="OI3" s="273"/>
      <c r="OJ3" s="273"/>
      <c r="OK3" s="273"/>
      <c r="OL3" s="273"/>
      <c r="OM3" s="6"/>
      <c r="ON3" s="6"/>
      <c r="OO3" s="12"/>
      <c r="OP3" s="12"/>
      <c r="OQ3" s="12"/>
      <c r="OR3" s="12"/>
      <c r="OS3" s="12"/>
      <c r="OT3" s="12"/>
      <c r="OU3" s="12"/>
      <c r="OV3" s="12"/>
      <c r="OW3" s="12"/>
      <c r="OX3" s="12"/>
      <c r="OY3" s="12"/>
      <c r="OZ3" s="12"/>
      <c r="PA3" s="12"/>
      <c r="PB3" s="98"/>
      <c r="PC3" s="6"/>
      <c r="PD3" s="420"/>
      <c r="PE3" s="12"/>
      <c r="PF3" s="12"/>
      <c r="PG3" s="12"/>
      <c r="PH3" s="12"/>
      <c r="PJ3" s="6"/>
      <c r="PK3" s="6"/>
      <c r="PL3" s="250"/>
      <c r="PM3" s="250"/>
      <c r="PN3" s="250"/>
      <c r="PO3" s="250"/>
      <c r="PP3" s="250"/>
      <c r="PQ3" s="250"/>
      <c r="PR3" s="271"/>
      <c r="PS3" s="271"/>
      <c r="PT3" s="271"/>
      <c r="PU3" s="271"/>
      <c r="PV3" s="271"/>
      <c r="PW3" s="271"/>
      <c r="PX3" s="271"/>
      <c r="PY3" s="271"/>
      <c r="PZ3" s="421"/>
      <c r="QA3" s="271"/>
      <c r="QB3" s="271"/>
      <c r="QC3" s="271"/>
      <c r="QD3" s="271"/>
      <c r="QE3" s="421"/>
      <c r="QF3" s="421"/>
      <c r="QG3" s="12"/>
      <c r="QH3" s="165"/>
      <c r="QI3" s="165"/>
      <c r="QJ3" s="165"/>
      <c r="QK3" s="165"/>
      <c r="QL3" s="165"/>
      <c r="QM3" s="165"/>
      <c r="QN3" s="165"/>
      <c r="QO3" s="165"/>
      <c r="QP3" s="165"/>
      <c r="QQ3" s="166"/>
      <c r="QR3" s="68"/>
      <c r="QS3" s="68"/>
      <c r="QT3" s="68"/>
      <c r="QU3" s="68"/>
      <c r="QV3" s="68"/>
      <c r="QW3" s="68"/>
      <c r="QX3" s="68"/>
      <c r="QY3" s="68"/>
      <c r="QZ3" s="68"/>
      <c r="RA3" s="125"/>
      <c r="RB3" s="68"/>
      <c r="RC3" s="68"/>
      <c r="RD3" s="68"/>
      <c r="RE3" s="413"/>
      <c r="RF3" s="413"/>
      <c r="RG3" s="273"/>
      <c r="RH3" s="273"/>
      <c r="RI3" s="273"/>
      <c r="RJ3" s="273"/>
      <c r="RK3" s="273"/>
      <c r="RL3" s="273"/>
      <c r="RM3" s="273"/>
      <c r="RN3" s="273"/>
      <c r="RO3" s="273"/>
      <c r="RP3" s="68"/>
      <c r="RQ3" s="273"/>
      <c r="RR3" s="68"/>
      <c r="RS3" s="273"/>
      <c r="RT3" s="273"/>
      <c r="RU3" s="273"/>
      <c r="RV3" s="166"/>
      <c r="RW3" s="166"/>
      <c r="RX3" s="165"/>
      <c r="RY3" s="524"/>
      <c r="RZ3" s="523"/>
      <c r="SA3" s="523"/>
      <c r="SB3" s="523"/>
      <c r="SC3" s="523"/>
      <c r="SD3" s="273"/>
      <c r="SE3" s="273"/>
      <c r="SF3" s="273"/>
      <c r="SG3" s="273"/>
      <c r="SH3" s="273"/>
      <c r="SI3" s="273"/>
      <c r="SJ3" s="273"/>
      <c r="SK3" s="273"/>
      <c r="SL3" s="273"/>
      <c r="SM3" s="166"/>
      <c r="SN3" s="166"/>
      <c r="SO3" s="12"/>
      <c r="SP3" s="12"/>
      <c r="SQ3" s="12"/>
      <c r="SR3" s="12"/>
      <c r="SS3" s="12"/>
      <c r="ST3" s="70"/>
      <c r="SU3" s="12"/>
      <c r="SV3" s="12"/>
      <c r="SW3" s="12"/>
      <c r="SX3" s="12"/>
      <c r="SY3" s="12"/>
      <c r="SZ3" s="12"/>
      <c r="TA3" s="12"/>
      <c r="TB3" s="12"/>
      <c r="TC3" s="12"/>
      <c r="TD3" s="12"/>
      <c r="TE3" s="12"/>
      <c r="TF3" s="12"/>
      <c r="TG3" s="21"/>
      <c r="TH3" s="21"/>
      <c r="TI3" s="11"/>
      <c r="TJ3" s="11"/>
      <c r="TK3" s="6"/>
      <c r="TL3" s="6"/>
      <c r="TM3" s="6"/>
      <c r="TN3" s="276"/>
      <c r="TO3" s="277"/>
      <c r="TP3" s="277"/>
      <c r="TQ3" s="273"/>
      <c r="TR3" s="273"/>
      <c r="TS3" s="273"/>
      <c r="TT3" s="273"/>
      <c r="TU3" s="273"/>
      <c r="TV3" s="7"/>
      <c r="TW3" s="279"/>
      <c r="TX3" s="279"/>
      <c r="TY3" s="279"/>
      <c r="TZ3" s="279"/>
      <c r="UA3" s="279"/>
      <c r="UB3" s="279"/>
      <c r="UC3" s="279"/>
      <c r="UD3" s="279"/>
      <c r="UE3" s="7"/>
      <c r="UF3" s="7"/>
      <c r="UG3" s="7"/>
      <c r="UH3" s="7"/>
      <c r="UI3" s="67"/>
      <c r="UJ3" s="67"/>
      <c r="UK3" s="7"/>
      <c r="UL3" s="7"/>
      <c r="UM3" s="7"/>
      <c r="UN3" s="7"/>
      <c r="UO3" s="7"/>
      <c r="UP3" s="7"/>
      <c r="UQ3" s="7"/>
      <c r="UR3" s="7"/>
      <c r="US3" s="7"/>
      <c r="UT3" s="67"/>
      <c r="UU3" s="67"/>
      <c r="UV3" s="21"/>
      <c r="UW3" s="7"/>
      <c r="UX3" s="69"/>
      <c r="UY3" s="68"/>
      <c r="UZ3" s="166"/>
      <c r="VA3" s="166"/>
      <c r="VB3" s="276"/>
      <c r="VC3" s="70"/>
      <c r="VD3" s="70"/>
      <c r="VE3" s="70"/>
      <c r="VF3" s="70"/>
      <c r="VG3" s="70"/>
      <c r="VH3" s="70"/>
      <c r="VI3" s="70"/>
      <c r="VJ3" s="47"/>
      <c r="VK3" s="70"/>
      <c r="VL3" s="47"/>
      <c r="VM3" s="147"/>
      <c r="VN3" s="70"/>
      <c r="VO3" s="70"/>
      <c r="VP3" s="70"/>
      <c r="VQ3" s="70"/>
      <c r="VR3" s="70"/>
      <c r="VS3" s="70"/>
      <c r="VT3" s="70"/>
      <c r="VU3" s="70"/>
      <c r="VV3" s="70"/>
      <c r="VW3" s="70">
        <f ca="1">IF(OR(AND(F2="XRD",G2="V"),AND(F2="XRD",G2="R",CH2=""),AND(F2="XRD",G2="R",CH2&gt;0,DP2&gt;0,EI2=0)),"null",IF(DS2="0",VC2,IF(DS2="1",VI2,IF(DO2="2",VD2,IF(DO2="5",IF(DQ2=60,VE2,IF(DQ2=120,VF2,VG2)),IF(AND(DS2="3",VS2="null"),SO2,IF(DO2="0",VV2,IF(DP2=0.5,VS2,IF(DP2=0.75,VT2,VU2)))))))))</f>
        <v>57.46</v>
      </c>
      <c r="VX3" s="70"/>
      <c r="VY3" s="70">
        <f ca="1">IF(OR(DN2="Y",VW2="null"),"null",ROUND(IF(DS2="0",VC2,IF(DS2="1",VI2,IF(DO2="2",VD2,IF(DO2="5",IF(DQ2=60,VE2,IF(DQ2=120,VF2,VG2)),IF(DO2="0",VV2,IF(DP2=0.5,VS2,IF(DP2=0.75,VT2,VU2)))))))*EI2,2))</f>
        <v>0</v>
      </c>
      <c r="VZ3" s="70"/>
      <c r="WA3" s="70"/>
      <c r="WB3" s="70"/>
      <c r="WC3" s="70"/>
      <c r="WD3" s="70"/>
      <c r="WE3" s="70"/>
      <c r="WF3" s="12"/>
      <c r="WG3" s="12"/>
      <c r="WH3" s="12"/>
      <c r="WI3" s="12"/>
      <c r="WJ3" s="12"/>
      <c r="WK3" s="12"/>
      <c r="WL3" s="98"/>
      <c r="WM3" s="12"/>
      <c r="WN3" s="12"/>
      <c r="WO3" s="12"/>
      <c r="WP3" s="12"/>
      <c r="WQ3" s="12"/>
      <c r="WR3" s="12" t="e">
        <f>IF(OR(DO2="2",DO2="5"),"null",ROUND(WO2*DP2,2))</f>
        <v>#VALUE!</v>
      </c>
      <c r="WS3" s="12"/>
      <c r="WT3" s="12"/>
      <c r="WU3" s="12"/>
      <c r="WV3" s="12"/>
      <c r="WW3" s="337"/>
      <c r="WX3" s="12"/>
      <c r="WY3" s="12"/>
      <c r="WZ3" s="12"/>
      <c r="XA3" s="12"/>
      <c r="XB3" s="12"/>
      <c r="XC3" s="12"/>
      <c r="XD3" s="12"/>
      <c r="XE3" s="12"/>
      <c r="XF3" s="70"/>
      <c r="XG3" s="70"/>
      <c r="XH3" s="70"/>
      <c r="XI3" s="70"/>
      <c r="XJ3" s="70"/>
      <c r="XK3" s="70"/>
      <c r="XL3" s="70"/>
      <c r="XM3" s="70"/>
      <c r="XN3" s="120"/>
      <c r="XO3" s="120"/>
      <c r="XP3" s="120"/>
      <c r="XQ3" s="8"/>
      <c r="XR3" s="8"/>
      <c r="XT3" s="337"/>
      <c r="XX3" s="337"/>
      <c r="XZ3" s="6"/>
      <c r="YA3" s="6"/>
      <c r="YC3" s="337"/>
      <c r="YD3" s="337"/>
      <c r="YF3" s="337"/>
      <c r="YL3" s="6"/>
      <c r="YM3" s="11"/>
      <c r="YN3" s="11"/>
      <c r="YO3" s="6"/>
      <c r="YP3" s="6"/>
      <c r="YQ3" s="6"/>
      <c r="YR3" s="6"/>
      <c r="YS3" s="6"/>
      <c r="YT3" s="11"/>
    </row>
    <row r="4" spans="1:670" s="13" customFormat="1" x14ac:dyDescent="0.2">
      <c r="A4" s="6"/>
      <c r="B4" s="3"/>
      <c r="C4" s="3"/>
      <c r="D4" s="3"/>
      <c r="E4" s="3"/>
      <c r="F4" s="3"/>
      <c r="G4"/>
      <c r="H4"/>
      <c r="I4" s="3"/>
      <c r="J4" s="3"/>
      <c r="K4" s="3"/>
      <c r="L4" s="3"/>
      <c r="M4"/>
      <c r="N4"/>
      <c r="O4"/>
      <c r="P4"/>
      <c r="Q4"/>
      <c r="R4"/>
      <c r="S4"/>
      <c r="T4"/>
      <c r="U4" s="3"/>
      <c r="V4"/>
      <c r="W4"/>
      <c r="X4" s="89"/>
      <c r="Y4" s="90"/>
      <c r="Z4" s="92"/>
      <c r="AA4" s="92"/>
      <c r="AB4" s="92"/>
      <c r="AC4" s="269"/>
      <c r="AD4" s="92"/>
      <c r="AE4" s="92"/>
      <c r="AF4" s="92"/>
      <c r="AG4" s="92"/>
      <c r="AH4" s="270"/>
      <c r="AI4" s="92"/>
      <c r="AJ4" s="269"/>
      <c r="AK4" s="92"/>
      <c r="AL4" s="92"/>
      <c r="AM4" s="92"/>
      <c r="AN4" s="91"/>
      <c r="AO4" s="91"/>
      <c r="AP4" s="91"/>
      <c r="AQ4" s="91"/>
      <c r="AR4"/>
      <c r="AS4" s="91"/>
      <c r="AT4" s="91"/>
      <c r="AU4" s="91"/>
      <c r="AV4" s="91"/>
      <c r="AW4" s="91"/>
      <c r="AX4" s="91"/>
      <c r="AY4" s="91"/>
      <c r="AZ4" s="91"/>
      <c r="BA4" s="91"/>
      <c r="BB4" s="91"/>
      <c r="BC4" s="91"/>
      <c r="BD4" s="91"/>
      <c r="BE4" s="91"/>
      <c r="BF4" s="91"/>
      <c r="BG4" s="91"/>
      <c r="BH4" s="91"/>
      <c r="BI4" s="91"/>
      <c r="BJ4" s="91"/>
      <c r="BK4" s="270"/>
      <c r="BL4" s="270"/>
      <c r="BM4" s="7"/>
      <c r="BN4" s="7"/>
      <c r="BO4" s="270"/>
      <c r="BP4" s="272"/>
      <c r="BQ4" s="270"/>
      <c r="BR4" s="272"/>
      <c r="BS4" s="270"/>
      <c r="BT4" s="272"/>
      <c r="BU4" s="270"/>
      <c r="BV4" s="423"/>
      <c r="BW4" s="7"/>
      <c r="BX4" s="269"/>
      <c r="BY4" s="269"/>
      <c r="BZ4" s="274"/>
      <c r="CA4" s="274"/>
      <c r="CB4" s="274"/>
      <c r="CC4" s="274"/>
      <c r="CD4" s="272"/>
      <c r="CE4" s="272"/>
      <c r="CF4" s="272"/>
      <c r="CG4" s="272"/>
      <c r="CH4" s="272"/>
      <c r="CI4" s="70"/>
      <c r="CJ4" s="70"/>
      <c r="CK4" s="70"/>
      <c r="CL4" s="70"/>
      <c r="CM4" s="70"/>
      <c r="CN4" s="272"/>
      <c r="CO4" s="272"/>
      <c r="CP4" s="272"/>
      <c r="CQ4"/>
      <c r="CR4"/>
      <c r="CS4"/>
      <c r="CT4"/>
      <c r="CU4" s="273"/>
      <c r="CV4" s="12"/>
      <c r="CW4" s="11"/>
      <c r="CX4" s="273"/>
      <c r="CY4" s="273"/>
      <c r="CZ4" s="273"/>
      <c r="DA4" s="11"/>
      <c r="DB4" s="11"/>
      <c r="DC4" s="11"/>
      <c r="DD4" s="11"/>
      <c r="DE4" s="269"/>
      <c r="DF4" s="7"/>
      <c r="DG4" s="7"/>
      <c r="DH4" s="7"/>
      <c r="DI4" s="269"/>
      <c r="DJ4" s="7"/>
      <c r="DK4" s="7"/>
      <c r="DL4" s="7"/>
      <c r="DM4" s="7"/>
      <c r="DN4" s="21"/>
      <c r="DO4" s="7"/>
      <c r="DP4" s="7"/>
      <c r="DQ4" s="7"/>
      <c r="DR4" s="272"/>
      <c r="DS4" s="7"/>
      <c r="DT4" s="8"/>
      <c r="DU4" s="275"/>
      <c r="DV4" s="276"/>
      <c r="DW4" s="8"/>
      <c r="DX4" s="275"/>
      <c r="DY4" s="276"/>
      <c r="DZ4" s="8"/>
      <c r="EA4" s="7"/>
      <c r="EB4" s="7"/>
      <c r="EC4" s="8"/>
      <c r="ED4" s="275"/>
      <c r="EE4" s="276"/>
      <c r="EF4" s="7"/>
      <c r="EG4" s="7"/>
      <c r="EH4" s="16"/>
      <c r="EI4" s="275"/>
      <c r="EJ4" s="7"/>
      <c r="EK4" s="7"/>
      <c r="EL4" s="7"/>
      <c r="EM4" s="7"/>
      <c r="EN4" s="7"/>
      <c r="EO4" s="7"/>
      <c r="EP4" s="7"/>
      <c r="EQ4" s="7"/>
      <c r="ER4" s="7"/>
      <c r="ES4" s="7"/>
      <c r="ET4" s="7"/>
      <c r="EU4" s="7"/>
      <c r="EV4" s="7"/>
      <c r="EW4" s="7"/>
      <c r="EX4" s="7"/>
      <c r="EY4" s="7"/>
      <c r="EZ4" s="277"/>
      <c r="FA4" s="277"/>
      <c r="FB4" s="276"/>
      <c r="FC4" s="277"/>
      <c r="FD4" s="7"/>
      <c r="FE4" s="277"/>
      <c r="FF4" s="278"/>
      <c r="FG4" s="12"/>
      <c r="FH4" s="12"/>
      <c r="FI4" s="274"/>
      <c r="FJ4" s="277"/>
      <c r="FK4" s="277"/>
      <c r="FL4" s="273"/>
      <c r="FM4" s="273"/>
      <c r="FN4" s="273"/>
      <c r="FO4" s="273"/>
      <c r="FP4" s="269"/>
      <c r="FQ4" s="269"/>
      <c r="FR4" s="269"/>
      <c r="FS4" s="274"/>
      <c r="FT4" s="274"/>
      <c r="FU4" s="277"/>
      <c r="FV4" s="273"/>
      <c r="FW4" s="273"/>
      <c r="FX4" s="276"/>
      <c r="FY4" s="277"/>
      <c r="FZ4" s="277"/>
      <c r="GA4" s="277"/>
      <c r="GB4" s="273"/>
      <c r="GC4" s="273"/>
      <c r="GD4" s="273"/>
      <c r="GE4" s="273"/>
      <c r="GF4" s="273"/>
      <c r="GG4" s="273"/>
      <c r="GH4" s="12"/>
      <c r="GI4" s="273"/>
      <c r="GJ4" s="273"/>
      <c r="GK4" s="273"/>
      <c r="GL4" s="525"/>
      <c r="GM4" s="525"/>
      <c r="GN4" s="8"/>
      <c r="GO4" s="8"/>
      <c r="GP4" s="8"/>
      <c r="GQ4" s="7"/>
      <c r="GR4" s="8"/>
      <c r="GS4" s="8"/>
      <c r="GT4" s="8"/>
      <c r="GU4" s="8"/>
      <c r="GV4" s="273"/>
      <c r="GW4" s="269"/>
      <c r="GX4" s="7"/>
      <c r="GY4" s="7"/>
      <c r="GZ4" s="7"/>
      <c r="HA4" s="12"/>
      <c r="HB4" s="277"/>
      <c r="HC4" s="12"/>
      <c r="HD4" s="269"/>
      <c r="HE4" s="269"/>
      <c r="HF4" s="277"/>
      <c r="HG4" s="277"/>
      <c r="HH4" s="11"/>
      <c r="HI4" s="11"/>
      <c r="HJ4" s="12"/>
      <c r="HK4" s="11"/>
      <c r="HL4" s="11"/>
      <c r="HM4" s="11"/>
      <c r="HN4" s="12"/>
      <c r="HO4" s="12"/>
      <c r="HP4" s="11"/>
      <c r="HQ4" s="11"/>
      <c r="HR4" s="11"/>
      <c r="HS4" s="12"/>
      <c r="HT4" s="12"/>
      <c r="HU4" s="12"/>
      <c r="HV4" s="273"/>
      <c r="HW4" s="273"/>
      <c r="HX4" s="273"/>
      <c r="HY4" s="273"/>
      <c r="HZ4" s="273"/>
      <c r="IA4" s="273"/>
      <c r="IB4" s="273"/>
      <c r="IC4" s="273"/>
      <c r="ID4" s="273"/>
      <c r="IE4" s="273"/>
      <c r="IF4" s="8"/>
      <c r="IG4" s="273"/>
      <c r="IH4" s="126"/>
      <c r="II4" s="126"/>
      <c r="IJ4" s="41"/>
      <c r="IK4" s="126"/>
      <c r="IL4" s="126"/>
      <c r="IM4" s="273"/>
      <c r="IN4" s="273"/>
      <c r="IO4" s="273"/>
      <c r="IP4" s="273"/>
      <c r="IQ4" s="273"/>
      <c r="IR4" s="273"/>
      <c r="IW4" s="273"/>
      <c r="IX4" s="273"/>
      <c r="IY4" s="273"/>
      <c r="IZ4" s="273"/>
      <c r="JA4" s="273"/>
      <c r="JB4" s="273"/>
      <c r="JC4" s="273"/>
      <c r="JD4" s="273"/>
      <c r="JE4" s="273"/>
      <c r="JF4" s="273"/>
      <c r="JG4" s="273"/>
      <c r="JH4" s="273"/>
      <c r="JI4" s="273"/>
      <c r="JJ4" s="273"/>
      <c r="JK4" s="273"/>
      <c r="JL4" s="273"/>
      <c r="JM4" s="273"/>
      <c r="JN4" s="525"/>
      <c r="JO4" s="525"/>
      <c r="JP4" s="273"/>
      <c r="JQ4" s="273"/>
      <c r="JR4" s="273"/>
      <c r="JS4" s="273"/>
      <c r="JT4" s="273"/>
      <c r="JU4" s="273"/>
      <c r="JV4" s="273"/>
      <c r="JW4" s="273"/>
      <c r="JX4" s="273"/>
      <c r="JY4" s="273"/>
      <c r="JZ4" s="273"/>
      <c r="KA4" s="273"/>
      <c r="KB4" s="273"/>
      <c r="KC4" s="273"/>
      <c r="KD4" s="273"/>
      <c r="KE4" s="67"/>
      <c r="KF4" s="67"/>
      <c r="KG4" s="67"/>
      <c r="KH4" s="67"/>
      <c r="KI4" s="67"/>
      <c r="KJ4" s="67"/>
      <c r="KK4" s="6"/>
      <c r="KL4" s="6"/>
      <c r="KM4" s="6"/>
      <c r="KN4" s="6"/>
      <c r="KO4" s="6"/>
      <c r="KP4" s="6"/>
      <c r="KQ4" s="67"/>
      <c r="KR4" s="67"/>
      <c r="KS4" s="67"/>
      <c r="KT4" s="67"/>
      <c r="KU4" s="67"/>
      <c r="KV4" s="67"/>
      <c r="KW4" s="67"/>
      <c r="KX4" s="67"/>
      <c r="KY4" s="67"/>
      <c r="KZ4" s="67"/>
      <c r="LA4" s="67"/>
      <c r="LB4" s="67"/>
      <c r="LC4" s="67"/>
      <c r="LD4" s="67"/>
      <c r="LE4" s="67"/>
      <c r="LF4" s="67"/>
      <c r="LG4" s="67"/>
      <c r="LH4" s="67"/>
      <c r="LI4" s="67"/>
      <c r="LJ4" s="67"/>
      <c r="LK4" s="67"/>
      <c r="LL4" s="67"/>
      <c r="LM4" s="67"/>
      <c r="LN4" s="125"/>
      <c r="LO4" s="125"/>
      <c r="LP4" s="125"/>
      <c r="LQ4" s="125"/>
      <c r="LR4" s="424"/>
      <c r="LS4" s="424"/>
      <c r="LT4" s="424"/>
      <c r="LU4" s="424"/>
      <c r="LV4" s="125"/>
      <c r="LW4" s="125"/>
      <c r="LX4" s="125"/>
      <c r="LY4" s="125"/>
      <c r="LZ4" s="125"/>
      <c r="MA4" s="125"/>
      <c r="MB4" s="125"/>
      <c r="MC4" s="125"/>
      <c r="MD4" s="125"/>
      <c r="ME4" s="125"/>
      <c r="MF4" s="125"/>
      <c r="MG4" s="125"/>
      <c r="MH4" s="125"/>
      <c r="MI4" s="125"/>
      <c r="MJ4" s="273"/>
      <c r="MK4" s="273"/>
      <c r="ML4" s="273"/>
      <c r="MM4" s="6"/>
      <c r="MN4" s="12"/>
      <c r="MO4" s="12"/>
      <c r="MP4" s="12"/>
      <c r="MQ4" s="12"/>
      <c r="MR4" s="12"/>
      <c r="MS4" s="12"/>
      <c r="MT4" s="12"/>
      <c r="MU4" s="12"/>
      <c r="MV4" s="12"/>
      <c r="MW4" s="12"/>
      <c r="MX4" s="12"/>
      <c r="MY4" s="21"/>
      <c r="MZ4" s="21"/>
      <c r="NA4" s="21"/>
      <c r="NB4" s="6"/>
      <c r="NC4" s="6"/>
      <c r="ND4" s="6"/>
      <c r="NE4" s="6"/>
      <c r="NF4" s="6"/>
      <c r="NG4" s="6"/>
      <c r="NH4" s="6"/>
      <c r="NI4" s="6"/>
      <c r="NJ4" s="248"/>
      <c r="NK4" s="248"/>
      <c r="NL4" s="248"/>
      <c r="NM4" s="11"/>
      <c r="NN4" s="6"/>
      <c r="NO4" s="11"/>
      <c r="NP4" s="12"/>
      <c r="NQ4" s="11"/>
      <c r="NR4" s="6"/>
      <c r="NS4" s="6"/>
      <c r="NT4" s="6"/>
      <c r="NU4" s="6"/>
      <c r="NV4" s="6"/>
      <c r="NW4" s="6"/>
      <c r="NX4" s="249"/>
      <c r="NY4" s="6"/>
      <c r="NZ4" s="6"/>
      <c r="OA4" s="277"/>
      <c r="OB4" s="6"/>
      <c r="OC4" s="6"/>
      <c r="OD4" s="6"/>
      <c r="OE4" s="276"/>
      <c r="OF4" s="277"/>
      <c r="OG4" s="277"/>
      <c r="OH4" s="273"/>
      <c r="OI4" s="273"/>
      <c r="OJ4" s="273"/>
      <c r="OK4" s="273"/>
      <c r="OL4" s="273"/>
      <c r="OM4" s="6"/>
      <c r="ON4" s="6"/>
      <c r="OO4" s="12"/>
      <c r="OP4" s="12"/>
      <c r="OQ4" s="12"/>
      <c r="OR4" s="12"/>
      <c r="OS4" s="12"/>
      <c r="OT4" s="12"/>
      <c r="OU4" s="12"/>
      <c r="OV4" s="12"/>
      <c r="OW4" s="12"/>
      <c r="OX4" s="12"/>
      <c r="OY4" s="12"/>
      <c r="OZ4" s="12"/>
      <c r="PA4" s="12"/>
      <c r="PB4" s="12"/>
      <c r="PC4" s="12"/>
      <c r="PD4" s="12"/>
      <c r="PE4" s="12"/>
      <c r="PF4" s="12"/>
      <c r="PG4" s="12"/>
      <c r="PH4" s="12"/>
      <c r="PJ4" s="6"/>
      <c r="PK4" s="6"/>
      <c r="PL4" s="250"/>
      <c r="PM4" s="250"/>
      <c r="PN4" s="250"/>
      <c r="PO4" s="250"/>
      <c r="PP4" s="250"/>
      <c r="PQ4" s="250"/>
      <c r="PR4" s="250"/>
      <c r="PS4" s="250"/>
      <c r="PT4" s="250"/>
      <c r="PU4" s="250"/>
      <c r="PV4" s="250"/>
      <c r="PW4" s="250"/>
      <c r="PX4" s="250"/>
      <c r="PY4" s="250"/>
      <c r="PZ4" s="250"/>
      <c r="QA4" s="250"/>
      <c r="QB4" s="250"/>
      <c r="QC4" s="250"/>
      <c r="QD4" s="250"/>
      <c r="QE4" s="250"/>
      <c r="QF4" s="250"/>
      <c r="QG4" s="250"/>
      <c r="QH4" s="165"/>
      <c r="QI4" s="165"/>
      <c r="QJ4" s="165"/>
      <c r="QK4" s="165"/>
      <c r="QL4" s="165"/>
      <c r="QM4" s="165"/>
      <c r="QN4" s="165"/>
      <c r="QO4" s="165"/>
      <c r="QP4" s="165"/>
      <c r="QQ4" s="166"/>
      <c r="QR4" s="166"/>
      <c r="QS4" s="166"/>
      <c r="QT4" s="166"/>
      <c r="QU4" s="166"/>
      <c r="QV4" s="273"/>
      <c r="QW4" s="166"/>
      <c r="QX4" s="166"/>
      <c r="QY4" s="166"/>
      <c r="QZ4" s="166"/>
      <c r="RA4" s="166"/>
      <c r="RB4" s="166"/>
      <c r="RC4" s="166"/>
      <c r="RD4" s="166"/>
      <c r="RE4" s="166"/>
      <c r="RF4" s="166"/>
      <c r="RG4" s="273"/>
      <c r="RH4" s="273"/>
      <c r="RI4" s="273"/>
      <c r="RJ4" s="273"/>
      <c r="RK4" s="273"/>
      <c r="RL4" s="273"/>
      <c r="RM4" s="273"/>
      <c r="RN4" s="273"/>
      <c r="RO4" s="273"/>
      <c r="RP4" s="273"/>
      <c r="RQ4" s="273"/>
      <c r="RR4" s="273"/>
      <c r="RS4" s="273"/>
      <c r="RT4" s="273"/>
      <c r="RU4" s="273"/>
      <c r="RV4" s="166"/>
      <c r="RW4" s="166"/>
      <c r="RX4" s="165"/>
      <c r="RY4" s="526"/>
      <c r="RZ4" s="527"/>
      <c r="SA4" s="527"/>
      <c r="SB4" s="527"/>
      <c r="SC4" s="527"/>
      <c r="SD4" s="273"/>
      <c r="SE4" s="273"/>
      <c r="SF4" s="273"/>
      <c r="SG4" s="273"/>
      <c r="SH4" s="273"/>
      <c r="SI4" s="273"/>
      <c r="SJ4" s="273"/>
      <c r="SK4" s="273"/>
      <c r="SL4" s="273"/>
      <c r="SM4" s="166"/>
      <c r="SN4" s="166"/>
      <c r="SO4" s="12"/>
      <c r="SP4" s="12"/>
      <c r="SQ4" s="12"/>
      <c r="SR4" s="12"/>
      <c r="SS4" s="12"/>
      <c r="ST4" s="70"/>
      <c r="SU4" s="12"/>
      <c r="SV4" s="12"/>
      <c r="SW4" s="12"/>
      <c r="SX4" s="12"/>
      <c r="SY4" s="12"/>
      <c r="SZ4" s="12"/>
      <c r="TA4" s="12"/>
      <c r="TB4" s="12"/>
      <c r="TC4" s="12"/>
      <c r="TD4" s="12"/>
      <c r="TE4" s="12"/>
      <c r="TF4" s="12"/>
      <c r="TG4" s="21"/>
      <c r="TH4" s="21"/>
      <c r="TI4" s="11"/>
      <c r="TJ4" s="11"/>
      <c r="TK4" s="6"/>
      <c r="TL4" s="6"/>
      <c r="TM4" s="6"/>
      <c r="TN4" s="276"/>
      <c r="TO4" s="277"/>
      <c r="TP4" s="277"/>
      <c r="TQ4" s="273"/>
      <c r="TR4" s="273"/>
      <c r="TS4" s="273"/>
      <c r="TT4" s="273"/>
      <c r="TU4" s="273"/>
      <c r="TV4" s="7"/>
      <c r="TW4" s="279"/>
      <c r="TX4" s="279"/>
      <c r="TY4" s="279"/>
      <c r="TZ4" s="279"/>
      <c r="UA4" s="279"/>
      <c r="UB4" s="279"/>
      <c r="UC4" s="279"/>
      <c r="UD4" s="279"/>
      <c r="UE4" s="7"/>
      <c r="UF4" s="7"/>
      <c r="UG4" s="7"/>
      <c r="UH4" s="7"/>
      <c r="UI4" s="67"/>
      <c r="UJ4" s="67"/>
      <c r="UK4" s="7"/>
      <c r="UL4" s="7"/>
      <c r="UM4" s="7"/>
      <c r="UN4" s="7"/>
      <c r="UO4" s="7"/>
      <c r="UP4" s="7"/>
      <c r="UQ4" s="7"/>
      <c r="UR4" s="7"/>
      <c r="US4" s="7"/>
      <c r="UT4" s="67"/>
      <c r="UU4" s="67"/>
      <c r="UV4" s="21"/>
      <c r="UW4" s="7"/>
      <c r="UX4" s="69"/>
      <c r="UY4" s="68"/>
      <c r="UZ4" s="166"/>
      <c r="VA4" s="166"/>
      <c r="VB4" s="276"/>
      <c r="VC4" s="70"/>
      <c r="VD4" s="70"/>
      <c r="VE4" s="70"/>
      <c r="VF4" s="70"/>
      <c r="VG4" s="70"/>
      <c r="VH4" s="70"/>
      <c r="VI4" s="70"/>
      <c r="VJ4" s="47"/>
      <c r="VK4" s="70"/>
      <c r="VL4" s="47"/>
      <c r="VM4" s="147"/>
      <c r="VN4" s="70"/>
      <c r="VO4" s="70"/>
      <c r="VP4" s="70"/>
      <c r="VQ4" s="70"/>
      <c r="VR4" s="70"/>
      <c r="VS4" s="70"/>
      <c r="VT4" s="70"/>
      <c r="VU4" s="70"/>
      <c r="VV4" s="70"/>
      <c r="VW4" s="70"/>
      <c r="VX4" s="70"/>
      <c r="VY4" s="70"/>
      <c r="VZ4" s="70"/>
      <c r="WA4" s="70"/>
      <c r="WB4" s="70"/>
      <c r="WC4" s="70"/>
      <c r="WD4" s="70"/>
      <c r="WE4" s="70"/>
      <c r="WF4" s="12"/>
      <c r="WG4" s="12"/>
      <c r="WH4" s="12"/>
      <c r="WI4" s="12"/>
      <c r="WJ4" s="12"/>
      <c r="WK4" s="12"/>
      <c r="WL4" s="98"/>
      <c r="WM4" s="12"/>
      <c r="WN4" s="12"/>
      <c r="WO4" s="562"/>
      <c r="WP4" s="562"/>
      <c r="WQ4" s="12"/>
      <c r="WR4" s="12"/>
      <c r="WS4" s="12"/>
      <c r="WT4" s="12"/>
      <c r="WU4" s="12"/>
      <c r="WV4" s="12"/>
      <c r="WW4" s="12"/>
      <c r="WX4" s="562"/>
      <c r="WY4" s="12"/>
      <c r="WZ4" s="12"/>
      <c r="XA4" s="12"/>
      <c r="XB4" s="12"/>
      <c r="XC4" s="12"/>
      <c r="XD4" s="562"/>
      <c r="XE4" s="12"/>
      <c r="XF4" s="70"/>
      <c r="XG4" s="70"/>
      <c r="XH4" s="70"/>
      <c r="XI4" s="70"/>
      <c r="XJ4" s="70"/>
      <c r="XK4" s="70"/>
      <c r="XL4" s="70"/>
      <c r="XM4" s="70"/>
      <c r="XN4" s="120"/>
      <c r="XO4" s="120"/>
      <c r="XP4" s="120"/>
      <c r="XQ4" s="8"/>
      <c r="XR4" s="8"/>
      <c r="XS4" s="6"/>
      <c r="XT4" s="6"/>
      <c r="XU4" s="6"/>
      <c r="XV4" s="6"/>
      <c r="XW4" s="6"/>
      <c r="XX4" s="6"/>
      <c r="XY4" s="337"/>
      <c r="XZ4" s="337"/>
      <c r="YA4" s="6"/>
      <c r="YB4" s="337"/>
      <c r="YC4" s="6"/>
      <c r="YD4" s="6"/>
      <c r="YE4" s="337"/>
      <c r="YF4" s="6"/>
      <c r="YG4" s="6"/>
      <c r="YH4" s="6"/>
      <c r="YI4" s="6"/>
      <c r="YJ4" s="6"/>
      <c r="YK4" s="6"/>
      <c r="YL4" s="6"/>
      <c r="YM4" s="11"/>
      <c r="YN4" s="11"/>
      <c r="YO4" s="6"/>
      <c r="YP4" s="6"/>
      <c r="YQ4" s="6"/>
      <c r="YR4" s="6"/>
      <c r="YS4" s="6"/>
      <c r="YT4" s="11"/>
    </row>
    <row r="5" spans="1:670" s="41" customFormat="1" x14ac:dyDescent="0.2">
      <c r="A5" s="361"/>
      <c r="B5" s="373"/>
      <c r="C5" s="373"/>
      <c r="D5" s="373"/>
      <c r="E5" s="373"/>
      <c r="F5" s="373"/>
      <c r="G5" s="373"/>
      <c r="H5" s="373"/>
      <c r="I5" s="373"/>
      <c r="J5" s="374"/>
      <c r="K5" s="374"/>
      <c r="L5" s="374"/>
      <c r="M5" s="374"/>
      <c r="N5" s="374"/>
      <c r="O5" s="374"/>
      <c r="P5" s="374"/>
      <c r="Q5" s="374"/>
      <c r="R5" s="374"/>
      <c r="S5" s="374"/>
      <c r="T5" s="374"/>
      <c r="U5" s="374"/>
      <c r="V5" s="361"/>
      <c r="W5" s="361"/>
      <c r="X5" s="361"/>
      <c r="Y5" s="361"/>
      <c r="Z5" s="375"/>
      <c r="AA5" s="375"/>
      <c r="AB5" s="375"/>
      <c r="AC5" s="375"/>
      <c r="AD5" s="375"/>
      <c r="AE5" s="375"/>
      <c r="AF5" s="375"/>
      <c r="AG5" s="376"/>
      <c r="AH5" s="376"/>
      <c r="AI5" s="376"/>
      <c r="AJ5" s="113"/>
      <c r="AK5" s="376"/>
      <c r="AL5" s="376"/>
      <c r="AM5" s="376"/>
      <c r="AN5" s="376"/>
      <c r="AO5" s="376"/>
      <c r="AP5" s="376"/>
      <c r="AQ5" s="376"/>
      <c r="AR5" s="376"/>
      <c r="AS5" s="376"/>
      <c r="AT5" s="376"/>
      <c r="AU5" s="376"/>
      <c r="AV5" s="376"/>
      <c r="AW5" s="376"/>
      <c r="AX5" s="376"/>
      <c r="AY5" s="376"/>
      <c r="AZ5" s="376"/>
      <c r="BA5" s="376"/>
      <c r="BB5" s="376"/>
      <c r="BC5" s="376"/>
      <c r="BD5" s="376"/>
      <c r="BE5" s="376"/>
      <c r="BF5" s="376"/>
      <c r="BG5" s="376"/>
      <c r="BH5" s="376"/>
      <c r="BI5" s="376"/>
      <c r="BJ5" s="376"/>
      <c r="BK5" s="376"/>
      <c r="BL5" s="376"/>
      <c r="BM5" s="361"/>
      <c r="BN5" s="361"/>
      <c r="BO5" s="373"/>
      <c r="BP5" s="376"/>
      <c r="BQ5" s="376"/>
      <c r="BR5" s="376"/>
      <c r="BS5" s="376"/>
      <c r="BT5" s="376"/>
      <c r="BU5" s="376"/>
      <c r="BV5" s="376"/>
      <c r="BW5" s="361"/>
      <c r="BX5" s="375"/>
      <c r="BY5" s="375"/>
      <c r="BZ5" s="375"/>
      <c r="CA5" s="375"/>
      <c r="CB5" s="375"/>
      <c r="CC5" s="376"/>
      <c r="CD5" s="376"/>
      <c r="CE5" s="376"/>
      <c r="CF5" s="376"/>
      <c r="CG5" s="376"/>
      <c r="CH5" s="376"/>
      <c r="CI5" s="366"/>
      <c r="CJ5" s="366"/>
      <c r="CK5" s="366"/>
      <c r="CL5" s="366"/>
      <c r="CM5" s="366"/>
      <c r="CN5" s="376"/>
      <c r="CO5" s="377"/>
      <c r="CP5" s="375"/>
      <c r="CQ5" s="366"/>
      <c r="CR5" s="366"/>
      <c r="CS5" s="366"/>
      <c r="CT5" s="366"/>
      <c r="CU5" s="366"/>
      <c r="CV5" s="366"/>
      <c r="CW5" s="375"/>
      <c r="CX5" s="366"/>
      <c r="CY5" s="366"/>
      <c r="CZ5" s="366"/>
      <c r="DA5" s="375"/>
      <c r="DB5" s="375"/>
      <c r="DC5" s="375"/>
      <c r="DD5" s="375"/>
      <c r="DE5" s="377"/>
      <c r="DF5" s="113"/>
      <c r="DG5" s="113"/>
      <c r="DH5" s="113"/>
      <c r="DI5" s="377"/>
      <c r="DJ5" s="377"/>
      <c r="DK5" s="377"/>
      <c r="DL5" s="113"/>
      <c r="DM5" s="113"/>
      <c r="DN5" s="378"/>
      <c r="DO5" s="113"/>
      <c r="DP5" s="113"/>
      <c r="DQ5" s="113"/>
      <c r="DR5" s="376"/>
      <c r="DS5" s="113"/>
      <c r="DT5" s="361"/>
      <c r="DU5" s="361"/>
      <c r="DV5" s="366"/>
      <c r="DW5" s="378"/>
      <c r="DX5" s="366"/>
      <c r="DY5" s="366"/>
      <c r="DZ5" s="113"/>
      <c r="EA5" s="113"/>
      <c r="EB5" s="113"/>
      <c r="EC5" s="113"/>
      <c r="ED5" s="113"/>
      <c r="EE5" s="113"/>
      <c r="EF5" s="361"/>
      <c r="EG5" s="361"/>
      <c r="EH5" s="361"/>
      <c r="EI5" s="379"/>
      <c r="EJ5" s="361"/>
      <c r="EK5" s="361"/>
      <c r="EL5" s="361"/>
      <c r="EM5" s="361"/>
      <c r="EN5" s="361"/>
      <c r="EO5" s="361"/>
      <c r="EP5" s="361"/>
      <c r="EQ5" s="361"/>
      <c r="ER5" s="361"/>
      <c r="ES5" s="361"/>
      <c r="ET5" s="361"/>
      <c r="EU5" s="361"/>
      <c r="EV5" s="361"/>
      <c r="EW5" s="361"/>
      <c r="EX5" s="256" t="s">
        <v>630</v>
      </c>
      <c r="EY5" s="256" t="s">
        <v>630</v>
      </c>
      <c r="EZ5" s="256" t="s">
        <v>630</v>
      </c>
      <c r="FA5" s="256" t="s">
        <v>630</v>
      </c>
      <c r="FB5" s="257" t="s">
        <v>631</v>
      </c>
      <c r="FC5" s="257" t="s">
        <v>631</v>
      </c>
      <c r="FD5" s="257" t="s">
        <v>631</v>
      </c>
      <c r="FE5" s="257" t="s">
        <v>631</v>
      </c>
      <c r="FF5" s="257" t="s">
        <v>631</v>
      </c>
      <c r="FG5" s="425" t="s">
        <v>1098</v>
      </c>
      <c r="FH5" s="425" t="s">
        <v>1098</v>
      </c>
      <c r="FI5" s="267" t="s">
        <v>632</v>
      </c>
      <c r="FJ5" s="267" t="s">
        <v>632</v>
      </c>
      <c r="FK5" s="267" t="s">
        <v>632</v>
      </c>
      <c r="FL5" s="426" t="s">
        <v>1269</v>
      </c>
      <c r="FM5" s="426" t="s">
        <v>1269</v>
      </c>
      <c r="FN5" s="366"/>
      <c r="FO5" s="366"/>
      <c r="FP5" s="427" t="s">
        <v>990</v>
      </c>
      <c r="FQ5" s="427" t="s">
        <v>990</v>
      </c>
      <c r="FR5" s="427" t="s">
        <v>990</v>
      </c>
      <c r="FS5" s="427" t="s">
        <v>990</v>
      </c>
      <c r="FT5" s="427" t="s">
        <v>990</v>
      </c>
      <c r="FU5" s="427" t="s">
        <v>990</v>
      </c>
      <c r="FV5" s="427" t="s">
        <v>990</v>
      </c>
      <c r="FW5" s="427" t="s">
        <v>990</v>
      </c>
      <c r="FX5" s="256" t="s">
        <v>630</v>
      </c>
      <c r="FY5" s="256" t="s">
        <v>630</v>
      </c>
      <c r="FZ5" s="256" t="s">
        <v>630</v>
      </c>
      <c r="GA5" s="257" t="s">
        <v>631</v>
      </c>
      <c r="GB5" s="425" t="s">
        <v>1098</v>
      </c>
      <c r="GC5" s="425" t="s">
        <v>1098</v>
      </c>
      <c r="GD5" s="267" t="s">
        <v>632</v>
      </c>
      <c r="GE5" s="426" t="s">
        <v>1269</v>
      </c>
      <c r="GF5" s="426" t="s">
        <v>1269</v>
      </c>
      <c r="GG5" s="366"/>
      <c r="GH5" s="366"/>
      <c r="GI5" s="428" t="s">
        <v>1270</v>
      </c>
      <c r="GJ5" s="428" t="s">
        <v>1270</v>
      </c>
      <c r="GK5" s="428" t="s">
        <v>1270</v>
      </c>
      <c r="GL5" s="428" t="s">
        <v>1270</v>
      </c>
      <c r="GM5" s="429" t="s">
        <v>1271</v>
      </c>
      <c r="GN5" s="261" t="s">
        <v>633</v>
      </c>
      <c r="GO5" s="261" t="s">
        <v>633</v>
      </c>
      <c r="GP5" s="430" t="s">
        <v>772</v>
      </c>
      <c r="GQ5" s="430" t="s">
        <v>772</v>
      </c>
      <c r="GR5" s="259" t="s">
        <v>772</v>
      </c>
      <c r="GS5" s="259" t="s">
        <v>772</v>
      </c>
      <c r="GT5" s="259" t="s">
        <v>772</v>
      </c>
      <c r="GU5" s="259" t="s">
        <v>772</v>
      </c>
      <c r="GV5" s="259" t="s">
        <v>772</v>
      </c>
      <c r="GW5" s="259" t="s">
        <v>772</v>
      </c>
      <c r="GX5" s="259" t="s">
        <v>772</v>
      </c>
      <c r="GY5" s="113"/>
      <c r="GZ5" s="260" t="s">
        <v>896</v>
      </c>
      <c r="HA5" s="260" t="s">
        <v>896</v>
      </c>
      <c r="HB5" s="289" t="s">
        <v>896</v>
      </c>
      <c r="HC5" s="260" t="s">
        <v>896</v>
      </c>
      <c r="HD5" s="260" t="s">
        <v>896</v>
      </c>
      <c r="HE5" s="260" t="s">
        <v>896</v>
      </c>
      <c r="HF5" s="260" t="s">
        <v>896</v>
      </c>
      <c r="HG5" s="260" t="s">
        <v>896</v>
      </c>
      <c r="HH5" s="375"/>
      <c r="HI5" s="375"/>
      <c r="HJ5" s="366"/>
      <c r="HK5" s="375"/>
      <c r="HL5" s="375"/>
      <c r="HM5" s="375"/>
      <c r="HN5" s="366"/>
      <c r="HO5" s="366"/>
      <c r="HP5" s="375"/>
      <c r="HQ5" s="375"/>
      <c r="HR5" s="375"/>
      <c r="HS5" s="366"/>
      <c r="HT5" s="431" t="s">
        <v>171</v>
      </c>
      <c r="HU5" s="366"/>
      <c r="HV5" s="366"/>
      <c r="HW5" s="366"/>
      <c r="HX5" s="366"/>
      <c r="HY5" s="366"/>
      <c r="HZ5" s="366"/>
      <c r="IA5" s="259" t="s">
        <v>772</v>
      </c>
      <c r="IB5" s="259" t="s">
        <v>772</v>
      </c>
      <c r="IC5" s="566" t="s">
        <v>1838</v>
      </c>
      <c r="ID5" s="566" t="s">
        <v>1838</v>
      </c>
      <c r="IE5" s="567" t="s">
        <v>1839</v>
      </c>
      <c r="IF5" s="431" t="s">
        <v>171</v>
      </c>
      <c r="IG5" s="365" t="s">
        <v>895</v>
      </c>
      <c r="IH5" s="365" t="s">
        <v>895</v>
      </c>
      <c r="II5" s="365" t="s">
        <v>895</v>
      </c>
      <c r="IJ5" s="365" t="s">
        <v>895</v>
      </c>
      <c r="IK5" s="432"/>
      <c r="IL5" s="366"/>
      <c r="IM5" s="366"/>
      <c r="IN5" s="366"/>
      <c r="IO5" s="366"/>
      <c r="IP5" s="366"/>
      <c r="IQ5" s="366"/>
      <c r="IR5" s="366"/>
      <c r="IS5" s="366"/>
      <c r="IT5" s="366"/>
      <c r="IU5" s="366"/>
      <c r="IV5" s="366"/>
      <c r="IW5" s="366"/>
      <c r="IX5" s="366"/>
      <c r="IY5" s="366"/>
      <c r="IZ5" s="366"/>
      <c r="JA5" s="366"/>
      <c r="JB5" s="366"/>
      <c r="JC5" s="366"/>
      <c r="JD5" s="256" t="s">
        <v>630</v>
      </c>
      <c r="JE5" s="256" t="s">
        <v>630</v>
      </c>
      <c r="JF5" s="425" t="s">
        <v>1098</v>
      </c>
      <c r="JG5" s="426" t="s">
        <v>1269</v>
      </c>
      <c r="JH5" s="360" t="s">
        <v>770</v>
      </c>
      <c r="JI5" s="360" t="s">
        <v>770</v>
      </c>
      <c r="JJ5" s="428" t="s">
        <v>1270</v>
      </c>
      <c r="JK5" s="428" t="s">
        <v>1270</v>
      </c>
      <c r="JL5" s="428" t="s">
        <v>1270</v>
      </c>
      <c r="JM5" s="429" t="s">
        <v>1271</v>
      </c>
      <c r="JN5" s="433"/>
      <c r="JO5" s="429" t="s">
        <v>1272</v>
      </c>
      <c r="JP5" s="261" t="s">
        <v>633</v>
      </c>
      <c r="JQ5" s="261" t="s">
        <v>633</v>
      </c>
      <c r="JR5" s="259" t="s">
        <v>772</v>
      </c>
      <c r="JS5" s="259" t="s">
        <v>772</v>
      </c>
      <c r="JT5" s="259" t="s">
        <v>772</v>
      </c>
      <c r="JU5" s="259" t="s">
        <v>772</v>
      </c>
      <c r="JV5" s="260" t="s">
        <v>1273</v>
      </c>
      <c r="JW5" s="260" t="s">
        <v>1273</v>
      </c>
      <c r="JX5" s="260" t="s">
        <v>1273</v>
      </c>
      <c r="JY5" s="260" t="s">
        <v>1273</v>
      </c>
      <c r="JZ5" s="365" t="s">
        <v>895</v>
      </c>
      <c r="KA5" s="365" t="s">
        <v>895</v>
      </c>
      <c r="KB5" s="365" t="s">
        <v>895</v>
      </c>
      <c r="KC5" s="273"/>
      <c r="KD5" s="273"/>
      <c r="KE5" s="360" t="s">
        <v>770</v>
      </c>
      <c r="KF5" s="434" t="s">
        <v>490</v>
      </c>
      <c r="KG5" s="434" t="s">
        <v>490</v>
      </c>
      <c r="KH5" s="434" t="s">
        <v>490</v>
      </c>
      <c r="KI5" s="434" t="s">
        <v>490</v>
      </c>
      <c r="KJ5" s="434" t="s">
        <v>490</v>
      </c>
      <c r="KK5" s="261" t="s">
        <v>633</v>
      </c>
      <c r="KL5" s="261" t="s">
        <v>633</v>
      </c>
      <c r="KM5" s="261" t="s">
        <v>633</v>
      </c>
      <c r="KN5" s="566" t="s">
        <v>1838</v>
      </c>
      <c r="KO5" s="566" t="s">
        <v>1838</v>
      </c>
      <c r="KP5" s="566" t="s">
        <v>1838</v>
      </c>
      <c r="KQ5" s="67"/>
      <c r="KR5" s="259" t="s">
        <v>772</v>
      </c>
      <c r="KS5" s="260" t="s">
        <v>896</v>
      </c>
      <c r="KT5" s="260" t="s">
        <v>896</v>
      </c>
      <c r="KU5" s="260" t="s">
        <v>896</v>
      </c>
      <c r="KV5" s="260"/>
      <c r="KW5" s="260"/>
      <c r="KX5" s="260"/>
      <c r="KY5" s="260" t="s">
        <v>896</v>
      </c>
      <c r="KZ5" s="260"/>
      <c r="LA5" s="365" t="s">
        <v>895</v>
      </c>
      <c r="LB5" s="365" t="s">
        <v>895</v>
      </c>
      <c r="LC5" s="365" t="s">
        <v>895</v>
      </c>
      <c r="LD5" s="365" t="s">
        <v>895</v>
      </c>
      <c r="LE5" s="365" t="s">
        <v>895</v>
      </c>
      <c r="LF5" s="365" t="s">
        <v>895</v>
      </c>
      <c r="LG5" s="365"/>
      <c r="LH5" s="365"/>
      <c r="LI5" s="365"/>
      <c r="LJ5" s="365"/>
      <c r="LK5" s="365"/>
      <c r="LL5" s="365" t="s">
        <v>895</v>
      </c>
      <c r="LM5" s="365"/>
      <c r="LN5" s="388"/>
      <c r="LO5" s="151" t="s">
        <v>344</v>
      </c>
      <c r="LP5" s="151" t="s">
        <v>344</v>
      </c>
      <c r="LQ5" s="151" t="s">
        <v>344</v>
      </c>
      <c r="LR5" s="151" t="s">
        <v>344</v>
      </c>
      <c r="LS5" s="151" t="s">
        <v>344</v>
      </c>
      <c r="LT5" s="151" t="s">
        <v>344</v>
      </c>
      <c r="LU5" s="151" t="s">
        <v>344</v>
      </c>
      <c r="LV5" s="151"/>
      <c r="LW5" s="151"/>
      <c r="LX5" s="151"/>
      <c r="LY5" s="151"/>
      <c r="LZ5" s="151"/>
      <c r="MA5" s="151"/>
      <c r="MB5" s="151" t="s">
        <v>344</v>
      </c>
      <c r="MC5" s="151" t="s">
        <v>344</v>
      </c>
      <c r="MD5" s="151" t="s">
        <v>344</v>
      </c>
      <c r="ME5" s="151"/>
      <c r="MF5" s="388"/>
      <c r="MG5" s="151" t="s">
        <v>344</v>
      </c>
      <c r="MH5" s="151" t="s">
        <v>344</v>
      </c>
      <c r="MI5" s="151" t="s">
        <v>344</v>
      </c>
      <c r="MJ5" s="366"/>
      <c r="MK5" s="366"/>
      <c r="ML5" s="366"/>
      <c r="MM5" s="360" t="s">
        <v>770</v>
      </c>
      <c r="MN5" s="360" t="s">
        <v>770</v>
      </c>
      <c r="MO5" s="360" t="s">
        <v>1152</v>
      </c>
      <c r="MP5" s="261" t="s">
        <v>633</v>
      </c>
      <c r="MQ5" s="566" t="s">
        <v>1838</v>
      </c>
      <c r="MR5" s="567" t="s">
        <v>1839</v>
      </c>
      <c r="MS5" s="261" t="s">
        <v>633</v>
      </c>
      <c r="MT5" s="259" t="s">
        <v>772</v>
      </c>
      <c r="MU5" s="260" t="s">
        <v>896</v>
      </c>
      <c r="MV5" s="365" t="s">
        <v>895</v>
      </c>
      <c r="MW5" s="366"/>
      <c r="NH5" s="361"/>
      <c r="NI5" s="361"/>
      <c r="NR5" s="256" t="s">
        <v>630</v>
      </c>
      <c r="NS5" s="256" t="s">
        <v>630</v>
      </c>
      <c r="NT5" s="256" t="s">
        <v>630</v>
      </c>
      <c r="NU5" s="257" t="s">
        <v>631</v>
      </c>
      <c r="NV5" s="257" t="s">
        <v>631</v>
      </c>
      <c r="NW5" s="257" t="s">
        <v>631</v>
      </c>
      <c r="NX5" s="257" t="s">
        <v>631</v>
      </c>
      <c r="NY5" s="257" t="s">
        <v>631</v>
      </c>
      <c r="NZ5" s="360" t="s">
        <v>770</v>
      </c>
      <c r="OA5" s="267" t="s">
        <v>632</v>
      </c>
      <c r="OB5" s="360" t="s">
        <v>770</v>
      </c>
      <c r="OC5" s="258" t="s">
        <v>635</v>
      </c>
      <c r="OD5" s="258" t="s">
        <v>635</v>
      </c>
      <c r="OE5" s="258" t="s">
        <v>635</v>
      </c>
      <c r="OF5" s="258" t="s">
        <v>635</v>
      </c>
      <c r="OG5" s="258" t="s">
        <v>635</v>
      </c>
      <c r="OH5" s="258" t="s">
        <v>635</v>
      </c>
      <c r="OI5" s="258" t="s">
        <v>635</v>
      </c>
      <c r="OJ5" s="258"/>
      <c r="OK5" s="360" t="s">
        <v>770</v>
      </c>
      <c r="OL5" s="360" t="s">
        <v>770</v>
      </c>
      <c r="OM5" s="259" t="s">
        <v>772</v>
      </c>
      <c r="ON5" s="260" t="s">
        <v>896</v>
      </c>
      <c r="OO5" s="12"/>
      <c r="OP5" s="259" t="s">
        <v>772</v>
      </c>
      <c r="OQ5" s="259" t="s">
        <v>772</v>
      </c>
      <c r="OR5" s="259" t="s">
        <v>772</v>
      </c>
      <c r="OS5" s="260" t="s">
        <v>896</v>
      </c>
      <c r="OT5" s="260" t="s">
        <v>896</v>
      </c>
      <c r="OU5" s="260" t="s">
        <v>896</v>
      </c>
      <c r="OV5" s="12"/>
      <c r="OW5" s="360" t="s">
        <v>770</v>
      </c>
      <c r="OX5" s="360" t="s">
        <v>770</v>
      </c>
      <c r="OY5" s="528" t="s">
        <v>1152</v>
      </c>
      <c r="OZ5" s="528" t="s">
        <v>1152</v>
      </c>
      <c r="PA5" s="528" t="s">
        <v>1152</v>
      </c>
      <c r="PB5" s="429" t="s">
        <v>1274</v>
      </c>
      <c r="PC5" s="429" t="s">
        <v>1274</v>
      </c>
      <c r="PD5" s="429" t="s">
        <v>1274</v>
      </c>
      <c r="PE5" s="429" t="s">
        <v>1274</v>
      </c>
      <c r="PF5" s="261" t="s">
        <v>633</v>
      </c>
      <c r="PG5" s="261" t="s">
        <v>633</v>
      </c>
      <c r="PH5" s="528" t="s">
        <v>1152</v>
      </c>
      <c r="PI5" s="259" t="s">
        <v>772</v>
      </c>
      <c r="PJ5" s="259" t="s">
        <v>772</v>
      </c>
      <c r="PK5" s="259" t="s">
        <v>772</v>
      </c>
      <c r="PL5" s="260" t="s">
        <v>896</v>
      </c>
      <c r="PM5" s="365" t="s">
        <v>895</v>
      </c>
      <c r="PN5" s="566" t="s">
        <v>1838</v>
      </c>
      <c r="PO5" s="566" t="s">
        <v>1838</v>
      </c>
      <c r="PP5" s="567" t="s">
        <v>1839</v>
      </c>
      <c r="PQ5" s="435"/>
      <c r="PR5" s="435"/>
      <c r="PS5" s="435"/>
      <c r="PT5" s="435"/>
      <c r="PU5" s="435"/>
      <c r="PV5" s="435"/>
      <c r="PW5" s="435"/>
      <c r="PX5" s="435"/>
      <c r="PY5" s="435"/>
      <c r="PZ5" s="435"/>
      <c r="QA5" s="435"/>
      <c r="QB5" s="435"/>
      <c r="QC5" s="435"/>
      <c r="QD5" s="435"/>
      <c r="QE5" s="435"/>
      <c r="QF5" s="435"/>
      <c r="QG5" s="435"/>
      <c r="QH5" s="360" t="s">
        <v>770</v>
      </c>
      <c r="QI5" s="261" t="s">
        <v>633</v>
      </c>
      <c r="QJ5" s="566" t="s">
        <v>1838</v>
      </c>
      <c r="QK5" s="566" t="s">
        <v>1838</v>
      </c>
      <c r="QL5" s="567" t="s">
        <v>1839</v>
      </c>
      <c r="QM5" s="259" t="s">
        <v>772</v>
      </c>
      <c r="QN5" s="259" t="s">
        <v>772</v>
      </c>
      <c r="QO5" s="260" t="s">
        <v>896</v>
      </c>
      <c r="QP5" s="365" t="s">
        <v>895</v>
      </c>
      <c r="QQ5" s="366"/>
      <c r="QR5" s="366"/>
      <c r="QS5" s="366"/>
      <c r="QT5" s="366"/>
      <c r="QU5" s="366"/>
      <c r="QV5" s="366"/>
      <c r="QW5" s="366"/>
      <c r="QX5" s="366"/>
      <c r="QY5" s="366"/>
      <c r="QZ5" s="366"/>
      <c r="RA5" s="366"/>
      <c r="RB5" s="366"/>
      <c r="RC5" s="366"/>
      <c r="RD5" s="366"/>
      <c r="RE5" s="366"/>
      <c r="RF5" s="366"/>
      <c r="RG5" s="360" t="s">
        <v>770</v>
      </c>
      <c r="RH5" s="261" t="s">
        <v>633</v>
      </c>
      <c r="RI5" s="566" t="s">
        <v>1838</v>
      </c>
      <c r="RJ5" s="566" t="s">
        <v>1838</v>
      </c>
      <c r="RK5" s="567" t="s">
        <v>1839</v>
      </c>
      <c r="RL5" s="430" t="s">
        <v>772</v>
      </c>
      <c r="RM5" s="430" t="s">
        <v>772</v>
      </c>
      <c r="RN5" s="260" t="s">
        <v>896</v>
      </c>
      <c r="RO5" s="365" t="s">
        <v>895</v>
      </c>
      <c r="RP5" s="366"/>
      <c r="RQ5" s="366"/>
      <c r="RR5" s="366"/>
      <c r="RS5" s="366"/>
      <c r="RT5" s="366"/>
      <c r="RU5" s="366"/>
      <c r="RV5" s="366"/>
      <c r="RW5" s="366"/>
      <c r="RX5" s="366"/>
      <c r="RY5" s="436"/>
      <c r="RZ5" s="436"/>
      <c r="SA5" s="436"/>
      <c r="SB5" s="436"/>
      <c r="SC5" s="436"/>
      <c r="SD5" s="360" t="s">
        <v>770</v>
      </c>
      <c r="SE5" s="261" t="s">
        <v>633</v>
      </c>
      <c r="SF5" s="566" t="s">
        <v>1838</v>
      </c>
      <c r="SG5" s="566" t="s">
        <v>1838</v>
      </c>
      <c r="SH5" s="567" t="s">
        <v>1839</v>
      </c>
      <c r="SI5" s="259" t="s">
        <v>772</v>
      </c>
      <c r="SJ5" s="259" t="s">
        <v>772</v>
      </c>
      <c r="SK5" s="260" t="s">
        <v>896</v>
      </c>
      <c r="SL5" s="365" t="s">
        <v>895</v>
      </c>
      <c r="SM5" s="366"/>
      <c r="SN5" s="366"/>
      <c r="SO5" s="360" t="s">
        <v>770</v>
      </c>
      <c r="SP5" s="261" t="s">
        <v>633</v>
      </c>
      <c r="SQ5" s="566" t="s">
        <v>1838</v>
      </c>
      <c r="SR5" s="566" t="s">
        <v>1838</v>
      </c>
      <c r="SS5" s="567" t="s">
        <v>1839</v>
      </c>
      <c r="ST5" s="366"/>
      <c r="SU5" s="259" t="s">
        <v>772</v>
      </c>
      <c r="SV5" s="259" t="s">
        <v>772</v>
      </c>
      <c r="SW5" s="435"/>
      <c r="SX5" s="435"/>
      <c r="SY5" s="435"/>
      <c r="SZ5" s="260" t="s">
        <v>896</v>
      </c>
      <c r="TA5" s="365" t="s">
        <v>895</v>
      </c>
      <c r="TB5" s="437" t="s">
        <v>1114</v>
      </c>
      <c r="TC5" s="437" t="s">
        <v>1114</v>
      </c>
      <c r="TD5" s="438" t="s">
        <v>1114</v>
      </c>
      <c r="TE5" s="366"/>
      <c r="TF5" s="366"/>
      <c r="TG5" s="366"/>
      <c r="TH5" s="366"/>
      <c r="TI5" s="366"/>
      <c r="TJ5" s="366"/>
      <c r="TK5" s="361"/>
      <c r="TL5" s="361"/>
      <c r="TM5" s="361"/>
      <c r="TN5" s="366"/>
      <c r="TO5" s="366"/>
      <c r="TP5" s="366"/>
      <c r="TQ5" s="360" t="s">
        <v>770</v>
      </c>
      <c r="TR5" s="261" t="s">
        <v>633</v>
      </c>
      <c r="TS5" s="566" t="s">
        <v>1838</v>
      </c>
      <c r="TT5" s="566" t="s">
        <v>1838</v>
      </c>
      <c r="TU5" s="567" t="s">
        <v>1839</v>
      </c>
      <c r="TV5" s="385"/>
      <c r="TW5" s="360" t="s">
        <v>770</v>
      </c>
      <c r="TX5" s="261" t="s">
        <v>633</v>
      </c>
      <c r="TY5" s="261" t="s">
        <v>633</v>
      </c>
      <c r="TZ5" s="261" t="s">
        <v>633</v>
      </c>
      <c r="UA5" s="566" t="s">
        <v>1838</v>
      </c>
      <c r="UB5" s="566" t="s">
        <v>1838</v>
      </c>
      <c r="UC5" s="566" t="s">
        <v>1838</v>
      </c>
      <c r="UD5" s="259" t="s">
        <v>772</v>
      </c>
      <c r="UE5" s="260" t="s">
        <v>896</v>
      </c>
      <c r="UF5" s="260" t="s">
        <v>896</v>
      </c>
      <c r="UG5" s="260"/>
      <c r="UH5" s="260"/>
      <c r="UI5" s="260" t="s">
        <v>896</v>
      </c>
      <c r="UJ5" s="260"/>
      <c r="UK5" s="365" t="s">
        <v>895</v>
      </c>
      <c r="UL5" s="365" t="s">
        <v>895</v>
      </c>
      <c r="UM5" s="365" t="s">
        <v>895</v>
      </c>
      <c r="UN5" s="365" t="s">
        <v>895</v>
      </c>
      <c r="UO5" s="365" t="s">
        <v>895</v>
      </c>
      <c r="UP5" s="365" t="s">
        <v>895</v>
      </c>
      <c r="UQ5" s="365"/>
      <c r="UR5" s="365"/>
      <c r="US5" s="365"/>
      <c r="UT5" s="365" t="s">
        <v>895</v>
      </c>
      <c r="UU5" s="365"/>
      <c r="UV5" s="378"/>
      <c r="UW5" s="361"/>
      <c r="UX5" s="378"/>
      <c r="UY5" s="378"/>
      <c r="UZ5" s="378"/>
      <c r="VA5" s="378"/>
      <c r="VB5" s="386"/>
      <c r="VC5" s="366"/>
      <c r="VD5" s="387"/>
      <c r="VE5" s="366"/>
      <c r="VF5" s="366"/>
      <c r="VG5" s="366"/>
      <c r="VH5" s="366"/>
      <c r="VI5" s="366"/>
      <c r="VJ5" s="439"/>
      <c r="VK5" s="366"/>
      <c r="VL5" s="366"/>
      <c r="VM5" s="366"/>
      <c r="VN5" s="366"/>
      <c r="VO5" s="366"/>
      <c r="VP5" s="366"/>
      <c r="VQ5" s="366"/>
      <c r="VR5" s="366"/>
      <c r="VS5" s="366"/>
      <c r="VT5" s="366"/>
      <c r="VU5" s="366"/>
      <c r="VV5" s="366"/>
      <c r="VW5" s="440"/>
      <c r="VX5" s="440"/>
      <c r="VY5" s="440"/>
      <c r="VZ5" s="440"/>
      <c r="WA5" s="440"/>
      <c r="WB5" s="366"/>
      <c r="WC5" s="563">
        <f ca="1">IF(AND(G2="R",VZ2="Y"),"null",IF(OR(AND(F2="XRD",G2="V"),AND(F2="XRD",G2="R",CH2=""),AND(F2="XRD",G2="R",CH2&gt;0,DP2&gt;0,EI2=0)),"null",IF(OR(F2="DOR",F2="XRD"),IF(DI2&gt;=GY2,"null",VW2),"null")))</f>
        <v>57.46</v>
      </c>
      <c r="WD5" s="563">
        <f ca="1">IF(AND(G2="R",VZ2="Y"),"null",IF(OR(AND(F2="XRD",G2="V"),AND(F2="XRD",G2="R",CH2=""),AND(F2="XRD",G2="R",CH2&gt;0,DP2&gt;0,EI2=0)),"null",IF(OR(F2="DOR",F2="XRD"),VW2+IF(DS2="3",0,IF(SZ2="null",0,SZ2)),"null")))</f>
        <v>57.46</v>
      </c>
      <c r="WE5" s="366"/>
      <c r="WF5" s="366"/>
      <c r="WG5" s="366"/>
      <c r="WH5" s="366"/>
      <c r="WI5" s="366"/>
      <c r="WJ5" s="366"/>
      <c r="WK5" s="366"/>
      <c r="WL5" s="388"/>
      <c r="WM5" s="366"/>
      <c r="WN5" s="366"/>
      <c r="WO5" s="366"/>
      <c r="WP5" s="366"/>
      <c r="WQ5" s="366"/>
      <c r="WR5" s="366"/>
      <c r="WS5" s="366"/>
      <c r="WT5" s="366"/>
      <c r="WU5" s="366"/>
      <c r="WV5" s="366"/>
      <c r="WW5" s="366"/>
      <c r="WX5" s="366"/>
      <c r="WY5" s="366"/>
      <c r="WZ5" s="366"/>
      <c r="XA5" s="366"/>
      <c r="XB5" s="366"/>
      <c r="XC5" s="366"/>
      <c r="XD5" s="366"/>
      <c r="XE5" s="366"/>
      <c r="XF5" s="366"/>
      <c r="XG5" s="366"/>
      <c r="XH5" s="366"/>
      <c r="XI5" s="366"/>
      <c r="XJ5" s="366"/>
      <c r="XK5" s="366"/>
      <c r="XL5" s="366"/>
      <c r="XM5" s="366"/>
      <c r="XN5" s="361"/>
      <c r="XO5" s="361"/>
      <c r="XP5" s="361"/>
      <c r="XQ5" s="366"/>
      <c r="XR5" s="366"/>
      <c r="XS5" s="6"/>
      <c r="XT5" s="6"/>
      <c r="XU5" s="6"/>
      <c r="XV5" s="6"/>
      <c r="XW5" s="6"/>
      <c r="XX5" s="316" t="s">
        <v>1062</v>
      </c>
      <c r="XY5" s="247" t="s">
        <v>1065</v>
      </c>
      <c r="XZ5" s="317" t="s">
        <v>1064</v>
      </c>
      <c r="YA5" s="318" t="s">
        <v>1066</v>
      </c>
      <c r="YB5" s="317" t="s">
        <v>1064</v>
      </c>
      <c r="YC5" s="317" t="s">
        <v>1064</v>
      </c>
      <c r="YD5" s="317" t="s">
        <v>1064</v>
      </c>
      <c r="YE5" s="317" t="s">
        <v>1064</v>
      </c>
      <c r="YF5" s="317" t="s">
        <v>1064</v>
      </c>
      <c r="YG5" s="317" t="s">
        <v>1064</v>
      </c>
      <c r="YH5" s="317"/>
      <c r="YI5" s="317"/>
      <c r="YJ5" s="317" t="s">
        <v>1064</v>
      </c>
      <c r="YK5" s="6"/>
      <c r="YL5" s="6"/>
      <c r="YM5" s="11"/>
      <c r="YN5" s="11"/>
      <c r="YO5" s="6"/>
      <c r="YP5" s="6"/>
      <c r="YQ5" s="6"/>
      <c r="YR5" s="6"/>
      <c r="YS5" s="6"/>
      <c r="YT5" s="11"/>
    </row>
    <row r="6" spans="1:670" s="41" customFormat="1" x14ac:dyDescent="0.2">
      <c r="A6" s="374"/>
      <c r="B6" s="361"/>
      <c r="C6" s="361"/>
      <c r="D6" s="361"/>
      <c r="E6" s="361"/>
      <c r="F6" s="361"/>
      <c r="G6" s="361"/>
      <c r="H6" s="361"/>
      <c r="I6" s="361"/>
      <c r="J6" s="361"/>
      <c r="K6" s="361"/>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113"/>
      <c r="AK6" s="361"/>
      <c r="AL6" s="361"/>
      <c r="AM6" s="361"/>
      <c r="AN6" s="361"/>
      <c r="AO6" s="361"/>
      <c r="AP6" s="361"/>
      <c r="AQ6" s="361"/>
      <c r="AR6" s="361"/>
      <c r="AS6" s="361"/>
      <c r="AT6" s="361"/>
      <c r="AU6" s="361" t="s">
        <v>1275</v>
      </c>
      <c r="AV6" s="361"/>
      <c r="AW6" s="361"/>
      <c r="AX6" s="361"/>
      <c r="AY6" s="361"/>
      <c r="AZ6" s="361"/>
      <c r="BA6" s="361"/>
      <c r="BB6" s="361"/>
      <c r="BC6" s="361"/>
      <c r="BD6" s="361"/>
      <c r="BE6" s="361"/>
      <c r="BF6" s="361"/>
      <c r="BG6" s="361"/>
      <c r="BH6" s="361"/>
      <c r="BI6" s="361"/>
      <c r="BJ6" s="361"/>
      <c r="BK6" s="361"/>
      <c r="BL6" s="361"/>
      <c r="BM6" s="361"/>
      <c r="BN6" s="361"/>
      <c r="BO6" s="361"/>
      <c r="BP6" s="361"/>
      <c r="BQ6" s="361"/>
      <c r="BR6" s="361"/>
      <c r="BS6" s="361"/>
      <c r="BT6" s="361"/>
      <c r="BU6" s="361"/>
      <c r="BV6" s="361"/>
      <c r="BW6" s="361"/>
      <c r="BX6" s="361"/>
      <c r="BY6" s="361"/>
      <c r="BZ6" s="361"/>
      <c r="CA6" s="361"/>
      <c r="CB6" s="361"/>
      <c r="CC6" s="361"/>
      <c r="CD6" s="361"/>
      <c r="CE6" s="361"/>
      <c r="CF6" s="361"/>
      <c r="CG6" s="361"/>
      <c r="CH6" s="361"/>
      <c r="CN6" s="361"/>
      <c r="CO6" s="361"/>
      <c r="CP6" s="361"/>
      <c r="CQ6" s="361"/>
      <c r="CR6" s="361"/>
      <c r="CS6" s="361"/>
      <c r="CT6" s="361"/>
      <c r="CU6" s="113"/>
      <c r="CV6" s="361"/>
      <c r="CW6" s="375"/>
      <c r="CX6" s="258" t="s">
        <v>635</v>
      </c>
      <c r="CY6" s="258" t="s">
        <v>635</v>
      </c>
      <c r="CZ6" s="258" t="s">
        <v>635</v>
      </c>
      <c r="DA6" s="258" t="s">
        <v>635</v>
      </c>
      <c r="DB6" s="258" t="s">
        <v>635</v>
      </c>
      <c r="DC6" s="258" t="s">
        <v>635</v>
      </c>
      <c r="DD6" s="375"/>
      <c r="DE6" s="361"/>
      <c r="DF6" s="361"/>
      <c r="DG6" s="361"/>
      <c r="DH6" s="361"/>
      <c r="DI6" s="361"/>
      <c r="DJ6" s="361"/>
      <c r="DK6" s="361"/>
      <c r="DL6" s="361"/>
      <c r="DM6" s="361"/>
      <c r="DN6" s="361"/>
      <c r="DO6" s="266" t="s">
        <v>267</v>
      </c>
      <c r="DP6" s="266" t="s">
        <v>267</v>
      </c>
      <c r="DQ6" s="266" t="s">
        <v>267</v>
      </c>
      <c r="DR6" s="266" t="s">
        <v>267</v>
      </c>
      <c r="DS6" s="266" t="s">
        <v>267</v>
      </c>
      <c r="DT6" s="252" t="s">
        <v>140</v>
      </c>
      <c r="DU6" s="252" t="s">
        <v>140</v>
      </c>
      <c r="DV6" s="252" t="s">
        <v>140</v>
      </c>
      <c r="DW6" s="253" t="s">
        <v>141</v>
      </c>
      <c r="DX6" s="253" t="s">
        <v>141</v>
      </c>
      <c r="DY6" s="253" t="s">
        <v>141</v>
      </c>
      <c r="DZ6" s="251" t="s">
        <v>490</v>
      </c>
      <c r="EA6" s="251" t="s">
        <v>490</v>
      </c>
      <c r="EB6" s="251" t="s">
        <v>490</v>
      </c>
      <c r="EC6" s="251" t="s">
        <v>490</v>
      </c>
      <c r="ED6" s="251" t="s">
        <v>490</v>
      </c>
      <c r="EE6" s="251" t="s">
        <v>490</v>
      </c>
      <c r="EF6" s="113"/>
      <c r="EG6" s="113"/>
      <c r="EH6" s="254" t="s">
        <v>43</v>
      </c>
      <c r="EI6" s="254" t="s">
        <v>43</v>
      </c>
      <c r="EJ6" s="254" t="s">
        <v>43</v>
      </c>
      <c r="EK6" s="255" t="s">
        <v>491</v>
      </c>
      <c r="EL6" s="255" t="s">
        <v>491</v>
      </c>
      <c r="EM6" s="255" t="s">
        <v>491</v>
      </c>
      <c r="EN6" s="255" t="s">
        <v>491</v>
      </c>
      <c r="EO6" s="255" t="s">
        <v>491</v>
      </c>
      <c r="EP6" s="255"/>
      <c r="EQ6" s="585" t="s">
        <v>1276</v>
      </c>
      <c r="ER6" s="586"/>
      <c r="ES6" s="586"/>
      <c r="ET6" s="586"/>
      <c r="EU6" s="586"/>
      <c r="EV6" s="586"/>
      <c r="EW6" s="587"/>
      <c r="EX6" s="441" t="s">
        <v>1277</v>
      </c>
      <c r="EY6" s="441" t="s">
        <v>1277</v>
      </c>
      <c r="EZ6" s="441" t="s">
        <v>1277</v>
      </c>
      <c r="FA6" s="441" t="s">
        <v>1277</v>
      </c>
      <c r="FB6" s="441" t="s">
        <v>1277</v>
      </c>
      <c r="FC6" s="441" t="s">
        <v>1277</v>
      </c>
      <c r="FD6" s="441" t="s">
        <v>1277</v>
      </c>
      <c r="FE6" s="441" t="s">
        <v>1277</v>
      </c>
      <c r="FF6" s="441" t="s">
        <v>1277</v>
      </c>
      <c r="FG6" s="441" t="s">
        <v>1277</v>
      </c>
      <c r="FH6" s="441" t="s">
        <v>1277</v>
      </c>
      <c r="FI6" s="441" t="s">
        <v>1277</v>
      </c>
      <c r="FJ6" s="441" t="s">
        <v>1277</v>
      </c>
      <c r="FK6" s="441" t="s">
        <v>1277</v>
      </c>
      <c r="FL6" s="441" t="s">
        <v>1277</v>
      </c>
      <c r="FM6" s="441" t="s">
        <v>1277</v>
      </c>
      <c r="FN6" s="113"/>
      <c r="FO6" s="113"/>
      <c r="FP6" s="258" t="s">
        <v>635</v>
      </c>
      <c r="FQ6" s="258" t="s">
        <v>635</v>
      </c>
      <c r="FR6" s="258" t="s">
        <v>635</v>
      </c>
      <c r="FS6" s="258" t="s">
        <v>635</v>
      </c>
      <c r="FT6" s="258" t="s">
        <v>635</v>
      </c>
      <c r="FU6" s="258" t="s">
        <v>635</v>
      </c>
      <c r="FV6" s="258" t="s">
        <v>635</v>
      </c>
      <c r="FW6" s="258" t="s">
        <v>635</v>
      </c>
      <c r="FX6" s="258" t="s">
        <v>635</v>
      </c>
      <c r="FY6" s="258" t="s">
        <v>635</v>
      </c>
      <c r="FZ6" s="258" t="s">
        <v>635</v>
      </c>
      <c r="GA6" s="258" t="s">
        <v>635</v>
      </c>
      <c r="GB6" s="258" t="s">
        <v>635</v>
      </c>
      <c r="GC6" s="258" t="s">
        <v>635</v>
      </c>
      <c r="GD6" s="258" t="s">
        <v>635</v>
      </c>
      <c r="GE6" s="258" t="s">
        <v>635</v>
      </c>
      <c r="GF6" s="258" t="s">
        <v>635</v>
      </c>
      <c r="GG6" s="360" t="s">
        <v>770</v>
      </c>
      <c r="GH6" s="360" t="s">
        <v>770</v>
      </c>
      <c r="GI6" s="441" t="s">
        <v>1277</v>
      </c>
      <c r="GJ6" s="441" t="s">
        <v>1277</v>
      </c>
      <c r="GK6" s="441" t="s">
        <v>1277</v>
      </c>
      <c r="GL6" s="441" t="s">
        <v>1277</v>
      </c>
      <c r="GM6" s="441" t="s">
        <v>1277</v>
      </c>
      <c r="GN6" s="441" t="s">
        <v>1277</v>
      </c>
      <c r="GO6" s="441" t="s">
        <v>1277</v>
      </c>
      <c r="GP6" s="8"/>
      <c r="GQ6" s="441" t="s">
        <v>1277</v>
      </c>
      <c r="GR6" s="441" t="s">
        <v>1277</v>
      </c>
      <c r="GS6" s="441" t="s">
        <v>1277</v>
      </c>
      <c r="GT6" s="441" t="s">
        <v>1277</v>
      </c>
      <c r="GU6" s="441" t="s">
        <v>1277</v>
      </c>
      <c r="GV6" s="441" t="s">
        <v>1277</v>
      </c>
      <c r="GW6" s="441" t="s">
        <v>1277</v>
      </c>
      <c r="GX6" s="441" t="s">
        <v>1277</v>
      </c>
      <c r="GY6" s="113"/>
      <c r="GZ6" s="441" t="s">
        <v>1277</v>
      </c>
      <c r="HA6" s="441" t="s">
        <v>1277</v>
      </c>
      <c r="HB6" s="441" t="s">
        <v>1277</v>
      </c>
      <c r="HC6" s="441" t="s">
        <v>1277</v>
      </c>
      <c r="HD6" s="441" t="s">
        <v>1277</v>
      </c>
      <c r="HE6" s="441" t="s">
        <v>1277</v>
      </c>
      <c r="HF6" s="441" t="s">
        <v>1277</v>
      </c>
      <c r="HG6" s="441" t="s">
        <v>1277</v>
      </c>
      <c r="HH6" s="441" t="s">
        <v>1277</v>
      </c>
      <c r="HI6" s="441" t="s">
        <v>1277</v>
      </c>
      <c r="HJ6" s="441" t="s">
        <v>1277</v>
      </c>
      <c r="HK6" s="441" t="s">
        <v>1277</v>
      </c>
      <c r="HL6" s="441" t="s">
        <v>1277</v>
      </c>
      <c r="HM6" s="441" t="s">
        <v>1277</v>
      </c>
      <c r="HN6" s="441" t="s">
        <v>1277</v>
      </c>
      <c r="HO6" s="441" t="s">
        <v>1277</v>
      </c>
      <c r="HP6" s="441" t="s">
        <v>1277</v>
      </c>
      <c r="HQ6" s="441" t="s">
        <v>1277</v>
      </c>
      <c r="HR6" s="441" t="s">
        <v>1277</v>
      </c>
      <c r="HS6" s="441" t="s">
        <v>1277</v>
      </c>
      <c r="HT6" s="441" t="s">
        <v>1277</v>
      </c>
      <c r="HU6" s="441" t="s">
        <v>1277</v>
      </c>
      <c r="HV6" s="441" t="s">
        <v>1277</v>
      </c>
      <c r="HW6" s="441" t="s">
        <v>1277</v>
      </c>
      <c r="HX6" s="441" t="s">
        <v>1277</v>
      </c>
      <c r="HY6" s="441" t="s">
        <v>1277</v>
      </c>
      <c r="HZ6" s="441" t="s">
        <v>1277</v>
      </c>
      <c r="IA6" s="441" t="s">
        <v>1277</v>
      </c>
      <c r="IB6" s="441" t="s">
        <v>1277</v>
      </c>
      <c r="IC6" s="441" t="s">
        <v>1277</v>
      </c>
      <c r="ID6" s="441" t="s">
        <v>1277</v>
      </c>
      <c r="IE6" s="441" t="s">
        <v>1277</v>
      </c>
      <c r="IF6" s="441" t="s">
        <v>1277</v>
      </c>
      <c r="IG6" s="441" t="s">
        <v>1277</v>
      </c>
      <c r="IH6" s="441" t="s">
        <v>1277</v>
      </c>
      <c r="II6" s="441" t="s">
        <v>1277</v>
      </c>
      <c r="IJ6" s="441" t="s">
        <v>1277</v>
      </c>
      <c r="IK6" s="432"/>
      <c r="IL6" s="442" t="s">
        <v>1278</v>
      </c>
      <c r="IM6" s="442" t="s">
        <v>1278</v>
      </c>
      <c r="IN6" s="442" t="s">
        <v>1278</v>
      </c>
      <c r="IO6" s="442" t="s">
        <v>1278</v>
      </c>
      <c r="IP6" s="442" t="s">
        <v>1278</v>
      </c>
      <c r="IQ6" s="442" t="s">
        <v>1278</v>
      </c>
      <c r="IR6" s="442" t="s">
        <v>1278</v>
      </c>
      <c r="IS6" s="442" t="s">
        <v>1278</v>
      </c>
      <c r="IT6" s="442" t="s">
        <v>1278</v>
      </c>
      <c r="IU6" s="442" t="s">
        <v>1278</v>
      </c>
      <c r="IV6" s="442" t="s">
        <v>1278</v>
      </c>
      <c r="IW6" s="442" t="s">
        <v>1278</v>
      </c>
      <c r="IX6" s="442" t="s">
        <v>1278</v>
      </c>
      <c r="IY6" s="442" t="s">
        <v>1278</v>
      </c>
      <c r="IZ6" s="442" t="s">
        <v>1278</v>
      </c>
      <c r="JA6" s="442" t="s">
        <v>1278</v>
      </c>
      <c r="JB6" s="442" t="s">
        <v>1278</v>
      </c>
      <c r="JC6" s="442" t="s">
        <v>1278</v>
      </c>
      <c r="JD6" s="442" t="s">
        <v>1278</v>
      </c>
      <c r="JE6" s="442" t="s">
        <v>1278</v>
      </c>
      <c r="JF6" s="442" t="s">
        <v>1278</v>
      </c>
      <c r="JG6" s="442" t="s">
        <v>1278</v>
      </c>
      <c r="JH6" s="442" t="s">
        <v>1278</v>
      </c>
      <c r="JI6" s="442" t="s">
        <v>1278</v>
      </c>
      <c r="JJ6" s="442" t="s">
        <v>1278</v>
      </c>
      <c r="JK6" s="442" t="s">
        <v>1278</v>
      </c>
      <c r="JL6" s="442" t="s">
        <v>1278</v>
      </c>
      <c r="JM6" s="442" t="s">
        <v>1278</v>
      </c>
      <c r="JN6" s="429" t="s">
        <v>1271</v>
      </c>
      <c r="JO6" s="442" t="s">
        <v>1278</v>
      </c>
      <c r="JP6" s="442" t="s">
        <v>1278</v>
      </c>
      <c r="JQ6" s="442" t="s">
        <v>1278</v>
      </c>
      <c r="JR6" s="442" t="s">
        <v>1278</v>
      </c>
      <c r="JS6" s="442" t="s">
        <v>1278</v>
      </c>
      <c r="JT6" s="442" t="s">
        <v>1278</v>
      </c>
      <c r="JU6" s="442" t="s">
        <v>1278</v>
      </c>
      <c r="JV6" s="442" t="s">
        <v>1278</v>
      </c>
      <c r="JW6" s="442" t="s">
        <v>1278</v>
      </c>
      <c r="JX6" s="442" t="s">
        <v>1278</v>
      </c>
      <c r="JY6" s="442" t="s">
        <v>1278</v>
      </c>
      <c r="JZ6" s="442" t="s">
        <v>1278</v>
      </c>
      <c r="KA6" s="442" t="s">
        <v>1278</v>
      </c>
      <c r="KB6" s="442" t="s">
        <v>1278</v>
      </c>
      <c r="KC6" s="273"/>
      <c r="KD6" s="273"/>
      <c r="KE6" s="443" t="s">
        <v>771</v>
      </c>
      <c r="KF6" s="443" t="s">
        <v>771</v>
      </c>
      <c r="KG6" s="443" t="s">
        <v>771</v>
      </c>
      <c r="KH6" s="443" t="s">
        <v>771</v>
      </c>
      <c r="KI6" s="443" t="s">
        <v>771</v>
      </c>
      <c r="KJ6" s="443" t="s">
        <v>771</v>
      </c>
      <c r="KK6" s="443" t="s">
        <v>771</v>
      </c>
      <c r="KL6" s="443" t="s">
        <v>771</v>
      </c>
      <c r="KM6" s="443" t="s">
        <v>771</v>
      </c>
      <c r="KN6" s="443" t="s">
        <v>771</v>
      </c>
      <c r="KO6" s="443" t="s">
        <v>771</v>
      </c>
      <c r="KP6" s="443" t="s">
        <v>771</v>
      </c>
      <c r="KQ6" s="443" t="s">
        <v>771</v>
      </c>
      <c r="KR6" s="443" t="s">
        <v>771</v>
      </c>
      <c r="KS6" s="361"/>
      <c r="KT6" s="443" t="s">
        <v>771</v>
      </c>
      <c r="KU6" s="443" t="s">
        <v>771</v>
      </c>
      <c r="KV6" s="443"/>
      <c r="KW6" s="443"/>
      <c r="KX6" s="443"/>
      <c r="KY6" s="443" t="s">
        <v>771</v>
      </c>
      <c r="KZ6" s="443"/>
      <c r="LA6" s="361"/>
      <c r="LB6" s="443" t="s">
        <v>771</v>
      </c>
      <c r="LC6" s="443" t="s">
        <v>771</v>
      </c>
      <c r="LD6" s="443" t="s">
        <v>771</v>
      </c>
      <c r="LE6" s="443" t="s">
        <v>771</v>
      </c>
      <c r="LF6" s="443" t="s">
        <v>771</v>
      </c>
      <c r="LG6" s="443"/>
      <c r="LH6" s="443"/>
      <c r="LI6" s="443"/>
      <c r="LJ6" s="443"/>
      <c r="LK6" s="443"/>
      <c r="LL6" s="443" t="s">
        <v>771</v>
      </c>
      <c r="LM6" s="443"/>
      <c r="LN6" s="388"/>
      <c r="LO6" s="441" t="s">
        <v>1277</v>
      </c>
      <c r="LP6" s="441" t="s">
        <v>1277</v>
      </c>
      <c r="LQ6" s="441" t="s">
        <v>1277</v>
      </c>
      <c r="LR6" s="441" t="s">
        <v>1277</v>
      </c>
      <c r="LS6" s="441" t="s">
        <v>1277</v>
      </c>
      <c r="LT6" s="441" t="s">
        <v>1277</v>
      </c>
      <c r="LU6" s="441" t="s">
        <v>1277</v>
      </c>
      <c r="LV6" s="442"/>
      <c r="LW6" s="442"/>
      <c r="LX6" s="442"/>
      <c r="LY6" s="442"/>
      <c r="LZ6" s="442"/>
      <c r="MA6" s="442"/>
      <c r="MB6" s="442" t="s">
        <v>1278</v>
      </c>
      <c r="MC6" s="442" t="s">
        <v>1278</v>
      </c>
      <c r="MD6" s="442" t="s">
        <v>1278</v>
      </c>
      <c r="ME6" s="442"/>
      <c r="MF6" s="388"/>
      <c r="MG6" s="442" t="s">
        <v>1278</v>
      </c>
      <c r="MH6" s="442" t="s">
        <v>1278</v>
      </c>
      <c r="MI6" s="442" t="s">
        <v>1278</v>
      </c>
      <c r="MJ6" s="151" t="s">
        <v>344</v>
      </c>
      <c r="MK6" s="151" t="s">
        <v>344</v>
      </c>
      <c r="ML6" s="151" t="s">
        <v>344</v>
      </c>
      <c r="MM6" s="359" t="s">
        <v>720</v>
      </c>
      <c r="MN6" s="359" t="s">
        <v>720</v>
      </c>
      <c r="MO6" s="359" t="s">
        <v>720</v>
      </c>
      <c r="MP6" s="359" t="s">
        <v>720</v>
      </c>
      <c r="MQ6" s="359" t="s">
        <v>720</v>
      </c>
      <c r="MR6" s="359" t="s">
        <v>720</v>
      </c>
      <c r="MS6" s="359" t="s">
        <v>720</v>
      </c>
      <c r="MT6" s="359" t="s">
        <v>720</v>
      </c>
      <c r="MU6" s="359" t="s">
        <v>720</v>
      </c>
      <c r="MV6" s="359" t="s">
        <v>720</v>
      </c>
      <c r="MW6" s="359" t="s">
        <v>720</v>
      </c>
      <c r="MX6" s="359" t="s">
        <v>720</v>
      </c>
      <c r="MY6" s="359" t="s">
        <v>720</v>
      </c>
      <c r="MZ6" s="359" t="s">
        <v>720</v>
      </c>
      <c r="NA6" s="359" t="s">
        <v>720</v>
      </c>
      <c r="NB6" s="311" t="s">
        <v>733</v>
      </c>
      <c r="NC6" s="311" t="s">
        <v>733</v>
      </c>
      <c r="ND6" s="311" t="s">
        <v>733</v>
      </c>
      <c r="NE6" s="311" t="s">
        <v>733</v>
      </c>
      <c r="NF6" s="311" t="s">
        <v>733</v>
      </c>
      <c r="NG6" s="311" t="s">
        <v>733</v>
      </c>
      <c r="NH6" s="311" t="s">
        <v>733</v>
      </c>
      <c r="NI6" s="311" t="s">
        <v>733</v>
      </c>
      <c r="NJ6" s="311" t="s">
        <v>733</v>
      </c>
      <c r="NK6" s="311"/>
      <c r="NL6" s="311" t="s">
        <v>733</v>
      </c>
      <c r="NM6" s="311" t="s">
        <v>733</v>
      </c>
      <c r="NN6" s="311" t="s">
        <v>733</v>
      </c>
      <c r="NO6" s="311" t="s">
        <v>733</v>
      </c>
      <c r="NP6" s="311" t="s">
        <v>733</v>
      </c>
      <c r="NQ6" s="311" t="s">
        <v>733</v>
      </c>
      <c r="NR6" s="311"/>
      <c r="NS6" s="311" t="s">
        <v>733</v>
      </c>
      <c r="NT6" s="311" t="s">
        <v>733</v>
      </c>
      <c r="NU6" s="311" t="s">
        <v>733</v>
      </c>
      <c r="NV6" s="311" t="s">
        <v>733</v>
      </c>
      <c r="NW6" s="311" t="s">
        <v>733</v>
      </c>
      <c r="NX6" s="311" t="s">
        <v>733</v>
      </c>
      <c r="NY6" s="311" t="s">
        <v>733</v>
      </c>
      <c r="NZ6" s="311" t="s">
        <v>733</v>
      </c>
      <c r="OA6" s="311" t="s">
        <v>733</v>
      </c>
      <c r="OB6" s="311" t="s">
        <v>733</v>
      </c>
      <c r="OC6" s="311" t="s">
        <v>733</v>
      </c>
      <c r="OD6" s="311" t="s">
        <v>733</v>
      </c>
      <c r="OE6" s="311" t="s">
        <v>733</v>
      </c>
      <c r="OF6" s="311" t="s">
        <v>733</v>
      </c>
      <c r="OG6" s="311" t="s">
        <v>733</v>
      </c>
      <c r="OH6" s="311" t="s">
        <v>733</v>
      </c>
      <c r="OI6" s="311" t="s">
        <v>733</v>
      </c>
      <c r="OJ6" s="311"/>
      <c r="OK6" s="311" t="s">
        <v>733</v>
      </c>
      <c r="OL6" s="311" t="s">
        <v>733</v>
      </c>
      <c r="OM6" s="311" t="s">
        <v>733</v>
      </c>
      <c r="ON6" s="311" t="s">
        <v>733</v>
      </c>
      <c r="OO6" s="311" t="s">
        <v>733</v>
      </c>
      <c r="OP6" s="311" t="s">
        <v>733</v>
      </c>
      <c r="OQ6" s="311" t="s">
        <v>733</v>
      </c>
      <c r="OR6" s="311" t="s">
        <v>733</v>
      </c>
      <c r="OS6" s="311" t="s">
        <v>733</v>
      </c>
      <c r="OT6" s="311" t="s">
        <v>733</v>
      </c>
      <c r="OU6" s="311" t="s">
        <v>733</v>
      </c>
      <c r="OV6" s="311" t="s">
        <v>733</v>
      </c>
      <c r="OW6" s="311" t="s">
        <v>733</v>
      </c>
      <c r="OX6" s="311" t="s">
        <v>733</v>
      </c>
      <c r="OY6" s="311" t="s">
        <v>733</v>
      </c>
      <c r="OZ6" s="311" t="s">
        <v>733</v>
      </c>
      <c r="PA6" s="311" t="s">
        <v>733</v>
      </c>
      <c r="PB6" s="311" t="s">
        <v>733</v>
      </c>
      <c r="PC6" s="311" t="s">
        <v>733</v>
      </c>
      <c r="PD6" s="311" t="s">
        <v>733</v>
      </c>
      <c r="PE6" s="311" t="s">
        <v>733</v>
      </c>
      <c r="PF6" s="311" t="s">
        <v>733</v>
      </c>
      <c r="PG6" s="311" t="s">
        <v>733</v>
      </c>
      <c r="PH6" s="311" t="s">
        <v>733</v>
      </c>
      <c r="PI6" s="311" t="s">
        <v>733</v>
      </c>
      <c r="PJ6" s="311" t="s">
        <v>733</v>
      </c>
      <c r="PK6" s="311" t="s">
        <v>733</v>
      </c>
      <c r="PL6" s="311" t="s">
        <v>733</v>
      </c>
      <c r="PM6" s="311" t="s">
        <v>733</v>
      </c>
      <c r="PN6" s="311" t="s">
        <v>733</v>
      </c>
      <c r="PO6" s="311" t="s">
        <v>733</v>
      </c>
      <c r="PP6" s="311" t="s">
        <v>733</v>
      </c>
      <c r="PQ6" s="311" t="s">
        <v>733</v>
      </c>
      <c r="PR6" s="311" t="s">
        <v>733</v>
      </c>
      <c r="PS6" s="311" t="s">
        <v>733</v>
      </c>
      <c r="PT6" s="311" t="s">
        <v>733</v>
      </c>
      <c r="PU6" s="311" t="s">
        <v>733</v>
      </c>
      <c r="PV6" s="311" t="s">
        <v>733</v>
      </c>
      <c r="PW6" s="311" t="s">
        <v>733</v>
      </c>
      <c r="PX6" s="311" t="s">
        <v>733</v>
      </c>
      <c r="PY6" s="444" t="s">
        <v>1012</v>
      </c>
      <c r="PZ6" s="311" t="s">
        <v>733</v>
      </c>
      <c r="QA6" s="311" t="s">
        <v>733</v>
      </c>
      <c r="QB6" s="311" t="s">
        <v>733</v>
      </c>
      <c r="QC6" s="311" t="s">
        <v>733</v>
      </c>
      <c r="QD6" s="435"/>
      <c r="QE6" s="435"/>
      <c r="QF6" s="435"/>
      <c r="QG6" s="435"/>
      <c r="QH6" s="153" t="s">
        <v>345</v>
      </c>
      <c r="QI6" s="153" t="s">
        <v>345</v>
      </c>
      <c r="QJ6" s="153" t="s">
        <v>345</v>
      </c>
      <c r="QK6" s="153" t="s">
        <v>345</v>
      </c>
      <c r="QL6" s="153" t="s">
        <v>345</v>
      </c>
      <c r="QM6" s="153" t="s">
        <v>345</v>
      </c>
      <c r="QN6" s="153" t="s">
        <v>345</v>
      </c>
      <c r="QO6" s="153" t="s">
        <v>345</v>
      </c>
      <c r="QP6" s="153" t="s">
        <v>345</v>
      </c>
      <c r="QQ6" s="153" t="s">
        <v>345</v>
      </c>
      <c r="QR6" s="153" t="s">
        <v>345</v>
      </c>
      <c r="QS6" s="153" t="s">
        <v>345</v>
      </c>
      <c r="QT6" s="153" t="s">
        <v>345</v>
      </c>
      <c r="QU6" s="153" t="s">
        <v>345</v>
      </c>
      <c r="QV6" s="153" t="s">
        <v>345</v>
      </c>
      <c r="QW6" s="153" t="s">
        <v>345</v>
      </c>
      <c r="QX6" s="311" t="s">
        <v>733</v>
      </c>
      <c r="QY6" s="311" t="s">
        <v>733</v>
      </c>
      <c r="QZ6" s="311" t="s">
        <v>733</v>
      </c>
      <c r="RA6" s="311" t="s">
        <v>733</v>
      </c>
      <c r="RB6" s="311" t="s">
        <v>733</v>
      </c>
      <c r="RC6" s="311" t="s">
        <v>733</v>
      </c>
      <c r="RD6" s="311" t="s">
        <v>733</v>
      </c>
      <c r="RE6" s="311" t="s">
        <v>733</v>
      </c>
      <c r="RF6" s="311"/>
      <c r="RG6" s="152" t="s">
        <v>839</v>
      </c>
      <c r="RH6" s="152" t="s">
        <v>839</v>
      </c>
      <c r="RI6" s="152" t="s">
        <v>839</v>
      </c>
      <c r="RJ6" s="152" t="s">
        <v>839</v>
      </c>
      <c r="RK6" s="152" t="s">
        <v>839</v>
      </c>
      <c r="RL6" s="152" t="s">
        <v>839</v>
      </c>
      <c r="RM6" s="152" t="s">
        <v>839</v>
      </c>
      <c r="RN6" s="152" t="s">
        <v>839</v>
      </c>
      <c r="RO6" s="152" t="s">
        <v>839</v>
      </c>
      <c r="RP6" s="152" t="s">
        <v>839</v>
      </c>
      <c r="RQ6" s="152" t="s">
        <v>839</v>
      </c>
      <c r="RR6" s="152" t="s">
        <v>839</v>
      </c>
      <c r="RS6" s="152" t="s">
        <v>839</v>
      </c>
      <c r="RT6" s="152" t="s">
        <v>839</v>
      </c>
      <c r="RU6" s="152" t="s">
        <v>839</v>
      </c>
      <c r="RV6" s="152" t="s">
        <v>839</v>
      </c>
      <c r="RW6" s="152" t="s">
        <v>839</v>
      </c>
      <c r="RX6" s="152" t="s">
        <v>839</v>
      </c>
      <c r="RY6" s="152" t="s">
        <v>839</v>
      </c>
      <c r="RZ6" s="156" t="s">
        <v>686</v>
      </c>
      <c r="SA6" s="156" t="s">
        <v>686</v>
      </c>
      <c r="SB6" s="529" t="s">
        <v>1693</v>
      </c>
      <c r="SC6" s="529" t="s">
        <v>1693</v>
      </c>
      <c r="SD6" s="226" t="s">
        <v>674</v>
      </c>
      <c r="SE6" s="226" t="s">
        <v>674</v>
      </c>
      <c r="SF6" s="226" t="s">
        <v>674</v>
      </c>
      <c r="SG6" s="226" t="s">
        <v>674</v>
      </c>
      <c r="SH6" s="226" t="s">
        <v>674</v>
      </c>
      <c r="SI6" s="226" t="s">
        <v>674</v>
      </c>
      <c r="SJ6" s="226" t="s">
        <v>674</v>
      </c>
      <c r="SK6" s="226" t="s">
        <v>674</v>
      </c>
      <c r="SL6" s="226" t="s">
        <v>674</v>
      </c>
      <c r="SM6" s="226" t="s">
        <v>674</v>
      </c>
      <c r="SN6" s="226" t="s">
        <v>674</v>
      </c>
      <c r="SO6" s="154" t="s">
        <v>347</v>
      </c>
      <c r="SP6" s="154" t="s">
        <v>347</v>
      </c>
      <c r="SQ6" s="154" t="s">
        <v>347</v>
      </c>
      <c r="SR6" s="154" t="s">
        <v>347</v>
      </c>
      <c r="SS6" s="154" t="s">
        <v>347</v>
      </c>
      <c r="SU6" s="154" t="s">
        <v>347</v>
      </c>
      <c r="SV6" s="154" t="s">
        <v>347</v>
      </c>
      <c r="SW6" s="287" t="s">
        <v>792</v>
      </c>
      <c r="SX6" s="287" t="s">
        <v>792</v>
      </c>
      <c r="SY6" s="287" t="s">
        <v>792</v>
      </c>
      <c r="SZ6" s="154" t="s">
        <v>347</v>
      </c>
      <c r="TA6" s="154" t="s">
        <v>347</v>
      </c>
      <c r="TB6" s="154" t="s">
        <v>347</v>
      </c>
      <c r="TC6" s="154" t="s">
        <v>347</v>
      </c>
      <c r="TD6" s="154" t="s">
        <v>347</v>
      </c>
      <c r="TE6" s="154"/>
      <c r="TF6" s="154" t="s">
        <v>347</v>
      </c>
      <c r="TG6" s="154" t="s">
        <v>347</v>
      </c>
      <c r="TH6" s="154" t="s">
        <v>347</v>
      </c>
      <c r="TI6" s="262" t="s">
        <v>637</v>
      </c>
      <c r="TJ6" s="262" t="s">
        <v>637</v>
      </c>
      <c r="TK6" s="262" t="s">
        <v>637</v>
      </c>
      <c r="TL6" s="262" t="s">
        <v>637</v>
      </c>
      <c r="TM6" s="262" t="s">
        <v>637</v>
      </c>
      <c r="TN6" s="262" t="s">
        <v>637</v>
      </c>
      <c r="TO6" s="262" t="s">
        <v>637</v>
      </c>
      <c r="TP6" s="262" t="s">
        <v>637</v>
      </c>
      <c r="TQ6" s="262" t="s">
        <v>637</v>
      </c>
      <c r="TR6" s="262" t="s">
        <v>637</v>
      </c>
      <c r="TS6" s="262" t="s">
        <v>637</v>
      </c>
      <c r="TT6" s="262" t="s">
        <v>637</v>
      </c>
      <c r="TU6" s="262" t="s">
        <v>637</v>
      </c>
      <c r="TV6" s="262" t="s">
        <v>637</v>
      </c>
      <c r="TW6" s="262" t="s">
        <v>637</v>
      </c>
      <c r="TX6" s="262" t="s">
        <v>637</v>
      </c>
      <c r="TY6" s="262" t="s">
        <v>637</v>
      </c>
      <c r="TZ6" s="262" t="s">
        <v>637</v>
      </c>
      <c r="UA6" s="262" t="s">
        <v>637</v>
      </c>
      <c r="UB6" s="262" t="s">
        <v>637</v>
      </c>
      <c r="UC6" s="262" t="s">
        <v>637</v>
      </c>
      <c r="UD6" s="262" t="s">
        <v>637</v>
      </c>
      <c r="UE6" s="262" t="s">
        <v>637</v>
      </c>
      <c r="UF6" s="262" t="s">
        <v>637</v>
      </c>
      <c r="UG6" s="262"/>
      <c r="UH6" s="262"/>
      <c r="UI6" s="262" t="s">
        <v>637</v>
      </c>
      <c r="UJ6" s="262"/>
      <c r="UK6" s="262" t="s">
        <v>637</v>
      </c>
      <c r="UL6" s="262" t="s">
        <v>637</v>
      </c>
      <c r="UM6" s="262" t="s">
        <v>637</v>
      </c>
      <c r="UN6" s="262" t="s">
        <v>637</v>
      </c>
      <c r="UO6" s="262" t="s">
        <v>637</v>
      </c>
      <c r="UP6" s="7"/>
      <c r="UQ6" s="7"/>
      <c r="UR6" s="7"/>
      <c r="US6" s="7"/>
      <c r="UT6" s="262" t="s">
        <v>637</v>
      </c>
      <c r="UU6" s="262"/>
      <c r="UV6" s="262" t="s">
        <v>637</v>
      </c>
      <c r="UW6" s="262" t="s">
        <v>637</v>
      </c>
      <c r="UX6" s="262" t="s">
        <v>637</v>
      </c>
      <c r="UY6" s="262" t="s">
        <v>637</v>
      </c>
      <c r="UZ6" s="361"/>
      <c r="VA6" s="361"/>
      <c r="VB6" s="263" t="s">
        <v>638</v>
      </c>
      <c r="VC6" s="263" t="s">
        <v>638</v>
      </c>
      <c r="VD6" s="264" t="s">
        <v>161</v>
      </c>
      <c r="VE6" s="264" t="s">
        <v>162</v>
      </c>
      <c r="VF6" s="264" t="s">
        <v>163</v>
      </c>
      <c r="VG6" s="264" t="s">
        <v>164</v>
      </c>
      <c r="VH6" s="263" t="s">
        <v>638</v>
      </c>
      <c r="VI6" s="263"/>
      <c r="VJ6" s="263" t="s">
        <v>638</v>
      </c>
      <c r="VK6" s="263" t="s">
        <v>638</v>
      </c>
      <c r="VL6" s="263" t="s">
        <v>638</v>
      </c>
      <c r="VM6" s="263" t="s">
        <v>638</v>
      </c>
      <c r="VN6" s="263" t="s">
        <v>638</v>
      </c>
      <c r="VO6" s="264" t="s">
        <v>166</v>
      </c>
      <c r="VP6" s="264" t="s">
        <v>167</v>
      </c>
      <c r="VQ6" s="264" t="s">
        <v>168</v>
      </c>
      <c r="VR6" s="264" t="s">
        <v>169</v>
      </c>
      <c r="VS6" s="264" t="s">
        <v>166</v>
      </c>
      <c r="VT6" s="264" t="s">
        <v>167</v>
      </c>
      <c r="VU6" s="264" t="s">
        <v>168</v>
      </c>
      <c r="VV6" s="264" t="s">
        <v>169</v>
      </c>
      <c r="WF6" s="363" t="s">
        <v>291</v>
      </c>
      <c r="WG6" s="363" t="s">
        <v>291</v>
      </c>
      <c r="WH6" s="363" t="s">
        <v>291</v>
      </c>
      <c r="WI6" s="363"/>
      <c r="WJ6" s="363"/>
      <c r="WK6" s="363" t="s">
        <v>291</v>
      </c>
      <c r="WL6" s="364" t="s">
        <v>291</v>
      </c>
      <c r="WM6" s="363" t="s">
        <v>291</v>
      </c>
      <c r="WN6" s="363" t="s">
        <v>291</v>
      </c>
      <c r="WO6" s="363" t="s">
        <v>291</v>
      </c>
      <c r="WP6" s="363" t="s">
        <v>792</v>
      </c>
      <c r="WQ6" s="363"/>
      <c r="WR6" s="363" t="s">
        <v>792</v>
      </c>
      <c r="WS6" s="363" t="s">
        <v>792</v>
      </c>
      <c r="WT6" s="363" t="s">
        <v>792</v>
      </c>
      <c r="WU6" s="363" t="s">
        <v>792</v>
      </c>
      <c r="WV6" s="363"/>
      <c r="WW6" s="363" t="s">
        <v>792</v>
      </c>
      <c r="WX6" s="363" t="s">
        <v>792</v>
      </c>
      <c r="WY6" s="363"/>
      <c r="WZ6" s="363"/>
      <c r="XA6" s="363" t="s">
        <v>792</v>
      </c>
      <c r="XB6" s="363" t="s">
        <v>792</v>
      </c>
      <c r="XC6" s="363" t="s">
        <v>792</v>
      </c>
      <c r="XD6" s="363" t="s">
        <v>792</v>
      </c>
      <c r="XE6" s="363"/>
      <c r="XQ6" s="361"/>
      <c r="XR6" s="361"/>
      <c r="XS6" s="281" t="s">
        <v>792</v>
      </c>
      <c r="XT6" s="281" t="s">
        <v>792</v>
      </c>
      <c r="XU6" s="281" t="s">
        <v>792</v>
      </c>
      <c r="XV6" s="281"/>
      <c r="XW6" s="281" t="s">
        <v>792</v>
      </c>
      <c r="XX6" s="281" t="s">
        <v>792</v>
      </c>
      <c r="XY6" s="281" t="s">
        <v>792</v>
      </c>
      <c r="XZ6" s="281" t="s">
        <v>792</v>
      </c>
      <c r="YA6" s="281" t="s">
        <v>792</v>
      </c>
      <c r="YB6" s="281" t="s">
        <v>792</v>
      </c>
      <c r="YC6" s="281" t="s">
        <v>792</v>
      </c>
      <c r="YD6" s="281" t="s">
        <v>792</v>
      </c>
      <c r="YE6" s="281" t="s">
        <v>792</v>
      </c>
      <c r="YF6" s="281" t="s">
        <v>792</v>
      </c>
      <c r="YG6" s="281" t="s">
        <v>792</v>
      </c>
      <c r="YH6" s="281"/>
      <c r="YI6" s="281"/>
      <c r="YJ6" s="281" t="s">
        <v>792</v>
      </c>
      <c r="YK6" s="281" t="s">
        <v>792</v>
      </c>
      <c r="YL6" s="281" t="s">
        <v>792</v>
      </c>
      <c r="YM6" s="581"/>
      <c r="YN6" s="581"/>
      <c r="YO6" s="281"/>
      <c r="YP6" s="281"/>
      <c r="YQ6" s="281"/>
      <c r="YR6" s="281"/>
      <c r="YS6" s="281"/>
      <c r="YT6" s="581"/>
    </row>
    <row r="7" spans="1:670" s="50" customFormat="1" ht="97.85" x14ac:dyDescent="0.2">
      <c r="A7" s="50" t="s">
        <v>18</v>
      </c>
      <c r="B7" s="50">
        <v>22386400</v>
      </c>
      <c r="AD7" s="361"/>
      <c r="AE7" s="50" t="s">
        <v>1298</v>
      </c>
      <c r="AF7" s="50" t="s">
        <v>1299</v>
      </c>
      <c r="AO7" s="50" t="s">
        <v>693</v>
      </c>
      <c r="AP7" s="50" t="s">
        <v>1300</v>
      </c>
      <c r="AQ7" s="50" t="s">
        <v>1694</v>
      </c>
      <c r="AR7" s="50" t="s">
        <v>1301</v>
      </c>
      <c r="AS7" s="50" t="s">
        <v>694</v>
      </c>
      <c r="AT7" s="50" t="s">
        <v>1695</v>
      </c>
      <c r="AU7" s="50" t="s">
        <v>1303</v>
      </c>
      <c r="AV7" s="50" t="s">
        <v>1304</v>
      </c>
      <c r="AW7" s="50" t="s">
        <v>1305</v>
      </c>
      <c r="AX7" s="50" t="s">
        <v>1306</v>
      </c>
      <c r="AY7" s="50" t="s">
        <v>1307</v>
      </c>
      <c r="AZ7" s="50" t="s">
        <v>1308</v>
      </c>
      <c r="BA7" s="50" t="s">
        <v>1309</v>
      </c>
      <c r="BB7" s="50" t="s">
        <v>1310</v>
      </c>
      <c r="BC7" s="50" t="s">
        <v>1311</v>
      </c>
      <c r="BD7" s="50" t="s">
        <v>1312</v>
      </c>
      <c r="BE7" s="50" t="s">
        <v>1313</v>
      </c>
      <c r="BF7" s="50" t="s">
        <v>1314</v>
      </c>
      <c r="BG7" s="50" t="s">
        <v>1315</v>
      </c>
      <c r="BH7" s="50" t="s">
        <v>1316</v>
      </c>
      <c r="BI7" s="50" t="s">
        <v>1317</v>
      </c>
      <c r="BJ7" s="50" t="s">
        <v>1318</v>
      </c>
      <c r="BK7" s="50" t="s">
        <v>942</v>
      </c>
      <c r="BO7" s="50" t="s">
        <v>664</v>
      </c>
      <c r="BP7" s="50" t="s">
        <v>664</v>
      </c>
      <c r="BQ7" s="50" t="s">
        <v>665</v>
      </c>
      <c r="BR7" s="50" t="s">
        <v>665</v>
      </c>
      <c r="BS7" s="50" t="s">
        <v>654</v>
      </c>
      <c r="BT7" s="50" t="s">
        <v>654</v>
      </c>
      <c r="BU7" s="50" t="s">
        <v>666</v>
      </c>
      <c r="BV7" s="50" t="s">
        <v>666</v>
      </c>
      <c r="BW7" s="50" t="s">
        <v>655</v>
      </c>
      <c r="BX7" s="50" t="s">
        <v>655</v>
      </c>
      <c r="BY7" s="50" t="s">
        <v>2747</v>
      </c>
      <c r="BZ7" s="50" t="s">
        <v>656</v>
      </c>
      <c r="CA7" s="52" t="s">
        <v>780</v>
      </c>
      <c r="CB7" s="52" t="s">
        <v>779</v>
      </c>
      <c r="CC7" s="52" t="s">
        <v>134</v>
      </c>
      <c r="CD7" s="50" t="s">
        <v>810</v>
      </c>
      <c r="CE7" s="445" t="s">
        <v>1320</v>
      </c>
      <c r="CJ7" s="50" t="s">
        <v>1321</v>
      </c>
      <c r="CK7" s="50" t="s">
        <v>1322</v>
      </c>
      <c r="CL7" s="50" t="s">
        <v>1323</v>
      </c>
      <c r="CM7" s="50" t="s">
        <v>2773</v>
      </c>
      <c r="CN7" s="50" t="s">
        <v>2772</v>
      </c>
      <c r="CO7" s="50" t="s">
        <v>667</v>
      </c>
      <c r="CP7" s="50" t="s">
        <v>668</v>
      </c>
      <c r="CQ7" s="50" t="s">
        <v>137</v>
      </c>
      <c r="CR7" s="445" t="s">
        <v>1324</v>
      </c>
      <c r="CS7" s="50" t="s">
        <v>680</v>
      </c>
      <c r="CT7" s="50" t="s">
        <v>1324</v>
      </c>
      <c r="CU7" s="50" t="s">
        <v>589</v>
      </c>
      <c r="CV7" s="50" t="s">
        <v>138</v>
      </c>
      <c r="CW7" s="155" t="s">
        <v>1325</v>
      </c>
      <c r="CX7" s="50" t="s">
        <v>658</v>
      </c>
      <c r="CY7" s="50" t="s">
        <v>870</v>
      </c>
      <c r="CZ7" s="50" t="s">
        <v>659</v>
      </c>
      <c r="DA7" s="155" t="s">
        <v>1326</v>
      </c>
      <c r="DB7" s="155" t="s">
        <v>1327</v>
      </c>
      <c r="DC7" s="155" t="s">
        <v>1328</v>
      </c>
      <c r="DD7" s="155" t="s">
        <v>1329</v>
      </c>
      <c r="DG7" s="50" t="s">
        <v>1696</v>
      </c>
      <c r="DO7" s="50" t="s">
        <v>675</v>
      </c>
      <c r="DP7" s="50" t="s">
        <v>773</v>
      </c>
      <c r="DQ7" s="50" t="s">
        <v>774</v>
      </c>
      <c r="DS7" s="50" t="s">
        <v>775</v>
      </c>
      <c r="DT7" s="50" t="s">
        <v>675</v>
      </c>
      <c r="DU7" s="50" t="s">
        <v>773</v>
      </c>
      <c r="DV7" s="50" t="s">
        <v>774</v>
      </c>
      <c r="DW7" s="50" t="s">
        <v>675</v>
      </c>
      <c r="DX7" s="50" t="s">
        <v>773</v>
      </c>
      <c r="DY7" s="50" t="s">
        <v>774</v>
      </c>
      <c r="EH7" s="50" t="s">
        <v>675</v>
      </c>
      <c r="EI7" s="50" t="s">
        <v>773</v>
      </c>
      <c r="EJ7" s="50" t="s">
        <v>774</v>
      </c>
      <c r="EK7" s="50" t="s">
        <v>1334</v>
      </c>
      <c r="EL7" s="50" t="s">
        <v>1335</v>
      </c>
      <c r="EQ7" s="50" t="s">
        <v>258</v>
      </c>
      <c r="ER7" s="50" t="s">
        <v>660</v>
      </c>
      <c r="ES7" s="50" t="s">
        <v>1341</v>
      </c>
      <c r="ET7" s="50" t="s">
        <v>1342</v>
      </c>
      <c r="EU7" s="50" t="s">
        <v>1343</v>
      </c>
      <c r="EV7" s="50" t="s">
        <v>869</v>
      </c>
      <c r="EW7" s="50" t="s">
        <v>1344</v>
      </c>
      <c r="EX7" s="52" t="s">
        <v>1345</v>
      </c>
      <c r="EY7" s="52" t="s">
        <v>747</v>
      </c>
      <c r="EZ7" s="50" t="s">
        <v>232</v>
      </c>
      <c r="FA7" s="50" t="s">
        <v>830</v>
      </c>
      <c r="FB7" s="50" t="s">
        <v>888</v>
      </c>
      <c r="FC7" s="50" t="s">
        <v>889</v>
      </c>
      <c r="FD7" s="50" t="s">
        <v>1346</v>
      </c>
      <c r="FE7" s="50" t="s">
        <v>1347</v>
      </c>
      <c r="FF7" s="50" t="s">
        <v>1348</v>
      </c>
      <c r="FG7" s="50" t="s">
        <v>219</v>
      </c>
      <c r="FH7" s="50" t="s">
        <v>829</v>
      </c>
      <c r="FI7" s="50" t="s">
        <v>622</v>
      </c>
      <c r="FJ7" s="50" t="s">
        <v>233</v>
      </c>
      <c r="FK7" s="50" t="s">
        <v>828</v>
      </c>
      <c r="FL7" s="50" t="s">
        <v>181</v>
      </c>
      <c r="FM7" s="50" t="s">
        <v>827</v>
      </c>
      <c r="FN7" s="50" t="s">
        <v>872</v>
      </c>
      <c r="FO7" s="50" t="s">
        <v>865</v>
      </c>
      <c r="FP7" s="50" t="s">
        <v>258</v>
      </c>
      <c r="FQ7" s="50" t="s">
        <v>660</v>
      </c>
      <c r="FR7" s="50" t="s">
        <v>1350</v>
      </c>
      <c r="FS7" s="50" t="s">
        <v>1341</v>
      </c>
      <c r="FT7" s="50" t="s">
        <v>1351</v>
      </c>
      <c r="FU7" s="50" t="s">
        <v>255</v>
      </c>
      <c r="FV7" s="50" t="s">
        <v>186</v>
      </c>
      <c r="FW7" s="50" t="s">
        <v>832</v>
      </c>
      <c r="FX7" s="50" t="s">
        <v>661</v>
      </c>
      <c r="FY7" s="50" t="s">
        <v>193</v>
      </c>
      <c r="FZ7" s="50" t="s">
        <v>824</v>
      </c>
      <c r="GA7" s="50" t="s">
        <v>1352</v>
      </c>
      <c r="GB7" s="50" t="s">
        <v>184</v>
      </c>
      <c r="GC7" s="50" t="s">
        <v>825</v>
      </c>
      <c r="GD7" s="50" t="s">
        <v>826</v>
      </c>
      <c r="GE7" s="50" t="s">
        <v>185</v>
      </c>
      <c r="GF7" s="50" t="s">
        <v>836</v>
      </c>
      <c r="GG7" s="50" t="s">
        <v>215</v>
      </c>
      <c r="GH7" s="50" t="s">
        <v>180</v>
      </c>
      <c r="GI7" s="50" t="s">
        <v>1358</v>
      </c>
      <c r="GJ7" s="50" t="s">
        <v>1089</v>
      </c>
      <c r="GK7" s="50" t="s">
        <v>1153</v>
      </c>
      <c r="GL7" s="50" t="s">
        <v>356</v>
      </c>
      <c r="GM7" s="50" t="s">
        <v>911</v>
      </c>
      <c r="GN7" s="50" t="s">
        <v>315</v>
      </c>
      <c r="GO7" s="50" t="s">
        <v>663</v>
      </c>
      <c r="GP7" s="50" t="s">
        <v>1359</v>
      </c>
      <c r="GQ7" s="155" t="s">
        <v>1360</v>
      </c>
      <c r="GR7" s="50" t="s">
        <v>170</v>
      </c>
      <c r="GS7" s="50" t="s">
        <v>2748</v>
      </c>
      <c r="GT7" s="50" t="s">
        <v>763</v>
      </c>
      <c r="GU7" s="50" t="s">
        <v>765</v>
      </c>
      <c r="GV7" s="50" t="s">
        <v>173</v>
      </c>
      <c r="GW7" s="50" t="s">
        <v>176</v>
      </c>
      <c r="GX7" s="50" t="s">
        <v>778</v>
      </c>
      <c r="GY7" s="50" t="s">
        <v>1361</v>
      </c>
      <c r="GZ7" s="50" t="s">
        <v>1362</v>
      </c>
      <c r="HA7" s="50" t="s">
        <v>157</v>
      </c>
      <c r="HB7" s="6"/>
      <c r="HC7" s="50" t="s">
        <v>121</v>
      </c>
      <c r="HD7" s="50" t="s">
        <v>657</v>
      </c>
      <c r="HE7" s="50" t="s">
        <v>769</v>
      </c>
      <c r="HF7" s="50" t="s">
        <v>776</v>
      </c>
      <c r="HG7" s="50" t="s">
        <v>777</v>
      </c>
      <c r="HH7" s="50" t="s">
        <v>591</v>
      </c>
      <c r="HI7" s="50" t="s">
        <v>1364</v>
      </c>
      <c r="HJ7" s="265" t="s">
        <v>1365</v>
      </c>
      <c r="HK7" s="50" t="s">
        <v>592</v>
      </c>
      <c r="HL7" s="50" t="s">
        <v>651</v>
      </c>
      <c r="HM7" s="50" t="s">
        <v>1366</v>
      </c>
      <c r="HN7" s="265" t="s">
        <v>1367</v>
      </c>
      <c r="HO7" s="50" t="s">
        <v>1368</v>
      </c>
      <c r="HP7" s="50" t="s">
        <v>511</v>
      </c>
      <c r="HQ7" s="50" t="s">
        <v>512</v>
      </c>
      <c r="HR7" s="50" t="s">
        <v>1369</v>
      </c>
      <c r="HS7" s="265" t="s">
        <v>1370</v>
      </c>
      <c r="HT7" s="50" t="s">
        <v>172</v>
      </c>
      <c r="HU7" s="50" t="s">
        <v>1371</v>
      </c>
      <c r="HV7" s="104" t="s">
        <v>593</v>
      </c>
      <c r="HW7" s="50" t="s">
        <v>1372</v>
      </c>
      <c r="HX7" s="104" t="s">
        <v>529</v>
      </c>
      <c r="HY7" s="50" t="s">
        <v>1373</v>
      </c>
      <c r="HZ7" s="104" t="s">
        <v>530</v>
      </c>
      <c r="IA7" s="52" t="s">
        <v>758</v>
      </c>
      <c r="IB7" s="52" t="s">
        <v>1374</v>
      </c>
      <c r="IC7" s="52" t="s">
        <v>1832</v>
      </c>
      <c r="ID7" s="52" t="s">
        <v>1833</v>
      </c>
      <c r="IE7" s="52" t="s">
        <v>1834</v>
      </c>
      <c r="IF7" s="50" t="s">
        <v>174</v>
      </c>
      <c r="IG7" s="50" t="s">
        <v>535</v>
      </c>
      <c r="IH7" s="50" t="s">
        <v>1375</v>
      </c>
      <c r="II7" s="50" t="s">
        <v>1376</v>
      </c>
      <c r="IJ7" s="52" t="s">
        <v>1051</v>
      </c>
      <c r="IL7" s="50" t="s">
        <v>1377</v>
      </c>
      <c r="IM7" s="50" t="s">
        <v>1378</v>
      </c>
      <c r="IN7" s="50" t="s">
        <v>1379</v>
      </c>
      <c r="IO7" s="50" t="s">
        <v>1380</v>
      </c>
      <c r="IP7" s="50" t="s">
        <v>1381</v>
      </c>
      <c r="IQ7" s="50" t="s">
        <v>1385</v>
      </c>
      <c r="IR7" s="50" t="s">
        <v>1382</v>
      </c>
      <c r="IS7" s="50" t="s">
        <v>1383</v>
      </c>
      <c r="IT7" s="50" t="s">
        <v>1384</v>
      </c>
      <c r="IU7" s="50" t="s">
        <v>1385</v>
      </c>
      <c r="IV7" s="50" t="s">
        <v>1386</v>
      </c>
      <c r="IW7" s="50" t="s">
        <v>1387</v>
      </c>
      <c r="IX7" s="50" t="s">
        <v>1388</v>
      </c>
      <c r="IY7" s="50" t="s">
        <v>1389</v>
      </c>
      <c r="IZ7" s="50" t="s">
        <v>1390</v>
      </c>
      <c r="JA7" s="50" t="s">
        <v>1391</v>
      </c>
      <c r="JB7" s="50" t="s">
        <v>1392</v>
      </c>
      <c r="JD7" s="50" t="s">
        <v>747</v>
      </c>
      <c r="JE7" s="50" t="s">
        <v>630</v>
      </c>
      <c r="JF7" s="50" t="s">
        <v>1393</v>
      </c>
      <c r="JG7" s="50" t="s">
        <v>1394</v>
      </c>
      <c r="JH7" s="50" t="s">
        <v>215</v>
      </c>
      <c r="JI7" s="50" t="s">
        <v>180</v>
      </c>
      <c r="JJ7" s="50" t="s">
        <v>1395</v>
      </c>
      <c r="JK7" s="50" t="s">
        <v>1153</v>
      </c>
      <c r="JL7" s="50" t="s">
        <v>1396</v>
      </c>
      <c r="JM7" s="50" t="s">
        <v>911</v>
      </c>
      <c r="JN7" s="50" t="s">
        <v>1397</v>
      </c>
      <c r="JO7" s="50" t="s">
        <v>1398</v>
      </c>
      <c r="JP7" s="50" t="s">
        <v>315</v>
      </c>
      <c r="JQ7" s="50" t="s">
        <v>663</v>
      </c>
      <c r="JR7" s="50" t="s">
        <v>1399</v>
      </c>
      <c r="JS7" s="50" t="s">
        <v>1400</v>
      </c>
      <c r="JT7" s="50" t="s">
        <v>1401</v>
      </c>
      <c r="JU7" s="50" t="s">
        <v>173</v>
      </c>
      <c r="JV7" s="50" t="s">
        <v>1402</v>
      </c>
      <c r="JW7" s="50" t="s">
        <v>121</v>
      </c>
      <c r="JX7" s="50" t="s">
        <v>1403</v>
      </c>
      <c r="JY7" s="50" t="s">
        <v>769</v>
      </c>
      <c r="JZ7" s="50" t="s">
        <v>318</v>
      </c>
      <c r="KA7" s="50" t="s">
        <v>475</v>
      </c>
      <c r="KB7" s="50" t="s">
        <v>1376</v>
      </c>
      <c r="KC7" s="50" t="s">
        <v>1697</v>
      </c>
      <c r="KD7" s="50" t="s">
        <v>1698</v>
      </c>
      <c r="KE7" s="50" t="s">
        <v>1072</v>
      </c>
      <c r="KF7" s="50" t="s">
        <v>441</v>
      </c>
      <c r="KG7" s="50" t="s">
        <v>538</v>
      </c>
      <c r="KH7" s="50" t="s">
        <v>442</v>
      </c>
      <c r="KK7" s="50" t="s">
        <v>308</v>
      </c>
      <c r="KL7" s="50" t="s">
        <v>309</v>
      </c>
      <c r="KM7" s="50" t="s">
        <v>650</v>
      </c>
      <c r="KN7" s="50" t="s">
        <v>1835</v>
      </c>
      <c r="KO7" s="50" t="s">
        <v>1836</v>
      </c>
      <c r="KP7" s="50" t="s">
        <v>1837</v>
      </c>
      <c r="KQ7" s="50" t="s">
        <v>536</v>
      </c>
      <c r="KR7" s="50" t="s">
        <v>671</v>
      </c>
      <c r="KS7" s="50" t="s">
        <v>537</v>
      </c>
      <c r="KT7" s="50" t="s">
        <v>874</v>
      </c>
      <c r="KU7" s="50" t="s">
        <v>875</v>
      </c>
      <c r="KV7" s="50" t="s">
        <v>2755</v>
      </c>
      <c r="KW7" s="50" t="s">
        <v>874</v>
      </c>
      <c r="KX7" s="50" t="s">
        <v>1042</v>
      </c>
      <c r="KY7" s="50" t="s">
        <v>1042</v>
      </c>
      <c r="KZ7" s="50" t="s">
        <v>2754</v>
      </c>
      <c r="LA7" s="50" t="s">
        <v>306</v>
      </c>
      <c r="LB7" s="50" t="s">
        <v>642</v>
      </c>
      <c r="LC7" s="50" t="s">
        <v>307</v>
      </c>
      <c r="LD7" s="50" t="s">
        <v>643</v>
      </c>
      <c r="LE7" s="50" t="s">
        <v>644</v>
      </c>
      <c r="LF7" s="50" t="s">
        <v>1405</v>
      </c>
      <c r="LG7" s="50" t="s">
        <v>2756</v>
      </c>
      <c r="LH7" s="50" t="s">
        <v>2757</v>
      </c>
      <c r="LL7" s="50" t="s">
        <v>640</v>
      </c>
      <c r="LM7" s="50" t="s">
        <v>2754</v>
      </c>
      <c r="LN7" s="50" t="s">
        <v>331</v>
      </c>
      <c r="LO7" s="50" t="s">
        <v>1406</v>
      </c>
      <c r="LP7" s="50" t="s">
        <v>1407</v>
      </c>
      <c r="LQ7" s="50" t="s">
        <v>1408</v>
      </c>
      <c r="LR7" s="50" t="s">
        <v>1407</v>
      </c>
      <c r="LS7" s="50" t="s">
        <v>1408</v>
      </c>
      <c r="LT7" s="50" t="s">
        <v>1407</v>
      </c>
      <c r="LU7" s="50" t="s">
        <v>1408</v>
      </c>
      <c r="LV7" s="50" t="s">
        <v>1409</v>
      </c>
      <c r="LW7" s="50" t="s">
        <v>772</v>
      </c>
      <c r="LX7" s="50" t="s">
        <v>1410</v>
      </c>
      <c r="LY7" s="50" t="s">
        <v>1411</v>
      </c>
      <c r="LZ7" s="50" t="s">
        <v>1412</v>
      </c>
      <c r="MA7" s="50" t="s">
        <v>1413</v>
      </c>
      <c r="MB7" s="50" t="s">
        <v>1414</v>
      </c>
      <c r="MC7" s="50" t="s">
        <v>1415</v>
      </c>
      <c r="MD7" s="50" t="s">
        <v>1416</v>
      </c>
      <c r="ME7" s="50" t="s">
        <v>1417</v>
      </c>
      <c r="MF7" s="50" t="s">
        <v>1418</v>
      </c>
      <c r="MG7" s="50" t="s">
        <v>1419</v>
      </c>
      <c r="MH7" s="50" t="s">
        <v>1420</v>
      </c>
      <c r="MI7" s="50" t="s">
        <v>1421</v>
      </c>
      <c r="MJ7" s="50" t="s">
        <v>458</v>
      </c>
      <c r="MK7" s="50" t="s">
        <v>459</v>
      </c>
      <c r="ML7" s="50" t="s">
        <v>338</v>
      </c>
      <c r="MM7" s="52" t="s">
        <v>1422</v>
      </c>
      <c r="MN7" s="52" t="s">
        <v>1150</v>
      </c>
      <c r="MO7" s="50" t="s">
        <v>1153</v>
      </c>
      <c r="MP7" s="50" t="s">
        <v>315</v>
      </c>
      <c r="MQ7" s="52" t="s">
        <v>1832</v>
      </c>
      <c r="MR7" s="52" t="s">
        <v>1834</v>
      </c>
      <c r="MS7" s="50" t="s">
        <v>663</v>
      </c>
      <c r="MT7" s="50" t="s">
        <v>732</v>
      </c>
      <c r="MU7" s="50" t="s">
        <v>721</v>
      </c>
      <c r="MV7" s="50" t="s">
        <v>535</v>
      </c>
      <c r="MW7" s="52" t="s">
        <v>1150</v>
      </c>
      <c r="MX7" s="52" t="s">
        <v>728</v>
      </c>
      <c r="MY7" s="52" t="s">
        <v>726</v>
      </c>
      <c r="MZ7" s="52" t="s">
        <v>1159</v>
      </c>
      <c r="NA7" s="52" t="s">
        <v>727</v>
      </c>
      <c r="NB7" s="52" t="s">
        <v>900</v>
      </c>
      <c r="NC7" s="52" t="s">
        <v>735</v>
      </c>
      <c r="ND7" s="52" t="s">
        <v>736</v>
      </c>
      <c r="NE7" s="52" t="s">
        <v>737</v>
      </c>
      <c r="NF7" s="52" t="s">
        <v>69</v>
      </c>
      <c r="NG7" s="52" t="s">
        <v>738</v>
      </c>
      <c r="NH7" s="52" t="s">
        <v>740</v>
      </c>
      <c r="NI7" s="52" t="s">
        <v>739</v>
      </c>
      <c r="NJ7" s="52" t="s">
        <v>1699</v>
      </c>
      <c r="NK7" s="52" t="s">
        <v>1700</v>
      </c>
      <c r="NL7" s="52" t="s">
        <v>1701</v>
      </c>
      <c r="NM7" s="52" t="s">
        <v>127</v>
      </c>
      <c r="NN7" s="52" t="s">
        <v>741</v>
      </c>
      <c r="NO7" s="52" t="s">
        <v>143</v>
      </c>
      <c r="NP7" s="52"/>
      <c r="NQ7" s="50" t="s">
        <v>1423</v>
      </c>
      <c r="NR7" s="52" t="s">
        <v>1345</v>
      </c>
      <c r="NS7" s="52" t="s">
        <v>747</v>
      </c>
      <c r="NT7" s="52" t="s">
        <v>748</v>
      </c>
      <c r="NU7" s="52" t="s">
        <v>1424</v>
      </c>
      <c r="NV7" s="52" t="s">
        <v>1425</v>
      </c>
      <c r="NW7" s="52" t="s">
        <v>751</v>
      </c>
      <c r="NX7" s="52" t="s">
        <v>631</v>
      </c>
      <c r="NY7" s="52"/>
      <c r="NZ7" s="52" t="s">
        <v>1426</v>
      </c>
      <c r="OA7" s="50" t="s">
        <v>233</v>
      </c>
      <c r="OB7" s="52" t="s">
        <v>1427</v>
      </c>
      <c r="OC7" s="52" t="s">
        <v>659</v>
      </c>
      <c r="OD7" s="50" t="s">
        <v>186</v>
      </c>
      <c r="OE7" s="50" t="s">
        <v>661</v>
      </c>
      <c r="OF7" s="50" t="s">
        <v>193</v>
      </c>
      <c r="OG7" s="50" t="s">
        <v>231</v>
      </c>
      <c r="OH7" s="50" t="s">
        <v>184</v>
      </c>
      <c r="OI7" s="50" t="s">
        <v>185</v>
      </c>
      <c r="OJ7" s="50" t="s">
        <v>1428</v>
      </c>
      <c r="OK7" s="50" t="s">
        <v>215</v>
      </c>
      <c r="OL7" s="50" t="s">
        <v>180</v>
      </c>
      <c r="OM7" s="52" t="s">
        <v>754</v>
      </c>
      <c r="ON7" s="52" t="s">
        <v>1429</v>
      </c>
      <c r="OO7" s="50" t="s">
        <v>1430</v>
      </c>
      <c r="OP7" s="50" t="s">
        <v>1431</v>
      </c>
      <c r="OQ7" s="50" t="s">
        <v>1432</v>
      </c>
      <c r="OR7" s="50" t="s">
        <v>1203</v>
      </c>
      <c r="OS7" s="50" t="s">
        <v>1433</v>
      </c>
      <c r="OT7" s="50" t="s">
        <v>1434</v>
      </c>
      <c r="OU7" s="50" t="s">
        <v>1203</v>
      </c>
      <c r="OV7" s="50" t="s">
        <v>1435</v>
      </c>
      <c r="OW7" s="50" t="s">
        <v>215</v>
      </c>
      <c r="OX7" s="50" t="s">
        <v>180</v>
      </c>
      <c r="OY7" s="50" t="s">
        <v>904</v>
      </c>
      <c r="OZ7" s="50" t="s">
        <v>903</v>
      </c>
      <c r="PA7" s="50" t="s">
        <v>919</v>
      </c>
      <c r="PB7" s="50" t="s">
        <v>1396</v>
      </c>
      <c r="PC7" s="50" t="s">
        <v>911</v>
      </c>
      <c r="PD7" s="50" t="s">
        <v>921</v>
      </c>
      <c r="PE7" s="50" t="s">
        <v>1436</v>
      </c>
      <c r="PF7" s="50" t="s">
        <v>663</v>
      </c>
      <c r="PG7" s="50" t="s">
        <v>1702</v>
      </c>
      <c r="PH7" s="50" t="s">
        <v>1703</v>
      </c>
      <c r="PI7" s="52" t="s">
        <v>755</v>
      </c>
      <c r="PJ7" s="52" t="s">
        <v>758</v>
      </c>
      <c r="PK7" s="52" t="s">
        <v>759</v>
      </c>
      <c r="PL7" s="52" t="s">
        <v>761</v>
      </c>
      <c r="PM7" s="52" t="s">
        <v>535</v>
      </c>
      <c r="PN7" s="52" t="s">
        <v>1832</v>
      </c>
      <c r="PO7" s="52" t="s">
        <v>1833</v>
      </c>
      <c r="PP7" s="52" t="s">
        <v>1834</v>
      </c>
      <c r="PQ7" s="52" t="s">
        <v>1437</v>
      </c>
      <c r="PR7" s="50" t="s">
        <v>1438</v>
      </c>
      <c r="PS7" s="50" t="s">
        <v>1010</v>
      </c>
      <c r="PT7" s="50" t="s">
        <v>1439</v>
      </c>
      <c r="PU7" s="50" t="s">
        <v>1010</v>
      </c>
      <c r="PV7" s="50" t="s">
        <v>1439</v>
      </c>
      <c r="PW7" s="52" t="s">
        <v>1440</v>
      </c>
      <c r="PX7" s="52" t="s">
        <v>1134</v>
      </c>
      <c r="PY7" s="52" t="s">
        <v>1441</v>
      </c>
      <c r="PZ7" s="52" t="s">
        <v>1442</v>
      </c>
      <c r="QA7" s="52" t="s">
        <v>1443</v>
      </c>
      <c r="QB7" s="52" t="s">
        <v>1443</v>
      </c>
      <c r="QC7" s="52" t="s">
        <v>1443</v>
      </c>
      <c r="QD7" s="52" t="s">
        <v>1444</v>
      </c>
      <c r="QE7" s="52" t="s">
        <v>1445</v>
      </c>
      <c r="QF7" s="52" t="s">
        <v>1445</v>
      </c>
      <c r="QG7" s="52" t="s">
        <v>1446</v>
      </c>
      <c r="QH7" s="52" t="s">
        <v>729</v>
      </c>
      <c r="QI7" s="50" t="s">
        <v>663</v>
      </c>
      <c r="QJ7" s="52" t="s">
        <v>1832</v>
      </c>
      <c r="QK7" s="52" t="s">
        <v>1833</v>
      </c>
      <c r="QL7" s="52" t="s">
        <v>1834</v>
      </c>
      <c r="QM7" s="52" t="s">
        <v>758</v>
      </c>
      <c r="QN7" s="52" t="s">
        <v>759</v>
      </c>
      <c r="QO7" s="50" t="s">
        <v>731</v>
      </c>
      <c r="QP7" s="50" t="s">
        <v>722</v>
      </c>
      <c r="QQ7" s="50" t="s">
        <v>723</v>
      </c>
      <c r="QR7" s="50" t="s">
        <v>1447</v>
      </c>
      <c r="QS7" s="50" t="s">
        <v>1448</v>
      </c>
      <c r="QT7" s="50" t="s">
        <v>1449</v>
      </c>
      <c r="QU7" s="50" t="s">
        <v>1450</v>
      </c>
      <c r="QV7" s="50" t="s">
        <v>724</v>
      </c>
      <c r="QW7" s="50" t="s">
        <v>725</v>
      </c>
      <c r="QX7" s="50" t="s">
        <v>1451</v>
      </c>
      <c r="QY7" s="50" t="s">
        <v>1452</v>
      </c>
      <c r="QZ7" s="50" t="s">
        <v>1453</v>
      </c>
      <c r="RA7" s="50" t="s">
        <v>1454</v>
      </c>
      <c r="RB7" s="50" t="s">
        <v>1455</v>
      </c>
      <c r="RC7" s="50" t="s">
        <v>1456</v>
      </c>
      <c r="RD7" s="50" t="s">
        <v>1457</v>
      </c>
      <c r="RE7" s="50" t="s">
        <v>1458</v>
      </c>
      <c r="RF7" s="50" t="s">
        <v>1459</v>
      </c>
      <c r="RG7" s="50" t="s">
        <v>1704</v>
      </c>
      <c r="RH7" s="50" t="s">
        <v>663</v>
      </c>
      <c r="RI7" s="52" t="s">
        <v>1832</v>
      </c>
      <c r="RJ7" s="52" t="s">
        <v>1833</v>
      </c>
      <c r="RK7" s="52" t="s">
        <v>1834</v>
      </c>
      <c r="RL7" s="52" t="s">
        <v>758</v>
      </c>
      <c r="RM7" s="52" t="s">
        <v>1374</v>
      </c>
      <c r="RN7" s="50" t="s">
        <v>121</v>
      </c>
      <c r="RO7" s="50" t="s">
        <v>121</v>
      </c>
      <c r="RP7" s="50" t="s">
        <v>1705</v>
      </c>
      <c r="RQ7" s="50" t="s">
        <v>1706</v>
      </c>
      <c r="RR7" s="50" t="s">
        <v>1707</v>
      </c>
      <c r="RS7" s="50" t="s">
        <v>1708</v>
      </c>
      <c r="RT7" s="50" t="s">
        <v>1709</v>
      </c>
      <c r="RU7" s="50" t="s">
        <v>1710</v>
      </c>
      <c r="RV7" s="50" t="s">
        <v>1460</v>
      </c>
      <c r="RW7" s="50" t="s">
        <v>1461</v>
      </c>
      <c r="RY7" s="50" t="s">
        <v>1462</v>
      </c>
      <c r="RZ7" s="50" t="s">
        <v>690</v>
      </c>
      <c r="SA7" s="50" t="s">
        <v>691</v>
      </c>
      <c r="SB7" s="50" t="s">
        <v>1711</v>
      </c>
      <c r="SC7" s="50" t="s">
        <v>1712</v>
      </c>
      <c r="SD7" s="50" t="s">
        <v>567</v>
      </c>
      <c r="SE7" s="50" t="s">
        <v>663</v>
      </c>
      <c r="SF7" s="52" t="s">
        <v>1832</v>
      </c>
      <c r="SG7" s="52" t="s">
        <v>1833</v>
      </c>
      <c r="SH7" s="52" t="s">
        <v>1834</v>
      </c>
      <c r="SI7" s="50" t="s">
        <v>1464</v>
      </c>
      <c r="SJ7" s="50" t="s">
        <v>1465</v>
      </c>
      <c r="SK7" s="50" t="s">
        <v>568</v>
      </c>
      <c r="SL7" s="52" t="s">
        <v>535</v>
      </c>
      <c r="SM7" s="50" t="s">
        <v>569</v>
      </c>
      <c r="SN7" s="50" t="s">
        <v>570</v>
      </c>
      <c r="SO7" s="50" t="s">
        <v>571</v>
      </c>
      <c r="SP7" s="50" t="s">
        <v>663</v>
      </c>
      <c r="SQ7" s="52" t="s">
        <v>1832</v>
      </c>
      <c r="SR7" s="52" t="s">
        <v>1833</v>
      </c>
      <c r="SS7" s="52" t="s">
        <v>1834</v>
      </c>
      <c r="ST7" s="50" t="s">
        <v>2750</v>
      </c>
      <c r="SU7" s="50" t="s">
        <v>1713</v>
      </c>
      <c r="SV7" s="50" t="s">
        <v>1714</v>
      </c>
      <c r="SW7" s="50" t="s">
        <v>1790</v>
      </c>
      <c r="SX7" s="50" t="s">
        <v>1786</v>
      </c>
      <c r="SY7" s="50" t="s">
        <v>1787</v>
      </c>
      <c r="SZ7" s="50" t="s">
        <v>573</v>
      </c>
      <c r="TA7" s="50" t="s">
        <v>462</v>
      </c>
      <c r="TB7" s="50" t="s">
        <v>1467</v>
      </c>
      <c r="TC7" s="50" t="s">
        <v>1468</v>
      </c>
      <c r="TD7" s="50" t="s">
        <v>1469</v>
      </c>
      <c r="TE7" s="50" t="s">
        <v>1715</v>
      </c>
      <c r="TG7" s="50" t="s">
        <v>463</v>
      </c>
      <c r="TH7" s="50" t="s">
        <v>464</v>
      </c>
      <c r="TI7" s="50" t="s">
        <v>148</v>
      </c>
      <c r="TJ7" s="50" t="s">
        <v>475</v>
      </c>
      <c r="TK7" s="50" t="s">
        <v>35</v>
      </c>
      <c r="TL7" s="50" t="s">
        <v>42</v>
      </c>
      <c r="TM7" s="50" t="s">
        <v>44</v>
      </c>
      <c r="TN7" s="50" t="s">
        <v>624</v>
      </c>
      <c r="TR7" s="50" t="s">
        <v>1475</v>
      </c>
      <c r="TS7" s="52" t="s">
        <v>1832</v>
      </c>
      <c r="TT7" s="52" t="s">
        <v>1833</v>
      </c>
      <c r="TU7" s="52" t="s">
        <v>1834</v>
      </c>
      <c r="TW7" s="50" t="s">
        <v>149</v>
      </c>
      <c r="TX7" s="50" t="s">
        <v>308</v>
      </c>
      <c r="TY7" s="50" t="s">
        <v>309</v>
      </c>
      <c r="TZ7" s="50" t="s">
        <v>155</v>
      </c>
      <c r="UA7" s="50" t="s">
        <v>1835</v>
      </c>
      <c r="UB7" s="50" t="s">
        <v>1836</v>
      </c>
      <c r="UC7" s="50" t="s">
        <v>1837</v>
      </c>
      <c r="UD7" s="50" t="s">
        <v>177</v>
      </c>
      <c r="UE7" s="50" t="s">
        <v>652</v>
      </c>
      <c r="UF7" s="50" t="s">
        <v>653</v>
      </c>
      <c r="UG7" s="50" t="s">
        <v>652</v>
      </c>
      <c r="UH7" s="50" t="s">
        <v>156</v>
      </c>
      <c r="UI7" s="50" t="s">
        <v>156</v>
      </c>
      <c r="UJ7" s="50" t="s">
        <v>2762</v>
      </c>
      <c r="UK7" s="50" t="s">
        <v>210</v>
      </c>
      <c r="UL7" s="50" t="s">
        <v>646</v>
      </c>
      <c r="UM7" s="50" t="s">
        <v>647</v>
      </c>
      <c r="UN7" s="50" t="s">
        <v>648</v>
      </c>
      <c r="UO7" s="50" t="s">
        <v>649</v>
      </c>
      <c r="UP7" s="50" t="s">
        <v>1405</v>
      </c>
      <c r="UQ7" s="50" t="s">
        <v>646</v>
      </c>
      <c r="UR7" s="50" t="s">
        <v>647</v>
      </c>
      <c r="US7" s="50" t="s">
        <v>641</v>
      </c>
      <c r="UT7" s="50" t="s">
        <v>641</v>
      </c>
      <c r="UU7" s="50" t="s">
        <v>2762</v>
      </c>
      <c r="UX7" s="50" t="s">
        <v>160</v>
      </c>
      <c r="UZ7" s="50" t="s">
        <v>579</v>
      </c>
      <c r="VA7" s="50" t="s">
        <v>580</v>
      </c>
      <c r="VB7" s="263" t="s">
        <v>217</v>
      </c>
      <c r="VC7" s="263" t="s">
        <v>116</v>
      </c>
      <c r="VD7" s="263" t="s">
        <v>165</v>
      </c>
      <c r="VE7" s="263" t="s">
        <v>165</v>
      </c>
      <c r="VF7" s="263" t="s">
        <v>165</v>
      </c>
      <c r="VG7" s="263" t="s">
        <v>165</v>
      </c>
      <c r="VH7" s="263" t="s">
        <v>581</v>
      </c>
      <c r="VI7" s="263"/>
      <c r="VJ7" s="263" t="s">
        <v>242</v>
      </c>
      <c r="VK7" s="263" t="s">
        <v>241</v>
      </c>
      <c r="VL7" s="263" t="s">
        <v>244</v>
      </c>
      <c r="VM7" s="263" t="s">
        <v>245</v>
      </c>
      <c r="VN7" s="263" t="s">
        <v>243</v>
      </c>
      <c r="VO7" s="263" t="s">
        <v>246</v>
      </c>
      <c r="VP7" s="263" t="s">
        <v>247</v>
      </c>
      <c r="VQ7" s="263" t="s">
        <v>248</v>
      </c>
      <c r="VR7" s="263" t="s">
        <v>249</v>
      </c>
      <c r="VS7" s="263" t="s">
        <v>165</v>
      </c>
      <c r="VT7" s="263" t="s">
        <v>165</v>
      </c>
      <c r="VU7" s="263" t="s">
        <v>165</v>
      </c>
      <c r="VV7" s="263" t="s">
        <v>165</v>
      </c>
      <c r="VW7" s="50" t="s">
        <v>585</v>
      </c>
      <c r="VY7" s="50" t="s">
        <v>1477</v>
      </c>
      <c r="WB7" s="50" t="s">
        <v>586</v>
      </c>
      <c r="WC7" s="50" t="s">
        <v>587</v>
      </c>
      <c r="WD7" s="50" t="s">
        <v>588</v>
      </c>
      <c r="WE7" s="52" t="s">
        <v>1478</v>
      </c>
      <c r="WF7" s="52" t="s">
        <v>329</v>
      </c>
      <c r="WG7" s="52" t="s">
        <v>1479</v>
      </c>
      <c r="WH7" s="50" t="s">
        <v>672</v>
      </c>
      <c r="WI7" s="50" t="s">
        <v>1800</v>
      </c>
      <c r="WJ7" s="50" t="s">
        <v>673</v>
      </c>
      <c r="WK7" s="50" t="s">
        <v>292</v>
      </c>
      <c r="WL7" s="50" t="s">
        <v>293</v>
      </c>
      <c r="WM7" s="50" t="s">
        <v>294</v>
      </c>
      <c r="WN7" s="50" t="s">
        <v>295</v>
      </c>
      <c r="WO7" s="50" t="s">
        <v>1812</v>
      </c>
      <c r="WP7" s="50" t="s">
        <v>1798</v>
      </c>
      <c r="WR7" s="50" t="s">
        <v>1716</v>
      </c>
      <c r="WS7" s="50" t="s">
        <v>121</v>
      </c>
      <c r="WT7" s="50" t="s">
        <v>1803</v>
      </c>
      <c r="WU7" s="50" t="s">
        <v>1802</v>
      </c>
      <c r="WV7" s="50" t="s">
        <v>1813</v>
      </c>
      <c r="WW7" s="50" t="s">
        <v>1765</v>
      </c>
      <c r="WX7" s="50" t="s">
        <v>1778</v>
      </c>
      <c r="XA7" s="50" t="s">
        <v>1801</v>
      </c>
      <c r="XC7" s="50" t="s">
        <v>1481</v>
      </c>
      <c r="XE7" s="50" t="s">
        <v>1717</v>
      </c>
      <c r="XF7" s="50" t="s">
        <v>1036</v>
      </c>
      <c r="XG7" s="50" t="s">
        <v>1037</v>
      </c>
      <c r="XH7" s="50" t="s">
        <v>1038</v>
      </c>
      <c r="XI7" s="50" t="s">
        <v>1039</v>
      </c>
      <c r="XJ7" s="50" t="s">
        <v>1040</v>
      </c>
      <c r="XK7" s="50" t="s">
        <v>1041</v>
      </c>
      <c r="XS7" s="50" t="s">
        <v>793</v>
      </c>
      <c r="XT7" s="50" t="s">
        <v>1056</v>
      </c>
      <c r="XU7" s="50" t="s">
        <v>1057</v>
      </c>
      <c r="XV7" s="50" t="s">
        <v>1482</v>
      </c>
      <c r="XW7" s="50" t="s">
        <v>1483</v>
      </c>
      <c r="XX7" s="50" t="s">
        <v>1061</v>
      </c>
      <c r="XY7" s="50" t="s">
        <v>1058</v>
      </c>
      <c r="XZ7" s="50" t="s">
        <v>1069</v>
      </c>
      <c r="YA7" s="50" t="s">
        <v>1067</v>
      </c>
      <c r="YB7" s="50" t="s">
        <v>1068</v>
      </c>
      <c r="YC7" s="50" t="s">
        <v>794</v>
      </c>
      <c r="YD7" s="50" t="s">
        <v>1060</v>
      </c>
      <c r="YE7" s="50" t="s">
        <v>1059</v>
      </c>
      <c r="YF7" s="50" t="s">
        <v>795</v>
      </c>
      <c r="YG7" s="50" t="s">
        <v>796</v>
      </c>
      <c r="YJ7" s="50" t="s">
        <v>797</v>
      </c>
      <c r="YK7" s="50" t="s">
        <v>1821</v>
      </c>
      <c r="YL7" s="50" t="s">
        <v>799</v>
      </c>
      <c r="YM7" s="155" t="s">
        <v>75</v>
      </c>
      <c r="YN7" s="155" t="s">
        <v>108</v>
      </c>
      <c r="YO7" s="50" t="s">
        <v>2788</v>
      </c>
      <c r="YP7" s="50" t="s">
        <v>37</v>
      </c>
      <c r="YQ7" s="50" t="s">
        <v>136</v>
      </c>
      <c r="YR7" s="50" t="s">
        <v>1808</v>
      </c>
      <c r="YS7" s="50" t="s">
        <v>2783</v>
      </c>
      <c r="YT7" s="155" t="s">
        <v>2784</v>
      </c>
    </row>
    <row r="8" spans="1:670" s="41" customFormat="1" x14ac:dyDescent="0.2">
      <c r="A8" s="446" t="s">
        <v>15</v>
      </c>
      <c r="B8" s="447" t="s">
        <v>669</v>
      </c>
      <c r="D8" s="361"/>
      <c r="E8" s="361"/>
      <c r="F8" s="361"/>
      <c r="G8" s="361"/>
      <c r="H8" s="361"/>
      <c r="I8" s="361"/>
      <c r="J8" s="361"/>
      <c r="K8" s="361"/>
      <c r="L8" s="361"/>
      <c r="M8" s="361"/>
      <c r="N8" s="361"/>
      <c r="O8" s="361"/>
      <c r="P8" s="361"/>
      <c r="Q8" s="361"/>
      <c r="R8" s="361"/>
      <c r="S8" s="361"/>
      <c r="T8" s="361"/>
      <c r="U8" s="361"/>
      <c r="V8" s="361"/>
      <c r="W8" s="361"/>
      <c r="X8" s="361"/>
      <c r="Y8" s="361"/>
      <c r="Z8" s="361"/>
      <c r="AA8" s="361"/>
      <c r="AB8" s="361"/>
      <c r="AC8" s="361"/>
      <c r="AD8" s="361"/>
      <c r="AE8" s="361"/>
      <c r="AF8" s="361"/>
      <c r="AG8" s="361"/>
      <c r="AH8" s="361"/>
      <c r="AI8" s="361"/>
      <c r="AJ8" s="113"/>
      <c r="AK8" s="361"/>
      <c r="AL8" s="361"/>
      <c r="AM8" s="361"/>
      <c r="AN8" s="361"/>
      <c r="AO8" s="361"/>
      <c r="AP8" s="361"/>
      <c r="AQ8" s="361"/>
      <c r="AR8" s="361"/>
      <c r="AS8" s="361"/>
      <c r="AT8" s="361"/>
      <c r="AU8" s="448">
        <v>2010</v>
      </c>
      <c r="AV8" s="448">
        <v>2010</v>
      </c>
      <c r="AW8" s="448">
        <v>2010</v>
      </c>
      <c r="AX8" s="448">
        <v>2010</v>
      </c>
      <c r="AY8" s="448">
        <v>2010</v>
      </c>
      <c r="AZ8" s="360">
        <v>2011</v>
      </c>
      <c r="BA8" s="360">
        <v>2011</v>
      </c>
      <c r="BB8" s="360">
        <v>2011</v>
      </c>
      <c r="BC8" s="360">
        <v>2011</v>
      </c>
      <c r="BD8" s="449">
        <v>2012</v>
      </c>
      <c r="BE8" s="449">
        <v>2012</v>
      </c>
      <c r="BF8" s="449">
        <v>2012</v>
      </c>
      <c r="BG8" s="449">
        <v>2012</v>
      </c>
      <c r="BH8" s="450">
        <v>2013</v>
      </c>
      <c r="BI8" s="6"/>
      <c r="BJ8" s="361"/>
      <c r="BK8" s="361"/>
      <c r="BL8" s="361"/>
      <c r="BM8" s="361"/>
      <c r="BN8" s="361"/>
      <c r="BO8" s="361"/>
      <c r="BP8" s="361"/>
      <c r="BQ8" s="361"/>
      <c r="BR8" s="361"/>
      <c r="BS8" s="361"/>
      <c r="BT8" s="361"/>
      <c r="BU8" s="361"/>
      <c r="BV8" s="361"/>
      <c r="BW8" s="361"/>
      <c r="BX8" s="375"/>
      <c r="BY8" s="375"/>
      <c r="BZ8" s="375"/>
      <c r="CA8" s="375"/>
      <c r="CB8" s="375"/>
      <c r="CC8" s="361"/>
      <c r="CD8" s="361"/>
      <c r="CE8" s="361"/>
      <c r="CF8" s="361"/>
      <c r="CG8" s="361"/>
      <c r="CH8" s="361"/>
      <c r="CN8" s="361"/>
      <c r="CO8" s="361"/>
      <c r="CP8" s="361"/>
      <c r="CQ8" s="79"/>
      <c r="CR8" s="79"/>
      <c r="CS8" s="79"/>
      <c r="CT8" s="79"/>
      <c r="CU8" s="79"/>
      <c r="CV8" s="361"/>
      <c r="CW8" s="375"/>
      <c r="CX8" s="361"/>
      <c r="CY8" s="361"/>
      <c r="CZ8" s="361"/>
      <c r="DA8" s="375"/>
      <c r="DB8" s="375"/>
      <c r="DC8" s="375"/>
      <c r="DD8" s="375"/>
      <c r="DE8" s="361"/>
      <c r="DF8" s="361"/>
      <c r="DG8" s="361"/>
      <c r="DH8" s="361"/>
      <c r="DI8" s="361"/>
      <c r="DJ8" s="361"/>
      <c r="DK8" s="361"/>
      <c r="DL8" s="361"/>
      <c r="DM8" s="361"/>
      <c r="DN8" s="361"/>
      <c r="DO8" s="361"/>
      <c r="DP8" s="361"/>
      <c r="DQ8" s="361"/>
      <c r="DR8" s="361"/>
      <c r="DS8" s="361"/>
      <c r="DZ8" s="361"/>
      <c r="EA8" s="361"/>
      <c r="EB8" s="361"/>
      <c r="EC8" s="361"/>
      <c r="ED8" s="361"/>
      <c r="EE8" s="361"/>
      <c r="EF8" s="361"/>
      <c r="EG8" s="361"/>
      <c r="EH8" s="361"/>
      <c r="EI8" s="361"/>
      <c r="EJ8" s="361"/>
      <c r="EK8" s="361"/>
      <c r="EL8" s="361"/>
      <c r="EM8" s="361"/>
      <c r="EN8" s="361"/>
      <c r="EO8" s="361"/>
      <c r="EP8" s="361"/>
      <c r="EQ8" s="361"/>
      <c r="ER8" s="361"/>
      <c r="ES8" s="361"/>
      <c r="ET8" s="361"/>
      <c r="EU8" s="361"/>
      <c r="EV8" s="361"/>
      <c r="EW8" s="361"/>
      <c r="EX8" s="361"/>
      <c r="EY8" s="79"/>
      <c r="EZ8" s="361"/>
      <c r="FA8" s="361"/>
      <c r="FB8" s="361"/>
      <c r="FC8" s="451"/>
      <c r="FD8" s="451"/>
      <c r="FE8" s="451"/>
      <c r="FF8" s="361"/>
      <c r="FG8" s="361"/>
      <c r="FH8" s="361"/>
      <c r="FI8" s="79"/>
      <c r="FJ8" s="361"/>
      <c r="FK8" s="361"/>
      <c r="FL8" s="361"/>
      <c r="FM8" s="361"/>
      <c r="FN8" s="361"/>
      <c r="FO8" s="361"/>
      <c r="FP8" s="361"/>
      <c r="FQ8" s="361"/>
      <c r="FR8" s="361"/>
      <c r="FS8" s="361"/>
      <c r="FT8" s="361"/>
      <c r="FU8" s="361"/>
      <c r="FV8" s="361"/>
      <c r="FW8" s="361"/>
      <c r="FX8" s="361"/>
      <c r="FY8" s="361"/>
      <c r="FZ8" s="361"/>
      <c r="GA8" s="451"/>
      <c r="GB8" s="452"/>
      <c r="GC8" s="452"/>
      <c r="GD8" s="452"/>
      <c r="GE8" s="452"/>
      <c r="GF8" s="452"/>
      <c r="GG8" s="79"/>
      <c r="GH8" s="361"/>
      <c r="GI8" s="361"/>
      <c r="GJ8" s="361"/>
      <c r="GK8" s="361"/>
      <c r="GL8" s="433"/>
      <c r="GM8" s="433"/>
      <c r="GN8" s="366"/>
      <c r="GO8" s="366"/>
      <c r="GP8" s="366"/>
      <c r="GQ8" s="377"/>
      <c r="GR8" s="113"/>
      <c r="GS8" s="113"/>
      <c r="GT8" s="113"/>
      <c r="GU8" s="113"/>
      <c r="GV8" s="113"/>
      <c r="GW8" s="361"/>
      <c r="GX8" s="361"/>
      <c r="GY8" s="361"/>
      <c r="GZ8" s="361"/>
      <c r="HA8" s="113"/>
      <c r="HB8" s="6"/>
      <c r="HC8" s="389"/>
      <c r="HD8" s="389"/>
      <c r="HE8" s="389"/>
      <c r="HF8" s="361"/>
      <c r="HG8" s="361"/>
      <c r="HH8" s="375"/>
      <c r="HI8" s="375"/>
      <c r="HJ8" s="361"/>
      <c r="HK8" s="375"/>
      <c r="HL8" s="375"/>
      <c r="HM8" s="375"/>
      <c r="HN8" s="361"/>
      <c r="HO8" s="361"/>
      <c r="HP8" s="375"/>
      <c r="HQ8" s="375"/>
      <c r="HR8" s="375"/>
      <c r="HS8" s="361"/>
      <c r="HT8" s="361"/>
      <c r="HU8" s="361"/>
      <c r="HV8" s="361"/>
      <c r="HW8" s="361"/>
      <c r="HX8" s="361"/>
      <c r="HY8" s="361"/>
      <c r="HZ8" s="361"/>
      <c r="IA8" s="453"/>
      <c r="IB8" s="361"/>
      <c r="IC8" s="361"/>
      <c r="ID8" s="361"/>
      <c r="IE8" s="361"/>
      <c r="IF8" s="361"/>
      <c r="IG8" s="361"/>
      <c r="IH8" s="375"/>
      <c r="II8" s="375"/>
      <c r="IJ8" s="77"/>
      <c r="IK8" s="375"/>
      <c r="IL8" s="361"/>
      <c r="IM8" s="361"/>
      <c r="IN8" s="361"/>
      <c r="IO8" s="361"/>
      <c r="IP8" s="361"/>
      <c r="IQ8" s="361"/>
      <c r="IR8" s="361"/>
      <c r="IS8" s="361"/>
      <c r="IT8" s="361"/>
      <c r="IU8" s="361"/>
      <c r="IV8" s="361"/>
      <c r="IW8" s="361"/>
      <c r="IX8" s="361"/>
      <c r="IY8" s="361"/>
      <c r="IZ8" s="361"/>
      <c r="JA8" s="361"/>
      <c r="JB8" s="113"/>
      <c r="JC8" s="113"/>
      <c r="JD8" s="361"/>
      <c r="JE8" s="361"/>
      <c r="JF8" s="361"/>
      <c r="JG8" s="361"/>
      <c r="JH8" s="361"/>
      <c r="JI8" s="361"/>
      <c r="JJ8" s="361"/>
      <c r="JK8" s="361"/>
      <c r="JL8" s="361"/>
      <c r="JM8" s="361"/>
      <c r="JN8" s="433"/>
      <c r="JO8" s="433"/>
      <c r="JP8" s="361"/>
      <c r="JQ8" s="361"/>
      <c r="JR8" s="361"/>
      <c r="JS8" s="361"/>
      <c r="JT8" s="361"/>
      <c r="JU8" s="361"/>
      <c r="JV8" s="361"/>
      <c r="JW8" s="361"/>
      <c r="JX8" s="361"/>
      <c r="JY8" s="361"/>
      <c r="JZ8" s="361"/>
      <c r="KA8" s="361"/>
      <c r="KB8" s="361"/>
      <c r="KC8" s="361"/>
      <c r="KD8" s="361"/>
      <c r="KE8" s="361"/>
      <c r="KF8" s="361"/>
      <c r="KG8" s="361"/>
      <c r="KH8" s="361"/>
      <c r="KI8" s="361"/>
      <c r="KJ8" s="361"/>
      <c r="KK8" s="361"/>
      <c r="KL8" s="361"/>
      <c r="KM8" s="361"/>
      <c r="KN8" s="361"/>
      <c r="KO8" s="361"/>
      <c r="KP8" s="361"/>
      <c r="KQ8" s="361"/>
      <c r="KR8" s="361"/>
      <c r="KS8" s="361"/>
      <c r="KT8" s="574" t="s">
        <v>2751</v>
      </c>
      <c r="KU8" s="574" t="s">
        <v>2751</v>
      </c>
      <c r="KV8" s="574" t="s">
        <v>2753</v>
      </c>
      <c r="KW8" s="574" t="s">
        <v>2753</v>
      </c>
      <c r="KX8" s="574" t="s">
        <v>2751</v>
      </c>
      <c r="KY8" s="574" t="s">
        <v>2753</v>
      </c>
      <c r="KZ8" s="361"/>
      <c r="LA8" s="361"/>
      <c r="LB8" s="574" t="s">
        <v>2751</v>
      </c>
      <c r="LC8" s="574" t="s">
        <v>2751</v>
      </c>
      <c r="LD8" s="574" t="s">
        <v>2752</v>
      </c>
      <c r="LE8" s="574" t="s">
        <v>2751</v>
      </c>
      <c r="LF8" s="574" t="s">
        <v>2751</v>
      </c>
      <c r="LG8" s="574" t="s">
        <v>2753</v>
      </c>
      <c r="LH8" s="574" t="s">
        <v>2753</v>
      </c>
      <c r="LI8" s="574" t="s">
        <v>2753</v>
      </c>
      <c r="LJ8" s="574" t="s">
        <v>2753</v>
      </c>
      <c r="LK8" s="574" t="s">
        <v>2751</v>
      </c>
      <c r="LL8" s="574" t="s">
        <v>2753</v>
      </c>
      <c r="LM8" s="361"/>
      <c r="LN8" s="388"/>
      <c r="LO8" s="454" t="s">
        <v>1484</v>
      </c>
      <c r="LP8" s="454" t="s">
        <v>1484</v>
      </c>
      <c r="LQ8" s="454" t="s">
        <v>1484</v>
      </c>
      <c r="LR8" s="455" t="s">
        <v>1485</v>
      </c>
      <c r="LS8" s="455" t="s">
        <v>1485</v>
      </c>
      <c r="LT8" s="456" t="s">
        <v>1486</v>
      </c>
      <c r="LU8" s="456" t="s">
        <v>1486</v>
      </c>
      <c r="LV8" s="388"/>
      <c r="LW8" s="388"/>
      <c r="LX8" s="388"/>
      <c r="LY8" s="388"/>
      <c r="LZ8" s="388"/>
      <c r="MA8" s="388"/>
      <c r="MB8" s="388"/>
      <c r="MC8" s="388"/>
      <c r="MD8" s="388"/>
      <c r="ME8" s="388"/>
      <c r="MF8" s="388"/>
      <c r="MG8" s="388"/>
      <c r="MH8" s="388"/>
      <c r="MI8" s="388"/>
      <c r="MJ8" s="361"/>
      <c r="MK8" s="361"/>
      <c r="ML8" s="361"/>
      <c r="MM8" s="457"/>
      <c r="MN8" s="361"/>
      <c r="MO8" s="361"/>
      <c r="MP8" s="361"/>
      <c r="MQ8" s="361"/>
      <c r="MR8" s="361"/>
      <c r="MS8" s="361"/>
      <c r="MT8" s="361"/>
      <c r="MU8" s="361"/>
      <c r="MV8" s="361"/>
      <c r="MW8" s="361"/>
      <c r="MX8" s="361"/>
      <c r="MY8" s="361"/>
      <c r="MZ8" s="361"/>
      <c r="NA8" s="361"/>
      <c r="NB8" s="361"/>
      <c r="NC8" s="361"/>
      <c r="ND8" s="361"/>
      <c r="NE8" s="361"/>
      <c r="NF8" s="361"/>
      <c r="NG8" s="361"/>
      <c r="NH8" s="361"/>
      <c r="NI8" s="361"/>
      <c r="NJ8" s="361"/>
      <c r="NK8" s="361"/>
      <c r="NL8" s="361"/>
      <c r="NM8" s="361"/>
      <c r="NN8" s="361"/>
      <c r="NO8" s="361"/>
      <c r="NP8" s="361"/>
      <c r="NQ8" s="361"/>
      <c r="NR8" s="361"/>
      <c r="NS8" s="361"/>
      <c r="NT8" s="361"/>
      <c r="NU8" s="361"/>
      <c r="NV8" s="361"/>
      <c r="NW8" s="361"/>
      <c r="NX8" s="361"/>
      <c r="NY8" s="361"/>
      <c r="NZ8" s="361"/>
      <c r="OA8" s="361"/>
      <c r="OB8" s="361"/>
      <c r="OC8" s="361"/>
      <c r="OD8" s="361"/>
      <c r="OE8" s="361"/>
      <c r="OF8" s="361"/>
      <c r="OG8" s="361"/>
      <c r="OH8" s="361"/>
      <c r="OI8" s="361"/>
      <c r="OJ8" s="113"/>
      <c r="OK8" s="361"/>
      <c r="OL8" s="361"/>
      <c r="OM8" s="361"/>
      <c r="ON8" s="361"/>
      <c r="OO8" s="361"/>
      <c r="OP8" s="361"/>
      <c r="OQ8" s="361"/>
      <c r="OR8" s="361"/>
      <c r="OS8" s="361"/>
      <c r="OT8" s="361"/>
      <c r="OU8" s="361"/>
      <c r="OV8" s="361"/>
      <c r="OW8" s="361"/>
      <c r="OX8" s="361"/>
      <c r="OY8" s="361"/>
      <c r="OZ8" s="434" t="s">
        <v>1718</v>
      </c>
      <c r="PA8" s="361"/>
      <c r="PB8" s="361"/>
      <c r="PC8" s="361"/>
      <c r="PD8" s="361"/>
      <c r="PE8" s="361"/>
      <c r="PF8" s="361"/>
      <c r="PG8" s="361"/>
      <c r="PH8" s="361"/>
      <c r="PI8" s="361"/>
      <c r="PJ8" s="454" t="s">
        <v>1484</v>
      </c>
      <c r="PK8" s="455" t="s">
        <v>1485</v>
      </c>
      <c r="PL8" s="361"/>
      <c r="PM8" s="361"/>
      <c r="PN8" s="361"/>
      <c r="PO8" s="361"/>
      <c r="PP8" s="361"/>
      <c r="PQ8" s="361"/>
      <c r="PR8" s="454" t="s">
        <v>1484</v>
      </c>
      <c r="PS8" s="454" t="s">
        <v>1484</v>
      </c>
      <c r="PT8" s="454" t="s">
        <v>1484</v>
      </c>
      <c r="PU8" s="455" t="s">
        <v>1485</v>
      </c>
      <c r="PV8" s="455" t="s">
        <v>1485</v>
      </c>
      <c r="PW8" s="361"/>
      <c r="PX8" s="361"/>
      <c r="PY8" s="361"/>
      <c r="PZ8" s="361"/>
      <c r="QA8" s="456" t="s">
        <v>1486</v>
      </c>
      <c r="QB8" s="454" t="s">
        <v>1484</v>
      </c>
      <c r="QC8" s="455" t="s">
        <v>1485</v>
      </c>
      <c r="QD8" s="455"/>
      <c r="QE8" s="454" t="s">
        <v>1484</v>
      </c>
      <c r="QF8" s="455" t="s">
        <v>1485</v>
      </c>
      <c r="QG8" s="455"/>
      <c r="QH8" s="361"/>
      <c r="QI8" s="361"/>
      <c r="QJ8" s="361"/>
      <c r="QK8" s="361"/>
      <c r="QL8" s="361"/>
      <c r="QM8" s="454" t="s">
        <v>1484</v>
      </c>
      <c r="QN8" s="455" t="s">
        <v>1485</v>
      </c>
      <c r="QO8" s="361"/>
      <c r="QP8" s="361"/>
      <c r="QQ8" s="361"/>
      <c r="QR8" s="454" t="s">
        <v>1484</v>
      </c>
      <c r="QS8" s="454" t="s">
        <v>1484</v>
      </c>
      <c r="QT8" s="455" t="s">
        <v>1485</v>
      </c>
      <c r="QU8" s="455" t="s">
        <v>1485</v>
      </c>
      <c r="QV8" s="361"/>
      <c r="QW8" s="361"/>
      <c r="QX8" s="454" t="s">
        <v>1484</v>
      </c>
      <c r="QY8" s="455" t="s">
        <v>1485</v>
      </c>
      <c r="QZ8" s="361"/>
      <c r="RA8" s="361"/>
      <c r="RB8" s="361"/>
      <c r="RC8" s="454" t="s">
        <v>1484</v>
      </c>
      <c r="RD8" s="455" t="s">
        <v>1485</v>
      </c>
      <c r="RE8" s="454" t="s">
        <v>1484</v>
      </c>
      <c r="RF8" s="455" t="s">
        <v>1485</v>
      </c>
      <c r="RG8" s="436"/>
      <c r="RH8" s="436"/>
      <c r="RI8" s="436"/>
      <c r="RJ8" s="436"/>
      <c r="RK8" s="436"/>
      <c r="RL8" s="436"/>
      <c r="RM8" s="436"/>
      <c r="RN8" s="436"/>
      <c r="RO8" s="436"/>
      <c r="RP8" s="436"/>
      <c r="RQ8" s="436"/>
      <c r="RR8" s="436"/>
      <c r="RS8" s="436"/>
      <c r="RT8" s="436"/>
      <c r="RU8" s="436"/>
      <c r="RV8" s="436"/>
      <c r="RW8" s="436"/>
      <c r="RX8" s="436"/>
      <c r="RY8" s="436"/>
      <c r="RZ8" s="436"/>
      <c r="SA8" s="436"/>
      <c r="SB8" s="436"/>
      <c r="SC8" s="436"/>
      <c r="SD8" s="361"/>
      <c r="SE8" s="361"/>
      <c r="SF8" s="361"/>
      <c r="SG8" s="361"/>
      <c r="SH8" s="361"/>
      <c r="SI8" s="454" t="s">
        <v>1484</v>
      </c>
      <c r="SJ8" s="455" t="s">
        <v>1485</v>
      </c>
      <c r="SK8" s="361"/>
      <c r="SL8" s="361"/>
      <c r="SM8" s="361"/>
      <c r="SN8" s="361"/>
      <c r="SO8" s="361"/>
      <c r="SP8" s="361"/>
      <c r="SQ8" s="361"/>
      <c r="SR8" s="361"/>
      <c r="SS8" s="361"/>
      <c r="SX8" s="361"/>
      <c r="SY8" s="361"/>
      <c r="SZ8" s="361"/>
      <c r="TA8" s="361"/>
      <c r="TB8" s="361"/>
      <c r="TC8" s="361"/>
      <c r="TD8" s="361"/>
      <c r="TE8" s="361"/>
      <c r="TF8" s="361"/>
      <c r="TG8" s="361"/>
      <c r="TH8" s="361"/>
      <c r="TI8" s="361"/>
      <c r="TJ8" s="361"/>
      <c r="TK8" s="361"/>
      <c r="TL8" s="361"/>
      <c r="TM8" s="361"/>
      <c r="TN8" s="361"/>
      <c r="TO8" s="361"/>
      <c r="TP8" s="361"/>
      <c r="TQ8" s="385"/>
      <c r="TR8" s="385"/>
      <c r="TS8" s="361"/>
      <c r="TT8" s="361"/>
      <c r="TU8" s="361"/>
      <c r="TV8" s="385"/>
      <c r="TW8" s="79"/>
      <c r="TX8" s="113"/>
      <c r="TY8" s="113"/>
      <c r="TZ8" s="79"/>
      <c r="UA8" s="79"/>
      <c r="UB8" s="79"/>
      <c r="UC8" s="79"/>
      <c r="UD8" s="453"/>
      <c r="UE8" s="389" t="s">
        <v>2766</v>
      </c>
      <c r="UF8" s="389" t="s">
        <v>2766</v>
      </c>
      <c r="UG8" s="389" t="s">
        <v>2767</v>
      </c>
      <c r="UH8" s="389" t="s">
        <v>2766</v>
      </c>
      <c r="UI8" s="389" t="s">
        <v>2767</v>
      </c>
      <c r="UJ8" s="389"/>
      <c r="UK8" s="576" t="s">
        <v>2766</v>
      </c>
      <c r="UL8" s="576" t="s">
        <v>2766</v>
      </c>
      <c r="UM8" s="576" t="s">
        <v>2766</v>
      </c>
      <c r="UN8" s="576" t="s">
        <v>2766</v>
      </c>
      <c r="UO8" s="576" t="s">
        <v>2766</v>
      </c>
      <c r="UP8" s="576" t="s">
        <v>2766</v>
      </c>
      <c r="UQ8" s="576" t="s">
        <v>2767</v>
      </c>
      <c r="UR8" s="576" t="s">
        <v>2767</v>
      </c>
      <c r="US8" s="576" t="s">
        <v>2766</v>
      </c>
      <c r="UT8" s="128" t="s">
        <v>2767</v>
      </c>
      <c r="UU8" s="458"/>
      <c r="UV8" s="361"/>
      <c r="UW8" s="361"/>
      <c r="UX8" s="361"/>
      <c r="UY8" s="361"/>
      <c r="UZ8" s="361"/>
      <c r="VA8" s="361"/>
      <c r="VB8" s="361"/>
      <c r="VJ8" s="85"/>
      <c r="VK8" s="85"/>
      <c r="VL8" s="85"/>
      <c r="VM8" s="85"/>
      <c r="VN8" s="85"/>
      <c r="VO8" s="85"/>
      <c r="VP8" s="85"/>
      <c r="VQ8" s="85"/>
      <c r="VR8" s="85"/>
      <c r="WF8" s="361"/>
      <c r="WG8" s="361"/>
      <c r="WH8" s="361"/>
      <c r="WI8" s="361"/>
      <c r="WJ8" s="361"/>
      <c r="WK8" s="361"/>
      <c r="WL8" s="388"/>
      <c r="WM8" s="361"/>
      <c r="WN8" s="361"/>
      <c r="WO8" s="564" t="str">
        <f>IF(AND(G2="R",VZ2="Y"),"null",IF(OR(AND(F2="XRD",G2="V"),AND(F2="XRD",G2="R",CH2=""),AND(F2="XRD",G2="R",CH2&gt;0,DP2&gt;0,EI2=0)),"null",IF(CH2="","null",IF(DS2&lt;&gt;"3",IF(WM2="Y",CH2,SO2+IF(WH2="Pop-Up",SP2,0)),IF(WM2="Y",CH2,VW2)))))</f>
        <v>null</v>
      </c>
      <c r="WP8" s="361"/>
      <c r="WQ8" s="361"/>
      <c r="WR8" s="361"/>
      <c r="WS8" s="361"/>
      <c r="WT8" s="361"/>
      <c r="WU8" s="361"/>
      <c r="WV8" s="361"/>
      <c r="WW8" s="361"/>
      <c r="WX8" s="361"/>
      <c r="WY8" s="361"/>
      <c r="WZ8" s="361"/>
      <c r="XA8" s="361"/>
      <c r="XB8" s="361"/>
      <c r="XC8" s="361"/>
      <c r="XD8" s="361"/>
      <c r="XE8" s="361"/>
      <c r="XQ8" s="361"/>
      <c r="XR8" s="361"/>
      <c r="XS8" s="13"/>
      <c r="XT8" s="13"/>
      <c r="XU8" s="13"/>
      <c r="XV8" s="13"/>
      <c r="XW8" s="13"/>
      <c r="XX8" s="13" t="s">
        <v>2787</v>
      </c>
      <c r="XY8" s="13"/>
      <c r="XZ8" s="13"/>
      <c r="YA8" s="13"/>
      <c r="YB8" s="13"/>
      <c r="YC8" s="47" t="s">
        <v>798</v>
      </c>
      <c r="YD8" s="13"/>
      <c r="YE8" s="13"/>
      <c r="YF8" s="47" t="s">
        <v>784</v>
      </c>
      <c r="YG8" s="13"/>
      <c r="YH8" s="13"/>
      <c r="YI8" s="13"/>
      <c r="YJ8" s="13"/>
      <c r="YK8" s="13"/>
      <c r="YL8" s="13"/>
      <c r="YM8" s="577"/>
      <c r="YN8" s="577"/>
      <c r="YO8" s="13"/>
      <c r="YP8" s="13"/>
      <c r="YQ8" s="13"/>
      <c r="YR8" s="13"/>
      <c r="YS8" s="13"/>
      <c r="YT8" s="577"/>
    </row>
    <row r="9" spans="1:670" s="13" customFormat="1" x14ac:dyDescent="0.2">
      <c r="A9" s="15" t="s">
        <v>16</v>
      </c>
      <c r="B9" s="5" t="s">
        <v>670</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7"/>
      <c r="AK9" s="6"/>
      <c r="AL9" s="6"/>
      <c r="AM9" s="6"/>
      <c r="AN9" s="6"/>
      <c r="AO9" s="6"/>
      <c r="AP9" s="6"/>
      <c r="AQ9" s="6"/>
      <c r="AR9" s="6"/>
      <c r="AS9" s="6"/>
      <c r="AT9" s="6"/>
      <c r="AU9" s="6" t="s">
        <v>1488</v>
      </c>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N9" s="6"/>
      <c r="CO9" s="6"/>
      <c r="CP9" s="6"/>
      <c r="CQ9" s="49"/>
      <c r="CR9" s="49"/>
      <c r="CS9" s="49"/>
      <c r="CT9" s="49"/>
      <c r="CU9" s="49"/>
      <c r="CV9" s="6"/>
      <c r="CW9" s="11"/>
      <c r="CX9" s="6"/>
      <c r="CY9" s="6"/>
      <c r="CZ9" s="6"/>
      <c r="DA9" s="11"/>
      <c r="DB9" s="11"/>
      <c r="DC9" s="11"/>
      <c r="DD9" s="11"/>
      <c r="DE9" s="6"/>
      <c r="DF9" s="6"/>
      <c r="DG9" s="6"/>
      <c r="DH9" s="6"/>
      <c r="DI9" s="6"/>
      <c r="DJ9" s="6"/>
      <c r="DK9" s="6"/>
      <c r="DL9" s="6"/>
      <c r="DM9" s="6"/>
      <c r="DN9" s="6"/>
      <c r="DO9" s="6"/>
      <c r="DP9" s="6"/>
      <c r="DQ9" s="6"/>
      <c r="DR9" s="6"/>
      <c r="DS9" s="6"/>
      <c r="DZ9" s="6"/>
      <c r="EA9" s="6"/>
      <c r="EB9" s="6"/>
      <c r="EC9" s="6"/>
      <c r="ED9" s="6"/>
      <c r="EE9" s="6"/>
      <c r="EF9" s="6"/>
      <c r="EG9" s="6"/>
      <c r="EH9" s="6"/>
      <c r="EI9" s="6"/>
      <c r="EJ9" s="6"/>
      <c r="EK9" s="6"/>
      <c r="EL9" s="6"/>
      <c r="EM9" s="6"/>
      <c r="EN9" s="6"/>
      <c r="EO9" s="6"/>
      <c r="EP9" s="6"/>
      <c r="EV9" s="6"/>
      <c r="EW9" s="6"/>
      <c r="EX9" s="6"/>
      <c r="EY9" s="79"/>
      <c r="EZ9" s="6"/>
      <c r="FA9" s="6"/>
      <c r="FB9" s="6"/>
      <c r="FC9" s="84"/>
      <c r="FD9" s="84"/>
      <c r="FE9" s="84"/>
      <c r="FF9" s="6"/>
      <c r="FG9" s="6"/>
      <c r="FH9" s="6"/>
      <c r="FI9" s="49"/>
      <c r="FJ9" s="6"/>
      <c r="FK9" s="6"/>
      <c r="FL9" s="6"/>
      <c r="FM9" s="6"/>
      <c r="FN9" s="6"/>
      <c r="FO9" s="6"/>
      <c r="FP9" s="6"/>
      <c r="FQ9" s="6"/>
      <c r="FR9" s="6"/>
      <c r="FS9" s="6"/>
      <c r="FT9" s="6"/>
      <c r="FU9" s="6"/>
      <c r="FV9" s="6"/>
      <c r="FW9" s="6"/>
      <c r="FX9" s="6"/>
      <c r="FY9" s="6"/>
      <c r="FZ9" s="6"/>
      <c r="GA9" s="84"/>
      <c r="GB9" s="6"/>
      <c r="GC9" s="6"/>
      <c r="GD9" s="6"/>
      <c r="GE9" s="6"/>
      <c r="GF9" s="6"/>
      <c r="GG9" s="49"/>
      <c r="GH9" s="6"/>
      <c r="GI9" s="6"/>
      <c r="GJ9" s="6"/>
      <c r="GK9" s="6"/>
      <c r="GL9" s="530"/>
      <c r="GM9" s="530"/>
      <c r="GN9" s="12"/>
      <c r="GO9" s="12"/>
      <c r="GP9" s="12"/>
      <c r="GQ9" s="269"/>
      <c r="GR9" s="7"/>
      <c r="GS9" s="7"/>
      <c r="GT9" s="7"/>
      <c r="GU9" s="7"/>
      <c r="GV9" s="7"/>
      <c r="GW9" s="6"/>
      <c r="GX9" s="6"/>
      <c r="GY9" s="6"/>
      <c r="GZ9" s="6"/>
      <c r="HA9" s="7"/>
      <c r="HB9" s="11"/>
      <c r="HC9" s="6"/>
      <c r="HD9" s="6"/>
      <c r="HE9" s="6"/>
      <c r="HF9" s="6"/>
      <c r="HG9" s="6"/>
      <c r="HH9" s="11"/>
      <c r="HI9" s="11"/>
      <c r="HJ9" s="6"/>
      <c r="HK9" s="11"/>
      <c r="HL9" s="11"/>
      <c r="HM9" s="11"/>
      <c r="HN9" s="6"/>
      <c r="HO9" s="6"/>
      <c r="HP9" s="11"/>
      <c r="HQ9" s="11"/>
      <c r="HR9" s="11"/>
      <c r="HS9" s="6"/>
      <c r="HT9" s="6"/>
      <c r="HU9" s="6"/>
      <c r="HV9" s="6"/>
      <c r="HW9" s="6"/>
      <c r="HX9" s="6"/>
      <c r="HY9" s="6"/>
      <c r="HZ9" s="6"/>
      <c r="IA9" s="73"/>
      <c r="IB9" s="6"/>
      <c r="IC9" s="164"/>
      <c r="ID9" s="164"/>
      <c r="IE9" s="164"/>
      <c r="IF9" s="6"/>
      <c r="IG9" s="6"/>
      <c r="IH9" s="11"/>
      <c r="II9" s="11"/>
      <c r="IJ9" s="6"/>
      <c r="IK9" s="11"/>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530"/>
      <c r="JO9" s="530"/>
      <c r="JP9" s="6"/>
      <c r="JQ9" s="6"/>
      <c r="JR9" s="6"/>
      <c r="JS9" s="6"/>
      <c r="JT9" s="6"/>
      <c r="JU9" s="6"/>
      <c r="JV9" s="6"/>
      <c r="JW9" s="6"/>
      <c r="JX9" s="6"/>
      <c r="JY9" s="6"/>
      <c r="JZ9" s="6">
        <f>COUNT(JZ36:JZ167)</f>
        <v>0</v>
      </c>
      <c r="KA9" s="6"/>
      <c r="KB9" s="6"/>
      <c r="KC9" s="6"/>
      <c r="KD9" s="6"/>
      <c r="KE9" s="6"/>
      <c r="KF9" s="6"/>
      <c r="KG9" s="6"/>
      <c r="KH9" s="6"/>
      <c r="KI9" s="6"/>
      <c r="KJ9" s="6"/>
      <c r="KK9" s="6"/>
      <c r="KL9" s="6"/>
      <c r="KM9" s="6"/>
      <c r="KN9" s="164"/>
      <c r="KO9" s="164"/>
      <c r="KP9" s="164"/>
      <c r="KQ9" s="6"/>
      <c r="KR9" s="6"/>
      <c r="KS9" s="6"/>
      <c r="KT9" s="6"/>
      <c r="KU9" s="6"/>
      <c r="KV9" s="6"/>
      <c r="KW9" s="6"/>
      <c r="KX9" s="6"/>
      <c r="KY9" s="6"/>
      <c r="KZ9" s="6"/>
      <c r="LA9" s="6"/>
      <c r="LB9" s="6"/>
      <c r="LC9" s="6"/>
      <c r="LD9" s="6"/>
      <c r="LE9" s="6"/>
      <c r="LF9" s="6"/>
      <c r="LG9" s="6"/>
      <c r="LH9" s="6"/>
      <c r="LI9" s="6"/>
      <c r="LJ9" s="6"/>
      <c r="LK9" s="6"/>
      <c r="LL9" s="6"/>
      <c r="LM9" s="6"/>
      <c r="LN9" s="98"/>
      <c r="LO9" s="98"/>
      <c r="LP9" s="98"/>
      <c r="LQ9" s="98"/>
      <c r="LR9" s="98"/>
      <c r="LS9" s="98"/>
      <c r="LT9" s="98"/>
      <c r="LU9" s="98"/>
      <c r="LV9" s="98"/>
      <c r="LW9" s="98"/>
      <c r="LX9" s="98"/>
      <c r="LY9" s="98"/>
      <c r="LZ9" s="98"/>
      <c r="MA9" s="98"/>
      <c r="MB9" s="98"/>
      <c r="MC9" s="98"/>
      <c r="MD9" s="98"/>
      <c r="ME9" s="98"/>
      <c r="MF9" s="98"/>
      <c r="MG9" s="98"/>
      <c r="MH9" s="98"/>
      <c r="MI9" s="98"/>
      <c r="MJ9" s="6"/>
      <c r="MK9" s="6"/>
      <c r="ML9" s="6"/>
      <c r="MM9" s="6"/>
      <c r="MN9" s="6"/>
      <c r="MO9" s="6"/>
      <c r="MP9" s="6"/>
      <c r="MQ9" s="164"/>
      <c r="MR9" s="164"/>
      <c r="MS9" s="6"/>
      <c r="MT9" s="6"/>
      <c r="MU9" s="6"/>
      <c r="MV9" s="6"/>
      <c r="MW9" s="6"/>
      <c r="MX9" s="6"/>
      <c r="MY9" s="6"/>
      <c r="MZ9" s="6"/>
      <c r="NA9" s="6"/>
      <c r="NB9" s="6"/>
      <c r="NC9" s="6"/>
      <c r="ND9" s="6"/>
      <c r="NE9" s="6"/>
      <c r="NF9" s="6"/>
      <c r="NG9" s="6"/>
      <c r="NH9" s="6"/>
      <c r="NI9" s="6"/>
      <c r="NJ9" s="6"/>
      <c r="NK9" s="6"/>
      <c r="NL9" s="6"/>
      <c r="NM9" s="6"/>
      <c r="NN9" s="6"/>
      <c r="NO9" s="6"/>
      <c r="NP9" s="6"/>
      <c r="NQ9" s="6"/>
      <c r="NR9" s="6"/>
      <c r="NS9" s="6"/>
      <c r="NT9" s="6"/>
      <c r="NU9" s="6"/>
      <c r="NV9" s="6"/>
      <c r="NW9" s="6"/>
      <c r="NX9" s="6"/>
      <c r="NY9" s="6"/>
      <c r="NZ9" s="6"/>
      <c r="OA9" s="6"/>
      <c r="OB9" s="6"/>
      <c r="OC9" s="6"/>
      <c r="OD9" s="6"/>
      <c r="OE9" s="6"/>
      <c r="OF9" s="6"/>
      <c r="OG9" s="6"/>
      <c r="OH9" s="6"/>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164"/>
      <c r="PO9" s="164"/>
      <c r="PP9" s="164"/>
      <c r="PQ9" s="6"/>
      <c r="PR9" s="6"/>
      <c r="PS9" s="6"/>
      <c r="PT9" s="6"/>
      <c r="PU9" s="6"/>
      <c r="PV9" s="6"/>
      <c r="PW9" s="6"/>
      <c r="PX9" s="21">
        <v>4787405</v>
      </c>
      <c r="PY9" s="6"/>
      <c r="PZ9" s="6"/>
      <c r="QA9" s="6"/>
      <c r="QB9" s="6"/>
      <c r="QC9" s="6"/>
      <c r="QD9" s="6"/>
      <c r="QE9" s="6"/>
      <c r="QF9" s="6"/>
      <c r="QG9" s="6"/>
      <c r="QH9" s="6"/>
      <c r="QI9" s="6"/>
      <c r="QJ9" s="164"/>
      <c r="QK9" s="164"/>
      <c r="QL9" s="164"/>
      <c r="QM9" s="6"/>
      <c r="QN9" s="6"/>
      <c r="QO9" s="6"/>
      <c r="QP9" s="6"/>
      <c r="QQ9" s="6"/>
      <c r="QR9" s="6"/>
      <c r="QS9" s="6"/>
      <c r="QT9" s="6"/>
      <c r="QU9" s="6"/>
      <c r="QV9" s="6"/>
      <c r="QW9" s="6">
        <v>10418816</v>
      </c>
      <c r="QX9" s="6"/>
      <c r="QY9" s="6"/>
      <c r="QZ9" s="6"/>
      <c r="RA9" s="6"/>
      <c r="RB9" s="6"/>
      <c r="RC9" s="6"/>
      <c r="RD9" s="6"/>
      <c r="RE9" s="6"/>
      <c r="RF9" s="6"/>
      <c r="RG9" s="6"/>
      <c r="RH9" s="6"/>
      <c r="RI9" s="164"/>
      <c r="RJ9" s="164"/>
      <c r="RK9" s="164"/>
      <c r="RL9" s="6"/>
      <c r="RM9" s="6"/>
      <c r="RN9" s="6"/>
      <c r="RO9" s="6"/>
      <c r="RP9" s="6"/>
      <c r="RQ9" s="6"/>
      <c r="RR9" s="6"/>
      <c r="RS9" s="6"/>
      <c r="RT9" s="6"/>
      <c r="RU9" s="6"/>
      <c r="RV9" s="6"/>
      <c r="RW9" s="6"/>
      <c r="RX9" s="6"/>
      <c r="RY9" s="531"/>
      <c r="RZ9" s="531"/>
      <c r="SA9" s="531"/>
      <c r="SB9" s="531"/>
      <c r="SC9" s="531"/>
      <c r="SD9" s="6"/>
      <c r="SE9" s="6"/>
      <c r="SF9" s="164"/>
      <c r="SG9" s="164"/>
      <c r="SH9" s="164"/>
      <c r="SI9" s="6"/>
      <c r="SJ9" s="6"/>
      <c r="SK9" s="6"/>
      <c r="SL9" s="6"/>
      <c r="SM9" s="6"/>
      <c r="SN9" s="6"/>
      <c r="SO9" s="6"/>
      <c r="SP9" s="6"/>
      <c r="SQ9" s="164"/>
      <c r="SR9" s="164"/>
      <c r="SS9" s="164"/>
      <c r="SU9" s="6"/>
      <c r="SV9" s="6"/>
      <c r="SW9" s="6"/>
      <c r="SX9" s="6"/>
      <c r="SY9" s="6"/>
      <c r="SZ9" s="6"/>
      <c r="TA9" s="6"/>
      <c r="TB9" s="6"/>
      <c r="TC9" s="6"/>
      <c r="TD9" s="6"/>
      <c r="TE9" s="6"/>
      <c r="TF9" s="6"/>
      <c r="TG9" s="6"/>
      <c r="TH9" s="6"/>
      <c r="TI9" s="6"/>
      <c r="TJ9" s="6"/>
      <c r="TK9" s="6"/>
      <c r="TL9" s="6"/>
      <c r="TM9" s="6"/>
      <c r="TN9" s="6"/>
      <c r="TO9" s="6"/>
      <c r="TP9" s="6"/>
      <c r="TQ9" s="8"/>
      <c r="TR9" s="8"/>
      <c r="TS9" s="164"/>
      <c r="TT9" s="164"/>
      <c r="TU9" s="164"/>
      <c r="TV9" s="8"/>
      <c r="TW9" s="71"/>
      <c r="TZ9" s="71"/>
      <c r="UA9" s="572"/>
      <c r="UB9" s="572"/>
      <c r="UC9" s="572"/>
      <c r="UD9" s="74"/>
      <c r="UE9" s="77"/>
      <c r="UF9" s="77"/>
      <c r="UG9" s="77"/>
      <c r="UH9" s="77"/>
      <c r="UI9" s="77"/>
      <c r="UJ9" s="77"/>
      <c r="UK9" s="75"/>
      <c r="UT9" s="75"/>
      <c r="UU9" s="75"/>
      <c r="UV9" s="6"/>
      <c r="UW9" s="6"/>
      <c r="UX9" s="6"/>
      <c r="UY9" s="6"/>
      <c r="UZ9" s="6"/>
      <c r="VA9" s="6"/>
      <c r="VB9" s="6"/>
      <c r="VJ9" s="87"/>
      <c r="VK9" s="87"/>
      <c r="VL9" s="87"/>
      <c r="VM9" s="87"/>
      <c r="VN9" s="87"/>
      <c r="VO9" s="87"/>
      <c r="VP9" s="87"/>
      <c r="VQ9" s="87"/>
      <c r="VR9" s="87"/>
      <c r="WF9" s="6"/>
      <c r="WG9" s="6"/>
      <c r="WH9" s="6"/>
      <c r="WI9" s="6"/>
      <c r="WJ9" s="6"/>
      <c r="WK9" s="6"/>
      <c r="WL9" s="98"/>
      <c r="WM9" s="6"/>
      <c r="WN9" s="6"/>
      <c r="WO9" s="6"/>
      <c r="WP9" s="6"/>
      <c r="WQ9" s="6"/>
      <c r="WR9" s="361"/>
      <c r="WS9" s="361"/>
      <c r="WT9" s="6"/>
      <c r="WU9" s="6"/>
      <c r="WV9" s="6"/>
      <c r="WW9" s="6"/>
      <c r="WX9" s="6"/>
      <c r="WY9" s="6"/>
      <c r="WZ9" s="6"/>
      <c r="XA9" s="6"/>
      <c r="XB9" s="6"/>
      <c r="XC9" s="361"/>
      <c r="XD9" s="361"/>
      <c r="XE9" s="361"/>
      <c r="XQ9" s="6"/>
      <c r="XR9" s="6"/>
      <c r="XX9" s="13" t="str">
        <f>IF(XS2="Not Entitled","null",IF(G2&lt;&gt;"R","null",IF(AND(CF2=CD2,CH2=""),"Required Beginning Date (RBD):",IF(AK2="","Actual Retirement Date (ARD):",IF(O2="","Actual Retirement Date (ARD):","Benefit Starting Date (BSD):")))))</f>
        <v>null</v>
      </c>
      <c r="YM9" s="577"/>
      <c r="YN9" s="577"/>
      <c r="YT9" s="577"/>
    </row>
    <row r="10" spans="1:670" s="13" customFormat="1" x14ac:dyDescent="0.2">
      <c r="A10" s="15" t="s">
        <v>11</v>
      </c>
      <c r="B10" s="23">
        <v>41639</v>
      </c>
      <c r="C10" s="6">
        <f>COUNTIF(C36:C506,"2")</f>
        <v>0</v>
      </c>
      <c r="D10" s="6"/>
      <c r="E10" s="6"/>
      <c r="F10" s="6"/>
      <c r="G10" s="6"/>
      <c r="H10" s="6"/>
      <c r="I10" s="6"/>
      <c r="J10" s="6"/>
      <c r="K10" s="6"/>
      <c r="L10" s="6"/>
      <c r="M10" s="6"/>
      <c r="N10" s="6"/>
      <c r="O10" s="6"/>
      <c r="P10" s="6"/>
      <c r="Q10" s="6"/>
      <c r="R10" s="6"/>
      <c r="S10" s="6"/>
      <c r="T10" s="6"/>
      <c r="U10" s="9"/>
      <c r="V10" s="9"/>
      <c r="W10" s="9"/>
      <c r="X10" s="9"/>
      <c r="Y10" s="9"/>
      <c r="Z10" s="9"/>
      <c r="AA10" s="9"/>
      <c r="AB10" s="9"/>
      <c r="AC10" s="9"/>
      <c r="AD10" s="9"/>
      <c r="AE10" s="9"/>
      <c r="AF10" s="9"/>
      <c r="AG10" s="6"/>
      <c r="AH10" s="6"/>
      <c r="AI10" s="6"/>
      <c r="AJ10" s="10"/>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9"/>
      <c r="BN10" s="9"/>
      <c r="BO10" s="6"/>
      <c r="BP10" s="6"/>
      <c r="BQ10" s="6"/>
      <c r="BR10" s="6"/>
      <c r="BS10" s="6"/>
      <c r="BT10" s="6"/>
      <c r="BU10" s="6"/>
      <c r="BV10" s="6"/>
      <c r="BW10" s="9"/>
      <c r="BX10" s="9"/>
      <c r="BY10" s="9"/>
      <c r="BZ10" s="9"/>
      <c r="CA10" s="9"/>
      <c r="CB10" s="9"/>
      <c r="CC10" s="6"/>
      <c r="CD10" s="6"/>
      <c r="CE10" s="6"/>
      <c r="CF10" s="6"/>
      <c r="CG10" s="6"/>
      <c r="CH10" s="6"/>
      <c r="CN10" s="6"/>
      <c r="CO10" s="6"/>
      <c r="CP10" s="6"/>
      <c r="CQ10" s="9"/>
      <c r="CR10" s="9"/>
      <c r="CS10" s="9"/>
      <c r="CT10" s="9"/>
      <c r="CU10" s="9"/>
      <c r="CV10" s="9"/>
      <c r="CW10" s="11"/>
      <c r="CX10" s="9"/>
      <c r="CY10" s="9"/>
      <c r="CZ10" s="9"/>
      <c r="DA10" s="11"/>
      <c r="DB10" s="11"/>
      <c r="DC10" s="11"/>
      <c r="DD10" s="11"/>
      <c r="DE10" s="6"/>
      <c r="DF10" s="9"/>
      <c r="DG10" s="9"/>
      <c r="DH10" s="9"/>
      <c r="DI10" s="9"/>
      <c r="DJ10" s="9"/>
      <c r="DK10" s="9"/>
      <c r="DL10" s="9"/>
      <c r="DM10" s="9"/>
      <c r="DN10" s="9"/>
      <c r="DO10" s="9"/>
      <c r="DP10" s="9"/>
      <c r="DQ10" s="9"/>
      <c r="DR10" s="6"/>
      <c r="DS10" s="9"/>
      <c r="DZ10" s="9"/>
      <c r="EA10" s="9"/>
      <c r="EB10" s="9"/>
      <c r="EC10" s="9"/>
      <c r="ED10" s="9"/>
      <c r="EE10" s="9"/>
      <c r="EF10" s="9"/>
      <c r="EG10" s="9"/>
      <c r="EH10" s="9"/>
      <c r="EI10" s="9"/>
      <c r="EJ10" s="9"/>
      <c r="EK10" s="9"/>
      <c r="EL10" s="9"/>
      <c r="EM10" s="9"/>
      <c r="EN10" s="9"/>
      <c r="EO10" s="9"/>
      <c r="EP10" s="9"/>
      <c r="EQ10" s="9"/>
      <c r="ER10" s="9"/>
      <c r="ES10" s="9"/>
      <c r="ET10" s="9"/>
      <c r="EU10" s="9"/>
      <c r="EV10" s="9"/>
      <c r="EW10" s="9"/>
      <c r="EX10" s="9"/>
      <c r="EY10" s="9"/>
      <c r="EZ10" s="9"/>
      <c r="FA10" s="9"/>
      <c r="FB10" s="9"/>
      <c r="FC10" s="88"/>
      <c r="FD10" s="88"/>
      <c r="FE10" s="88"/>
      <c r="FF10" s="9"/>
      <c r="FG10" s="9"/>
      <c r="FH10" s="9"/>
      <c r="FI10" s="9"/>
      <c r="FJ10" s="9"/>
      <c r="FK10" s="9"/>
      <c r="FL10" s="9"/>
      <c r="FM10" s="9"/>
      <c r="FN10" s="9"/>
      <c r="FO10" s="9"/>
      <c r="FP10" s="9"/>
      <c r="FQ10" s="9"/>
      <c r="FR10" s="9"/>
      <c r="FS10" s="9"/>
      <c r="FT10" s="9"/>
      <c r="FU10" s="9"/>
      <c r="FV10" s="9"/>
      <c r="FW10" s="9"/>
      <c r="FX10" s="9"/>
      <c r="FY10" s="9"/>
      <c r="FZ10" s="9"/>
      <c r="GA10" s="88"/>
      <c r="GB10" s="9"/>
      <c r="GC10" s="9"/>
      <c r="GD10" s="9"/>
      <c r="GE10" s="9"/>
      <c r="GF10" s="9"/>
      <c r="GG10" s="71"/>
      <c r="GH10" s="9"/>
      <c r="GI10" s="9"/>
      <c r="GJ10" s="9"/>
      <c r="GK10" s="9"/>
      <c r="GL10" s="530"/>
      <c r="GM10" s="530"/>
      <c r="GN10" s="12"/>
      <c r="GO10" s="12"/>
      <c r="GP10" s="12"/>
      <c r="GQ10" s="11"/>
      <c r="GR10" s="9"/>
      <c r="GS10" s="9"/>
      <c r="GT10" s="9"/>
      <c r="GU10" s="9"/>
      <c r="GV10" s="9"/>
      <c r="GW10" s="9"/>
      <c r="GX10" s="6"/>
      <c r="GY10" s="6"/>
      <c r="GZ10" s="6"/>
      <c r="HA10" s="9"/>
      <c r="HB10" s="17"/>
      <c r="HC10" s="9"/>
      <c r="HD10" s="9"/>
      <c r="HE10" s="9"/>
      <c r="HF10" s="9"/>
      <c r="HG10" s="9"/>
      <c r="HH10" s="11"/>
      <c r="HI10" s="11"/>
      <c r="HJ10" s="9"/>
      <c r="HK10" s="11"/>
      <c r="HL10" s="11"/>
      <c r="HM10" s="11"/>
      <c r="HN10" s="9"/>
      <c r="HO10" s="9"/>
      <c r="HP10" s="11"/>
      <c r="HQ10" s="11"/>
      <c r="HR10" s="11"/>
      <c r="HS10" s="9"/>
      <c r="HT10" s="9"/>
      <c r="HU10" s="9"/>
      <c r="HV10" s="9"/>
      <c r="HW10" s="9"/>
      <c r="HX10" s="9"/>
      <c r="HY10" s="9"/>
      <c r="HZ10" s="9"/>
      <c r="IA10" s="9"/>
      <c r="IB10" s="9"/>
      <c r="IC10" s="9"/>
      <c r="ID10" s="9"/>
      <c r="IE10" s="9"/>
      <c r="IF10" s="9"/>
      <c r="IG10" s="9"/>
      <c r="IH10" s="11"/>
      <c r="II10" s="11"/>
      <c r="IJ10" s="9"/>
      <c r="IK10" s="11"/>
      <c r="IL10" s="9"/>
      <c r="IM10" s="9"/>
      <c r="IN10" s="9"/>
      <c r="IO10" s="9"/>
      <c r="IP10" s="9"/>
      <c r="IQ10" s="9"/>
      <c r="IR10" s="9"/>
      <c r="IS10" s="9"/>
      <c r="IT10" s="9"/>
      <c r="IU10" s="9"/>
      <c r="IV10" s="9"/>
      <c r="IW10" s="9"/>
      <c r="IX10" s="9"/>
      <c r="IY10" s="9"/>
      <c r="IZ10" s="9"/>
      <c r="JA10" s="9"/>
      <c r="JB10" s="9"/>
      <c r="JC10" s="9"/>
      <c r="JD10" s="9"/>
      <c r="JE10" s="9"/>
      <c r="JF10" s="9"/>
      <c r="JG10" s="9"/>
      <c r="JH10" s="9"/>
      <c r="JI10" s="9"/>
      <c r="JJ10" s="9"/>
      <c r="JK10" s="9"/>
      <c r="JL10" s="9"/>
      <c r="JM10" s="9"/>
      <c r="JN10" s="530"/>
      <c r="JO10" s="530"/>
      <c r="JP10" s="9"/>
      <c r="JQ10" s="9"/>
      <c r="JR10" s="9"/>
      <c r="JS10" s="9"/>
      <c r="JT10" s="9"/>
      <c r="JU10" s="9"/>
      <c r="JV10" s="9"/>
      <c r="JW10" s="9"/>
      <c r="JX10" s="9"/>
      <c r="JY10" s="9"/>
      <c r="JZ10" s="9"/>
      <c r="KA10" s="9"/>
      <c r="KB10" s="9"/>
      <c r="KC10" s="9"/>
      <c r="KD10" s="9"/>
      <c r="KE10" s="6"/>
      <c r="KF10" s="6"/>
      <c r="KG10" s="6"/>
      <c r="KH10" s="6"/>
      <c r="KI10" s="6"/>
      <c r="KJ10" s="6"/>
      <c r="KK10" s="6"/>
      <c r="KL10" s="6"/>
      <c r="KM10" s="6"/>
      <c r="KN10" s="6"/>
      <c r="KO10" s="6"/>
      <c r="KP10" s="6"/>
      <c r="KQ10" s="6"/>
      <c r="KR10" s="6"/>
      <c r="KS10" s="6"/>
      <c r="KT10" s="6"/>
      <c r="KU10" s="6"/>
      <c r="KV10" s="6"/>
      <c r="KW10" s="6"/>
      <c r="KX10" s="6"/>
      <c r="KY10" s="6"/>
      <c r="KZ10" s="6"/>
      <c r="LA10" s="6"/>
      <c r="LB10" s="6"/>
      <c r="LC10" s="6"/>
      <c r="LD10" s="6"/>
      <c r="LE10" s="6"/>
      <c r="LF10" s="6"/>
      <c r="LG10" s="6"/>
      <c r="LH10" s="6"/>
      <c r="LI10" s="6"/>
      <c r="LJ10" s="6"/>
      <c r="LK10" s="6"/>
      <c r="LL10" s="6"/>
      <c r="LM10" s="6"/>
      <c r="LN10" s="98"/>
      <c r="LO10" s="21">
        <f>SUM(LO36:LO2180)</f>
        <v>0</v>
      </c>
      <c r="LP10" s="21">
        <f t="shared" ref="LP10:LU10" si="1">SUM(LP36:LP2180)</f>
        <v>0</v>
      </c>
      <c r="LQ10" s="21">
        <f t="shared" si="1"/>
        <v>0</v>
      </c>
      <c r="LR10" s="21">
        <f t="shared" si="1"/>
        <v>0</v>
      </c>
      <c r="LS10" s="21">
        <f t="shared" si="1"/>
        <v>0</v>
      </c>
      <c r="LT10" s="21">
        <f t="shared" si="1"/>
        <v>0</v>
      </c>
      <c r="LU10" s="21">
        <f t="shared" si="1"/>
        <v>0</v>
      </c>
      <c r="LV10" s="98"/>
      <c r="LW10" s="98"/>
      <c r="LX10" s="98"/>
      <c r="LY10" s="98"/>
      <c r="LZ10" s="98"/>
      <c r="MA10" s="98"/>
      <c r="MB10" s="98"/>
      <c r="MC10" s="98"/>
      <c r="MD10" s="98"/>
      <c r="ME10" s="98"/>
      <c r="MF10" s="98"/>
      <c r="MG10" s="98"/>
      <c r="MH10" s="98"/>
      <c r="MI10" s="98"/>
      <c r="MJ10" s="9"/>
      <c r="MK10" s="21">
        <f>SUMIF($C36:$C506,"2",MK36:MK506)</f>
        <v>0</v>
      </c>
      <c r="ML10" s="21">
        <f>SUMIF($C36:$C506,"2",ML36:ML506)</f>
        <v>0</v>
      </c>
      <c r="MM10" s="9"/>
      <c r="MN10" s="9"/>
      <c r="MO10" s="9"/>
      <c r="MP10" s="9"/>
      <c r="MQ10" s="9"/>
      <c r="MR10" s="9"/>
      <c r="MS10" s="9"/>
      <c r="MT10" s="9"/>
      <c r="MU10" s="9"/>
      <c r="MV10" s="9"/>
      <c r="MW10" s="9"/>
      <c r="MX10" s="9"/>
      <c r="MY10" s="21">
        <f>SUMIF($C36:$C506,"2",MY36:MY506)</f>
        <v>0</v>
      </c>
      <c r="MZ10" s="9"/>
      <c r="NA10" s="21">
        <f>SUMIF($C36:$C506,"2",NA36:NA506)</f>
        <v>0</v>
      </c>
      <c r="NB10" s="9"/>
      <c r="NC10" s="9"/>
      <c r="ND10" s="9"/>
      <c r="NE10" s="9"/>
      <c r="NF10" s="9"/>
      <c r="NG10" s="9"/>
      <c r="NH10" s="9"/>
      <c r="NI10" s="9"/>
      <c r="NJ10" s="9"/>
      <c r="NK10" s="9"/>
      <c r="NL10" s="9"/>
      <c r="NM10" s="9"/>
      <c r="NN10" s="9"/>
      <c r="NO10" s="9"/>
      <c r="NP10" s="9"/>
      <c r="NQ10" s="9"/>
      <c r="NR10" s="9"/>
      <c r="NS10" s="9"/>
      <c r="NT10" s="9"/>
      <c r="NU10" s="9"/>
      <c r="NV10" s="9"/>
      <c r="NW10" s="9"/>
      <c r="NX10" s="9"/>
      <c r="NY10" s="9"/>
      <c r="NZ10" s="9"/>
      <c r="OA10" s="9"/>
      <c r="OB10" s="9"/>
      <c r="OC10" s="9"/>
      <c r="OD10" s="9"/>
      <c r="OE10" s="9"/>
      <c r="OF10" s="9"/>
      <c r="OG10" s="9"/>
      <c r="OH10" s="9"/>
      <c r="OI10" s="9"/>
      <c r="OJ10" s="9"/>
      <c r="OK10" s="9"/>
      <c r="OL10" s="9"/>
      <c r="OM10" s="9"/>
      <c r="ON10" s="9"/>
      <c r="OO10" s="9"/>
      <c r="OP10" s="9"/>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21">
        <f t="shared" ref="PS10:PY10" si="2">SUMIF($C36:$C506,"2",PS36:PS506)</f>
        <v>0</v>
      </c>
      <c r="PT10" s="21">
        <f t="shared" si="2"/>
        <v>0</v>
      </c>
      <c r="PU10" s="21">
        <f t="shared" si="2"/>
        <v>0</v>
      </c>
      <c r="PV10" s="21">
        <f t="shared" si="2"/>
        <v>0</v>
      </c>
      <c r="PW10" s="21">
        <f t="shared" si="2"/>
        <v>0</v>
      </c>
      <c r="PX10" s="21">
        <f t="shared" si="2"/>
        <v>0</v>
      </c>
      <c r="PY10" s="21">
        <f t="shared" si="2"/>
        <v>0</v>
      </c>
      <c r="PZ10" s="9"/>
      <c r="QA10" s="9"/>
      <c r="QB10" s="9"/>
      <c r="QC10" s="9"/>
      <c r="QD10" s="9"/>
      <c r="QE10" s="9"/>
      <c r="QF10" s="9"/>
      <c r="QG10" s="9"/>
      <c r="QH10" s="9"/>
      <c r="QI10" s="9"/>
      <c r="QJ10" s="9"/>
      <c r="QK10" s="9"/>
      <c r="QL10" s="9"/>
      <c r="QM10" s="9"/>
      <c r="QN10" s="9"/>
      <c r="QO10" s="9"/>
      <c r="QP10" s="9"/>
      <c r="QQ10" s="9"/>
      <c r="QR10" s="9"/>
      <c r="QS10" s="9"/>
      <c r="QT10" s="9"/>
      <c r="QU10" s="9"/>
      <c r="QV10" s="21">
        <f>SUMIF($C36:$C506,"2",QV36:QV506)</f>
        <v>0</v>
      </c>
      <c r="QW10" s="21">
        <f>SUMIF($C36:$C506,"2",QW36:QW506)</f>
        <v>0</v>
      </c>
      <c r="QX10" s="21"/>
      <c r="QY10" s="21"/>
      <c r="QZ10" s="21"/>
      <c r="RA10" s="21"/>
      <c r="RB10" s="21"/>
      <c r="RC10" s="21"/>
      <c r="RD10" s="21"/>
      <c r="RE10" s="21"/>
      <c r="RF10" s="21"/>
      <c r="RG10" s="9"/>
      <c r="RH10" s="9"/>
      <c r="RI10" s="9"/>
      <c r="RJ10" s="9"/>
      <c r="RK10" s="9"/>
      <c r="RL10" s="9"/>
      <c r="RM10" s="9"/>
      <c r="RN10" s="9"/>
      <c r="RO10" s="9"/>
      <c r="RP10" s="9"/>
      <c r="RQ10" s="9"/>
      <c r="RR10" s="9"/>
      <c r="RS10" s="9"/>
      <c r="RT10" s="9"/>
      <c r="RU10" s="9"/>
      <c r="RV10" s="21">
        <f>SUMIF($C36:$C506,"2",RV36:RV506)</f>
        <v>0</v>
      </c>
      <c r="RW10" s="21">
        <f>SUMIF($C36:$C506,"2",RW36:RW506)</f>
        <v>0</v>
      </c>
      <c r="RX10" s="9"/>
      <c r="RY10" s="531"/>
      <c r="RZ10" s="21">
        <f>SUMIF($C36:$C506,"2",RZ36:RZ506)</f>
        <v>0</v>
      </c>
      <c r="SA10" s="21">
        <f>SUMIF($C36:$C506,"2",SA36:SA506)</f>
        <v>0</v>
      </c>
      <c r="SB10" s="21">
        <f>SUMIF($C36:$C506,"2",SB36:SB506)</f>
        <v>0</v>
      </c>
      <c r="SC10" s="21">
        <f>SUMIF($C36:$C506,"2",SC36:SC506)</f>
        <v>0</v>
      </c>
      <c r="SD10" s="9"/>
      <c r="SE10" s="9"/>
      <c r="SF10" s="9"/>
      <c r="SG10" s="9"/>
      <c r="SH10" s="9"/>
      <c r="SI10" s="9"/>
      <c r="SJ10" s="9"/>
      <c r="SK10" s="9"/>
      <c r="SL10" s="9"/>
      <c r="SM10" s="21">
        <f>SUMIF($C36:$C506,"2",SM36:SM506)</f>
        <v>0</v>
      </c>
      <c r="SN10" s="21">
        <f>SUMIF($C36:$C506,"2",SN36:SN506)</f>
        <v>0</v>
      </c>
      <c r="SO10" s="9"/>
      <c r="SP10" s="9"/>
      <c r="SQ10" s="9"/>
      <c r="SR10" s="9"/>
      <c r="SS10" s="9"/>
      <c r="SU10" s="9"/>
      <c r="SV10" s="9"/>
      <c r="SW10" s="9"/>
      <c r="SX10" s="9"/>
      <c r="SY10" s="9"/>
      <c r="SZ10" s="9"/>
      <c r="TA10" s="9"/>
      <c r="TB10" s="9"/>
      <c r="TC10" s="9"/>
      <c r="TD10" s="9"/>
      <c r="TE10" s="9"/>
      <c r="TF10" s="9"/>
      <c r="TG10" s="21">
        <f>SUMIF($C36:$C506,"2",TG36:TG506)</f>
        <v>0</v>
      </c>
      <c r="TH10" s="21">
        <f>SUMIF($C36:$C506,"2",TH36:TH506)</f>
        <v>0</v>
      </c>
      <c r="TI10" s="9"/>
      <c r="TJ10" s="9"/>
      <c r="TK10" s="6"/>
      <c r="TL10" s="6"/>
      <c r="TM10" s="6"/>
      <c r="TN10" s="9"/>
      <c r="TO10" s="9"/>
      <c r="TP10" s="9"/>
      <c r="TQ10" s="7"/>
      <c r="TR10" s="7"/>
      <c r="TS10" s="7"/>
      <c r="TT10" s="7"/>
      <c r="TU10" s="7"/>
      <c r="TV10" s="7"/>
      <c r="TW10" s="71"/>
      <c r="TZ10" s="71"/>
      <c r="UA10" s="71"/>
      <c r="UB10" s="71"/>
      <c r="UC10" s="71"/>
      <c r="UD10" s="74"/>
      <c r="UE10" s="77"/>
      <c r="UF10" s="77"/>
      <c r="UG10" s="77"/>
      <c r="UH10" s="77"/>
      <c r="UI10" s="77"/>
      <c r="UJ10" s="77"/>
      <c r="UK10" s="75"/>
      <c r="UT10" s="75"/>
      <c r="UU10" s="75"/>
      <c r="UV10" s="21">
        <f>SUMIF($C36:$C506,"2",UV36:UV506)</f>
        <v>0</v>
      </c>
      <c r="UW10" s="9"/>
      <c r="UX10" s="9"/>
      <c r="UY10" s="9"/>
      <c r="UZ10" s="21">
        <f>SUMIF($C36:$C506,"2",UZ36:UZ506)</f>
        <v>0</v>
      </c>
      <c r="VA10" s="21">
        <f>SUMIF($C36:$C506,"2",VA36:VA506)</f>
        <v>0</v>
      </c>
      <c r="VB10" s="9"/>
      <c r="VJ10" s="87"/>
      <c r="VK10" s="87"/>
      <c r="VL10" s="87"/>
      <c r="VM10" s="87"/>
      <c r="VN10" s="87"/>
      <c r="VO10" s="87"/>
      <c r="VP10" s="87"/>
      <c r="VQ10" s="87"/>
      <c r="VR10" s="87"/>
      <c r="WF10" s="9"/>
      <c r="WG10" s="9"/>
      <c r="WH10" s="9"/>
      <c r="WI10" s="9"/>
      <c r="WJ10" s="9"/>
      <c r="WK10" s="9"/>
      <c r="WL10" s="98"/>
      <c r="WM10" s="9"/>
      <c r="WN10" s="9"/>
      <c r="WO10" s="9"/>
      <c r="WP10" s="9"/>
      <c r="WQ10" s="9"/>
      <c r="WR10" s="361"/>
      <c r="WS10" s="361"/>
      <c r="WT10" s="9"/>
      <c r="WU10" s="9"/>
      <c r="WV10" s="9"/>
      <c r="WW10" s="9"/>
      <c r="WX10" s="9"/>
      <c r="WY10" s="9"/>
      <c r="WZ10" s="9"/>
      <c r="XA10" s="9"/>
      <c r="XB10" s="9"/>
      <c r="XC10" s="361"/>
      <c r="XD10" s="361"/>
      <c r="XE10" s="361"/>
      <c r="XQ10" s="9"/>
      <c r="XR10" s="9"/>
      <c r="YM10" s="577"/>
      <c r="YN10" s="577"/>
      <c r="YT10" s="577"/>
    </row>
    <row r="11" spans="1:670" s="13" customFormat="1" x14ac:dyDescent="0.2">
      <c r="A11" s="15"/>
      <c r="B11" s="23"/>
      <c r="C11" s="13">
        <f>COUNTIFS(C36:C506,"3",JR36:JR506,"Yes")</f>
        <v>0</v>
      </c>
      <c r="D11" s="6"/>
      <c r="E11" s="6"/>
      <c r="F11" s="6"/>
      <c r="G11" s="6"/>
      <c r="H11" s="6"/>
      <c r="I11" s="6"/>
      <c r="J11" s="6"/>
      <c r="K11" s="6"/>
      <c r="L11" s="6"/>
      <c r="M11" s="6"/>
      <c r="N11" s="6"/>
      <c r="O11" s="6"/>
      <c r="P11" s="6"/>
      <c r="Q11" s="6"/>
      <c r="R11" s="6"/>
      <c r="S11" s="6"/>
      <c r="T11" s="6"/>
      <c r="U11" s="9"/>
      <c r="V11" s="9"/>
      <c r="W11" s="9"/>
      <c r="X11" s="9"/>
      <c r="Y11" s="9"/>
      <c r="Z11" s="9"/>
      <c r="AA11" s="9"/>
      <c r="AB11" s="9"/>
      <c r="AC11" s="9"/>
      <c r="AD11" s="9"/>
      <c r="AE11" s="9"/>
      <c r="AF11" s="9"/>
      <c r="AG11" s="6"/>
      <c r="AH11" s="6"/>
      <c r="AI11" s="6"/>
      <c r="AJ11" s="10"/>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9"/>
      <c r="BN11" s="9"/>
      <c r="BO11" s="6"/>
      <c r="BP11" s="6"/>
      <c r="BQ11" s="6"/>
      <c r="BR11" s="6"/>
      <c r="BS11" s="6"/>
      <c r="BT11" s="6"/>
      <c r="BU11" s="6"/>
      <c r="BV11" s="6"/>
      <c r="BW11" s="9"/>
      <c r="BX11" s="9"/>
      <c r="BY11" s="9"/>
      <c r="BZ11" s="9"/>
      <c r="CA11" s="9"/>
      <c r="CB11" s="9"/>
      <c r="CC11" s="6"/>
      <c r="CD11" s="6"/>
      <c r="CE11" s="6"/>
      <c r="CF11" s="6"/>
      <c r="CG11" s="6"/>
      <c r="CH11" s="6"/>
      <c r="CN11" s="6"/>
      <c r="CO11" s="6"/>
      <c r="CP11" s="6"/>
      <c r="CQ11" s="9"/>
      <c r="CR11" s="9"/>
      <c r="CS11" s="9"/>
      <c r="CT11" s="9"/>
      <c r="CU11" s="9"/>
      <c r="CV11" s="9"/>
      <c r="CW11" s="11"/>
      <c r="CX11" s="9"/>
      <c r="CY11" s="9"/>
      <c r="CZ11" s="9"/>
      <c r="DA11" s="11"/>
      <c r="DB11" s="11"/>
      <c r="DC11" s="11"/>
      <c r="DD11" s="11"/>
      <c r="DE11" s="6"/>
      <c r="DF11" s="9"/>
      <c r="DG11" s="9"/>
      <c r="DH11" s="9"/>
      <c r="DI11" s="9"/>
      <c r="DJ11" s="9"/>
      <c r="DK11" s="9"/>
      <c r="DL11" s="9"/>
      <c r="DM11" s="9"/>
      <c r="DN11" s="9"/>
      <c r="DO11" s="9"/>
      <c r="DP11" s="9"/>
      <c r="DQ11" s="9"/>
      <c r="DR11" s="6"/>
      <c r="DS11" s="9"/>
      <c r="DZ11" s="9"/>
      <c r="EA11" s="9"/>
      <c r="EB11" s="9"/>
      <c r="EC11" s="9"/>
      <c r="ED11" s="9"/>
      <c r="EE11" s="9"/>
      <c r="EF11" s="9"/>
      <c r="EG11" s="9"/>
      <c r="EH11" s="9"/>
      <c r="EI11" s="9"/>
      <c r="EJ11" s="9"/>
      <c r="EK11" s="9"/>
      <c r="EL11" s="9"/>
      <c r="EM11" s="9"/>
      <c r="EN11" s="9"/>
      <c r="EO11" s="9"/>
      <c r="EP11" s="9"/>
      <c r="EQ11" s="9"/>
      <c r="ER11" s="9"/>
      <c r="ES11" s="9"/>
      <c r="ET11" s="9"/>
      <c r="EU11" s="9"/>
      <c r="EV11" s="9"/>
      <c r="EW11" s="9"/>
      <c r="EX11" s="9"/>
      <c r="EY11" s="9"/>
      <c r="EZ11" s="9"/>
      <c r="FA11" s="9"/>
      <c r="FB11" s="9"/>
      <c r="FC11" s="88"/>
      <c r="FD11" s="88"/>
      <c r="FE11" s="88"/>
      <c r="FF11" s="9"/>
      <c r="FG11" s="9"/>
      <c r="FH11" s="9"/>
      <c r="FI11" s="9"/>
      <c r="FJ11" s="9"/>
      <c r="FK11" s="9"/>
      <c r="FL11" s="9"/>
      <c r="FM11" s="9"/>
      <c r="FN11" s="9"/>
      <c r="FO11" s="9"/>
      <c r="FP11" s="9"/>
      <c r="FQ11" s="9"/>
      <c r="FR11" s="9"/>
      <c r="FS11" s="9"/>
      <c r="FT11" s="9"/>
      <c r="FU11" s="9"/>
      <c r="FV11" s="9"/>
      <c r="FW11" s="9"/>
      <c r="FX11" s="9"/>
      <c r="FY11" s="9"/>
      <c r="FZ11" s="9"/>
      <c r="GA11" s="88"/>
      <c r="GB11" s="9"/>
      <c r="GC11" s="9"/>
      <c r="GD11" s="9"/>
      <c r="GE11" s="9"/>
      <c r="GF11" s="9"/>
      <c r="GG11" s="71"/>
      <c r="GH11" s="9"/>
      <c r="GI11" s="9"/>
      <c r="GJ11" s="9"/>
      <c r="GK11" s="9"/>
      <c r="GL11" s="530"/>
      <c r="GM11" s="530"/>
      <c r="GN11" s="17"/>
      <c r="GO11" s="17"/>
      <c r="GP11" s="17"/>
      <c r="GQ11" s="11"/>
      <c r="GR11" s="9"/>
      <c r="GS11" s="9"/>
      <c r="GT11" s="9"/>
      <c r="GU11" s="9"/>
      <c r="GV11" s="9"/>
      <c r="GW11" s="9"/>
      <c r="GX11" s="6"/>
      <c r="GY11" s="6"/>
      <c r="GZ11" s="6"/>
      <c r="HA11" s="9"/>
      <c r="HB11" s="49"/>
      <c r="HC11" s="9"/>
      <c r="HD11" s="9"/>
      <c r="HE11" s="9"/>
      <c r="HF11" s="9"/>
      <c r="HG11" s="9"/>
      <c r="HH11" s="11"/>
      <c r="HI11" s="11"/>
      <c r="HJ11" s="9"/>
      <c r="HK11" s="11"/>
      <c r="HL11" s="11"/>
      <c r="HM11" s="11"/>
      <c r="HN11" s="9"/>
      <c r="HO11" s="9"/>
      <c r="HP11" s="11"/>
      <c r="HQ11" s="11"/>
      <c r="HR11" s="11"/>
      <c r="HS11" s="9"/>
      <c r="HT11" s="9"/>
      <c r="HU11" s="9"/>
      <c r="HV11" s="9"/>
      <c r="HW11" s="9"/>
      <c r="HX11" s="9"/>
      <c r="HY11" s="9"/>
      <c r="HZ11" s="9"/>
      <c r="IA11" s="361" t="s">
        <v>1789</v>
      </c>
      <c r="IB11" s="9"/>
      <c r="IC11" s="9"/>
      <c r="ID11" s="9"/>
      <c r="IE11" s="9"/>
      <c r="IF11" s="9"/>
      <c r="IG11" s="9"/>
      <c r="IH11" s="11"/>
      <c r="II11" s="11"/>
      <c r="IJ11" s="17"/>
      <c r="IK11" s="11"/>
      <c r="IL11" s="9"/>
      <c r="IM11" s="9"/>
      <c r="IN11" s="9"/>
      <c r="IO11" s="9"/>
      <c r="IP11" s="9"/>
      <c r="IQ11" s="9"/>
      <c r="IR11" s="9"/>
      <c r="IS11" s="9"/>
      <c r="IT11" s="9"/>
      <c r="IU11" s="9"/>
      <c r="IV11" s="9"/>
      <c r="IW11" s="9"/>
      <c r="IX11" s="9"/>
      <c r="IY11" s="9"/>
      <c r="IZ11" s="9"/>
      <c r="JA11" s="9"/>
      <c r="JB11" s="9"/>
      <c r="JC11" s="9"/>
      <c r="JD11" s="9"/>
      <c r="JE11" s="9"/>
      <c r="JF11" s="9"/>
      <c r="JG11" s="9"/>
      <c r="JH11" s="9"/>
      <c r="JI11" s="9"/>
      <c r="JJ11" s="9"/>
      <c r="JK11" s="9"/>
      <c r="JL11" s="9"/>
      <c r="JM11" s="9"/>
      <c r="JN11" s="530"/>
      <c r="JO11" s="530"/>
      <c r="JP11" s="9"/>
      <c r="JQ11" s="9"/>
      <c r="JR11" s="9"/>
      <c r="JS11" s="9"/>
      <c r="JT11" s="9"/>
      <c r="JU11" s="9"/>
      <c r="JV11" s="9"/>
      <c r="JW11" s="9"/>
      <c r="JX11" s="9"/>
      <c r="JY11" s="9"/>
      <c r="JZ11" s="9"/>
      <c r="KA11" s="9"/>
      <c r="KB11" s="9"/>
      <c r="KC11" s="9"/>
      <c r="KD11" s="9"/>
      <c r="KE11" s="6"/>
      <c r="KF11" s="6"/>
      <c r="KG11" s="6"/>
      <c r="KH11" s="6"/>
      <c r="KI11" s="6"/>
      <c r="KJ11" s="6"/>
      <c r="KK11" s="6"/>
      <c r="KL11" s="6"/>
      <c r="KM11" s="6"/>
      <c r="KN11" s="6"/>
      <c r="KO11" s="6"/>
      <c r="KP11" s="6"/>
      <c r="KQ11" s="6"/>
      <c r="KR11" s="6"/>
      <c r="KS11" s="6"/>
      <c r="KT11" s="6"/>
      <c r="KU11" s="6"/>
      <c r="KV11" s="6"/>
      <c r="KW11" s="6"/>
      <c r="KX11" s="6"/>
      <c r="KY11" s="6"/>
      <c r="KZ11" s="6"/>
      <c r="LA11" s="6"/>
      <c r="LB11" s="6"/>
      <c r="LC11" s="6"/>
      <c r="LD11" s="6"/>
      <c r="LE11" s="6"/>
      <c r="LF11" s="6"/>
      <c r="LG11" s="6"/>
      <c r="LH11" s="6"/>
      <c r="LI11" s="6"/>
      <c r="LJ11" s="6"/>
      <c r="LK11" s="6"/>
      <c r="LL11" s="6"/>
      <c r="LM11" s="6"/>
      <c r="LN11" s="98"/>
      <c r="LO11" s="21">
        <v>60372</v>
      </c>
      <c r="LP11" s="21">
        <v>10296604</v>
      </c>
      <c r="LQ11" s="21">
        <v>10380004</v>
      </c>
      <c r="LR11" s="21">
        <v>138718</v>
      </c>
      <c r="LS11" s="21">
        <v>139843</v>
      </c>
      <c r="LT11" s="21">
        <v>10435322</v>
      </c>
      <c r="LU11" s="21">
        <v>10519847</v>
      </c>
      <c r="LV11" s="98"/>
      <c r="LW11" s="98"/>
      <c r="LX11" s="98"/>
      <c r="LY11" s="98"/>
      <c r="LZ11" s="98"/>
      <c r="MA11" s="98"/>
      <c r="MB11" s="98"/>
      <c r="MC11" s="98"/>
      <c r="MD11" s="98"/>
      <c r="ME11" s="98"/>
      <c r="MF11" s="98"/>
      <c r="MG11" s="98"/>
      <c r="MH11" s="98"/>
      <c r="MI11" s="98"/>
      <c r="MJ11" s="9"/>
      <c r="MK11" s="21">
        <f>SUMIFS(MK36:MK506,$C$36:$C$506,"3",$JR$36:$JR$506,"Yes")</f>
        <v>0</v>
      </c>
      <c r="ML11" s="21">
        <f>SUMIFS(ML36:ML506,$C$36:$C$506,"3",$JR$36:$JR$506,"Yes")</f>
        <v>0</v>
      </c>
      <c r="MM11" s="16"/>
      <c r="MN11" s="16"/>
      <c r="MO11" s="16"/>
      <c r="MP11" s="16"/>
      <c r="MQ11" s="16"/>
      <c r="MR11" s="16"/>
      <c r="MS11" s="16"/>
      <c r="MT11" s="16"/>
      <c r="MU11" s="16"/>
      <c r="MV11" s="16"/>
      <c r="MW11" s="16"/>
      <c r="MX11" s="16"/>
      <c r="MY11" s="21">
        <f>SUMIFS(MY36:MY506,$C$36:$C$506,"3",$JR$36:$JR$506,"Yes")</f>
        <v>0</v>
      </c>
      <c r="MZ11" s="16"/>
      <c r="NA11" s="21">
        <f>SUMIFS(NA36:NA506,$C$36:$C$506,"3",$JR$36:$JR$506,"Yes")</f>
        <v>0</v>
      </c>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21">
        <f t="shared" ref="PS11:PY11" si="3">SUMIFS(PS36:PS506,$C$36:$C$506,"3",$JR$36:$JR$506,"Yes")</f>
        <v>0</v>
      </c>
      <c r="PT11" s="21">
        <f t="shared" si="3"/>
        <v>0</v>
      </c>
      <c r="PU11" s="21">
        <f t="shared" si="3"/>
        <v>0</v>
      </c>
      <c r="PV11" s="21">
        <f t="shared" si="3"/>
        <v>0</v>
      </c>
      <c r="PW11" s="21">
        <f t="shared" si="3"/>
        <v>0</v>
      </c>
      <c r="PX11" s="21">
        <f t="shared" si="3"/>
        <v>0</v>
      </c>
      <c r="PY11" s="21">
        <f t="shared" si="3"/>
        <v>0</v>
      </c>
      <c r="PZ11" s="16"/>
      <c r="QA11" s="16"/>
      <c r="QB11" s="16"/>
      <c r="QC11" s="16"/>
      <c r="QD11" s="16"/>
      <c r="QE11" s="16"/>
      <c r="QF11" s="16"/>
      <c r="QG11" s="16"/>
      <c r="QH11" s="9"/>
      <c r="QI11" s="9"/>
      <c r="QJ11" s="9"/>
      <c r="QK11" s="9"/>
      <c r="QL11" s="9"/>
      <c r="QM11" s="9"/>
      <c r="QN11" s="9"/>
      <c r="QO11" s="9"/>
      <c r="QP11" s="9"/>
      <c r="QQ11" s="9"/>
      <c r="QR11" s="9"/>
      <c r="QS11" s="9"/>
      <c r="QT11" s="9"/>
      <c r="QU11" s="9"/>
      <c r="QV11" s="21">
        <f>SUMIFS(QV36:QV506,$C$36:$C$506,"3",$JR$36:$JR$506,"Yes")</f>
        <v>0</v>
      </c>
      <c r="QW11" s="21">
        <f>SUMIFS(QW36:QW506,$C$36:$C$506,"3",$JR$36:$JR$506,"Yes")</f>
        <v>0</v>
      </c>
      <c r="QX11" s="21"/>
      <c r="QY11" s="21"/>
      <c r="QZ11" s="21"/>
      <c r="RA11" s="21"/>
      <c r="RB11" s="21"/>
      <c r="RC11" s="21"/>
      <c r="RD11" s="21"/>
      <c r="RE11" s="21"/>
      <c r="RF11" s="21"/>
      <c r="RG11" s="9"/>
      <c r="RH11" s="9"/>
      <c r="RI11" s="9"/>
      <c r="RJ11" s="9"/>
      <c r="RK11" s="9"/>
      <c r="RL11" s="9"/>
      <c r="RM11" s="9"/>
      <c r="RN11" s="9"/>
      <c r="RO11" s="9"/>
      <c r="RP11" s="9"/>
      <c r="RQ11" s="9"/>
      <c r="RR11" s="9"/>
      <c r="RS11" s="9"/>
      <c r="RT11" s="9"/>
      <c r="RU11" s="9"/>
      <c r="RV11" s="21">
        <f>SUMIFS(RV36:RV506,$C$36:$C$506,"3",$JR$36:$JR$506,"Yes")</f>
        <v>0</v>
      </c>
      <c r="RW11" s="21">
        <f>SUMIFS(RW36:RW506,$C$36:$C$506,"3",$JR$36:$JR$506,"Yes")</f>
        <v>0</v>
      </c>
      <c r="RX11" s="9"/>
      <c r="RY11" s="531"/>
      <c r="RZ11" s="21">
        <f>SUMIFS(RZ36:RZ506,$C$36:$C$506,"3",$JR$36:$JR$506,"Yes")</f>
        <v>0</v>
      </c>
      <c r="SA11" s="21">
        <f>SUMIFS(SA36:SA506,$C$36:$C$506,"3",$JR$36:$JR$506,"Yes")</f>
        <v>0</v>
      </c>
      <c r="SB11" s="21">
        <f>SUMIFS(SB36:SB506,$C$36:$C$506,"3",$JR$36:$JR$506,"Yes")</f>
        <v>0</v>
      </c>
      <c r="SC11" s="21">
        <f>SUMIFS(SC36:SC506,$C$36:$C$506,"3",$JR$36:$JR$506,"Yes")</f>
        <v>0</v>
      </c>
      <c r="SD11" s="9"/>
      <c r="SE11" s="9"/>
      <c r="SF11" s="9"/>
      <c r="SG11" s="9"/>
      <c r="SH11" s="9"/>
      <c r="SI11" s="9"/>
      <c r="SJ11" s="9" t="s">
        <v>1788</v>
      </c>
      <c r="SK11" s="9"/>
      <c r="SL11" s="9"/>
      <c r="SM11" s="21">
        <f>SUMIFS(SM36:SM506,$C$36:$C$506,"3",$JR$36:$JR$506,"Yes")</f>
        <v>0</v>
      </c>
      <c r="SN11" s="21">
        <f>SUMIFS(SN36:SN506,$C$36:$C$506,"3",$JR$36:$JR$506,"Yes")</f>
        <v>0</v>
      </c>
      <c r="SO11" s="9"/>
      <c r="SP11" s="9"/>
      <c r="SQ11" s="9"/>
      <c r="SR11" s="9"/>
      <c r="SS11" s="9"/>
      <c r="SV11" s="361"/>
      <c r="SW11" s="361"/>
      <c r="SX11" s="9"/>
      <c r="SY11" s="9"/>
      <c r="SZ11" s="9"/>
      <c r="TA11" s="9"/>
      <c r="TB11" s="9"/>
      <c r="TC11" s="9"/>
      <c r="TD11" s="9"/>
      <c r="TE11" s="9"/>
      <c r="TF11" s="9"/>
      <c r="TG11" s="21">
        <f>SUMIFS(TG36:TG506,$C$36:$C$506,"3",$JR$36:$JR$506,"Yes")</f>
        <v>0</v>
      </c>
      <c r="TH11" s="21">
        <f>SUMIFS(TH36:TH506,$C$36:$C$506,"3",$JR$36:$JR$506,"Yes")</f>
        <v>0</v>
      </c>
      <c r="TI11" s="9"/>
      <c r="TJ11" s="9"/>
      <c r="TK11" s="6"/>
      <c r="TL11" s="6"/>
      <c r="TM11" s="6"/>
      <c r="TN11" s="9"/>
      <c r="TO11" s="9"/>
      <c r="TP11" s="9"/>
      <c r="TQ11" s="7"/>
      <c r="TR11" s="7"/>
      <c r="TS11" s="7"/>
      <c r="TT11" s="7"/>
      <c r="TU11" s="7"/>
      <c r="TV11" s="7"/>
      <c r="TW11" s="71"/>
      <c r="TX11" s="74"/>
      <c r="TY11" s="74"/>
      <c r="TZ11" s="71"/>
      <c r="UA11" s="71"/>
      <c r="UB11" s="71"/>
      <c r="UC11" s="71"/>
      <c r="UD11" s="74"/>
      <c r="UE11" s="77"/>
      <c r="UF11" s="77"/>
      <c r="UG11" s="77"/>
      <c r="UH11" s="77"/>
      <c r="UI11" s="77"/>
      <c r="UJ11" s="77"/>
      <c r="UK11" s="75"/>
      <c r="UL11" s="75"/>
      <c r="UM11" s="75"/>
      <c r="UN11" s="75"/>
      <c r="UO11" s="75"/>
      <c r="UP11" s="75"/>
      <c r="UQ11" s="75"/>
      <c r="UR11" s="75"/>
      <c r="US11" s="75"/>
      <c r="UT11" s="75"/>
      <c r="UU11" s="75"/>
      <c r="UV11" s="21">
        <f>SUMIFS(UV36:UV506,$C$36:$C$506,"3",$JR$36:$JR$506,"Yes")</f>
        <v>0</v>
      </c>
      <c r="UW11" s="9"/>
      <c r="UX11" s="9"/>
      <c r="UY11" s="9"/>
      <c r="UZ11" s="21">
        <f>SUMIFS(UZ36:UZ506,$C$36:$C$506,"3",$JR$36:$JR$506,"Yes")</f>
        <v>0</v>
      </c>
      <c r="VA11" s="21">
        <f>SUMIFS(VA36:VA506,$C$36:$C$506,"3",$JR$36:$JR$506,"Yes")</f>
        <v>0</v>
      </c>
      <c r="VB11" s="9"/>
      <c r="VJ11" s="86"/>
      <c r="VK11" s="86"/>
      <c r="VL11" s="86"/>
      <c r="VM11" s="86"/>
      <c r="VN11" s="86"/>
      <c r="VO11" s="86"/>
      <c r="VP11" s="86"/>
      <c r="VQ11" s="86"/>
      <c r="VR11" s="86"/>
      <c r="WF11" s="16"/>
      <c r="WG11" s="16"/>
      <c r="WH11" s="16"/>
      <c r="WI11" s="16"/>
      <c r="WJ11" s="16"/>
      <c r="WK11" s="16"/>
      <c r="WL11" s="100"/>
      <c r="WM11" s="16"/>
      <c r="WN11" s="16"/>
      <c r="WO11" s="16"/>
      <c r="WP11" s="16"/>
      <c r="WQ11" s="16"/>
      <c r="WR11" s="361"/>
      <c r="WS11" s="361"/>
      <c r="WT11" s="16"/>
      <c r="WU11" s="16"/>
      <c r="WV11" s="16"/>
      <c r="WW11" s="16"/>
      <c r="WX11" s="16"/>
      <c r="WY11" s="16"/>
      <c r="WZ11" s="16"/>
      <c r="XA11" s="16"/>
      <c r="XB11" s="16"/>
      <c r="XC11" s="361"/>
      <c r="XD11" s="361"/>
      <c r="XE11" s="361"/>
      <c r="XQ11" s="9"/>
      <c r="XR11" s="9"/>
      <c r="YM11" s="577"/>
      <c r="YN11" s="577"/>
      <c r="YT11" s="577"/>
    </row>
    <row r="12" spans="1:670" s="13" customFormat="1" x14ac:dyDescent="0.2">
      <c r="A12" s="15"/>
      <c r="B12" s="23"/>
      <c r="C12" s="13">
        <f>COUNTIFS(C36:C506,"3",JR36:JR506,"No")</f>
        <v>0</v>
      </c>
      <c r="D12" s="6"/>
      <c r="E12" s="6"/>
      <c r="F12" s="6"/>
      <c r="G12" s="6"/>
      <c r="H12" s="6"/>
      <c r="I12" s="6"/>
      <c r="J12" s="6"/>
      <c r="K12" s="6"/>
      <c r="L12" s="6"/>
      <c r="M12" s="6"/>
      <c r="N12" s="6"/>
      <c r="O12" s="6"/>
      <c r="P12" s="6"/>
      <c r="Q12" s="6"/>
      <c r="R12" s="6"/>
      <c r="S12" s="6"/>
      <c r="T12" s="6"/>
      <c r="U12" s="9"/>
      <c r="V12" s="9"/>
      <c r="W12" s="9"/>
      <c r="X12" s="9"/>
      <c r="Y12" s="9"/>
      <c r="Z12" s="9"/>
      <c r="AA12" s="9"/>
      <c r="AB12" s="9"/>
      <c r="AC12" s="9"/>
      <c r="AD12" s="9"/>
      <c r="AE12" s="9"/>
      <c r="AF12" s="9"/>
      <c r="AG12" s="6"/>
      <c r="AH12" s="6"/>
      <c r="AI12" s="6"/>
      <c r="AJ12" s="10"/>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9"/>
      <c r="BN12" s="9"/>
      <c r="BO12" s="6"/>
      <c r="BP12" s="6"/>
      <c r="BQ12" s="6"/>
      <c r="BR12" s="6"/>
      <c r="BS12" s="6"/>
      <c r="BT12" s="6"/>
      <c r="BU12" s="6"/>
      <c r="BV12" s="6"/>
      <c r="BW12" s="9"/>
      <c r="BX12" s="9"/>
      <c r="BY12" s="9"/>
      <c r="BZ12" s="9"/>
      <c r="CA12" s="9"/>
      <c r="CB12" s="9"/>
      <c r="CC12" s="6"/>
      <c r="CD12" s="6"/>
      <c r="CE12" s="6"/>
      <c r="CF12" s="6"/>
      <c r="CG12" s="6"/>
      <c r="CH12" s="6"/>
      <c r="CN12" s="6"/>
      <c r="CO12" s="6"/>
      <c r="CP12" s="6"/>
      <c r="CQ12" s="9"/>
      <c r="CR12" s="9"/>
      <c r="CS12" s="9"/>
      <c r="CT12" s="9"/>
      <c r="CU12" s="9"/>
      <c r="CV12" s="9"/>
      <c r="CW12" s="11"/>
      <c r="CX12" s="9"/>
      <c r="CY12" s="9"/>
      <c r="CZ12" s="9"/>
      <c r="DA12" s="11"/>
      <c r="DB12" s="11"/>
      <c r="DC12" s="11"/>
      <c r="DD12" s="11"/>
      <c r="DE12" s="6"/>
      <c r="DF12" s="9"/>
      <c r="DG12" s="9"/>
      <c r="DH12" s="9"/>
      <c r="DI12" s="9"/>
      <c r="DJ12" s="9"/>
      <c r="DK12" s="9"/>
      <c r="DL12" s="9"/>
      <c r="DM12" s="9"/>
      <c r="DN12" s="9"/>
      <c r="DO12" s="9"/>
      <c r="DP12" s="9"/>
      <c r="DQ12" s="9"/>
      <c r="DR12" s="6"/>
      <c r="DS12" s="9"/>
      <c r="DZ12" s="9"/>
      <c r="EA12" s="9"/>
      <c r="EB12" s="9"/>
      <c r="EC12" s="9"/>
      <c r="ED12" s="9"/>
      <c r="EE12" s="9"/>
      <c r="EF12" s="9"/>
      <c r="EG12" s="9"/>
      <c r="EH12" s="9"/>
      <c r="EI12" s="9"/>
      <c r="EJ12" s="9"/>
      <c r="EK12" s="9"/>
      <c r="EL12" s="9"/>
      <c r="EM12" s="9"/>
      <c r="EN12" s="9"/>
      <c r="EO12" s="9"/>
      <c r="EP12" s="9"/>
      <c r="EQ12" s="9"/>
      <c r="ER12" s="9"/>
      <c r="ES12" s="9"/>
      <c r="ET12" s="9"/>
      <c r="EU12" s="9"/>
      <c r="EV12" s="9"/>
      <c r="EW12" s="9"/>
      <c r="EX12" s="9"/>
      <c r="EY12" s="9"/>
      <c r="EZ12" s="9"/>
      <c r="FA12" s="9"/>
      <c r="FB12" s="9"/>
      <c r="FC12" s="88"/>
      <c r="FD12" s="88"/>
      <c r="FE12" s="88"/>
      <c r="FF12" s="9"/>
      <c r="FG12" s="9"/>
      <c r="FH12" s="9"/>
      <c r="FI12" s="9"/>
      <c r="FJ12" s="9"/>
      <c r="FK12" s="9"/>
      <c r="FL12" s="9"/>
      <c r="FM12" s="9"/>
      <c r="FN12" s="9"/>
      <c r="FO12" s="9"/>
      <c r="FP12" s="9"/>
      <c r="FQ12" s="9"/>
      <c r="FR12" s="9"/>
      <c r="FS12" s="9"/>
      <c r="FT12" s="9"/>
      <c r="FU12" s="9"/>
      <c r="FV12" s="9"/>
      <c r="FW12" s="9"/>
      <c r="FX12" s="9"/>
      <c r="FY12" s="9"/>
      <c r="FZ12" s="9"/>
      <c r="GA12" s="88"/>
      <c r="GB12" s="9"/>
      <c r="GC12" s="9"/>
      <c r="GD12" s="9"/>
      <c r="GE12" s="9"/>
      <c r="GF12" s="9"/>
      <c r="GG12" s="71"/>
      <c r="GH12" s="9"/>
      <c r="GI12" s="9"/>
      <c r="GJ12" s="9"/>
      <c r="GK12" s="9"/>
      <c r="GL12" s="530"/>
      <c r="GM12" s="530"/>
      <c r="GN12" s="17"/>
      <c r="GO12" s="17"/>
      <c r="GP12" s="17"/>
      <c r="GQ12" s="11"/>
      <c r="GR12" s="9"/>
      <c r="GS12" s="9"/>
      <c r="GT12" s="9"/>
      <c r="GU12" s="9"/>
      <c r="GV12" s="9"/>
      <c r="GW12" s="9"/>
      <c r="GX12" s="6"/>
      <c r="GY12" s="6"/>
      <c r="GZ12" s="6"/>
      <c r="HA12" s="9"/>
      <c r="HC12" s="9"/>
      <c r="HD12" s="9"/>
      <c r="HE12" s="9"/>
      <c r="HF12" s="9"/>
      <c r="HG12" s="9"/>
      <c r="HH12" s="11"/>
      <c r="HI12" s="11"/>
      <c r="HJ12" s="9"/>
      <c r="HK12" s="11"/>
      <c r="HL12" s="11"/>
      <c r="HM12" s="11"/>
      <c r="HN12" s="9"/>
      <c r="HO12" s="9"/>
      <c r="HP12" s="11"/>
      <c r="HQ12" s="11"/>
      <c r="HR12" s="11"/>
      <c r="HS12" s="9"/>
      <c r="HT12" s="9"/>
      <c r="HU12" s="9"/>
      <c r="HV12" s="9"/>
      <c r="HW12" s="9"/>
      <c r="HX12" s="9"/>
      <c r="HY12" s="9"/>
      <c r="HZ12" s="9"/>
      <c r="IA12" s="9"/>
      <c r="IB12" s="9"/>
      <c r="IC12" s="9"/>
      <c r="ID12" s="9"/>
      <c r="IE12" s="9"/>
      <c r="IF12" s="9"/>
      <c r="IG12" s="9"/>
      <c r="IH12" s="11"/>
      <c r="II12" s="11"/>
      <c r="IK12" s="11"/>
      <c r="IL12" s="9"/>
      <c r="IM12" s="9"/>
      <c r="IN12" s="9"/>
      <c r="IO12" s="9"/>
      <c r="IP12" s="9"/>
      <c r="IQ12" s="9"/>
      <c r="IR12" s="9"/>
      <c r="IS12" s="9"/>
      <c r="IT12" s="9"/>
      <c r="IU12" s="9"/>
      <c r="IV12" s="9"/>
      <c r="IW12" s="9"/>
      <c r="IX12" s="9"/>
      <c r="IY12" s="9"/>
      <c r="IZ12" s="9"/>
      <c r="JA12" s="9"/>
      <c r="JB12" s="9"/>
      <c r="JC12" s="9"/>
      <c r="JD12" s="9"/>
      <c r="JE12" s="9"/>
      <c r="JF12" s="9"/>
      <c r="JG12" s="9"/>
      <c r="JH12" s="9"/>
      <c r="JI12" s="9"/>
      <c r="JJ12" s="9"/>
      <c r="JK12" s="9"/>
      <c r="JL12" s="9"/>
      <c r="JM12" s="9"/>
      <c r="JN12" s="530"/>
      <c r="JO12" s="530"/>
      <c r="JP12" s="9"/>
      <c r="JQ12" s="9"/>
      <c r="JR12" s="9"/>
      <c r="JS12" s="9"/>
      <c r="JT12" s="9"/>
      <c r="JU12" s="9"/>
      <c r="JV12" s="9"/>
      <c r="JW12" s="9"/>
      <c r="JX12" s="9"/>
      <c r="JY12" s="9"/>
      <c r="JZ12" s="9"/>
      <c r="KA12" s="9"/>
      <c r="KB12" s="9"/>
      <c r="KC12" s="9"/>
      <c r="KD12" s="9"/>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98"/>
      <c r="LO12" s="98"/>
      <c r="LP12" s="98"/>
      <c r="LQ12" s="98"/>
      <c r="LR12" s="98"/>
      <c r="LS12" s="98"/>
      <c r="LT12" s="98"/>
      <c r="LU12" s="98"/>
      <c r="LV12" s="98"/>
      <c r="LW12" s="98"/>
      <c r="LX12" s="98"/>
      <c r="LY12" s="98"/>
      <c r="LZ12" s="98"/>
      <c r="MA12" s="98"/>
      <c r="MB12" s="98"/>
      <c r="MC12" s="98"/>
      <c r="MD12" s="98"/>
      <c r="ME12" s="98"/>
      <c r="MF12" s="98"/>
      <c r="MG12" s="98"/>
      <c r="MH12" s="98"/>
      <c r="MI12" s="98"/>
      <c r="MJ12" s="9"/>
      <c r="MK12" s="21">
        <f>SUMIFS(MK36:MK506,$C$36:$C$506,"3",$JR$36:$JR$506,"No")</f>
        <v>0</v>
      </c>
      <c r="ML12" s="21">
        <f>SUMIFS(ML36:ML506,$C$36:$C$506,"3",$JR$36:$JR$506,"No")</f>
        <v>0</v>
      </c>
      <c r="MM12" s="16"/>
      <c r="MN12" s="16"/>
      <c r="MO12" s="16"/>
      <c r="MP12" s="16"/>
      <c r="MQ12" s="16"/>
      <c r="MR12" s="16"/>
      <c r="MS12" s="16"/>
      <c r="MT12" s="16"/>
      <c r="MU12" s="16"/>
      <c r="MV12" s="16"/>
      <c r="MW12" s="16"/>
      <c r="MX12" s="16"/>
      <c r="MY12" s="21">
        <f>SUMIFS(MY36:MY506,$C$36:$C$506,"3",$JR$36:$JR$506,"No")</f>
        <v>0</v>
      </c>
      <c r="MZ12" s="16"/>
      <c r="NA12" s="21">
        <f>SUMIFS(NA36:NA506,$C$36:$C$506,"3",$JR$36:$JR$506,"No")</f>
        <v>0</v>
      </c>
      <c r="NB12" s="16"/>
      <c r="NC12" s="16"/>
      <c r="ND12" s="16"/>
      <c r="NE12" s="16"/>
      <c r="NF12" s="16"/>
      <c r="NG12" s="16"/>
      <c r="NH12" s="16"/>
      <c r="NI12" s="16"/>
      <c r="NJ12" s="16"/>
      <c r="NK12" s="16"/>
      <c r="NL12" s="16"/>
      <c r="NM12" s="16"/>
      <c r="NN12" s="16"/>
      <c r="NO12" s="16"/>
      <c r="NP12" s="16"/>
      <c r="NQ12" s="16"/>
      <c r="NR12" s="16"/>
      <c r="NS12" s="16"/>
      <c r="NT12" s="16"/>
      <c r="NU12" s="16"/>
      <c r="NV12" s="16"/>
      <c r="NW12" s="16"/>
      <c r="NX12" s="16"/>
      <c r="NY12" s="16"/>
      <c r="NZ12" s="16"/>
      <c r="OA12" s="16"/>
      <c r="OB12" s="16"/>
      <c r="OC12" s="16"/>
      <c r="OD12" s="16"/>
      <c r="OE12" s="16"/>
      <c r="OF12" s="16"/>
      <c r="OG12" s="16"/>
      <c r="OH12" s="16"/>
      <c r="OI12" s="16"/>
      <c r="OJ12" s="16"/>
      <c r="OK12" s="16"/>
      <c r="OL12" s="16"/>
      <c r="OM12" s="16"/>
      <c r="ON12" s="16"/>
      <c r="OO12" s="16"/>
      <c r="OP12" s="16"/>
      <c r="OQ12" s="16"/>
      <c r="OR12" s="16"/>
      <c r="OS12" s="16"/>
      <c r="OT12" s="16"/>
      <c r="OU12" s="16"/>
      <c r="OV12" s="16"/>
      <c r="OW12" s="16"/>
      <c r="OX12" s="16"/>
      <c r="OY12" s="16"/>
      <c r="OZ12" s="16"/>
      <c r="PA12" s="16"/>
      <c r="PB12" s="16"/>
      <c r="PC12" s="16"/>
      <c r="PD12" s="16"/>
      <c r="PE12" s="16"/>
      <c r="PF12" s="16"/>
      <c r="PG12" s="16"/>
      <c r="PH12" s="16"/>
      <c r="PI12" s="16"/>
      <c r="PJ12" s="16"/>
      <c r="PK12" s="16"/>
      <c r="PL12" s="16"/>
      <c r="PM12" s="16"/>
      <c r="PN12" s="16"/>
      <c r="PO12" s="16"/>
      <c r="PP12" s="16"/>
      <c r="PQ12" s="16"/>
      <c r="PR12" s="16"/>
      <c r="PS12" s="21">
        <f t="shared" ref="PS12:PY12" si="4">SUMIFS(PS36:PS506,$C$36:$C$506,"3",$JR$36:$JR$506,"No")</f>
        <v>0</v>
      </c>
      <c r="PT12" s="21">
        <f t="shared" si="4"/>
        <v>0</v>
      </c>
      <c r="PU12" s="21">
        <f t="shared" si="4"/>
        <v>0</v>
      </c>
      <c r="PV12" s="21">
        <f t="shared" si="4"/>
        <v>0</v>
      </c>
      <c r="PW12" s="21">
        <f t="shared" si="4"/>
        <v>0</v>
      </c>
      <c r="PX12" s="21">
        <f t="shared" si="4"/>
        <v>0</v>
      </c>
      <c r="PY12" s="21">
        <f t="shared" si="4"/>
        <v>0</v>
      </c>
      <c r="PZ12" s="16"/>
      <c r="QA12" s="16"/>
      <c r="QB12" s="16"/>
      <c r="QC12" s="16"/>
      <c r="QD12" s="16"/>
      <c r="QE12" s="16"/>
      <c r="QF12" s="16"/>
      <c r="QG12" s="16"/>
      <c r="QH12" s="9"/>
      <c r="QI12" s="9"/>
      <c r="QJ12" s="9"/>
      <c r="QK12" s="9"/>
      <c r="QL12" s="9"/>
      <c r="QM12" s="9"/>
      <c r="QN12" s="9"/>
      <c r="QO12" s="9"/>
      <c r="QP12" s="9"/>
      <c r="QQ12" s="9"/>
      <c r="QR12" s="9"/>
      <c r="QS12" s="9"/>
      <c r="QT12" s="9"/>
      <c r="QU12" s="9"/>
      <c r="QV12" s="21">
        <f>SUMIFS(QV36:QV506,$C$36:$C$506,"3",$JR$36:$JR$506,"No")</f>
        <v>0</v>
      </c>
      <c r="QW12" s="21">
        <f>SUMIFS(QW36:QW506,$C$36:$C$506,"3",$JR$36:$JR$506,"No")</f>
        <v>0</v>
      </c>
      <c r="QX12" s="21"/>
      <c r="QY12" s="21"/>
      <c r="QZ12" s="21"/>
      <c r="RA12" s="21"/>
      <c r="RB12" s="21"/>
      <c r="RC12" s="21"/>
      <c r="RD12" s="21"/>
      <c r="RE12" s="21"/>
      <c r="RF12" s="21"/>
      <c r="RG12" s="9"/>
      <c r="RH12" s="9"/>
      <c r="RI12" s="9"/>
      <c r="RJ12" s="9"/>
      <c r="RK12" s="9"/>
      <c r="RL12" s="9"/>
      <c r="RM12" s="9"/>
      <c r="RN12" s="9"/>
      <c r="RO12" s="9"/>
      <c r="RP12" s="9"/>
      <c r="RQ12" s="9"/>
      <c r="RR12" s="9"/>
      <c r="RS12" s="9"/>
      <c r="RT12" s="9"/>
      <c r="RU12" s="9"/>
      <c r="RV12" s="21">
        <f>SUMIFS(RV36:RV506,$C$36:$C$506,"3",$JR$36:$JR$506,"No")</f>
        <v>0</v>
      </c>
      <c r="RW12" s="21">
        <f>SUMIFS(RW36:RW506,$C$36:$C$506,"3",$JR$36:$JR$506,"No")</f>
        <v>0</v>
      </c>
      <c r="RX12" s="9"/>
      <c r="RY12" s="531"/>
      <c r="RZ12" s="21">
        <f>SUMIFS(RZ36:RZ506,$C$36:$C$506,"3",$JR$36:$JR$506,"No")</f>
        <v>0</v>
      </c>
      <c r="SA12" s="21">
        <f>SUMIFS(SA36:SA506,$C$36:$C$506,"3",$JR$36:$JR$506,"No")</f>
        <v>0</v>
      </c>
      <c r="SB12" s="21">
        <f>SUMIFS(SB36:SB506,$C$36:$C$506,"3",$JR$36:$JR$506,"No")</f>
        <v>0</v>
      </c>
      <c r="SC12" s="21">
        <f>SUMIFS(SC36:SC506,$C$36:$C$506,"3",$JR$36:$JR$506,"No")</f>
        <v>0</v>
      </c>
      <c r="SD12" s="9"/>
      <c r="SE12" s="9"/>
      <c r="SF12" s="9"/>
      <c r="SG12" s="9"/>
      <c r="SH12" s="9"/>
      <c r="SI12" s="9"/>
      <c r="SJ12" s="9"/>
      <c r="SK12" s="9"/>
      <c r="SL12" s="9"/>
      <c r="SM12" s="21">
        <f>SUMIFS(SM36:SM506,$C$36:$C$506,"3",$JR$36:$JR$506,"No")</f>
        <v>0</v>
      </c>
      <c r="SN12" s="21">
        <f>SUMIFS(SN36:SN506,$C$36:$C$506,"3",$JR$36:$JR$506,"No")</f>
        <v>0</v>
      </c>
      <c r="SO12" s="9"/>
      <c r="SP12" s="9"/>
      <c r="SQ12" s="9"/>
      <c r="SR12" s="9"/>
      <c r="SS12" s="9"/>
      <c r="SU12" s="9"/>
      <c r="SV12" s="9"/>
      <c r="SW12" s="9"/>
      <c r="SX12" s="9"/>
      <c r="SY12" s="9"/>
      <c r="SZ12" s="9"/>
      <c r="TA12" s="9"/>
      <c r="TB12" s="9"/>
      <c r="TC12" s="9"/>
      <c r="TD12" s="9"/>
      <c r="TE12" s="9"/>
      <c r="TF12" s="9"/>
      <c r="TG12" s="21">
        <f>SUMIFS(TG36:TG506,$C$36:$C$506,"3",$JR$36:$JR$506,"No")</f>
        <v>0</v>
      </c>
      <c r="TH12" s="21">
        <f>SUMIFS(TH36:TH506,$C$36:$C$506,"3",$JR$36:$JR$506,"No")</f>
        <v>0</v>
      </c>
      <c r="TI12" s="9"/>
      <c r="TJ12" s="9"/>
      <c r="TK12" s="6"/>
      <c r="TL12" s="6"/>
      <c r="TM12" s="6"/>
      <c r="TN12" s="9"/>
      <c r="TO12" s="9"/>
      <c r="TP12" s="9"/>
      <c r="TQ12" s="7"/>
      <c r="TR12" s="7"/>
      <c r="TS12" s="7"/>
      <c r="TT12" s="7"/>
      <c r="TU12" s="7"/>
      <c r="TV12" s="7"/>
      <c r="TW12" s="71"/>
      <c r="TX12" s="74"/>
      <c r="TY12" s="74"/>
      <c r="TZ12" s="71"/>
      <c r="UA12" s="71"/>
      <c r="UB12" s="71"/>
      <c r="UC12" s="71"/>
      <c r="UD12" s="74"/>
      <c r="UE12" s="77"/>
      <c r="UF12" s="77"/>
      <c r="UG12" s="77"/>
      <c r="UH12" s="77"/>
      <c r="UI12" s="77"/>
      <c r="UJ12" s="77"/>
      <c r="UK12" s="75"/>
      <c r="UL12" s="75"/>
      <c r="UM12" s="75"/>
      <c r="UN12" s="75"/>
      <c r="UO12" s="75"/>
      <c r="UP12" s="75"/>
      <c r="UQ12" s="75"/>
      <c r="UR12" s="75"/>
      <c r="US12" s="75"/>
      <c r="UT12" s="75"/>
      <c r="UU12" s="75"/>
      <c r="UV12" s="21">
        <f>SUMIFS(UV36:UV506,$C$36:$C$506,"3",$JR$36:$JR$506,"No")</f>
        <v>0</v>
      </c>
      <c r="UW12" s="9"/>
      <c r="UX12" s="9"/>
      <c r="UY12" s="9"/>
      <c r="UZ12" s="21">
        <f>SUMIFS(UZ36:UZ506,$C$36:$C$506,"3",$JR$36:$JR$506,"No")</f>
        <v>0</v>
      </c>
      <c r="VA12" s="21">
        <f>SUMIFS(VA36:VA506,$C$36:$C$506,"3",$JR$36:$JR$506,"No")</f>
        <v>0</v>
      </c>
      <c r="VB12" s="9"/>
      <c r="VJ12" s="86"/>
      <c r="VK12" s="86"/>
      <c r="VL12" s="86"/>
      <c r="VM12" s="86"/>
      <c r="VN12" s="86"/>
      <c r="VO12" s="86"/>
      <c r="VP12" s="86"/>
      <c r="VQ12" s="86"/>
      <c r="VR12" s="86"/>
      <c r="WF12" s="16"/>
      <c r="WG12" s="16"/>
      <c r="WH12" s="16"/>
      <c r="WI12" s="16"/>
      <c r="WJ12" s="16"/>
      <c r="WK12" s="16"/>
      <c r="WL12" s="100"/>
      <c r="WM12" s="16"/>
      <c r="WN12" s="16"/>
      <c r="WO12" s="16"/>
      <c r="WP12" s="160"/>
      <c r="WQ12" s="16"/>
      <c r="WR12" s="361"/>
      <c r="WS12" s="361"/>
      <c r="WT12" s="16"/>
      <c r="WU12" s="16"/>
      <c r="WV12" s="16"/>
      <c r="WW12" s="16"/>
      <c r="WX12" s="16"/>
      <c r="WY12" s="16"/>
      <c r="WZ12" s="16"/>
      <c r="XA12" s="16"/>
      <c r="XB12" s="16"/>
      <c r="XC12" s="361"/>
      <c r="XD12" s="49"/>
      <c r="XE12" s="361"/>
      <c r="XQ12" s="9"/>
      <c r="XR12" s="9"/>
      <c r="YM12" s="577"/>
      <c r="YN12" s="577"/>
      <c r="YT12" s="577"/>
    </row>
    <row r="13" spans="1:670" s="94" customFormat="1" x14ac:dyDescent="0.2">
      <c r="A13" s="113" t="s">
        <v>367</v>
      </c>
      <c r="B13" s="49" t="s">
        <v>13</v>
      </c>
      <c r="C13" s="49" t="s">
        <v>13</v>
      </c>
      <c r="D13" s="49" t="s">
        <v>13</v>
      </c>
      <c r="E13" s="49" t="s">
        <v>13</v>
      </c>
      <c r="F13" s="49" t="s">
        <v>59</v>
      </c>
      <c r="G13" s="49" t="s">
        <v>31</v>
      </c>
      <c r="H13" s="49" t="s">
        <v>13</v>
      </c>
      <c r="I13" s="49" t="s">
        <v>13</v>
      </c>
      <c r="J13" s="49" t="s">
        <v>13</v>
      </c>
      <c r="K13" s="49" t="s">
        <v>13</v>
      </c>
      <c r="L13" s="49" t="s">
        <v>59</v>
      </c>
      <c r="M13" s="49" t="s">
        <v>13</v>
      </c>
      <c r="N13" s="49" t="s">
        <v>13</v>
      </c>
      <c r="O13" s="49" t="s">
        <v>13</v>
      </c>
      <c r="P13" s="49" t="s">
        <v>13</v>
      </c>
      <c r="Q13" s="49" t="s">
        <v>13</v>
      </c>
      <c r="R13" s="49" t="s">
        <v>13</v>
      </c>
      <c r="S13" s="49" t="s">
        <v>13</v>
      </c>
      <c r="T13" s="49" t="s">
        <v>13</v>
      </c>
      <c r="U13" s="49" t="s">
        <v>13</v>
      </c>
      <c r="V13" s="49" t="s">
        <v>13</v>
      </c>
      <c r="W13" s="49" t="s">
        <v>13</v>
      </c>
      <c r="X13" s="49" t="s">
        <v>13</v>
      </c>
      <c r="Y13" s="49" t="s">
        <v>13</v>
      </c>
      <c r="Z13" s="49" t="s">
        <v>13</v>
      </c>
      <c r="AA13" s="49" t="s">
        <v>13</v>
      </c>
      <c r="AB13" s="49" t="s">
        <v>13</v>
      </c>
      <c r="AC13" s="49" t="s">
        <v>20</v>
      </c>
      <c r="AD13" s="49" t="s">
        <v>13</v>
      </c>
      <c r="AE13" s="49" t="s">
        <v>13</v>
      </c>
      <c r="AF13" s="49" t="s">
        <v>13</v>
      </c>
      <c r="AG13" s="49" t="s">
        <v>13</v>
      </c>
      <c r="AH13" s="49" t="s">
        <v>20</v>
      </c>
      <c r="AI13" s="49" t="s">
        <v>13</v>
      </c>
      <c r="AJ13" s="49" t="s">
        <v>20</v>
      </c>
      <c r="AK13" s="49" t="s">
        <v>13</v>
      </c>
      <c r="AL13" s="49" t="s">
        <v>13</v>
      </c>
      <c r="AM13" s="49" t="s">
        <v>13</v>
      </c>
      <c r="AN13" s="49" t="s">
        <v>13</v>
      </c>
      <c r="AO13" s="49" t="s">
        <v>13</v>
      </c>
      <c r="AP13" s="49" t="s">
        <v>13</v>
      </c>
      <c r="AQ13" s="49" t="s">
        <v>13</v>
      </c>
      <c r="AR13" s="49" t="s">
        <v>20</v>
      </c>
      <c r="AS13" s="49" t="s">
        <v>20</v>
      </c>
      <c r="AT13" s="49" t="s">
        <v>20</v>
      </c>
      <c r="AU13" s="49" t="s">
        <v>59</v>
      </c>
      <c r="AV13" s="49" t="s">
        <v>59</v>
      </c>
      <c r="AW13" s="49" t="s">
        <v>59</v>
      </c>
      <c r="AX13" s="49" t="s">
        <v>59</v>
      </c>
      <c r="AY13" s="49" t="s">
        <v>59</v>
      </c>
      <c r="AZ13" s="49" t="s">
        <v>59</v>
      </c>
      <c r="BA13" s="49" t="s">
        <v>59</v>
      </c>
      <c r="BB13" s="49" t="s">
        <v>59</v>
      </c>
      <c r="BC13" s="49" t="s">
        <v>59</v>
      </c>
      <c r="BD13" s="49" t="s">
        <v>59</v>
      </c>
      <c r="BE13" s="49" t="s">
        <v>59</v>
      </c>
      <c r="BF13" s="49" t="s">
        <v>59</v>
      </c>
      <c r="BG13" s="49" t="s">
        <v>59</v>
      </c>
      <c r="BH13" s="49" t="s">
        <v>59</v>
      </c>
      <c r="BI13" s="49" t="s">
        <v>20</v>
      </c>
      <c r="BJ13" s="49" t="s">
        <v>20</v>
      </c>
      <c r="BK13" s="49" t="s">
        <v>20</v>
      </c>
      <c r="BL13" s="49" t="s">
        <v>20</v>
      </c>
      <c r="BM13" s="49" t="s">
        <v>20</v>
      </c>
      <c r="BN13" s="49" t="s">
        <v>20</v>
      </c>
      <c r="BO13" s="49" t="s">
        <v>20</v>
      </c>
      <c r="BP13" s="49" t="s">
        <v>20</v>
      </c>
      <c r="BQ13" s="49" t="s">
        <v>20</v>
      </c>
      <c r="BR13" s="49" t="s">
        <v>20</v>
      </c>
      <c r="BS13" s="49" t="s">
        <v>20</v>
      </c>
      <c r="BT13" s="49" t="s">
        <v>20</v>
      </c>
      <c r="BU13" s="49" t="s">
        <v>20</v>
      </c>
      <c r="BV13" s="49" t="s">
        <v>20</v>
      </c>
      <c r="BW13" s="49" t="s">
        <v>20</v>
      </c>
      <c r="BX13" s="49" t="s">
        <v>20</v>
      </c>
      <c r="BY13" s="49" t="s">
        <v>13</v>
      </c>
      <c r="BZ13" s="49" t="s">
        <v>20</v>
      </c>
      <c r="CA13" s="49" t="s">
        <v>59</v>
      </c>
      <c r="CB13" s="49" t="s">
        <v>59</v>
      </c>
      <c r="CC13" s="49" t="s">
        <v>20</v>
      </c>
      <c r="CD13" s="49" t="s">
        <v>20</v>
      </c>
      <c r="CE13" s="49" t="s">
        <v>59</v>
      </c>
      <c r="CF13" s="49" t="s">
        <v>13</v>
      </c>
      <c r="CG13" s="49" t="s">
        <v>13</v>
      </c>
      <c r="CH13" s="49" t="s">
        <v>13</v>
      </c>
      <c r="CI13" s="49" t="s">
        <v>59</v>
      </c>
      <c r="CJ13" s="49" t="s">
        <v>13</v>
      </c>
      <c r="CK13" s="49" t="s">
        <v>13</v>
      </c>
      <c r="CL13" s="49" t="s">
        <v>13</v>
      </c>
      <c r="CM13" s="49" t="s">
        <v>20</v>
      </c>
      <c r="CN13" s="49" t="s">
        <v>20</v>
      </c>
      <c r="CO13" s="49" t="s">
        <v>20</v>
      </c>
      <c r="CP13" s="49" t="s">
        <v>20</v>
      </c>
      <c r="CQ13" s="49" t="s">
        <v>13</v>
      </c>
      <c r="CR13" s="49" t="s">
        <v>59</v>
      </c>
      <c r="CS13" s="49" t="s">
        <v>20</v>
      </c>
      <c r="CT13" s="49" t="s">
        <v>13</v>
      </c>
      <c r="CU13" s="49" t="s">
        <v>20</v>
      </c>
      <c r="CV13" s="49" t="s">
        <v>20</v>
      </c>
      <c r="CW13" s="122" t="s">
        <v>20</v>
      </c>
      <c r="CX13" s="49" t="s">
        <v>13</v>
      </c>
      <c r="CY13" s="49" t="s">
        <v>13</v>
      </c>
      <c r="CZ13" s="49" t="s">
        <v>20</v>
      </c>
      <c r="DA13" s="122" t="s">
        <v>20</v>
      </c>
      <c r="DB13" s="122" t="s">
        <v>20</v>
      </c>
      <c r="DC13" s="122" t="s">
        <v>20</v>
      </c>
      <c r="DD13" s="122" t="s">
        <v>20</v>
      </c>
      <c r="DE13" s="49" t="s">
        <v>20</v>
      </c>
      <c r="DF13" s="49" t="s">
        <v>20</v>
      </c>
      <c r="DG13" s="49" t="s">
        <v>20</v>
      </c>
      <c r="DH13" s="49" t="s">
        <v>31</v>
      </c>
      <c r="DI13" s="49" t="s">
        <v>59</v>
      </c>
      <c r="DJ13" s="49" t="s">
        <v>20</v>
      </c>
      <c r="DK13" s="49" t="s">
        <v>20</v>
      </c>
      <c r="DL13" s="49" t="s">
        <v>31</v>
      </c>
      <c r="DM13" s="49" t="s">
        <v>20</v>
      </c>
      <c r="DN13" s="49" t="s">
        <v>13</v>
      </c>
      <c r="DO13" s="49" t="s">
        <v>13</v>
      </c>
      <c r="DP13" s="49" t="s">
        <v>13</v>
      </c>
      <c r="DQ13" s="49" t="s">
        <v>13</v>
      </c>
      <c r="DR13" s="49" t="s">
        <v>13</v>
      </c>
      <c r="DS13" s="49" t="s">
        <v>13</v>
      </c>
      <c r="DT13" s="93" t="s">
        <v>20</v>
      </c>
      <c r="DU13" s="49" t="s">
        <v>20</v>
      </c>
      <c r="DV13" s="49" t="s">
        <v>20</v>
      </c>
      <c r="DW13" s="49" t="s">
        <v>20</v>
      </c>
      <c r="DX13" s="49" t="s">
        <v>20</v>
      </c>
      <c r="DY13" s="49" t="s">
        <v>20</v>
      </c>
      <c r="DZ13" s="49" t="s">
        <v>20</v>
      </c>
      <c r="EA13" s="49" t="s">
        <v>20</v>
      </c>
      <c r="EB13" s="49" t="s">
        <v>20</v>
      </c>
      <c r="EC13" s="49" t="s">
        <v>20</v>
      </c>
      <c r="ED13" s="49" t="s">
        <v>20</v>
      </c>
      <c r="EE13" s="49" t="s">
        <v>20</v>
      </c>
      <c r="EF13" s="49" t="s">
        <v>13</v>
      </c>
      <c r="EG13" s="49" t="s">
        <v>13</v>
      </c>
      <c r="EH13" s="49" t="s">
        <v>31</v>
      </c>
      <c r="EI13" s="49" t="s">
        <v>31</v>
      </c>
      <c r="EJ13" s="49" t="s">
        <v>31</v>
      </c>
      <c r="EK13" s="49" t="s">
        <v>20</v>
      </c>
      <c r="EL13" s="49" t="s">
        <v>59</v>
      </c>
      <c r="EM13" s="49" t="s">
        <v>20</v>
      </c>
      <c r="EN13" s="49" t="s">
        <v>20</v>
      </c>
      <c r="EO13" s="49" t="s">
        <v>20</v>
      </c>
      <c r="EP13" s="49" t="s">
        <v>20</v>
      </c>
      <c r="EQ13" s="49" t="s">
        <v>20</v>
      </c>
      <c r="ER13" s="49" t="s">
        <v>20</v>
      </c>
      <c r="ES13" s="49" t="s">
        <v>59</v>
      </c>
      <c r="ET13" s="49" t="s">
        <v>59</v>
      </c>
      <c r="EU13" s="49" t="s">
        <v>20</v>
      </c>
      <c r="EV13" s="49"/>
      <c r="EW13" s="49" t="s">
        <v>20</v>
      </c>
      <c r="EX13" s="49" t="s">
        <v>59</v>
      </c>
      <c r="EY13" s="49" t="s">
        <v>20</v>
      </c>
      <c r="EZ13" s="49" t="s">
        <v>20</v>
      </c>
      <c r="FA13" s="49" t="s">
        <v>13</v>
      </c>
      <c r="FB13" s="49" t="s">
        <v>20</v>
      </c>
      <c r="FC13" s="49" t="s">
        <v>20</v>
      </c>
      <c r="FD13" s="49" t="s">
        <v>20</v>
      </c>
      <c r="FE13" s="49" t="s">
        <v>20</v>
      </c>
      <c r="FF13" s="49" t="s">
        <v>20</v>
      </c>
      <c r="FG13" s="49" t="s">
        <v>20</v>
      </c>
      <c r="FH13" s="49"/>
      <c r="FI13" s="49" t="s">
        <v>20</v>
      </c>
      <c r="FJ13" s="49" t="s">
        <v>20</v>
      </c>
      <c r="FK13" s="49"/>
      <c r="FL13" s="49" t="s">
        <v>20</v>
      </c>
      <c r="FM13" s="49"/>
      <c r="FN13" s="49" t="s">
        <v>59</v>
      </c>
      <c r="FO13" s="49" t="s">
        <v>13</v>
      </c>
      <c r="FP13" s="49" t="s">
        <v>59</v>
      </c>
      <c r="FQ13" s="49" t="s">
        <v>59</v>
      </c>
      <c r="FR13" s="49" t="s">
        <v>20</v>
      </c>
      <c r="FS13" s="49" t="s">
        <v>59</v>
      </c>
      <c r="FT13" s="49" t="s">
        <v>59</v>
      </c>
      <c r="FU13" s="49" t="s">
        <v>20</v>
      </c>
      <c r="FV13" s="49" t="s">
        <v>20</v>
      </c>
      <c r="FW13" s="49"/>
      <c r="FX13" s="49" t="s">
        <v>20</v>
      </c>
      <c r="FY13" s="49" t="s">
        <v>20</v>
      </c>
      <c r="FZ13" s="49"/>
      <c r="GA13" s="49" t="s">
        <v>20</v>
      </c>
      <c r="GB13" s="49" t="s">
        <v>20</v>
      </c>
      <c r="GC13" s="49"/>
      <c r="GD13" s="49"/>
      <c r="GE13" s="49" t="s">
        <v>20</v>
      </c>
      <c r="GF13" s="49"/>
      <c r="GG13" s="49" t="s">
        <v>20</v>
      </c>
      <c r="GH13" s="49" t="s">
        <v>20</v>
      </c>
      <c r="GI13" s="49" t="s">
        <v>20</v>
      </c>
      <c r="GJ13" s="49" t="s">
        <v>20</v>
      </c>
      <c r="GK13" s="49" t="s">
        <v>20</v>
      </c>
      <c r="GL13" s="465" t="s">
        <v>20</v>
      </c>
      <c r="GM13" s="465" t="s">
        <v>20</v>
      </c>
      <c r="GN13" s="93" t="s">
        <v>20</v>
      </c>
      <c r="GO13" s="93" t="s">
        <v>20</v>
      </c>
      <c r="GP13" s="93" t="s">
        <v>13</v>
      </c>
      <c r="GQ13" s="122" t="s">
        <v>20</v>
      </c>
      <c r="GR13" s="49" t="s">
        <v>20</v>
      </c>
      <c r="GS13" s="49" t="s">
        <v>20</v>
      </c>
      <c r="GT13" s="49" t="s">
        <v>20</v>
      </c>
      <c r="GU13" s="49" t="s">
        <v>20</v>
      </c>
      <c r="GV13" s="49" t="s">
        <v>20</v>
      </c>
      <c r="GW13" s="49" t="s">
        <v>20</v>
      </c>
      <c r="GX13" s="49" t="s">
        <v>20</v>
      </c>
      <c r="GY13" s="49" t="s">
        <v>20</v>
      </c>
      <c r="GZ13" s="49" t="s">
        <v>13</v>
      </c>
      <c r="HA13" s="49" t="s">
        <v>20</v>
      </c>
      <c r="HB13" s="49" t="s">
        <v>20</v>
      </c>
      <c r="HC13" s="49" t="s">
        <v>20</v>
      </c>
      <c r="HD13" s="49" t="s">
        <v>20</v>
      </c>
      <c r="HE13" s="49" t="s">
        <v>20</v>
      </c>
      <c r="HF13" s="49" t="s">
        <v>59</v>
      </c>
      <c r="HG13" s="49" t="s">
        <v>20</v>
      </c>
      <c r="HH13" s="123" t="s">
        <v>59</v>
      </c>
      <c r="HI13" s="123" t="s">
        <v>59</v>
      </c>
      <c r="HJ13" s="49" t="s">
        <v>20</v>
      </c>
      <c r="HK13" s="123" t="s">
        <v>59</v>
      </c>
      <c r="HL13" s="122" t="s">
        <v>20</v>
      </c>
      <c r="HM13" s="123" t="s">
        <v>59</v>
      </c>
      <c r="HN13" s="49" t="s">
        <v>20</v>
      </c>
      <c r="HO13" s="94" t="s">
        <v>59</v>
      </c>
      <c r="HP13" s="122" t="s">
        <v>20</v>
      </c>
      <c r="HQ13" s="122" t="s">
        <v>59</v>
      </c>
      <c r="HR13" s="123" t="s">
        <v>59</v>
      </c>
      <c r="HS13" s="49" t="s">
        <v>20</v>
      </c>
      <c r="HT13" s="49" t="s">
        <v>20</v>
      </c>
      <c r="HU13" s="123" t="s">
        <v>59</v>
      </c>
      <c r="HV13" s="49" t="s">
        <v>20</v>
      </c>
      <c r="HW13" s="123" t="s">
        <v>59</v>
      </c>
      <c r="HX13" s="49" t="s">
        <v>20</v>
      </c>
      <c r="HY13" s="123" t="s">
        <v>59</v>
      </c>
      <c r="HZ13" s="49" t="s">
        <v>20</v>
      </c>
      <c r="IA13" s="49" t="s">
        <v>20</v>
      </c>
      <c r="IB13" s="49" t="s">
        <v>20</v>
      </c>
      <c r="IC13" s="49" t="s">
        <v>20</v>
      </c>
      <c r="ID13" s="49" t="s">
        <v>20</v>
      </c>
      <c r="IE13" s="49" t="s">
        <v>20</v>
      </c>
      <c r="IF13" s="49" t="s">
        <v>20</v>
      </c>
      <c r="IG13" s="49" t="s">
        <v>20</v>
      </c>
      <c r="IH13" s="49" t="s">
        <v>20</v>
      </c>
      <c r="II13" s="49" t="s">
        <v>20</v>
      </c>
      <c r="IJ13" s="49" t="s">
        <v>20</v>
      </c>
      <c r="IK13" s="49" t="s">
        <v>20</v>
      </c>
      <c r="IL13" s="49" t="s">
        <v>59</v>
      </c>
      <c r="IM13" s="49" t="s">
        <v>59</v>
      </c>
      <c r="IN13" s="49" t="s">
        <v>59</v>
      </c>
      <c r="IO13" s="49" t="s">
        <v>59</v>
      </c>
      <c r="IP13" s="49" t="s">
        <v>20</v>
      </c>
      <c r="IQ13" s="49" t="s">
        <v>59</v>
      </c>
      <c r="IR13" s="49" t="s">
        <v>20</v>
      </c>
      <c r="IS13" s="49" t="s">
        <v>59</v>
      </c>
      <c r="IT13" s="49" t="s">
        <v>59</v>
      </c>
      <c r="IU13" s="49" t="s">
        <v>20</v>
      </c>
      <c r="IV13" s="49" t="s">
        <v>20</v>
      </c>
      <c r="IW13" s="49" t="s">
        <v>59</v>
      </c>
      <c r="IX13" s="49" t="s">
        <v>20</v>
      </c>
      <c r="IY13" s="49" t="s">
        <v>20</v>
      </c>
      <c r="IZ13" s="49" t="s">
        <v>20</v>
      </c>
      <c r="JA13" s="49" t="s">
        <v>59</v>
      </c>
      <c r="JB13" s="49" t="s">
        <v>59</v>
      </c>
      <c r="JC13" s="49" t="s">
        <v>59</v>
      </c>
      <c r="JD13" s="49" t="s">
        <v>20</v>
      </c>
      <c r="JE13" s="49" t="s">
        <v>20</v>
      </c>
      <c r="JF13" s="49" t="s">
        <v>20</v>
      </c>
      <c r="JG13" s="49" t="s">
        <v>20</v>
      </c>
      <c r="JH13" s="49" t="s">
        <v>20</v>
      </c>
      <c r="JI13" s="49" t="s">
        <v>20</v>
      </c>
      <c r="JJ13" s="49" t="s">
        <v>20</v>
      </c>
      <c r="JK13" s="49" t="s">
        <v>20</v>
      </c>
      <c r="JL13" s="49" t="s">
        <v>20</v>
      </c>
      <c r="JM13" s="49" t="s">
        <v>20</v>
      </c>
      <c r="JN13" s="465" t="s">
        <v>20</v>
      </c>
      <c r="JO13" s="465" t="s">
        <v>20</v>
      </c>
      <c r="JP13" s="49" t="s">
        <v>20</v>
      </c>
      <c r="JQ13" s="49" t="s">
        <v>20</v>
      </c>
      <c r="JR13" s="49" t="s">
        <v>20</v>
      </c>
      <c r="JS13" s="49" t="s">
        <v>20</v>
      </c>
      <c r="JT13" s="49" t="s">
        <v>20</v>
      </c>
      <c r="JU13" s="49" t="s">
        <v>20</v>
      </c>
      <c r="JV13" s="49" t="s">
        <v>20</v>
      </c>
      <c r="JW13" s="49" t="s">
        <v>20</v>
      </c>
      <c r="JX13" s="49" t="s">
        <v>20</v>
      </c>
      <c r="JY13" s="49" t="s">
        <v>20</v>
      </c>
      <c r="JZ13" s="49" t="s">
        <v>20</v>
      </c>
      <c r="KA13" s="49" t="s">
        <v>20</v>
      </c>
      <c r="KB13" s="49" t="s">
        <v>20</v>
      </c>
      <c r="KC13" s="49" t="s">
        <v>59</v>
      </c>
      <c r="KD13" s="49" t="s">
        <v>59</v>
      </c>
      <c r="KE13" s="49" t="s">
        <v>20</v>
      </c>
      <c r="KF13" s="49" t="s">
        <v>20</v>
      </c>
      <c r="KG13" s="49" t="s">
        <v>20</v>
      </c>
      <c r="KH13" s="49" t="s">
        <v>20</v>
      </c>
      <c r="KI13" s="49" t="s">
        <v>59</v>
      </c>
      <c r="KJ13" s="49" t="s">
        <v>59</v>
      </c>
      <c r="KK13" s="49" t="s">
        <v>20</v>
      </c>
      <c r="KL13" s="49" t="s">
        <v>20</v>
      </c>
      <c r="KM13" s="49" t="s">
        <v>20</v>
      </c>
      <c r="KN13" s="49" t="s">
        <v>20</v>
      </c>
      <c r="KO13" s="49" t="s">
        <v>20</v>
      </c>
      <c r="KP13" s="49" t="s">
        <v>20</v>
      </c>
      <c r="KQ13" s="49" t="s">
        <v>20</v>
      </c>
      <c r="KR13" s="49" t="s">
        <v>20</v>
      </c>
      <c r="KS13" s="49" t="s">
        <v>20</v>
      </c>
      <c r="KT13" s="49" t="s">
        <v>59</v>
      </c>
      <c r="KU13" s="49" t="s">
        <v>59</v>
      </c>
      <c r="KV13" s="49" t="s">
        <v>59</v>
      </c>
      <c r="KW13" s="49" t="s">
        <v>20</v>
      </c>
      <c r="KX13" s="49" t="s">
        <v>59</v>
      </c>
      <c r="KY13" s="49" t="s">
        <v>20</v>
      </c>
      <c r="KZ13" s="49" t="s">
        <v>59</v>
      </c>
      <c r="LA13" s="49" t="s">
        <v>20</v>
      </c>
      <c r="LB13" s="49" t="s">
        <v>59</v>
      </c>
      <c r="LC13" s="49" t="s">
        <v>59</v>
      </c>
      <c r="LD13" s="49" t="s">
        <v>59</v>
      </c>
      <c r="LE13" s="49" t="s">
        <v>59</v>
      </c>
      <c r="LF13" s="49" t="s">
        <v>59</v>
      </c>
      <c r="LG13" s="49" t="s">
        <v>59</v>
      </c>
      <c r="LH13" s="49" t="s">
        <v>59</v>
      </c>
      <c r="LI13" s="49" t="s">
        <v>20</v>
      </c>
      <c r="LJ13" s="49" t="s">
        <v>20</v>
      </c>
      <c r="LK13" s="49" t="s">
        <v>59</v>
      </c>
      <c r="LL13" s="49" t="s">
        <v>20</v>
      </c>
      <c r="LM13" s="49" t="s">
        <v>59</v>
      </c>
      <c r="LN13" s="101" t="s">
        <v>20</v>
      </c>
      <c r="LO13" s="101" t="s">
        <v>13</v>
      </c>
      <c r="LP13" s="101" t="s">
        <v>20</v>
      </c>
      <c r="LQ13" s="101" t="s">
        <v>20</v>
      </c>
      <c r="LR13" s="101" t="s">
        <v>20</v>
      </c>
      <c r="LS13" s="101" t="s">
        <v>20</v>
      </c>
      <c r="LT13" s="101" t="s">
        <v>20</v>
      </c>
      <c r="LU13" s="101" t="s">
        <v>20</v>
      </c>
      <c r="LV13" s="49" t="s">
        <v>59</v>
      </c>
      <c r="LW13" s="49" t="s">
        <v>59</v>
      </c>
      <c r="LX13" s="49" t="s">
        <v>59</v>
      </c>
      <c r="LY13" s="49" t="s">
        <v>59</v>
      </c>
      <c r="LZ13" s="49" t="s">
        <v>59</v>
      </c>
      <c r="MA13" s="101" t="s">
        <v>20</v>
      </c>
      <c r="MB13" s="49" t="s">
        <v>13</v>
      </c>
      <c r="MC13" s="101" t="s">
        <v>20</v>
      </c>
      <c r="MD13" s="101" t="s">
        <v>20</v>
      </c>
      <c r="ME13" s="49" t="s">
        <v>59</v>
      </c>
      <c r="MF13" s="101" t="s">
        <v>20</v>
      </c>
      <c r="MG13" s="101" t="s">
        <v>13</v>
      </c>
      <c r="MH13" s="101" t="s">
        <v>20</v>
      </c>
      <c r="MI13" s="101" t="s">
        <v>20</v>
      </c>
      <c r="MJ13" s="49" t="s">
        <v>13</v>
      </c>
      <c r="MK13" s="49" t="s">
        <v>20</v>
      </c>
      <c r="ML13" s="49" t="s">
        <v>20</v>
      </c>
      <c r="MM13" s="49" t="s">
        <v>20</v>
      </c>
      <c r="MN13" s="49" t="s">
        <v>20</v>
      </c>
      <c r="MO13" s="49" t="s">
        <v>20</v>
      </c>
      <c r="MP13" s="49" t="s">
        <v>20</v>
      </c>
      <c r="MQ13" s="49" t="s">
        <v>20</v>
      </c>
      <c r="MR13" s="49" t="s">
        <v>20</v>
      </c>
      <c r="MS13" s="49" t="s">
        <v>20</v>
      </c>
      <c r="MT13" s="49" t="s">
        <v>20</v>
      </c>
      <c r="MU13" s="49" t="s">
        <v>20</v>
      </c>
      <c r="MV13" s="49" t="s">
        <v>20</v>
      </c>
      <c r="MW13" s="49" t="s">
        <v>20</v>
      </c>
      <c r="MX13" s="49" t="s">
        <v>13</v>
      </c>
      <c r="MY13" s="49" t="s">
        <v>20</v>
      </c>
      <c r="MZ13" s="49" t="s">
        <v>20</v>
      </c>
      <c r="NA13" s="49" t="s">
        <v>20</v>
      </c>
      <c r="NB13" s="49" t="s">
        <v>20</v>
      </c>
      <c r="NC13" s="49" t="s">
        <v>20</v>
      </c>
      <c r="ND13" s="49" t="s">
        <v>20</v>
      </c>
      <c r="NE13" s="49" t="s">
        <v>20</v>
      </c>
      <c r="NF13" s="49" t="s">
        <v>20</v>
      </c>
      <c r="NG13" s="49" t="s">
        <v>59</v>
      </c>
      <c r="NH13" s="49" t="s">
        <v>20</v>
      </c>
      <c r="NI13" s="49" t="s">
        <v>20</v>
      </c>
      <c r="NJ13" s="49" t="s">
        <v>20</v>
      </c>
      <c r="NK13" s="49" t="s">
        <v>20</v>
      </c>
      <c r="NL13" s="49" t="s">
        <v>20</v>
      </c>
      <c r="NM13" s="49" t="s">
        <v>20</v>
      </c>
      <c r="NN13" s="49" t="s">
        <v>20</v>
      </c>
      <c r="NO13" s="49" t="s">
        <v>20</v>
      </c>
      <c r="NP13" s="49" t="s">
        <v>20</v>
      </c>
      <c r="NQ13" s="49" t="s">
        <v>20</v>
      </c>
      <c r="NR13" s="49" t="s">
        <v>59</v>
      </c>
      <c r="NS13" s="49" t="s">
        <v>20</v>
      </c>
      <c r="NT13" s="49" t="s">
        <v>20</v>
      </c>
      <c r="NU13" s="49" t="s">
        <v>20</v>
      </c>
      <c r="NV13" s="49" t="s">
        <v>20</v>
      </c>
      <c r="NW13" s="49" t="s">
        <v>20</v>
      </c>
      <c r="NX13" s="49" t="s">
        <v>20</v>
      </c>
      <c r="NY13" s="49" t="s">
        <v>20</v>
      </c>
      <c r="NZ13" s="49" t="s">
        <v>20</v>
      </c>
      <c r="OA13" s="49" t="s">
        <v>20</v>
      </c>
      <c r="OB13" s="49" t="s">
        <v>20</v>
      </c>
      <c r="OC13" s="49" t="s">
        <v>59</v>
      </c>
      <c r="OD13" s="49" t="s">
        <v>20</v>
      </c>
      <c r="OE13" s="49" t="s">
        <v>20</v>
      </c>
      <c r="OF13" s="49" t="s">
        <v>20</v>
      </c>
      <c r="OG13" s="49" t="s">
        <v>20</v>
      </c>
      <c r="OH13" s="49" t="s">
        <v>20</v>
      </c>
      <c r="OI13" s="49" t="s">
        <v>20</v>
      </c>
      <c r="OJ13" s="49" t="s">
        <v>59</v>
      </c>
      <c r="OK13" s="49" t="s">
        <v>20</v>
      </c>
      <c r="OL13" s="49" t="s">
        <v>20</v>
      </c>
      <c r="OM13" s="49" t="s">
        <v>20</v>
      </c>
      <c r="ON13" s="49" t="s">
        <v>20</v>
      </c>
      <c r="OO13" s="49" t="s">
        <v>20</v>
      </c>
      <c r="OP13" s="49" t="s">
        <v>59</v>
      </c>
      <c r="OQ13" s="49" t="s">
        <v>59</v>
      </c>
      <c r="OR13" s="49" t="s">
        <v>59</v>
      </c>
      <c r="OS13" s="49" t="s">
        <v>59</v>
      </c>
      <c r="OT13" s="49" t="s">
        <v>59</v>
      </c>
      <c r="OU13" s="49" t="s">
        <v>59</v>
      </c>
      <c r="OV13" s="49" t="s">
        <v>20</v>
      </c>
      <c r="OW13" s="49" t="s">
        <v>20</v>
      </c>
      <c r="OX13" s="49" t="s">
        <v>20</v>
      </c>
      <c r="OY13" s="49" t="s">
        <v>20</v>
      </c>
      <c r="OZ13" s="49" t="s">
        <v>20</v>
      </c>
      <c r="PA13" s="49" t="s">
        <v>20</v>
      </c>
      <c r="PB13" s="49" t="s">
        <v>20</v>
      </c>
      <c r="PC13" s="49" t="s">
        <v>20</v>
      </c>
      <c r="PD13" s="49" t="s">
        <v>20</v>
      </c>
      <c r="PE13" s="49" t="s">
        <v>20</v>
      </c>
      <c r="PF13" s="49" t="s">
        <v>20</v>
      </c>
      <c r="PG13" s="49" t="s">
        <v>20</v>
      </c>
      <c r="PH13" s="49" t="s">
        <v>20</v>
      </c>
      <c r="PI13" s="49" t="s">
        <v>20</v>
      </c>
      <c r="PJ13" s="49" t="s">
        <v>20</v>
      </c>
      <c r="PK13" s="49" t="s">
        <v>20</v>
      </c>
      <c r="PL13" s="49" t="s">
        <v>20</v>
      </c>
      <c r="PM13" s="49" t="s">
        <v>20</v>
      </c>
      <c r="PN13" s="49" t="s">
        <v>20</v>
      </c>
      <c r="PO13" s="49" t="s">
        <v>20</v>
      </c>
      <c r="PP13" s="49" t="s">
        <v>20</v>
      </c>
      <c r="PQ13" s="49" t="s">
        <v>59</v>
      </c>
      <c r="PR13" s="49" t="s">
        <v>13</v>
      </c>
      <c r="PS13" s="49" t="s">
        <v>20</v>
      </c>
      <c r="PT13" s="49" t="s">
        <v>20</v>
      </c>
      <c r="PU13" s="49" t="s">
        <v>20</v>
      </c>
      <c r="PV13" s="49" t="s">
        <v>20</v>
      </c>
      <c r="PW13" s="49" t="s">
        <v>20</v>
      </c>
      <c r="PX13" s="49" t="s">
        <v>20</v>
      </c>
      <c r="PY13" s="49" t="s">
        <v>20</v>
      </c>
      <c r="PZ13" s="49" t="s">
        <v>20</v>
      </c>
      <c r="QA13" s="49" t="s">
        <v>20</v>
      </c>
      <c r="QB13" s="49" t="s">
        <v>20</v>
      </c>
      <c r="QC13" s="49" t="s">
        <v>20</v>
      </c>
      <c r="QD13" s="49" t="s">
        <v>20</v>
      </c>
      <c r="QE13" s="49" t="s">
        <v>20</v>
      </c>
      <c r="QF13" s="49" t="s">
        <v>20</v>
      </c>
      <c r="QG13" s="49" t="s">
        <v>59</v>
      </c>
      <c r="QH13" s="49" t="s">
        <v>20</v>
      </c>
      <c r="QI13" s="49" t="s">
        <v>20</v>
      </c>
      <c r="QJ13" s="49" t="s">
        <v>20</v>
      </c>
      <c r="QK13" s="49" t="s">
        <v>20</v>
      </c>
      <c r="QL13" s="49" t="s">
        <v>20</v>
      </c>
      <c r="QM13" s="49" t="s">
        <v>20</v>
      </c>
      <c r="QN13" s="49" t="s">
        <v>20</v>
      </c>
      <c r="QO13" s="49" t="s">
        <v>20</v>
      </c>
      <c r="QP13" s="49" t="s">
        <v>20</v>
      </c>
      <c r="QQ13" s="49" t="s">
        <v>13</v>
      </c>
      <c r="QR13" s="49" t="s">
        <v>20</v>
      </c>
      <c r="QS13" s="49" t="s">
        <v>20</v>
      </c>
      <c r="QT13" s="49" t="s">
        <v>20</v>
      </c>
      <c r="QU13" s="49" t="s">
        <v>20</v>
      </c>
      <c r="QV13" s="49" t="s">
        <v>20</v>
      </c>
      <c r="QW13" s="49" t="s">
        <v>20</v>
      </c>
      <c r="QX13" s="49" t="s">
        <v>20</v>
      </c>
      <c r="QY13" s="49" t="s">
        <v>20</v>
      </c>
      <c r="QZ13" s="49" t="s">
        <v>20</v>
      </c>
      <c r="RA13" s="49" t="s">
        <v>59</v>
      </c>
      <c r="RB13" s="49" t="s">
        <v>59</v>
      </c>
      <c r="RC13" s="49" t="s">
        <v>59</v>
      </c>
      <c r="RD13" s="49" t="s">
        <v>59</v>
      </c>
      <c r="RE13" s="49" t="s">
        <v>59</v>
      </c>
      <c r="RF13" s="49" t="s">
        <v>59</v>
      </c>
      <c r="RG13" s="49" t="s">
        <v>59</v>
      </c>
      <c r="RH13" s="49" t="s">
        <v>59</v>
      </c>
      <c r="RI13" s="49" t="s">
        <v>20</v>
      </c>
      <c r="RJ13" s="49" t="s">
        <v>20</v>
      </c>
      <c r="RK13" s="49" t="s">
        <v>20</v>
      </c>
      <c r="RL13" s="49" t="s">
        <v>59</v>
      </c>
      <c r="RM13" s="49" t="s">
        <v>20</v>
      </c>
      <c r="RN13" s="49" t="s">
        <v>59</v>
      </c>
      <c r="RO13" s="49" t="s">
        <v>59</v>
      </c>
      <c r="RP13" s="49" t="s">
        <v>20</v>
      </c>
      <c r="RQ13" s="49" t="s">
        <v>20</v>
      </c>
      <c r="RR13" s="49" t="s">
        <v>59</v>
      </c>
      <c r="RS13" s="49" t="s">
        <v>59</v>
      </c>
      <c r="RT13" s="49" t="s">
        <v>59</v>
      </c>
      <c r="RU13" s="49" t="s">
        <v>59</v>
      </c>
      <c r="RV13" s="49" t="s">
        <v>20</v>
      </c>
      <c r="RW13" s="49" t="s">
        <v>20</v>
      </c>
      <c r="RX13" s="49" t="s">
        <v>20</v>
      </c>
      <c r="RY13" s="408" t="s">
        <v>20</v>
      </c>
      <c r="RZ13" s="408" t="s">
        <v>20</v>
      </c>
      <c r="SA13" s="408" t="s">
        <v>20</v>
      </c>
      <c r="SB13" s="408" t="s">
        <v>20</v>
      </c>
      <c r="SC13" s="408" t="s">
        <v>20</v>
      </c>
      <c r="SD13" s="49" t="s">
        <v>59</v>
      </c>
      <c r="SE13" s="49" t="s">
        <v>59</v>
      </c>
      <c r="SF13" s="408" t="s">
        <v>20</v>
      </c>
      <c r="SG13" s="408" t="s">
        <v>20</v>
      </c>
      <c r="SH13" s="408" t="s">
        <v>20</v>
      </c>
      <c r="SI13" s="49" t="s">
        <v>59</v>
      </c>
      <c r="SJ13" s="49" t="s">
        <v>20</v>
      </c>
      <c r="SK13" s="49" t="s">
        <v>59</v>
      </c>
      <c r="SL13" s="49" t="s">
        <v>59</v>
      </c>
      <c r="SM13" s="49" t="s">
        <v>20</v>
      </c>
      <c r="SN13" s="49" t="s">
        <v>20</v>
      </c>
      <c r="SO13" s="49" t="s">
        <v>20</v>
      </c>
      <c r="SP13" s="49" t="s">
        <v>20</v>
      </c>
      <c r="SQ13" s="49" t="s">
        <v>20</v>
      </c>
      <c r="SR13" s="49" t="s">
        <v>20</v>
      </c>
      <c r="SS13" s="49" t="s">
        <v>20</v>
      </c>
      <c r="ST13" s="49" t="s">
        <v>20</v>
      </c>
      <c r="SU13" s="49" t="s">
        <v>20</v>
      </c>
      <c r="SV13" s="49" t="s">
        <v>20</v>
      </c>
      <c r="SW13" s="49" t="s">
        <v>20</v>
      </c>
      <c r="SX13" s="49" t="s">
        <v>20</v>
      </c>
      <c r="SY13" s="49" t="s">
        <v>20</v>
      </c>
      <c r="SZ13" s="49" t="s">
        <v>20</v>
      </c>
      <c r="TA13" s="49" t="s">
        <v>20</v>
      </c>
      <c r="TB13" s="49" t="s">
        <v>59</v>
      </c>
      <c r="TC13" s="49" t="s">
        <v>59</v>
      </c>
      <c r="TD13" s="49" t="s">
        <v>20</v>
      </c>
      <c r="TE13" s="49" t="s">
        <v>59</v>
      </c>
      <c r="TF13" s="49" t="s">
        <v>13</v>
      </c>
      <c r="TG13" s="49" t="s">
        <v>20</v>
      </c>
      <c r="TH13" s="49" t="s">
        <v>20</v>
      </c>
      <c r="TI13" s="49" t="s">
        <v>20</v>
      </c>
      <c r="TJ13" s="49" t="s">
        <v>59</v>
      </c>
      <c r="TK13" s="49" t="s">
        <v>59</v>
      </c>
      <c r="TL13" s="49" t="s">
        <v>59</v>
      </c>
      <c r="TM13" s="49" t="s">
        <v>59</v>
      </c>
      <c r="TN13" s="93" t="s">
        <v>20</v>
      </c>
      <c r="TO13" s="93" t="s">
        <v>20</v>
      </c>
      <c r="TP13" s="93" t="s">
        <v>20</v>
      </c>
      <c r="TQ13" s="93" t="s">
        <v>20</v>
      </c>
      <c r="TR13" s="93" t="s">
        <v>20</v>
      </c>
      <c r="TS13" s="93" t="s">
        <v>20</v>
      </c>
      <c r="TT13" s="93" t="s">
        <v>20</v>
      </c>
      <c r="TU13" s="93" t="s">
        <v>20</v>
      </c>
      <c r="TV13" s="93" t="s">
        <v>20</v>
      </c>
      <c r="TW13" s="49" t="s">
        <v>20</v>
      </c>
      <c r="TX13" s="49" t="s">
        <v>20</v>
      </c>
      <c r="TY13" s="49" t="s">
        <v>20</v>
      </c>
      <c r="TZ13" s="72" t="s">
        <v>20</v>
      </c>
      <c r="UA13" s="72" t="s">
        <v>20</v>
      </c>
      <c r="UB13" s="72" t="s">
        <v>20</v>
      </c>
      <c r="UC13" s="72" t="s">
        <v>20</v>
      </c>
      <c r="UD13" s="49" t="s">
        <v>20</v>
      </c>
      <c r="UE13" s="49" t="s">
        <v>59</v>
      </c>
      <c r="UF13" s="49" t="s">
        <v>20</v>
      </c>
      <c r="UG13" s="49" t="s">
        <v>20</v>
      </c>
      <c r="UH13" s="49" t="s">
        <v>59</v>
      </c>
      <c r="UI13" s="49" t="s">
        <v>20</v>
      </c>
      <c r="UJ13" s="49" t="s">
        <v>59</v>
      </c>
      <c r="UK13" s="49" t="s">
        <v>20</v>
      </c>
      <c r="UL13" s="49" t="s">
        <v>59</v>
      </c>
      <c r="UM13" s="49" t="s">
        <v>59</v>
      </c>
      <c r="UN13" s="49" t="s">
        <v>59</v>
      </c>
      <c r="UO13" s="49" t="s">
        <v>59</v>
      </c>
      <c r="UP13" s="72" t="s">
        <v>59</v>
      </c>
      <c r="UQ13" s="49" t="s">
        <v>20</v>
      </c>
      <c r="UR13" s="49" t="s">
        <v>20</v>
      </c>
      <c r="US13" s="72" t="s">
        <v>59</v>
      </c>
      <c r="UT13" s="49" t="s">
        <v>20</v>
      </c>
      <c r="UU13" s="49" t="s">
        <v>59</v>
      </c>
      <c r="UV13" s="49" t="s">
        <v>31</v>
      </c>
      <c r="UW13" s="49" t="s">
        <v>20</v>
      </c>
      <c r="UX13" s="49" t="s">
        <v>13</v>
      </c>
      <c r="UY13" s="49" t="s">
        <v>13</v>
      </c>
      <c r="UZ13" s="49" t="s">
        <v>20</v>
      </c>
      <c r="VA13" s="49" t="s">
        <v>20</v>
      </c>
      <c r="VB13" s="49" t="s">
        <v>20</v>
      </c>
      <c r="VC13" s="49" t="s">
        <v>214</v>
      </c>
      <c r="VD13" s="49" t="s">
        <v>214</v>
      </c>
      <c r="VE13" s="49" t="s">
        <v>214</v>
      </c>
      <c r="VF13" s="49" t="s">
        <v>214</v>
      </c>
      <c r="VG13" s="49" t="s">
        <v>214</v>
      </c>
      <c r="VH13" s="49" t="s">
        <v>59</v>
      </c>
      <c r="VI13" s="49" t="s">
        <v>59</v>
      </c>
      <c r="VJ13" s="49" t="s">
        <v>20</v>
      </c>
      <c r="VK13" s="49" t="s">
        <v>59</v>
      </c>
      <c r="VL13" s="49" t="s">
        <v>59</v>
      </c>
      <c r="VM13" s="49" t="s">
        <v>59</v>
      </c>
      <c r="VN13" s="49" t="s">
        <v>59</v>
      </c>
      <c r="VO13" s="49" t="s">
        <v>59</v>
      </c>
      <c r="VP13" s="49" t="s">
        <v>59</v>
      </c>
      <c r="VQ13" s="49" t="s">
        <v>59</v>
      </c>
      <c r="VR13" s="49" t="s">
        <v>59</v>
      </c>
      <c r="VS13" s="49" t="s">
        <v>20</v>
      </c>
      <c r="VT13" s="49" t="s">
        <v>20</v>
      </c>
      <c r="VU13" s="49" t="s">
        <v>20</v>
      </c>
      <c r="VV13" s="49" t="s">
        <v>20</v>
      </c>
      <c r="VW13" s="49" t="s">
        <v>59</v>
      </c>
      <c r="VX13" s="49" t="s">
        <v>20</v>
      </c>
      <c r="VY13" s="49" t="s">
        <v>59</v>
      </c>
      <c r="VZ13" s="49" t="s">
        <v>13</v>
      </c>
      <c r="WA13" s="49"/>
      <c r="WB13" s="49" t="s">
        <v>59</v>
      </c>
      <c r="WC13" s="49" t="s">
        <v>59</v>
      </c>
      <c r="WD13" s="49" t="s">
        <v>59</v>
      </c>
      <c r="WE13" s="49" t="s">
        <v>59</v>
      </c>
      <c r="WF13" s="49" t="s">
        <v>20</v>
      </c>
      <c r="WG13" s="49" t="s">
        <v>59</v>
      </c>
      <c r="WH13" s="49" t="s">
        <v>20</v>
      </c>
      <c r="WI13" s="49" t="s">
        <v>59</v>
      </c>
      <c r="WJ13" s="49" t="s">
        <v>20</v>
      </c>
      <c r="WK13" s="49" t="s">
        <v>20</v>
      </c>
      <c r="WL13" s="101" t="s">
        <v>59</v>
      </c>
      <c r="WM13" s="49" t="s">
        <v>13</v>
      </c>
      <c r="WN13" s="49" t="s">
        <v>13</v>
      </c>
      <c r="WO13" s="49" t="s">
        <v>20</v>
      </c>
      <c r="WP13" s="49" t="s">
        <v>13</v>
      </c>
      <c r="WQ13" s="49"/>
      <c r="WR13" s="49" t="s">
        <v>13</v>
      </c>
      <c r="WS13" s="49" t="s">
        <v>13</v>
      </c>
      <c r="WT13" s="49" t="s">
        <v>59</v>
      </c>
      <c r="WU13" s="49" t="s">
        <v>59</v>
      </c>
      <c r="WV13" s="49" t="s">
        <v>59</v>
      </c>
      <c r="WW13" s="49" t="s">
        <v>59</v>
      </c>
      <c r="WX13" s="49" t="s">
        <v>59</v>
      </c>
      <c r="WY13" s="49" t="s">
        <v>59</v>
      </c>
      <c r="WZ13" s="49" t="s">
        <v>59</v>
      </c>
      <c r="XA13" s="49" t="s">
        <v>59</v>
      </c>
      <c r="XB13" s="49"/>
      <c r="XC13" s="49" t="s">
        <v>59</v>
      </c>
      <c r="XD13" s="49" t="s">
        <v>13</v>
      </c>
      <c r="XE13" s="49" t="s">
        <v>13</v>
      </c>
      <c r="XF13" s="49" t="s">
        <v>20</v>
      </c>
      <c r="XG13" s="49" t="s">
        <v>20</v>
      </c>
      <c r="XH13" s="49" t="s">
        <v>20</v>
      </c>
      <c r="XI13" s="49" t="s">
        <v>20</v>
      </c>
      <c r="XJ13" s="49" t="s">
        <v>20</v>
      </c>
      <c r="XK13" s="49" t="s">
        <v>20</v>
      </c>
      <c r="XL13" s="49" t="s">
        <v>20</v>
      </c>
      <c r="XM13" s="49" t="s">
        <v>20</v>
      </c>
      <c r="XN13" s="49" t="s">
        <v>20</v>
      </c>
      <c r="XO13" s="49" t="s">
        <v>20</v>
      </c>
      <c r="XP13" s="49" t="s">
        <v>13</v>
      </c>
      <c r="XQ13" s="49" t="s">
        <v>20</v>
      </c>
      <c r="XR13" s="49" t="s">
        <v>20</v>
      </c>
      <c r="XS13" s="49" t="s">
        <v>20</v>
      </c>
      <c r="XT13" s="49" t="s">
        <v>20</v>
      </c>
      <c r="XU13" s="49" t="s">
        <v>20</v>
      </c>
      <c r="XV13" s="49" t="s">
        <v>59</v>
      </c>
      <c r="XW13" s="49" t="s">
        <v>20</v>
      </c>
      <c r="XX13" s="49" t="s">
        <v>20</v>
      </c>
      <c r="XY13" s="49" t="s">
        <v>20</v>
      </c>
      <c r="XZ13" s="49" t="s">
        <v>20</v>
      </c>
      <c r="YA13" s="49" t="s">
        <v>20</v>
      </c>
      <c r="YB13" s="49" t="s">
        <v>20</v>
      </c>
      <c r="YC13" s="49" t="s">
        <v>20</v>
      </c>
      <c r="YD13" s="49" t="s">
        <v>20</v>
      </c>
      <c r="YE13" s="49" t="s">
        <v>20</v>
      </c>
      <c r="YF13" s="49" t="s">
        <v>20</v>
      </c>
      <c r="YG13" s="49" t="s">
        <v>20</v>
      </c>
      <c r="YH13" s="49" t="s">
        <v>59</v>
      </c>
      <c r="YI13" s="49" t="s">
        <v>59</v>
      </c>
      <c r="YJ13" s="49" t="s">
        <v>20</v>
      </c>
      <c r="YK13" s="49" t="s">
        <v>20</v>
      </c>
      <c r="YL13" s="49" t="s">
        <v>20</v>
      </c>
      <c r="YM13" s="122" t="s">
        <v>59</v>
      </c>
      <c r="YN13" s="122" t="s">
        <v>59</v>
      </c>
      <c r="YO13" s="49" t="s">
        <v>20</v>
      </c>
      <c r="YP13" s="49" t="s">
        <v>59</v>
      </c>
      <c r="YQ13" s="49" t="s">
        <v>59</v>
      </c>
      <c r="YR13" s="49" t="s">
        <v>20</v>
      </c>
      <c r="YS13" s="49" t="s">
        <v>20</v>
      </c>
      <c r="YT13" s="122" t="s">
        <v>20</v>
      </c>
    </row>
    <row r="14" spans="1:670" s="26" customFormat="1" ht="12.1" customHeight="1" x14ac:dyDescent="0.25">
      <c r="A14" s="174" t="s">
        <v>368</v>
      </c>
      <c r="B14" s="175" t="s">
        <v>263</v>
      </c>
      <c r="C14" s="175" t="s">
        <v>1</v>
      </c>
      <c r="D14" s="175" t="s">
        <v>2</v>
      </c>
      <c r="E14" s="176" t="s">
        <v>3</v>
      </c>
      <c r="F14" s="176" t="s">
        <v>379</v>
      </c>
      <c r="G14" s="176" t="s">
        <v>122</v>
      </c>
      <c r="H14" s="176" t="s">
        <v>234</v>
      </c>
      <c r="I14" s="176" t="s">
        <v>77</v>
      </c>
      <c r="J14" s="177" t="s">
        <v>4</v>
      </c>
      <c r="K14" s="177" t="s">
        <v>5</v>
      </c>
      <c r="L14" s="177"/>
      <c r="M14" s="177" t="s">
        <v>71</v>
      </c>
      <c r="N14" s="177" t="s">
        <v>72</v>
      </c>
      <c r="O14" s="177" t="s">
        <v>73</v>
      </c>
      <c r="P14" s="177" t="s">
        <v>102</v>
      </c>
      <c r="Q14" s="177" t="s">
        <v>103</v>
      </c>
      <c r="R14" s="177" t="s">
        <v>104</v>
      </c>
      <c r="S14" s="177" t="s">
        <v>105</v>
      </c>
      <c r="T14" s="177" t="s">
        <v>110</v>
      </c>
      <c r="U14" s="177" t="s">
        <v>8</v>
      </c>
      <c r="V14" s="177" t="s">
        <v>9</v>
      </c>
      <c r="W14" s="177" t="s">
        <v>106</v>
      </c>
      <c r="X14" s="177" t="s">
        <v>21</v>
      </c>
      <c r="Y14" s="177" t="s">
        <v>254</v>
      </c>
      <c r="Z14" s="177" t="s">
        <v>6</v>
      </c>
      <c r="AA14" s="177" t="s">
        <v>7</v>
      </c>
      <c r="AB14" s="177" t="s">
        <v>107</v>
      </c>
      <c r="AC14" s="177" t="s">
        <v>19</v>
      </c>
      <c r="AD14" s="177" t="s">
        <v>22</v>
      </c>
      <c r="AE14" s="177" t="s">
        <v>1224</v>
      </c>
      <c r="AF14" s="177" t="s">
        <v>1225</v>
      </c>
      <c r="AG14" s="177" t="s">
        <v>23</v>
      </c>
      <c r="AH14" s="177" t="s">
        <v>117</v>
      </c>
      <c r="AI14" s="177" t="s">
        <v>867</v>
      </c>
      <c r="AJ14" s="177" t="s">
        <v>126</v>
      </c>
      <c r="AK14" s="177" t="s">
        <v>75</v>
      </c>
      <c r="AL14" s="177" t="s">
        <v>108</v>
      </c>
      <c r="AM14" s="177" t="s">
        <v>109</v>
      </c>
      <c r="AN14" s="177" t="s">
        <v>259</v>
      </c>
      <c r="AO14" s="177" t="s">
        <v>260</v>
      </c>
      <c r="AP14" s="177" t="s">
        <v>1022</v>
      </c>
      <c r="AQ14" s="177" t="s">
        <v>695</v>
      </c>
      <c r="AR14" s="177" t="s">
        <v>697</v>
      </c>
      <c r="AS14" s="177" t="s">
        <v>698</v>
      </c>
      <c r="AT14" s="177" t="s">
        <v>692</v>
      </c>
      <c r="AU14" s="177"/>
      <c r="AV14" s="177"/>
      <c r="AW14" s="177"/>
      <c r="AX14" s="177"/>
      <c r="AY14" s="177"/>
      <c r="AZ14" s="177"/>
      <c r="BA14" s="177"/>
      <c r="BB14" s="177"/>
      <c r="BC14" s="177"/>
      <c r="BD14" s="177"/>
      <c r="BE14" s="177"/>
      <c r="BF14" s="177"/>
      <c r="BG14" s="177"/>
      <c r="BH14" s="177"/>
      <c r="BI14" s="177" t="s">
        <v>1226</v>
      </c>
      <c r="BJ14" s="177" t="s">
        <v>1227</v>
      </c>
      <c r="BK14" s="177" t="s">
        <v>883</v>
      </c>
      <c r="BL14" s="177" t="s">
        <v>70</v>
      </c>
      <c r="BM14" s="177" t="s">
        <v>34</v>
      </c>
      <c r="BN14" s="177" t="s">
        <v>35</v>
      </c>
      <c r="BO14" s="177" t="s">
        <v>144</v>
      </c>
      <c r="BP14" s="177" t="s">
        <v>96</v>
      </c>
      <c r="BQ14" s="177" t="s">
        <v>41</v>
      </c>
      <c r="BR14" s="177" t="s">
        <v>127</v>
      </c>
      <c r="BS14" s="177" t="s">
        <v>142</v>
      </c>
      <c r="BT14" s="177" t="s">
        <v>95</v>
      </c>
      <c r="BU14" s="177" t="s">
        <v>39</v>
      </c>
      <c r="BV14" s="177" t="s">
        <v>143</v>
      </c>
      <c r="BW14" s="177" t="s">
        <v>36</v>
      </c>
      <c r="BX14" s="177" t="s">
        <v>37</v>
      </c>
      <c r="BY14" s="177" t="s">
        <v>2746</v>
      </c>
      <c r="BZ14" s="177" t="s">
        <v>56</v>
      </c>
      <c r="CA14" s="177"/>
      <c r="CB14" s="177"/>
      <c r="CC14" s="177" t="s">
        <v>135</v>
      </c>
      <c r="CD14" s="177" t="s">
        <v>868</v>
      </c>
      <c r="CE14" s="177"/>
      <c r="CF14" s="177" t="s">
        <v>136</v>
      </c>
      <c r="CG14" s="177" t="s">
        <v>208</v>
      </c>
      <c r="CH14" s="177" t="s">
        <v>301</v>
      </c>
      <c r="CI14" s="177"/>
      <c r="CJ14" s="177" t="s">
        <v>1229</v>
      </c>
      <c r="CK14" s="177" t="s">
        <v>1230</v>
      </c>
      <c r="CL14" s="177" t="s">
        <v>1231</v>
      </c>
      <c r="CM14" s="177" t="s">
        <v>2771</v>
      </c>
      <c r="CN14" s="177" t="s">
        <v>128</v>
      </c>
      <c r="CO14" s="177" t="s">
        <v>40</v>
      </c>
      <c r="CP14" s="177" t="s">
        <v>38</v>
      </c>
      <c r="CQ14" s="177" t="s">
        <v>93</v>
      </c>
      <c r="CR14" s="177"/>
      <c r="CS14" s="177" t="s">
        <v>679</v>
      </c>
      <c r="CT14" s="177" t="s">
        <v>1014</v>
      </c>
      <c r="CU14" s="177" t="s">
        <v>64</v>
      </c>
      <c r="CV14" s="177" t="s">
        <v>65</v>
      </c>
      <c r="CW14" s="178" t="s">
        <v>1232</v>
      </c>
      <c r="CX14" s="177" t="s">
        <v>179</v>
      </c>
      <c r="CY14" s="177" t="s">
        <v>845</v>
      </c>
      <c r="CZ14" s="177" t="s">
        <v>192</v>
      </c>
      <c r="DA14" s="178" t="s">
        <v>1489</v>
      </c>
      <c r="DB14" s="178" t="s">
        <v>1490</v>
      </c>
      <c r="DC14" s="178" t="s">
        <v>1491</v>
      </c>
      <c r="DD14" s="178" t="s">
        <v>1492</v>
      </c>
      <c r="DE14" s="177" t="s">
        <v>46</v>
      </c>
      <c r="DF14" s="177" t="s">
        <v>42</v>
      </c>
      <c r="DG14" s="177" t="s">
        <v>1719</v>
      </c>
      <c r="DH14" s="177" t="s">
        <v>43</v>
      </c>
      <c r="DI14" s="177"/>
      <c r="DJ14" s="177" t="s">
        <v>67</v>
      </c>
      <c r="DK14" s="177" t="s">
        <v>68</v>
      </c>
      <c r="DL14" s="177" t="s">
        <v>44</v>
      </c>
      <c r="DM14" s="177" t="s">
        <v>63</v>
      </c>
      <c r="DN14" s="177" t="s">
        <v>113</v>
      </c>
      <c r="DO14" s="177" t="s">
        <v>268</v>
      </c>
      <c r="DP14" s="177" t="s">
        <v>101</v>
      </c>
      <c r="DQ14" s="177" t="s">
        <v>269</v>
      </c>
      <c r="DR14" s="177" t="s">
        <v>590</v>
      </c>
      <c r="DS14" s="177" t="s">
        <v>599</v>
      </c>
      <c r="DT14" s="177" t="s">
        <v>24</v>
      </c>
      <c r="DU14" s="177" t="s">
        <v>26</v>
      </c>
      <c r="DV14" s="177" t="s">
        <v>28</v>
      </c>
      <c r="DW14" s="177" t="s">
        <v>25</v>
      </c>
      <c r="DX14" s="177" t="s">
        <v>27</v>
      </c>
      <c r="DY14" s="177" t="s">
        <v>29</v>
      </c>
      <c r="DZ14" s="177" t="s">
        <v>488</v>
      </c>
      <c r="EA14" s="177" t="s">
        <v>598</v>
      </c>
      <c r="EB14" s="177" t="s">
        <v>489</v>
      </c>
      <c r="EC14" s="177" t="s">
        <v>506</v>
      </c>
      <c r="ED14" s="177" t="s">
        <v>507</v>
      </c>
      <c r="EE14" s="177" t="s">
        <v>508</v>
      </c>
      <c r="EF14" s="177" t="s">
        <v>681</v>
      </c>
      <c r="EG14" s="177" t="s">
        <v>682</v>
      </c>
      <c r="EH14" s="177" t="s">
        <v>30</v>
      </c>
      <c r="EI14" s="177" t="s">
        <v>32</v>
      </c>
      <c r="EJ14" s="177" t="s">
        <v>33</v>
      </c>
      <c r="EK14" s="177" t="s">
        <v>270</v>
      </c>
      <c r="EL14" s="177"/>
      <c r="EM14" s="177" t="s">
        <v>271</v>
      </c>
      <c r="EN14" s="177" t="s">
        <v>277</v>
      </c>
      <c r="EO14" s="177" t="s">
        <v>276</v>
      </c>
      <c r="EP14" s="177" t="s">
        <v>1112</v>
      </c>
      <c r="EQ14" s="177" t="s">
        <v>1497</v>
      </c>
      <c r="ER14" s="177" t="s">
        <v>1498</v>
      </c>
      <c r="ES14" s="177"/>
      <c r="ET14" s="177"/>
      <c r="EU14" s="177" t="s">
        <v>1055</v>
      </c>
      <c r="EV14" s="177"/>
      <c r="EW14" s="177" t="s">
        <v>1070</v>
      </c>
      <c r="EX14" s="177"/>
      <c r="EY14" s="177" t="s">
        <v>47</v>
      </c>
      <c r="EZ14" s="177" t="s">
        <v>48</v>
      </c>
      <c r="FA14" s="177" t="s">
        <v>814</v>
      </c>
      <c r="FB14" s="177" t="s">
        <v>284</v>
      </c>
      <c r="FC14" s="177" t="s">
        <v>216</v>
      </c>
      <c r="FD14" s="177" t="s">
        <v>57</v>
      </c>
      <c r="FE14" s="177" t="s">
        <v>492</v>
      </c>
      <c r="FF14" s="177" t="s">
        <v>58</v>
      </c>
      <c r="FG14" s="177" t="s">
        <v>183</v>
      </c>
      <c r="FH14" s="177"/>
      <c r="FI14" s="177" t="s">
        <v>187</v>
      </c>
      <c r="FJ14" s="177" t="s">
        <v>49</v>
      </c>
      <c r="FK14" s="177"/>
      <c r="FL14" s="177" t="s">
        <v>190</v>
      </c>
      <c r="FM14" s="177"/>
      <c r="FN14" s="177"/>
      <c r="FO14" s="177" t="s">
        <v>866</v>
      </c>
      <c r="FP14" s="177"/>
      <c r="FQ14" s="177"/>
      <c r="FR14" s="177" t="s">
        <v>1502</v>
      </c>
      <c r="FS14" s="177"/>
      <c r="FT14" s="177"/>
      <c r="FU14" s="177" t="s">
        <v>257</v>
      </c>
      <c r="FV14" s="177" t="s">
        <v>194</v>
      </c>
      <c r="FW14" s="177"/>
      <c r="FX14" s="177" t="s">
        <v>195</v>
      </c>
      <c r="FY14" s="177" t="s">
        <v>196</v>
      </c>
      <c r="FZ14" s="177"/>
      <c r="GA14" s="177" t="s">
        <v>253</v>
      </c>
      <c r="GB14" s="177" t="s">
        <v>197</v>
      </c>
      <c r="GC14" s="177"/>
      <c r="GD14" s="177"/>
      <c r="GE14" s="177" t="s">
        <v>474</v>
      </c>
      <c r="GF14" s="177"/>
      <c r="GG14" s="177" t="s">
        <v>595</v>
      </c>
      <c r="GH14" s="177" t="s">
        <v>97</v>
      </c>
      <c r="GI14" s="177" t="s">
        <v>239</v>
      </c>
      <c r="GJ14" s="177" t="s">
        <v>240</v>
      </c>
      <c r="GK14" s="177" t="s">
        <v>313</v>
      </c>
      <c r="GL14" s="466" t="s">
        <v>1506</v>
      </c>
      <c r="GM14" s="466" t="s">
        <v>1507</v>
      </c>
      <c r="GN14" s="179" t="s">
        <v>79</v>
      </c>
      <c r="GO14" s="179" t="s">
        <v>80</v>
      </c>
      <c r="GP14" s="179" t="s">
        <v>227</v>
      </c>
      <c r="GQ14" s="178" t="s">
        <v>1247</v>
      </c>
      <c r="GR14" s="177" t="s">
        <v>2316</v>
      </c>
      <c r="GS14" s="177" t="s">
        <v>2749</v>
      </c>
      <c r="GT14" s="177" t="s">
        <v>539</v>
      </c>
      <c r="GU14" s="177" t="s">
        <v>178</v>
      </c>
      <c r="GV14" s="177" t="s">
        <v>1508</v>
      </c>
      <c r="GW14" s="177" t="s">
        <v>206</v>
      </c>
      <c r="GX14" s="177" t="s">
        <v>625</v>
      </c>
      <c r="GY14" s="178" t="s">
        <v>1509</v>
      </c>
      <c r="GZ14" s="177" t="s">
        <v>289</v>
      </c>
      <c r="HA14" s="177" t="s">
        <v>2317</v>
      </c>
      <c r="HB14" s="177" t="s">
        <v>1049</v>
      </c>
      <c r="HC14" s="177" t="s">
        <v>410</v>
      </c>
      <c r="HD14" s="177" t="s">
        <v>225</v>
      </c>
      <c r="HE14" s="177" t="s">
        <v>314</v>
      </c>
      <c r="HF14" s="177"/>
      <c r="HG14" s="177" t="s">
        <v>213</v>
      </c>
      <c r="HH14" s="178"/>
      <c r="HI14" s="178"/>
      <c r="HJ14" s="177" t="s">
        <v>513</v>
      </c>
      <c r="HK14" s="178"/>
      <c r="HL14" s="178" t="s">
        <v>517</v>
      </c>
      <c r="HM14" s="178"/>
      <c r="HN14" s="177" t="s">
        <v>521</v>
      </c>
      <c r="HO14" s="177"/>
      <c r="HP14" s="178" t="s">
        <v>523</v>
      </c>
      <c r="HQ14" s="178"/>
      <c r="HR14" s="467"/>
      <c r="HS14" s="177" t="s">
        <v>527</v>
      </c>
      <c r="HT14" s="177" t="s">
        <v>182</v>
      </c>
      <c r="HU14" s="467"/>
      <c r="HV14" s="177" t="s">
        <v>596</v>
      </c>
      <c r="HW14" s="467"/>
      <c r="HX14" s="177" t="s">
        <v>597</v>
      </c>
      <c r="HY14" s="467"/>
      <c r="HZ14" s="177" t="s">
        <v>531</v>
      </c>
      <c r="IA14" s="177" t="s">
        <v>403</v>
      </c>
      <c r="IB14" s="177" t="s">
        <v>191</v>
      </c>
      <c r="IC14" s="177" t="s">
        <v>2172</v>
      </c>
      <c r="ID14" s="177" t="s">
        <v>2173</v>
      </c>
      <c r="IE14" s="177" t="s">
        <v>2174</v>
      </c>
      <c r="IF14" s="177" t="s">
        <v>207</v>
      </c>
      <c r="IG14" s="177" t="s">
        <v>325</v>
      </c>
      <c r="IH14" s="178" t="s">
        <v>224</v>
      </c>
      <c r="II14" s="178" t="s">
        <v>326</v>
      </c>
      <c r="IJ14" s="178" t="s">
        <v>1050</v>
      </c>
      <c r="IK14" s="178" t="s">
        <v>262</v>
      </c>
      <c r="IL14" s="177"/>
      <c r="IM14" s="177"/>
      <c r="IN14" s="177"/>
      <c r="IO14" s="177"/>
      <c r="IP14" s="177" t="s">
        <v>1510</v>
      </c>
      <c r="IQ14" s="177"/>
      <c r="IR14" s="177" t="s">
        <v>1511</v>
      </c>
      <c r="IS14" s="177"/>
      <c r="IT14" s="177"/>
      <c r="IU14" s="177" t="s">
        <v>1512</v>
      </c>
      <c r="IV14" s="177" t="s">
        <v>1513</v>
      </c>
      <c r="IW14" s="177"/>
      <c r="IX14" s="177" t="s">
        <v>1514</v>
      </c>
      <c r="IY14" s="177" t="s">
        <v>1515</v>
      </c>
      <c r="IZ14" s="177" t="s">
        <v>1516</v>
      </c>
      <c r="JA14" s="177"/>
      <c r="JB14" s="177"/>
      <c r="JC14" s="177"/>
      <c r="JD14" s="177" t="s">
        <v>1517</v>
      </c>
      <c r="JE14" s="177" t="s">
        <v>1518</v>
      </c>
      <c r="JF14" s="177" t="s">
        <v>1519</v>
      </c>
      <c r="JG14" s="177" t="s">
        <v>1520</v>
      </c>
      <c r="JH14" s="177" t="s">
        <v>1521</v>
      </c>
      <c r="JI14" s="177" t="s">
        <v>1523</v>
      </c>
      <c r="JJ14" s="177" t="s">
        <v>1525</v>
      </c>
      <c r="JK14" s="177" t="s">
        <v>1526</v>
      </c>
      <c r="JL14" s="177" t="s">
        <v>238</v>
      </c>
      <c r="JM14" s="177" t="s">
        <v>1527</v>
      </c>
      <c r="JN14" s="466" t="s">
        <v>1528</v>
      </c>
      <c r="JO14" s="466" t="s">
        <v>1529</v>
      </c>
      <c r="JP14" s="177" t="s">
        <v>1530</v>
      </c>
      <c r="JQ14" s="177" t="s">
        <v>1531</v>
      </c>
      <c r="JR14" s="177" t="s">
        <v>1532</v>
      </c>
      <c r="JS14" s="177" t="s">
        <v>1533</v>
      </c>
      <c r="JT14" s="177" t="s">
        <v>1534</v>
      </c>
      <c r="JU14" s="177" t="s">
        <v>1535</v>
      </c>
      <c r="JV14" s="177" t="s">
        <v>1536</v>
      </c>
      <c r="JW14" s="177" t="s">
        <v>1537</v>
      </c>
      <c r="JX14" s="177" t="s">
        <v>1538</v>
      </c>
      <c r="JY14" s="177" t="s">
        <v>1539</v>
      </c>
      <c r="JZ14" s="177" t="s">
        <v>1540</v>
      </c>
      <c r="KA14" s="177" t="s">
        <v>1541</v>
      </c>
      <c r="KB14" s="177" t="s">
        <v>1542</v>
      </c>
      <c r="KC14" s="177"/>
      <c r="KD14" s="177"/>
      <c r="KE14" s="177" t="s">
        <v>159</v>
      </c>
      <c r="KF14" s="177" t="s">
        <v>444</v>
      </c>
      <c r="KG14" s="177" t="s">
        <v>443</v>
      </c>
      <c r="KH14" s="177" t="s">
        <v>62</v>
      </c>
      <c r="KI14" s="177"/>
      <c r="KJ14" s="177"/>
      <c r="KK14" s="177" t="s">
        <v>346</v>
      </c>
      <c r="KL14" s="177" t="s">
        <v>312</v>
      </c>
      <c r="KM14" s="177" t="s">
        <v>150</v>
      </c>
      <c r="KN14" s="177" t="s">
        <v>2175</v>
      </c>
      <c r="KO14" s="177" t="s">
        <v>2176</v>
      </c>
      <c r="KP14" s="177" t="s">
        <v>2177</v>
      </c>
      <c r="KQ14" s="177" t="s">
        <v>541</v>
      </c>
      <c r="KR14" s="177" t="s">
        <v>151</v>
      </c>
      <c r="KS14" s="177" t="s">
        <v>878</v>
      </c>
      <c r="KT14" s="177"/>
      <c r="KU14" s="177" t="s">
        <v>877</v>
      </c>
      <c r="KV14" s="177"/>
      <c r="KW14" s="177" t="s">
        <v>876</v>
      </c>
      <c r="KX14" s="177"/>
      <c r="KY14" s="177" t="s">
        <v>153</v>
      </c>
      <c r="KZ14" s="177"/>
      <c r="LA14" s="177" t="s">
        <v>302</v>
      </c>
      <c r="LB14" s="177"/>
      <c r="LC14" s="177"/>
      <c r="LD14" s="177" t="s">
        <v>305</v>
      </c>
      <c r="LE14" s="177" t="s">
        <v>311</v>
      </c>
      <c r="LF14" s="177" t="s">
        <v>1543</v>
      </c>
      <c r="LG14" s="177"/>
      <c r="LH14" s="177"/>
      <c r="LI14" s="177" t="s">
        <v>303</v>
      </c>
      <c r="LJ14" s="177" t="s">
        <v>304</v>
      </c>
      <c r="LK14" s="177"/>
      <c r="LL14" s="177" t="s">
        <v>154</v>
      </c>
      <c r="LM14" s="177"/>
      <c r="LN14" s="180" t="s">
        <v>330</v>
      </c>
      <c r="LO14" s="180" t="s">
        <v>1544</v>
      </c>
      <c r="LP14" s="180" t="s">
        <v>1545</v>
      </c>
      <c r="LQ14" s="180" t="s">
        <v>1546</v>
      </c>
      <c r="LR14" s="180" t="s">
        <v>1547</v>
      </c>
      <c r="LS14" s="180" t="s">
        <v>1548</v>
      </c>
      <c r="LT14" s="180" t="s">
        <v>1549</v>
      </c>
      <c r="LU14" s="180" t="s">
        <v>1550</v>
      </c>
      <c r="LV14" s="180"/>
      <c r="LW14" s="180"/>
      <c r="LX14" s="180"/>
      <c r="LY14" s="180"/>
      <c r="LZ14" s="180"/>
      <c r="MA14" s="180" t="s">
        <v>1551</v>
      </c>
      <c r="MB14" s="180" t="s">
        <v>1552</v>
      </c>
      <c r="MC14" s="180" t="s">
        <v>1553</v>
      </c>
      <c r="MD14" s="180" t="s">
        <v>1554</v>
      </c>
      <c r="ME14" s="180"/>
      <c r="MF14" s="180" t="s">
        <v>1555</v>
      </c>
      <c r="MG14" s="180" t="s">
        <v>1556</v>
      </c>
      <c r="MH14" s="180" t="s">
        <v>1557</v>
      </c>
      <c r="MI14" s="180" t="s">
        <v>1558</v>
      </c>
      <c r="MJ14" s="177" t="s">
        <v>98</v>
      </c>
      <c r="MK14" s="177" t="s">
        <v>99</v>
      </c>
      <c r="ML14" s="177" t="s">
        <v>332</v>
      </c>
      <c r="MM14" s="177" t="s">
        <v>1559</v>
      </c>
      <c r="MN14" s="177" t="s">
        <v>718</v>
      </c>
      <c r="MO14" s="177" t="s">
        <v>1151</v>
      </c>
      <c r="MP14" s="177" t="s">
        <v>1156</v>
      </c>
      <c r="MQ14" s="177" t="s">
        <v>2178</v>
      </c>
      <c r="MR14" s="177" t="s">
        <v>2179</v>
      </c>
      <c r="MS14" s="177" t="s">
        <v>1073</v>
      </c>
      <c r="MT14" s="177" t="s">
        <v>1260</v>
      </c>
      <c r="MU14" s="177" t="s">
        <v>899</v>
      </c>
      <c r="MV14" s="177" t="s">
        <v>1011</v>
      </c>
      <c r="MW14" s="177" t="s">
        <v>1006</v>
      </c>
      <c r="MX14" s="177" t="s">
        <v>1157</v>
      </c>
      <c r="MY14" s="177" t="s">
        <v>1007</v>
      </c>
      <c r="MZ14" s="177" t="s">
        <v>1158</v>
      </c>
      <c r="NA14" s="177" t="s">
        <v>1008</v>
      </c>
      <c r="NB14" s="177" t="s">
        <v>714</v>
      </c>
      <c r="NC14" s="177" t="s">
        <v>1078</v>
      </c>
      <c r="ND14" s="177" t="s">
        <v>1079</v>
      </c>
      <c r="NE14" s="177" t="s">
        <v>926</v>
      </c>
      <c r="NF14" s="177" t="s">
        <v>94</v>
      </c>
      <c r="NG14" s="177"/>
      <c r="NH14" s="177" t="s">
        <v>734</v>
      </c>
      <c r="NI14" s="177" t="s">
        <v>884</v>
      </c>
      <c r="NJ14" s="177" t="s">
        <v>91</v>
      </c>
      <c r="NK14" s="177" t="s">
        <v>1720</v>
      </c>
      <c r="NL14" s="177" t="s">
        <v>1685</v>
      </c>
      <c r="NM14" s="177" t="s">
        <v>742</v>
      </c>
      <c r="NN14" s="177" t="s">
        <v>1080</v>
      </c>
      <c r="NO14" s="177" t="s">
        <v>743</v>
      </c>
      <c r="NP14" s="177" t="s">
        <v>92</v>
      </c>
      <c r="NQ14" s="177" t="s">
        <v>1560</v>
      </c>
      <c r="NR14" s="177"/>
      <c r="NS14" s="177" t="s">
        <v>745</v>
      </c>
      <c r="NT14" s="177" t="s">
        <v>746</v>
      </c>
      <c r="NU14" s="177" t="s">
        <v>1561</v>
      </c>
      <c r="NV14" s="177" t="s">
        <v>1562</v>
      </c>
      <c r="NW14" s="177" t="s">
        <v>749</v>
      </c>
      <c r="NX14" s="177" t="s">
        <v>1081</v>
      </c>
      <c r="NY14" s="177" t="s">
        <v>750</v>
      </c>
      <c r="NZ14" s="177" t="s">
        <v>862</v>
      </c>
      <c r="OA14" s="177" t="s">
        <v>753</v>
      </c>
      <c r="OB14" s="181" t="s">
        <v>863</v>
      </c>
      <c r="OC14" s="181"/>
      <c r="OD14" s="181" t="s">
        <v>853</v>
      </c>
      <c r="OE14" s="181" t="s">
        <v>854</v>
      </c>
      <c r="OF14" s="181" t="s">
        <v>855</v>
      </c>
      <c r="OG14" s="181" t="s">
        <v>861</v>
      </c>
      <c r="OH14" s="181" t="s">
        <v>856</v>
      </c>
      <c r="OI14" s="177" t="s">
        <v>858</v>
      </c>
      <c r="OJ14" s="177"/>
      <c r="OK14" s="177" t="s">
        <v>1563</v>
      </c>
      <c r="OL14" s="177" t="s">
        <v>1564</v>
      </c>
      <c r="OM14" s="177" t="s">
        <v>1565</v>
      </c>
      <c r="ON14" s="177" t="s">
        <v>1566</v>
      </c>
      <c r="OO14" s="177" t="s">
        <v>1567</v>
      </c>
      <c r="OP14" s="177"/>
      <c r="OQ14" s="177"/>
      <c r="OR14" s="177"/>
      <c r="OS14" s="177"/>
      <c r="OT14" s="177"/>
      <c r="OU14" s="177"/>
      <c r="OV14" s="177" t="s">
        <v>1568</v>
      </c>
      <c r="OW14" s="177" t="s">
        <v>1569</v>
      </c>
      <c r="OX14" s="177" t="s">
        <v>752</v>
      </c>
      <c r="OY14" s="177" t="s">
        <v>906</v>
      </c>
      <c r="OZ14" s="177" t="s">
        <v>907</v>
      </c>
      <c r="PA14" s="177" t="s">
        <v>908</v>
      </c>
      <c r="PB14" s="177" t="s">
        <v>909</v>
      </c>
      <c r="PC14" s="177" t="s">
        <v>918</v>
      </c>
      <c r="PD14" s="177" t="s">
        <v>922</v>
      </c>
      <c r="PE14" s="177" t="s">
        <v>923</v>
      </c>
      <c r="PF14" s="177" t="s">
        <v>925</v>
      </c>
      <c r="PG14" s="177" t="s">
        <v>1721</v>
      </c>
      <c r="PH14" s="177" t="s">
        <v>1722</v>
      </c>
      <c r="PI14" s="177" t="s">
        <v>852</v>
      </c>
      <c r="PJ14" s="177" t="s">
        <v>756</v>
      </c>
      <c r="PK14" s="177" t="s">
        <v>757</v>
      </c>
      <c r="PL14" s="177" t="s">
        <v>760</v>
      </c>
      <c r="PM14" s="177" t="s">
        <v>927</v>
      </c>
      <c r="PN14" s="177" t="s">
        <v>2180</v>
      </c>
      <c r="PO14" s="177" t="s">
        <v>2181</v>
      </c>
      <c r="PP14" s="177" t="s">
        <v>2182</v>
      </c>
      <c r="PQ14" s="177"/>
      <c r="PR14" s="177" t="s">
        <v>1570</v>
      </c>
      <c r="PS14" s="177" t="s">
        <v>788</v>
      </c>
      <c r="PT14" s="177" t="s">
        <v>789</v>
      </c>
      <c r="PU14" s="177" t="s">
        <v>1571</v>
      </c>
      <c r="PV14" s="177" t="s">
        <v>1572</v>
      </c>
      <c r="PW14" s="177" t="s">
        <v>790</v>
      </c>
      <c r="PX14" s="177" t="s">
        <v>1135</v>
      </c>
      <c r="PY14" s="177" t="s">
        <v>1723</v>
      </c>
      <c r="PZ14" s="177" t="s">
        <v>1686</v>
      </c>
      <c r="QA14" s="177" t="s">
        <v>1724</v>
      </c>
      <c r="QB14" s="177" t="s">
        <v>1725</v>
      </c>
      <c r="QC14" s="177" t="s">
        <v>1726</v>
      </c>
      <c r="QD14" s="177" t="s">
        <v>1727</v>
      </c>
      <c r="QE14" s="177" t="s">
        <v>791</v>
      </c>
      <c r="QF14" s="177" t="s">
        <v>1573</v>
      </c>
      <c r="QG14" s="177"/>
      <c r="QH14" s="177" t="s">
        <v>82</v>
      </c>
      <c r="QI14" s="177" t="s">
        <v>81</v>
      </c>
      <c r="QJ14" s="177" t="s">
        <v>2183</v>
      </c>
      <c r="QK14" s="177" t="s">
        <v>2184</v>
      </c>
      <c r="QL14" s="177" t="s">
        <v>2185</v>
      </c>
      <c r="QM14" s="177" t="s">
        <v>1574</v>
      </c>
      <c r="QN14" s="177" t="s">
        <v>228</v>
      </c>
      <c r="QO14" s="177" t="s">
        <v>226</v>
      </c>
      <c r="QP14" s="177" t="s">
        <v>337</v>
      </c>
      <c r="QQ14" s="177" t="s">
        <v>456</v>
      </c>
      <c r="QR14" s="177" t="s">
        <v>1575</v>
      </c>
      <c r="QS14" s="177" t="s">
        <v>1576</v>
      </c>
      <c r="QT14" s="177" t="s">
        <v>1577</v>
      </c>
      <c r="QU14" s="177" t="s">
        <v>1578</v>
      </c>
      <c r="QV14" s="177" t="s">
        <v>333</v>
      </c>
      <c r="QW14" s="177" t="s">
        <v>334</v>
      </c>
      <c r="QX14" s="177" t="s">
        <v>1728</v>
      </c>
      <c r="QY14" s="177" t="s">
        <v>1729</v>
      </c>
      <c r="QZ14" s="177" t="s">
        <v>1730</v>
      </c>
      <c r="RA14" s="177"/>
      <c r="RB14" s="177"/>
      <c r="RC14" s="177"/>
      <c r="RD14" s="177"/>
      <c r="RE14" s="177" t="s">
        <v>1579</v>
      </c>
      <c r="RF14" s="177" t="s">
        <v>1580</v>
      </c>
      <c r="RG14" s="177" t="s">
        <v>840</v>
      </c>
      <c r="RH14" s="177" t="s">
        <v>1082</v>
      </c>
      <c r="RI14" s="177" t="s">
        <v>2186</v>
      </c>
      <c r="RJ14" s="177" t="s">
        <v>2187</v>
      </c>
      <c r="RK14" s="177" t="s">
        <v>2188</v>
      </c>
      <c r="RL14" s="177"/>
      <c r="RM14" s="177" t="s">
        <v>1581</v>
      </c>
      <c r="RN14" s="177" t="s">
        <v>1048</v>
      </c>
      <c r="RO14" s="177"/>
      <c r="RP14" s="177" t="s">
        <v>699</v>
      </c>
      <c r="RQ14" s="177" t="s">
        <v>700</v>
      </c>
      <c r="RR14" s="177"/>
      <c r="RS14" s="177"/>
      <c r="RT14" s="177"/>
      <c r="RU14" s="177"/>
      <c r="RV14" s="177" t="s">
        <v>841</v>
      </c>
      <c r="RW14" s="177" t="s">
        <v>842</v>
      </c>
      <c r="RX14" s="177" t="s">
        <v>1262</v>
      </c>
      <c r="RY14" s="468" t="s">
        <v>1074</v>
      </c>
      <c r="RZ14" s="468" t="s">
        <v>1584</v>
      </c>
      <c r="SA14" s="468" t="s">
        <v>689</v>
      </c>
      <c r="SB14" s="468" t="s">
        <v>1731</v>
      </c>
      <c r="SC14" s="468" t="s">
        <v>1732</v>
      </c>
      <c r="SD14" s="177" t="s">
        <v>78</v>
      </c>
      <c r="SE14" s="177"/>
      <c r="SF14" s="177" t="s">
        <v>2189</v>
      </c>
      <c r="SG14" s="177" t="s">
        <v>2190</v>
      </c>
      <c r="SH14" s="177" t="s">
        <v>2191</v>
      </c>
      <c r="SI14" s="177"/>
      <c r="SJ14" s="177" t="s">
        <v>553</v>
      </c>
      <c r="SK14" s="177" t="s">
        <v>552</v>
      </c>
      <c r="SL14" s="177"/>
      <c r="SM14" s="177" t="s">
        <v>551</v>
      </c>
      <c r="SN14" s="177" t="s">
        <v>550</v>
      </c>
      <c r="SO14" s="177" t="s">
        <v>50</v>
      </c>
      <c r="SP14" s="177" t="s">
        <v>357</v>
      </c>
      <c r="SQ14" s="177" t="s">
        <v>2192</v>
      </c>
      <c r="SR14" s="177" t="s">
        <v>2193</v>
      </c>
      <c r="SS14" s="177" t="s">
        <v>2194</v>
      </c>
      <c r="ST14" s="177" t="s">
        <v>125</v>
      </c>
      <c r="SU14" s="177" t="s">
        <v>1589</v>
      </c>
      <c r="SV14" s="177" t="s">
        <v>574</v>
      </c>
      <c r="SW14" s="177" t="s">
        <v>1791</v>
      </c>
      <c r="SX14" s="177" t="s">
        <v>1792</v>
      </c>
      <c r="SY14" s="177" t="s">
        <v>1793</v>
      </c>
      <c r="SZ14" s="177" t="s">
        <v>348</v>
      </c>
      <c r="TA14" s="177" t="s">
        <v>349</v>
      </c>
      <c r="TB14" s="177"/>
      <c r="TC14" s="177"/>
      <c r="TD14" s="177" t="s">
        <v>111</v>
      </c>
      <c r="TE14" s="177"/>
      <c r="TF14" s="177" t="s">
        <v>575</v>
      </c>
      <c r="TG14" s="177" t="s">
        <v>350</v>
      </c>
      <c r="TH14" s="177" t="s">
        <v>351</v>
      </c>
      <c r="TI14" s="177" t="s">
        <v>145</v>
      </c>
      <c r="TJ14" s="177"/>
      <c r="TK14" s="177"/>
      <c r="TL14" s="177"/>
      <c r="TM14" s="177"/>
      <c r="TN14" s="177" t="s">
        <v>198</v>
      </c>
      <c r="TO14" s="177" t="s">
        <v>146</v>
      </c>
      <c r="TP14" s="177" t="s">
        <v>147</v>
      </c>
      <c r="TQ14" s="179" t="s">
        <v>100</v>
      </c>
      <c r="TR14" s="179" t="s">
        <v>1592</v>
      </c>
      <c r="TS14" s="179" t="s">
        <v>2198</v>
      </c>
      <c r="TT14" s="179" t="s">
        <v>2199</v>
      </c>
      <c r="TU14" s="179" t="s">
        <v>2200</v>
      </c>
      <c r="TV14" s="179" t="s">
        <v>235</v>
      </c>
      <c r="TW14" s="177" t="s">
        <v>51</v>
      </c>
      <c r="TX14" s="177" t="s">
        <v>353</v>
      </c>
      <c r="TY14" s="177" t="s">
        <v>354</v>
      </c>
      <c r="TZ14" s="177" t="s">
        <v>719</v>
      </c>
      <c r="UA14" s="177" t="s">
        <v>2195</v>
      </c>
      <c r="UB14" s="177" t="s">
        <v>2196</v>
      </c>
      <c r="UC14" s="177" t="s">
        <v>2197</v>
      </c>
      <c r="UD14" s="177" t="s">
        <v>152</v>
      </c>
      <c r="UE14" s="177"/>
      <c r="UF14" s="177" t="s">
        <v>931</v>
      </c>
      <c r="UG14" s="177" t="s">
        <v>928</v>
      </c>
      <c r="UH14" s="177"/>
      <c r="UI14" s="177" t="s">
        <v>199</v>
      </c>
      <c r="UJ14" s="177"/>
      <c r="UK14" s="177" t="s">
        <v>629</v>
      </c>
      <c r="UL14" s="177"/>
      <c r="UM14" s="177"/>
      <c r="UN14" s="177" t="s">
        <v>202</v>
      </c>
      <c r="UO14" s="177" t="s">
        <v>203</v>
      </c>
      <c r="UP14" s="177" t="s">
        <v>451</v>
      </c>
      <c r="UQ14" s="177" t="s">
        <v>200</v>
      </c>
      <c r="UR14" s="177" t="s">
        <v>201</v>
      </c>
      <c r="US14" s="177"/>
      <c r="UT14" s="177" t="s">
        <v>355</v>
      </c>
      <c r="UU14" s="177"/>
      <c r="UV14" s="177" t="s">
        <v>52</v>
      </c>
      <c r="UW14" s="177" t="s">
        <v>53</v>
      </c>
      <c r="UX14" s="177" t="s">
        <v>123</v>
      </c>
      <c r="UY14" s="177" t="s">
        <v>124</v>
      </c>
      <c r="UZ14" s="177" t="s">
        <v>54</v>
      </c>
      <c r="VA14" s="177" t="s">
        <v>55</v>
      </c>
      <c r="VB14" s="177" t="s">
        <v>452</v>
      </c>
      <c r="VC14" s="177" t="s">
        <v>116</v>
      </c>
      <c r="VD14" s="177" t="s">
        <v>83</v>
      </c>
      <c r="VE14" s="177" t="s">
        <v>84</v>
      </c>
      <c r="VF14" s="177" t="s">
        <v>85</v>
      </c>
      <c r="VG14" s="177" t="s">
        <v>86</v>
      </c>
      <c r="VH14" s="177"/>
      <c r="VI14" s="177"/>
      <c r="VJ14" s="177" t="s">
        <v>250</v>
      </c>
      <c r="VK14" s="177"/>
      <c r="VL14" s="177"/>
      <c r="VM14" s="177"/>
      <c r="VN14" s="177"/>
      <c r="VO14" s="177"/>
      <c r="VP14" s="177"/>
      <c r="VQ14" s="177"/>
      <c r="VR14" s="177"/>
      <c r="VS14" s="177" t="s">
        <v>87</v>
      </c>
      <c r="VT14" s="177" t="s">
        <v>88</v>
      </c>
      <c r="VU14" s="177" t="s">
        <v>89</v>
      </c>
      <c r="VV14" s="177" t="s">
        <v>90</v>
      </c>
      <c r="VW14" s="177" t="s">
        <v>583</v>
      </c>
      <c r="VX14" s="177" t="s">
        <v>358</v>
      </c>
      <c r="VY14" s="177"/>
      <c r="VZ14" s="177" t="s">
        <v>1804</v>
      </c>
      <c r="WA14" s="177"/>
      <c r="WB14" s="177"/>
      <c r="WC14" s="177"/>
      <c r="WD14" s="177"/>
      <c r="WE14" s="177"/>
      <c r="WF14" s="177" t="s">
        <v>300</v>
      </c>
      <c r="WG14" s="177"/>
      <c r="WH14" s="177" t="s">
        <v>703</v>
      </c>
      <c r="WI14" s="177"/>
      <c r="WJ14" s="177" t="s">
        <v>705</v>
      </c>
      <c r="WK14" s="177" t="s">
        <v>298</v>
      </c>
      <c r="WL14" s="180"/>
      <c r="WM14" s="177" t="s">
        <v>296</v>
      </c>
      <c r="WN14" s="177" t="s">
        <v>297</v>
      </c>
      <c r="WO14" s="177" t="s">
        <v>299</v>
      </c>
      <c r="WP14" s="177" t="s">
        <v>1799</v>
      </c>
      <c r="WQ14" s="177"/>
      <c r="WR14" s="177" t="s">
        <v>1121</v>
      </c>
      <c r="WS14" s="177" t="s">
        <v>1733</v>
      </c>
      <c r="WT14" s="177"/>
      <c r="WU14" s="177"/>
      <c r="WV14" s="177"/>
      <c r="WW14" s="177"/>
      <c r="WX14" s="177"/>
      <c r="WY14" s="177"/>
      <c r="WZ14" s="177"/>
      <c r="XA14" s="177"/>
      <c r="XB14" s="177"/>
      <c r="XC14" s="177"/>
      <c r="XD14" s="177" t="s">
        <v>114</v>
      </c>
      <c r="XE14" s="177" t="s">
        <v>1734</v>
      </c>
      <c r="XF14" s="177" t="s">
        <v>361</v>
      </c>
      <c r="XG14" s="177" t="s">
        <v>362</v>
      </c>
      <c r="XH14" s="177" t="s">
        <v>363</v>
      </c>
      <c r="XI14" s="177" t="s">
        <v>364</v>
      </c>
      <c r="XJ14" s="177" t="s">
        <v>365</v>
      </c>
      <c r="XK14" s="177" t="s">
        <v>366</v>
      </c>
      <c r="XL14" s="177" t="s">
        <v>359</v>
      </c>
      <c r="XM14" s="177" t="s">
        <v>76</v>
      </c>
      <c r="XN14" s="177" t="s">
        <v>45</v>
      </c>
      <c r="XO14" s="177" t="s">
        <v>360</v>
      </c>
      <c r="XP14" s="177" t="s">
        <v>1777</v>
      </c>
      <c r="XQ14" s="177" t="s">
        <v>204</v>
      </c>
      <c r="XR14" s="177" t="s">
        <v>205</v>
      </c>
      <c r="XS14" s="177" t="s">
        <v>802</v>
      </c>
      <c r="XT14" s="177" t="s">
        <v>801</v>
      </c>
      <c r="XU14" s="177" t="s">
        <v>1100</v>
      </c>
      <c r="XV14" s="177"/>
      <c r="XW14" s="177" t="s">
        <v>800</v>
      </c>
      <c r="XX14" s="177" t="s">
        <v>1102</v>
      </c>
      <c r="XY14" s="177" t="s">
        <v>1103</v>
      </c>
      <c r="XZ14" s="177" t="s">
        <v>1104</v>
      </c>
      <c r="YA14" s="177" t="s">
        <v>1101</v>
      </c>
      <c r="YB14" s="177" t="s">
        <v>1105</v>
      </c>
      <c r="YC14" s="177" t="s">
        <v>803</v>
      </c>
      <c r="YD14" s="177" t="s">
        <v>1106</v>
      </c>
      <c r="YE14" s="177" t="s">
        <v>1107</v>
      </c>
      <c r="YF14" s="177" t="s">
        <v>804</v>
      </c>
      <c r="YG14" s="177" t="s">
        <v>805</v>
      </c>
      <c r="YH14" s="177"/>
      <c r="YI14" s="177"/>
      <c r="YJ14" s="177" t="s">
        <v>806</v>
      </c>
      <c r="YK14" s="177" t="s">
        <v>1818</v>
      </c>
      <c r="YL14" s="177" t="s">
        <v>807</v>
      </c>
      <c r="YM14" s="178"/>
      <c r="YN14" s="178"/>
      <c r="YO14" s="177" t="s">
        <v>2315</v>
      </c>
      <c r="YP14" s="177"/>
      <c r="YQ14" s="177"/>
      <c r="YR14" s="177" t="s">
        <v>2791</v>
      </c>
      <c r="YS14" s="177" t="s">
        <v>2786</v>
      </c>
      <c r="YT14" s="178" t="s">
        <v>2785</v>
      </c>
    </row>
    <row r="15" spans="1:670" s="94" customFormat="1" x14ac:dyDescent="0.2">
      <c r="A15" s="113" t="s">
        <v>486</v>
      </c>
      <c r="B15" s="49" t="s">
        <v>13</v>
      </c>
      <c r="C15" s="49" t="s">
        <v>13</v>
      </c>
      <c r="D15" s="49" t="s">
        <v>13</v>
      </c>
      <c r="E15" s="49" t="s">
        <v>13</v>
      </c>
      <c r="F15" s="49" t="s">
        <v>59</v>
      </c>
      <c r="G15" s="49" t="s">
        <v>59</v>
      </c>
      <c r="H15" s="49" t="s">
        <v>13</v>
      </c>
      <c r="I15" s="49" t="s">
        <v>13</v>
      </c>
      <c r="J15" s="49" t="s">
        <v>13</v>
      </c>
      <c r="K15" s="49" t="s">
        <v>13</v>
      </c>
      <c r="L15" s="49" t="s">
        <v>59</v>
      </c>
      <c r="M15" s="49" t="s">
        <v>13</v>
      </c>
      <c r="N15" s="49" t="s">
        <v>13</v>
      </c>
      <c r="O15" s="49" t="s">
        <v>13</v>
      </c>
      <c r="P15" s="49" t="s">
        <v>13</v>
      </c>
      <c r="Q15" s="49" t="s">
        <v>13</v>
      </c>
      <c r="R15" s="49" t="s">
        <v>13</v>
      </c>
      <c r="S15" s="49" t="s">
        <v>13</v>
      </c>
      <c r="T15" s="49" t="s">
        <v>13</v>
      </c>
      <c r="U15" s="49" t="s">
        <v>13</v>
      </c>
      <c r="V15" s="49" t="s">
        <v>13</v>
      </c>
      <c r="W15" s="49" t="s">
        <v>13</v>
      </c>
      <c r="X15" s="49" t="s">
        <v>13</v>
      </c>
      <c r="Y15" s="49" t="s">
        <v>13</v>
      </c>
      <c r="Z15" s="49" t="s">
        <v>13</v>
      </c>
      <c r="AA15" s="49" t="s">
        <v>13</v>
      </c>
      <c r="AB15" s="49" t="s">
        <v>13</v>
      </c>
      <c r="AC15" s="49" t="s">
        <v>59</v>
      </c>
      <c r="AD15" s="49" t="s">
        <v>13</v>
      </c>
      <c r="AE15" s="49" t="s">
        <v>13</v>
      </c>
      <c r="AF15" s="49" t="s">
        <v>13</v>
      </c>
      <c r="AG15" s="49" t="s">
        <v>13</v>
      </c>
      <c r="AH15" s="49" t="s">
        <v>13</v>
      </c>
      <c r="AI15" s="49" t="s">
        <v>13</v>
      </c>
      <c r="AJ15" s="49" t="s">
        <v>13</v>
      </c>
      <c r="AK15" s="49" t="s">
        <v>13</v>
      </c>
      <c r="AL15" s="49" t="s">
        <v>13</v>
      </c>
      <c r="AM15" s="49" t="s">
        <v>13</v>
      </c>
      <c r="AN15" s="49" t="s">
        <v>13</v>
      </c>
      <c r="AO15" s="49" t="s">
        <v>13</v>
      </c>
      <c r="AP15" s="49" t="s">
        <v>13</v>
      </c>
      <c r="AQ15" s="49" t="s">
        <v>13</v>
      </c>
      <c r="AR15" s="49" t="s">
        <v>13</v>
      </c>
      <c r="AS15" s="49" t="s">
        <v>13</v>
      </c>
      <c r="AT15" s="49" t="s">
        <v>13</v>
      </c>
      <c r="AU15" s="49"/>
      <c r="AV15" s="49"/>
      <c r="AW15" s="49"/>
      <c r="AX15" s="49"/>
      <c r="AY15" s="49"/>
      <c r="AZ15" s="49"/>
      <c r="BA15" s="49"/>
      <c r="BB15" s="49"/>
      <c r="BC15" s="49"/>
      <c r="BD15" s="49"/>
      <c r="BE15" s="49"/>
      <c r="BF15" s="49"/>
      <c r="BG15" s="49"/>
      <c r="BH15" s="49"/>
      <c r="BI15" s="49" t="s">
        <v>13</v>
      </c>
      <c r="BJ15" s="49" t="s">
        <v>13</v>
      </c>
      <c r="BK15" s="49" t="s">
        <v>13</v>
      </c>
      <c r="BL15" s="49" t="s">
        <v>59</v>
      </c>
      <c r="BM15" s="49" t="s">
        <v>59</v>
      </c>
      <c r="BN15" s="49" t="s">
        <v>59</v>
      </c>
      <c r="BO15" s="49" t="s">
        <v>13</v>
      </c>
      <c r="BP15" s="49" t="s">
        <v>59</v>
      </c>
      <c r="BQ15" s="49" t="s">
        <v>59</v>
      </c>
      <c r="BR15" s="49" t="s">
        <v>13</v>
      </c>
      <c r="BS15" s="49" t="s">
        <v>13</v>
      </c>
      <c r="BT15" s="49" t="s">
        <v>59</v>
      </c>
      <c r="BU15" s="49" t="s">
        <v>59</v>
      </c>
      <c r="BV15" s="49" t="s">
        <v>13</v>
      </c>
      <c r="BW15" s="49" t="s">
        <v>13</v>
      </c>
      <c r="BX15" s="49" t="s">
        <v>13</v>
      </c>
      <c r="BY15" s="49"/>
      <c r="BZ15" s="49" t="s">
        <v>13</v>
      </c>
      <c r="CA15" s="49" t="s">
        <v>59</v>
      </c>
      <c r="CB15" s="49" t="s">
        <v>59</v>
      </c>
      <c r="CC15" s="49" t="s">
        <v>59</v>
      </c>
      <c r="CD15" s="49" t="s">
        <v>13</v>
      </c>
      <c r="CE15" s="49" t="s">
        <v>59</v>
      </c>
      <c r="CF15" s="49" t="s">
        <v>13</v>
      </c>
      <c r="CG15" s="49" t="s">
        <v>13</v>
      </c>
      <c r="CH15" s="49" t="s">
        <v>13</v>
      </c>
      <c r="CI15" s="49" t="s">
        <v>59</v>
      </c>
      <c r="CJ15" s="49" t="s">
        <v>13</v>
      </c>
      <c r="CK15" s="49" t="s">
        <v>13</v>
      </c>
      <c r="CL15" s="49" t="s">
        <v>13</v>
      </c>
      <c r="CM15" s="49"/>
      <c r="CN15" s="49" t="s">
        <v>13</v>
      </c>
      <c r="CO15" s="49" t="s">
        <v>59</v>
      </c>
      <c r="CP15" s="49" t="s">
        <v>59</v>
      </c>
      <c r="CQ15" s="49" t="s">
        <v>13</v>
      </c>
      <c r="CR15" s="49" t="s">
        <v>59</v>
      </c>
      <c r="CS15" s="49" t="s">
        <v>13</v>
      </c>
      <c r="CT15" s="49" t="s">
        <v>13</v>
      </c>
      <c r="CU15" s="49" t="s">
        <v>13</v>
      </c>
      <c r="CV15" s="49" t="s">
        <v>59</v>
      </c>
      <c r="CW15" s="122" t="s">
        <v>59</v>
      </c>
      <c r="CX15" s="49" t="s">
        <v>13</v>
      </c>
      <c r="CY15" s="49" t="s">
        <v>13</v>
      </c>
      <c r="CZ15" s="49" t="s">
        <v>13</v>
      </c>
      <c r="DA15" s="122"/>
      <c r="DB15" s="122"/>
      <c r="DC15" s="122"/>
      <c r="DD15" s="122" t="s">
        <v>13</v>
      </c>
      <c r="DE15" s="49" t="s">
        <v>59</v>
      </c>
      <c r="DF15" s="49" t="s">
        <v>59</v>
      </c>
      <c r="DG15" s="49"/>
      <c r="DH15" s="49"/>
      <c r="DI15" s="49" t="s">
        <v>13</v>
      </c>
      <c r="DJ15" s="49" t="s">
        <v>59</v>
      </c>
      <c r="DK15" s="49" t="s">
        <v>59</v>
      </c>
      <c r="DL15" s="49" t="s">
        <v>59</v>
      </c>
      <c r="DM15" s="49" t="s">
        <v>13</v>
      </c>
      <c r="DN15" s="49" t="s">
        <v>13</v>
      </c>
      <c r="DO15" s="49" t="s">
        <v>13</v>
      </c>
      <c r="DP15" s="49" t="s">
        <v>13</v>
      </c>
      <c r="DQ15" s="49" t="s">
        <v>13</v>
      </c>
      <c r="DR15" s="49" t="s">
        <v>13</v>
      </c>
      <c r="DS15" s="49" t="s">
        <v>13</v>
      </c>
      <c r="DT15" s="93" t="s">
        <v>59</v>
      </c>
      <c r="DU15" s="93" t="s">
        <v>59</v>
      </c>
      <c r="DV15" s="93" t="s">
        <v>59</v>
      </c>
      <c r="DW15" s="49" t="s">
        <v>59</v>
      </c>
      <c r="DX15" s="49" t="s">
        <v>59</v>
      </c>
      <c r="DY15" s="49" t="s">
        <v>59</v>
      </c>
      <c r="DZ15" s="49" t="s">
        <v>59</v>
      </c>
      <c r="EA15" s="49" t="s">
        <v>59</v>
      </c>
      <c r="EB15" s="49" t="s">
        <v>59</v>
      </c>
      <c r="EC15" s="49" t="s">
        <v>59</v>
      </c>
      <c r="ED15" s="49" t="s">
        <v>59</v>
      </c>
      <c r="EE15" s="49" t="s">
        <v>59</v>
      </c>
      <c r="EF15" s="49" t="s">
        <v>13</v>
      </c>
      <c r="EG15" s="49" t="s">
        <v>13</v>
      </c>
      <c r="EH15" s="93" t="s">
        <v>59</v>
      </c>
      <c r="EI15" s="93" t="s">
        <v>59</v>
      </c>
      <c r="EJ15" s="93" t="s">
        <v>59</v>
      </c>
      <c r="EK15" s="93" t="s">
        <v>13</v>
      </c>
      <c r="EL15" s="49" t="s">
        <v>59</v>
      </c>
      <c r="EM15" s="93" t="s">
        <v>13</v>
      </c>
      <c r="EN15" s="93" t="s">
        <v>59</v>
      </c>
      <c r="EO15" s="93"/>
      <c r="EP15" s="93"/>
      <c r="EQ15" s="49"/>
      <c r="ER15" s="49"/>
      <c r="ES15" s="49"/>
      <c r="ET15" s="49"/>
      <c r="EU15" s="49" t="s">
        <v>13</v>
      </c>
      <c r="EV15" s="49"/>
      <c r="EW15" s="49" t="s">
        <v>13</v>
      </c>
      <c r="EX15" s="49" t="s">
        <v>59</v>
      </c>
      <c r="EY15" s="49" t="s">
        <v>59</v>
      </c>
      <c r="EZ15" s="49" t="s">
        <v>59</v>
      </c>
      <c r="FA15" s="49"/>
      <c r="FB15" s="49" t="s">
        <v>59</v>
      </c>
      <c r="FC15" s="49" t="s">
        <v>59</v>
      </c>
      <c r="FD15" s="49" t="s">
        <v>59</v>
      </c>
      <c r="FE15" s="49" t="s">
        <v>59</v>
      </c>
      <c r="FF15" s="49" t="s">
        <v>59</v>
      </c>
      <c r="FG15" s="94" t="s">
        <v>59</v>
      </c>
      <c r="FI15" s="94" t="s">
        <v>59</v>
      </c>
      <c r="FJ15" s="49" t="s">
        <v>59</v>
      </c>
      <c r="FK15" s="49"/>
      <c r="FL15" s="94" t="s">
        <v>59</v>
      </c>
      <c r="FN15" s="49" t="s">
        <v>59</v>
      </c>
      <c r="FO15" s="94" t="s">
        <v>13</v>
      </c>
      <c r="FP15" s="49"/>
      <c r="FQ15" s="49"/>
      <c r="FR15" s="49"/>
      <c r="FS15" s="49"/>
      <c r="FT15" s="49"/>
      <c r="FU15" s="49" t="s">
        <v>13</v>
      </c>
      <c r="FV15" s="49" t="s">
        <v>13</v>
      </c>
      <c r="FW15" s="49"/>
      <c r="FX15" s="94" t="s">
        <v>59</v>
      </c>
      <c r="FY15" s="94" t="s">
        <v>59</v>
      </c>
      <c r="GA15" s="94" t="s">
        <v>59</v>
      </c>
      <c r="GB15" s="94" t="s">
        <v>59</v>
      </c>
      <c r="GE15" s="94" t="s">
        <v>59</v>
      </c>
      <c r="GG15" s="94" t="s">
        <v>59</v>
      </c>
      <c r="GH15" s="94" t="s">
        <v>59</v>
      </c>
      <c r="GI15" s="49" t="s">
        <v>59</v>
      </c>
      <c r="GJ15" s="49" t="s">
        <v>59</v>
      </c>
      <c r="GK15" s="49" t="s">
        <v>59</v>
      </c>
      <c r="GL15" s="465" t="s">
        <v>59</v>
      </c>
      <c r="GM15" s="465" t="s">
        <v>59</v>
      </c>
      <c r="GN15" s="49" t="s">
        <v>59</v>
      </c>
      <c r="GO15" s="49" t="s">
        <v>59</v>
      </c>
      <c r="GP15" s="49" t="s">
        <v>13</v>
      </c>
      <c r="GQ15" s="122" t="s">
        <v>13</v>
      </c>
      <c r="GR15" s="49" t="s">
        <v>59</v>
      </c>
      <c r="GS15" s="49"/>
      <c r="GT15" s="49" t="s">
        <v>59</v>
      </c>
      <c r="GU15" s="49" t="s">
        <v>59</v>
      </c>
      <c r="GV15" s="49" t="s">
        <v>59</v>
      </c>
      <c r="GW15" s="49" t="s">
        <v>59</v>
      </c>
      <c r="GX15" s="49" t="s">
        <v>59</v>
      </c>
      <c r="GY15" s="123" t="s">
        <v>59</v>
      </c>
      <c r="GZ15" s="49"/>
      <c r="HA15" s="49" t="s">
        <v>20</v>
      </c>
      <c r="HB15" s="49"/>
      <c r="HC15" s="49" t="s">
        <v>59</v>
      </c>
      <c r="HD15" s="49" t="s">
        <v>59</v>
      </c>
      <c r="HE15" s="49" t="s">
        <v>59</v>
      </c>
      <c r="HF15" s="49" t="s">
        <v>59</v>
      </c>
      <c r="HG15" s="49" t="s">
        <v>59</v>
      </c>
      <c r="HH15" s="123" t="s">
        <v>59</v>
      </c>
      <c r="HI15" s="123" t="s">
        <v>59</v>
      </c>
      <c r="HJ15" s="94" t="s">
        <v>59</v>
      </c>
      <c r="HK15" s="123" t="s">
        <v>59</v>
      </c>
      <c r="HL15" s="123" t="s">
        <v>59</v>
      </c>
      <c r="HM15" s="123" t="s">
        <v>59</v>
      </c>
      <c r="HN15" s="94" t="s">
        <v>59</v>
      </c>
      <c r="HO15" s="94" t="s">
        <v>59</v>
      </c>
      <c r="HP15" s="123" t="s">
        <v>59</v>
      </c>
      <c r="HQ15" s="123" t="s">
        <v>59</v>
      </c>
      <c r="HR15" s="123" t="s">
        <v>59</v>
      </c>
      <c r="HS15" s="94" t="s">
        <v>59</v>
      </c>
      <c r="HT15" s="49" t="s">
        <v>13</v>
      </c>
      <c r="HU15" s="123" t="s">
        <v>59</v>
      </c>
      <c r="HV15" s="49" t="s">
        <v>59</v>
      </c>
      <c r="HW15" s="123" t="s">
        <v>59</v>
      </c>
      <c r="HX15" s="49" t="s">
        <v>59</v>
      </c>
      <c r="HY15" s="123" t="s">
        <v>59</v>
      </c>
      <c r="HZ15" s="49" t="s">
        <v>59</v>
      </c>
      <c r="IA15" s="49" t="s">
        <v>59</v>
      </c>
      <c r="IB15" s="49" t="s">
        <v>59</v>
      </c>
      <c r="IC15" s="49" t="s">
        <v>59</v>
      </c>
      <c r="ID15" s="49" t="s">
        <v>59</v>
      </c>
      <c r="IE15" s="49" t="s">
        <v>59</v>
      </c>
      <c r="IF15" s="49" t="s">
        <v>59</v>
      </c>
      <c r="IG15" s="49" t="s">
        <v>59</v>
      </c>
      <c r="IH15" s="122" t="s">
        <v>59</v>
      </c>
      <c r="II15" s="122"/>
      <c r="IJ15" s="122"/>
      <c r="IK15" s="465" t="s">
        <v>59</v>
      </c>
      <c r="IL15" s="465" t="s">
        <v>59</v>
      </c>
      <c r="IM15" s="465" t="s">
        <v>59</v>
      </c>
      <c r="IN15" s="465" t="s">
        <v>59</v>
      </c>
      <c r="IO15" s="465" t="s">
        <v>59</v>
      </c>
      <c r="IP15" s="465" t="s">
        <v>59</v>
      </c>
      <c r="IQ15" s="465" t="s">
        <v>59</v>
      </c>
      <c r="IR15" s="465" t="s">
        <v>59</v>
      </c>
      <c r="IS15" s="49" t="s">
        <v>59</v>
      </c>
      <c r="IT15" s="49" t="s">
        <v>59</v>
      </c>
      <c r="IU15" s="49" t="s">
        <v>59</v>
      </c>
      <c r="IV15" s="465" t="s">
        <v>59</v>
      </c>
      <c r="IW15" s="465" t="s">
        <v>59</v>
      </c>
      <c r="IX15" s="465" t="s">
        <v>59</v>
      </c>
      <c r="IY15" s="465" t="s">
        <v>59</v>
      </c>
      <c r="IZ15" s="465" t="s">
        <v>59</v>
      </c>
      <c r="JA15" s="465" t="s">
        <v>59</v>
      </c>
      <c r="JB15" s="465" t="s">
        <v>59</v>
      </c>
      <c r="JC15" s="465" t="s">
        <v>59</v>
      </c>
      <c r="JD15" s="465" t="s">
        <v>59</v>
      </c>
      <c r="JE15" s="465" t="s">
        <v>59</v>
      </c>
      <c r="JF15" s="465" t="s">
        <v>59</v>
      </c>
      <c r="JG15" s="465" t="s">
        <v>59</v>
      </c>
      <c r="JH15" s="465" t="s">
        <v>59</v>
      </c>
      <c r="JI15" s="465" t="s">
        <v>59</v>
      </c>
      <c r="JJ15" s="465" t="s">
        <v>59</v>
      </c>
      <c r="JK15" s="465" t="s">
        <v>59</v>
      </c>
      <c r="JL15" s="49" t="s">
        <v>59</v>
      </c>
      <c r="JM15" s="465" t="s">
        <v>59</v>
      </c>
      <c r="JN15" s="465" t="s">
        <v>59</v>
      </c>
      <c r="JO15" s="465" t="s">
        <v>59</v>
      </c>
      <c r="JP15" s="465" t="s">
        <v>59</v>
      </c>
      <c r="JQ15" s="465" t="s">
        <v>59</v>
      </c>
      <c r="JR15" s="465" t="s">
        <v>59</v>
      </c>
      <c r="JS15" s="465" t="s">
        <v>59</v>
      </c>
      <c r="JT15" s="465" t="s">
        <v>59</v>
      </c>
      <c r="JU15" s="465" t="s">
        <v>59</v>
      </c>
      <c r="JV15" s="465" t="s">
        <v>59</v>
      </c>
      <c r="JW15" s="465" t="s">
        <v>59</v>
      </c>
      <c r="JX15" s="465" t="s">
        <v>59</v>
      </c>
      <c r="JY15" s="465" t="s">
        <v>59</v>
      </c>
      <c r="JZ15" s="465" t="s">
        <v>59</v>
      </c>
      <c r="KA15" s="465" t="s">
        <v>59</v>
      </c>
      <c r="KB15" s="465" t="s">
        <v>59</v>
      </c>
      <c r="KC15" s="465" t="s">
        <v>59</v>
      </c>
      <c r="KD15" s="465" t="s">
        <v>59</v>
      </c>
      <c r="KE15" s="49" t="s">
        <v>59</v>
      </c>
      <c r="KF15" s="49" t="s">
        <v>59</v>
      </c>
      <c r="KG15" s="49" t="s">
        <v>59</v>
      </c>
      <c r="KH15" s="49" t="s">
        <v>59</v>
      </c>
      <c r="KI15" s="49" t="s">
        <v>59</v>
      </c>
      <c r="KJ15" s="49" t="s">
        <v>59</v>
      </c>
      <c r="KK15" s="49" t="s">
        <v>59</v>
      </c>
      <c r="KL15" s="49" t="s">
        <v>59</v>
      </c>
      <c r="KM15" s="49" t="s">
        <v>59</v>
      </c>
      <c r="KN15" s="49" t="s">
        <v>59</v>
      </c>
      <c r="KO15" s="49" t="s">
        <v>59</v>
      </c>
      <c r="KP15" s="49" t="s">
        <v>59</v>
      </c>
      <c r="KQ15" s="49" t="s">
        <v>59</v>
      </c>
      <c r="KR15" s="49" t="s">
        <v>59</v>
      </c>
      <c r="KS15" s="49" t="s">
        <v>59</v>
      </c>
      <c r="KT15" s="49" t="s">
        <v>59</v>
      </c>
      <c r="KU15" s="49" t="s">
        <v>59</v>
      </c>
      <c r="KV15" s="49" t="s">
        <v>59</v>
      </c>
      <c r="KW15" s="49" t="s">
        <v>59</v>
      </c>
      <c r="KX15" s="49" t="s">
        <v>59</v>
      </c>
      <c r="KY15" s="49" t="s">
        <v>59</v>
      </c>
      <c r="KZ15" s="49" t="s">
        <v>59</v>
      </c>
      <c r="LA15" s="49" t="s">
        <v>59</v>
      </c>
      <c r="LB15" s="49" t="s">
        <v>59</v>
      </c>
      <c r="LC15" s="49" t="s">
        <v>59</v>
      </c>
      <c r="LD15" s="49" t="s">
        <v>59</v>
      </c>
      <c r="LE15" s="49" t="s">
        <v>59</v>
      </c>
      <c r="LF15" s="49" t="s">
        <v>59</v>
      </c>
      <c r="LG15" s="49" t="s">
        <v>59</v>
      </c>
      <c r="LH15" s="49" t="s">
        <v>59</v>
      </c>
      <c r="LI15" s="49" t="s">
        <v>59</v>
      </c>
      <c r="LJ15" s="49" t="s">
        <v>59</v>
      </c>
      <c r="LK15" s="49" t="s">
        <v>59</v>
      </c>
      <c r="LL15" s="49" t="s">
        <v>59</v>
      </c>
      <c r="LM15" s="49" t="s">
        <v>59</v>
      </c>
      <c r="LN15" s="101" t="s">
        <v>13</v>
      </c>
      <c r="LO15" s="101" t="s">
        <v>20</v>
      </c>
      <c r="LP15" s="49" t="s">
        <v>59</v>
      </c>
      <c r="LQ15" s="49" t="s">
        <v>59</v>
      </c>
      <c r="LR15" s="49" t="s">
        <v>59</v>
      </c>
      <c r="LS15" s="49" t="s">
        <v>59</v>
      </c>
      <c r="LT15" s="49" t="s">
        <v>59</v>
      </c>
      <c r="LU15" s="49" t="s">
        <v>59</v>
      </c>
      <c r="LV15" s="49" t="s">
        <v>59</v>
      </c>
      <c r="LW15" s="49" t="s">
        <v>59</v>
      </c>
      <c r="LX15" s="49" t="s">
        <v>59</v>
      </c>
      <c r="LY15" s="49" t="s">
        <v>59</v>
      </c>
      <c r="LZ15" s="49" t="s">
        <v>59</v>
      </c>
      <c r="MA15" s="49" t="s">
        <v>59</v>
      </c>
      <c r="MB15" s="101" t="s">
        <v>20</v>
      </c>
      <c r="MC15" s="49" t="s">
        <v>59</v>
      </c>
      <c r="MD15" s="49" t="s">
        <v>59</v>
      </c>
      <c r="ME15" s="49" t="s">
        <v>59</v>
      </c>
      <c r="MF15" s="49" t="s">
        <v>59</v>
      </c>
      <c r="MG15" s="49" t="s">
        <v>20</v>
      </c>
      <c r="MH15" s="49" t="s">
        <v>59</v>
      </c>
      <c r="MI15" s="49" t="s">
        <v>59</v>
      </c>
      <c r="MJ15" s="49" t="s">
        <v>20</v>
      </c>
      <c r="MK15" s="49" t="s">
        <v>59</v>
      </c>
      <c r="ML15" s="49" t="s">
        <v>59</v>
      </c>
      <c r="MM15" s="49" t="s">
        <v>59</v>
      </c>
      <c r="MN15" s="49" t="s">
        <v>59</v>
      </c>
      <c r="MO15" s="49" t="s">
        <v>59</v>
      </c>
      <c r="MP15" s="49" t="s">
        <v>59</v>
      </c>
      <c r="MQ15" s="49" t="s">
        <v>59</v>
      </c>
      <c r="MR15" s="49" t="s">
        <v>59</v>
      </c>
      <c r="MS15" s="49" t="s">
        <v>59</v>
      </c>
      <c r="MT15" s="49" t="s">
        <v>59</v>
      </c>
      <c r="MU15" s="49" t="s">
        <v>59</v>
      </c>
      <c r="MV15" s="49" t="s">
        <v>59</v>
      </c>
      <c r="MW15" s="49" t="s">
        <v>59</v>
      </c>
      <c r="MX15" s="49" t="s">
        <v>20</v>
      </c>
      <c r="MY15" s="49" t="s">
        <v>59</v>
      </c>
      <c r="MZ15" s="49" t="s">
        <v>59</v>
      </c>
      <c r="NA15" s="49" t="s">
        <v>59</v>
      </c>
      <c r="NB15" s="49"/>
      <c r="NC15" s="49"/>
      <c r="ND15" s="49"/>
      <c r="NE15" s="49"/>
      <c r="NF15" s="49" t="s">
        <v>13</v>
      </c>
      <c r="NG15" s="49" t="s">
        <v>59</v>
      </c>
      <c r="NH15" s="49" t="s">
        <v>13</v>
      </c>
      <c r="NI15" s="49" t="s">
        <v>59</v>
      </c>
      <c r="NJ15" s="49" t="s">
        <v>13</v>
      </c>
      <c r="NK15" s="49"/>
      <c r="NL15" s="49" t="s">
        <v>13</v>
      </c>
      <c r="NM15" s="49" t="s">
        <v>13</v>
      </c>
      <c r="NN15" s="49" t="s">
        <v>59</v>
      </c>
      <c r="NO15" s="49" t="s">
        <v>13</v>
      </c>
      <c r="NP15" s="49" t="s">
        <v>13</v>
      </c>
      <c r="NQ15" s="49" t="s">
        <v>59</v>
      </c>
      <c r="NR15" s="49" t="s">
        <v>59</v>
      </c>
      <c r="NS15" s="49" t="s">
        <v>59</v>
      </c>
      <c r="NT15" s="49" t="s">
        <v>59</v>
      </c>
      <c r="NU15" s="49" t="s">
        <v>59</v>
      </c>
      <c r="NV15" s="49" t="s">
        <v>59</v>
      </c>
      <c r="NW15" s="49" t="s">
        <v>59</v>
      </c>
      <c r="NX15" s="49" t="s">
        <v>59</v>
      </c>
      <c r="NY15" s="49" t="s">
        <v>59</v>
      </c>
      <c r="NZ15" s="49" t="s">
        <v>59</v>
      </c>
      <c r="OA15" s="49" t="s">
        <v>59</v>
      </c>
      <c r="OB15" s="49" t="s">
        <v>59</v>
      </c>
      <c r="OC15" s="49" t="s">
        <v>59</v>
      </c>
      <c r="OD15" s="49" t="s">
        <v>59</v>
      </c>
      <c r="OE15" s="49" t="s">
        <v>59</v>
      </c>
      <c r="OF15" s="49" t="s">
        <v>59</v>
      </c>
      <c r="OG15" s="49" t="s">
        <v>59</v>
      </c>
      <c r="OH15" s="49" t="s">
        <v>59</v>
      </c>
      <c r="OI15" s="49" t="s">
        <v>59</v>
      </c>
      <c r="OJ15" s="49" t="s">
        <v>59</v>
      </c>
      <c r="OK15" s="49" t="s">
        <v>59</v>
      </c>
      <c r="OL15" s="49" t="s">
        <v>59</v>
      </c>
      <c r="OM15" s="49" t="s">
        <v>59</v>
      </c>
      <c r="ON15" s="49" t="s">
        <v>59</v>
      </c>
      <c r="OO15" s="49" t="s">
        <v>59</v>
      </c>
      <c r="OP15" s="49" t="s">
        <v>59</v>
      </c>
      <c r="OQ15" s="49" t="s">
        <v>59</v>
      </c>
      <c r="OR15" s="49" t="s">
        <v>59</v>
      </c>
      <c r="OS15" s="49" t="s">
        <v>59</v>
      </c>
      <c r="OT15" s="49" t="s">
        <v>59</v>
      </c>
      <c r="OU15" s="49" t="s">
        <v>59</v>
      </c>
      <c r="OV15" s="49" t="s">
        <v>59</v>
      </c>
      <c r="OW15" s="49" t="s">
        <v>59</v>
      </c>
      <c r="OX15" s="49" t="s">
        <v>59</v>
      </c>
      <c r="OY15" s="49" t="s">
        <v>59</v>
      </c>
      <c r="OZ15" s="49" t="s">
        <v>59</v>
      </c>
      <c r="PA15" s="49" t="s">
        <v>59</v>
      </c>
      <c r="PB15" s="49" t="s">
        <v>59</v>
      </c>
      <c r="PC15" s="49" t="s">
        <v>59</v>
      </c>
      <c r="PD15" s="49" t="s">
        <v>59</v>
      </c>
      <c r="PE15" s="49" t="s">
        <v>59</v>
      </c>
      <c r="PF15" s="49" t="s">
        <v>59</v>
      </c>
      <c r="PG15" s="49" t="s">
        <v>59</v>
      </c>
      <c r="PH15" s="49" t="s">
        <v>59</v>
      </c>
      <c r="PI15" s="49" t="s">
        <v>59</v>
      </c>
      <c r="PJ15" s="49" t="s">
        <v>59</v>
      </c>
      <c r="PK15" s="49" t="s">
        <v>59</v>
      </c>
      <c r="PL15" s="49" t="s">
        <v>59</v>
      </c>
      <c r="PM15" s="49" t="s">
        <v>59</v>
      </c>
      <c r="PN15" s="49" t="s">
        <v>59</v>
      </c>
      <c r="PO15" s="49" t="s">
        <v>59</v>
      </c>
      <c r="PP15" s="49" t="s">
        <v>59</v>
      </c>
      <c r="PQ15" s="49" t="s">
        <v>59</v>
      </c>
      <c r="PR15" s="49" t="s">
        <v>20</v>
      </c>
      <c r="PS15" s="49" t="s">
        <v>59</v>
      </c>
      <c r="PT15" s="49" t="s">
        <v>59</v>
      </c>
      <c r="PU15" s="49" t="s">
        <v>59</v>
      </c>
      <c r="PV15" s="49" t="s">
        <v>59</v>
      </c>
      <c r="PW15" s="49" t="s">
        <v>59</v>
      </c>
      <c r="PX15" s="49"/>
      <c r="PY15" s="49" t="s">
        <v>59</v>
      </c>
      <c r="PZ15" s="49" t="s">
        <v>13</v>
      </c>
      <c r="QA15" s="49" t="s">
        <v>59</v>
      </c>
      <c r="QB15" s="49" t="s">
        <v>59</v>
      </c>
      <c r="QC15" s="49" t="s">
        <v>59</v>
      </c>
      <c r="QD15" s="49" t="s">
        <v>59</v>
      </c>
      <c r="QE15" s="49" t="s">
        <v>59</v>
      </c>
      <c r="QF15" s="49" t="s">
        <v>59</v>
      </c>
      <c r="QG15" s="49" t="s">
        <v>59</v>
      </c>
      <c r="QH15" s="49" t="s">
        <v>59</v>
      </c>
      <c r="QI15" s="49" t="s">
        <v>59</v>
      </c>
      <c r="QJ15" s="49" t="s">
        <v>59</v>
      </c>
      <c r="QK15" s="49" t="s">
        <v>59</v>
      </c>
      <c r="QL15" s="49" t="s">
        <v>59</v>
      </c>
      <c r="QM15" s="49" t="s">
        <v>59</v>
      </c>
      <c r="QN15" s="49" t="s">
        <v>59</v>
      </c>
      <c r="QO15" s="49" t="s">
        <v>59</v>
      </c>
      <c r="QP15" s="49" t="s">
        <v>59</v>
      </c>
      <c r="QQ15" s="49" t="s">
        <v>20</v>
      </c>
      <c r="QR15" s="49" t="s">
        <v>59</v>
      </c>
      <c r="QS15" s="49" t="s">
        <v>59</v>
      </c>
      <c r="QT15" s="49" t="s">
        <v>59</v>
      </c>
      <c r="QU15" s="49" t="s">
        <v>59</v>
      </c>
      <c r="QV15" s="49" t="s">
        <v>59</v>
      </c>
      <c r="QW15" s="49" t="s">
        <v>59</v>
      </c>
      <c r="QX15" s="49" t="s">
        <v>59</v>
      </c>
      <c r="QY15" s="49" t="s">
        <v>59</v>
      </c>
      <c r="QZ15" s="49" t="s">
        <v>59</v>
      </c>
      <c r="RA15" s="49" t="s">
        <v>59</v>
      </c>
      <c r="RB15" s="49" t="s">
        <v>59</v>
      </c>
      <c r="RC15" s="49" t="s">
        <v>59</v>
      </c>
      <c r="RD15" s="49" t="s">
        <v>59</v>
      </c>
      <c r="RE15" s="49" t="s">
        <v>59</v>
      </c>
      <c r="RF15" s="49" t="s">
        <v>59</v>
      </c>
      <c r="RG15" s="49" t="s">
        <v>59</v>
      </c>
      <c r="RH15" s="49" t="s">
        <v>59</v>
      </c>
      <c r="RI15" s="49" t="s">
        <v>59</v>
      </c>
      <c r="RJ15" s="49" t="s">
        <v>59</v>
      </c>
      <c r="RK15" s="49" t="s">
        <v>59</v>
      </c>
      <c r="RL15" s="49" t="s">
        <v>59</v>
      </c>
      <c r="RM15" s="49" t="s">
        <v>59</v>
      </c>
      <c r="RN15" s="49" t="s">
        <v>59</v>
      </c>
      <c r="RO15" s="49" t="s">
        <v>59</v>
      </c>
      <c r="RP15" s="49" t="s">
        <v>59</v>
      </c>
      <c r="RQ15" s="49" t="s">
        <v>59</v>
      </c>
      <c r="RR15" s="49" t="s">
        <v>59</v>
      </c>
      <c r="RS15" s="49" t="s">
        <v>59</v>
      </c>
      <c r="RT15" s="49" t="s">
        <v>59</v>
      </c>
      <c r="RU15" s="49" t="s">
        <v>59</v>
      </c>
      <c r="RV15" s="49" t="s">
        <v>59</v>
      </c>
      <c r="RW15" s="49" t="s">
        <v>59</v>
      </c>
      <c r="RX15" s="49" t="s">
        <v>13</v>
      </c>
      <c r="RY15" s="408" t="s">
        <v>13</v>
      </c>
      <c r="RZ15" s="49" t="s">
        <v>59</v>
      </c>
      <c r="SA15" s="49" t="s">
        <v>59</v>
      </c>
      <c r="SB15" s="49"/>
      <c r="SC15" s="49"/>
      <c r="SD15" s="49" t="s">
        <v>59</v>
      </c>
      <c r="SE15" s="49" t="s">
        <v>59</v>
      </c>
      <c r="SF15" s="49" t="s">
        <v>59</v>
      </c>
      <c r="SG15" s="49" t="s">
        <v>59</v>
      </c>
      <c r="SH15" s="49" t="s">
        <v>59</v>
      </c>
      <c r="SI15" s="49" t="s">
        <v>59</v>
      </c>
      <c r="SJ15" s="49" t="s">
        <v>59</v>
      </c>
      <c r="SK15" s="49" t="s">
        <v>59</v>
      </c>
      <c r="SL15" s="49" t="s">
        <v>59</v>
      </c>
      <c r="SM15" s="49" t="s">
        <v>59</v>
      </c>
      <c r="SN15" s="49" t="s">
        <v>59</v>
      </c>
      <c r="SO15" s="49" t="s">
        <v>59</v>
      </c>
      <c r="SP15" s="49" t="s">
        <v>59</v>
      </c>
      <c r="SQ15" s="49" t="s">
        <v>59</v>
      </c>
      <c r="SR15" s="49" t="s">
        <v>59</v>
      </c>
      <c r="SS15" s="49" t="s">
        <v>59</v>
      </c>
      <c r="ST15" s="49"/>
      <c r="SU15" s="49" t="s">
        <v>59</v>
      </c>
      <c r="SV15" s="49" t="s">
        <v>59</v>
      </c>
      <c r="SW15" s="49" t="s">
        <v>59</v>
      </c>
      <c r="SX15" s="49" t="s">
        <v>59</v>
      </c>
      <c r="SY15" s="49" t="s">
        <v>59</v>
      </c>
      <c r="SZ15" s="94" t="s">
        <v>59</v>
      </c>
      <c r="TA15" s="49" t="s">
        <v>59</v>
      </c>
      <c r="TB15" s="49" t="s">
        <v>59</v>
      </c>
      <c r="TC15" s="49" t="s">
        <v>59</v>
      </c>
      <c r="TD15" s="49" t="s">
        <v>20</v>
      </c>
      <c r="TE15" s="49" t="s">
        <v>59</v>
      </c>
      <c r="TF15" s="49"/>
      <c r="TG15" s="49" t="s">
        <v>59</v>
      </c>
      <c r="TH15" s="49" t="s">
        <v>59</v>
      </c>
      <c r="TI15" s="49" t="s">
        <v>59</v>
      </c>
      <c r="TJ15" s="49" t="s">
        <v>59</v>
      </c>
      <c r="TK15" s="49" t="s">
        <v>59</v>
      </c>
      <c r="TL15" s="49" t="s">
        <v>59</v>
      </c>
      <c r="TM15" s="49" t="s">
        <v>59</v>
      </c>
      <c r="TN15" s="49" t="s">
        <v>59</v>
      </c>
      <c r="TO15" s="49" t="s">
        <v>59</v>
      </c>
      <c r="TP15" s="49" t="s">
        <v>59</v>
      </c>
      <c r="TQ15" s="49" t="s">
        <v>59</v>
      </c>
      <c r="TR15" s="49" t="s">
        <v>59</v>
      </c>
      <c r="TS15" s="49" t="s">
        <v>59</v>
      </c>
      <c r="TT15" s="49" t="s">
        <v>59</v>
      </c>
      <c r="TU15" s="49" t="s">
        <v>59</v>
      </c>
      <c r="TV15" s="49" t="s">
        <v>59</v>
      </c>
      <c r="TW15" s="49" t="s">
        <v>59</v>
      </c>
      <c r="TX15" s="49" t="s">
        <v>59</v>
      </c>
      <c r="TY15" s="49" t="s">
        <v>59</v>
      </c>
      <c r="TZ15" s="49" t="s">
        <v>59</v>
      </c>
      <c r="UA15" s="49" t="s">
        <v>59</v>
      </c>
      <c r="UB15" s="49" t="s">
        <v>59</v>
      </c>
      <c r="UC15" s="49" t="s">
        <v>59</v>
      </c>
      <c r="UD15" s="49" t="s">
        <v>59</v>
      </c>
      <c r="UE15" s="49" t="s">
        <v>59</v>
      </c>
      <c r="UF15" s="49" t="s">
        <v>59</v>
      </c>
      <c r="UG15" s="49" t="s">
        <v>59</v>
      </c>
      <c r="UH15" s="49" t="s">
        <v>59</v>
      </c>
      <c r="UI15" s="49" t="s">
        <v>59</v>
      </c>
      <c r="UJ15" s="49" t="s">
        <v>59</v>
      </c>
      <c r="UK15" s="49" t="s">
        <v>59</v>
      </c>
      <c r="UL15" s="49" t="s">
        <v>59</v>
      </c>
      <c r="UM15" s="49" t="s">
        <v>59</v>
      </c>
      <c r="UN15" s="49" t="s">
        <v>59</v>
      </c>
      <c r="UO15" s="49" t="s">
        <v>59</v>
      </c>
      <c r="UP15" s="49" t="s">
        <v>59</v>
      </c>
      <c r="UQ15" s="49" t="s">
        <v>59</v>
      </c>
      <c r="UR15" s="49" t="s">
        <v>59</v>
      </c>
      <c r="US15" s="49" t="s">
        <v>59</v>
      </c>
      <c r="UT15" s="49" t="s">
        <v>59</v>
      </c>
      <c r="UU15" s="49" t="s">
        <v>59</v>
      </c>
      <c r="UV15" s="49" t="s">
        <v>59</v>
      </c>
      <c r="UW15" s="49" t="s">
        <v>59</v>
      </c>
      <c r="UX15" s="49" t="s">
        <v>20</v>
      </c>
      <c r="UY15" s="49" t="s">
        <v>20</v>
      </c>
      <c r="UZ15" s="49"/>
      <c r="VA15" s="49"/>
      <c r="VB15" s="49"/>
      <c r="VC15" s="49"/>
      <c r="VD15" s="49"/>
      <c r="VE15" s="49"/>
      <c r="VF15" s="49"/>
      <c r="VG15" s="49"/>
      <c r="VH15" s="49"/>
      <c r="VI15" s="49"/>
      <c r="VJ15" s="49"/>
      <c r="VK15" s="49"/>
      <c r="VL15" s="49"/>
      <c r="VM15" s="49"/>
      <c r="VN15" s="49"/>
      <c r="VO15" s="49"/>
      <c r="VP15" s="49"/>
      <c r="VQ15" s="49"/>
      <c r="VR15" s="49"/>
      <c r="VS15" s="49"/>
      <c r="VT15" s="49"/>
      <c r="VU15" s="49"/>
      <c r="VV15" s="49"/>
      <c r="VW15" s="49"/>
      <c r="VX15" s="49"/>
      <c r="VY15" s="49"/>
      <c r="VZ15" s="49"/>
      <c r="WA15" s="49"/>
      <c r="WB15" s="49"/>
      <c r="WC15" s="49"/>
      <c r="WD15" s="49"/>
      <c r="WE15" s="49"/>
      <c r="WF15" s="49"/>
      <c r="WG15" s="49"/>
      <c r="WH15" s="49"/>
      <c r="WI15" s="49"/>
      <c r="WJ15" s="49"/>
      <c r="WK15" s="49"/>
      <c r="WL15" s="49"/>
      <c r="WM15" s="49"/>
      <c r="WN15" s="49"/>
      <c r="WO15" s="49"/>
      <c r="WP15" s="49"/>
      <c r="WQ15" s="49"/>
      <c r="WR15" s="49"/>
      <c r="WS15" s="49"/>
      <c r="WT15" s="49"/>
      <c r="WU15" s="49"/>
      <c r="WV15" s="49"/>
      <c r="WW15" s="49"/>
      <c r="WX15" s="49"/>
      <c r="WY15" s="49"/>
      <c r="WZ15" s="49"/>
      <c r="XA15" s="49"/>
      <c r="XB15" s="49"/>
      <c r="XC15" s="49"/>
      <c r="XD15" s="49"/>
      <c r="XE15" s="49"/>
      <c r="XF15" s="49"/>
      <c r="XG15" s="49"/>
      <c r="XH15" s="49"/>
      <c r="XI15" s="49"/>
      <c r="XJ15" s="49"/>
      <c r="XK15" s="49"/>
      <c r="XL15" s="49"/>
      <c r="XM15" s="49"/>
      <c r="XN15" s="49"/>
      <c r="XO15" s="49"/>
      <c r="XP15" s="49"/>
      <c r="XQ15" s="49" t="s">
        <v>13</v>
      </c>
      <c r="XR15" s="49" t="s">
        <v>13</v>
      </c>
      <c r="XS15" s="49" t="s">
        <v>13</v>
      </c>
      <c r="XT15" s="49" t="s">
        <v>13</v>
      </c>
      <c r="XU15" s="49" t="s">
        <v>13</v>
      </c>
      <c r="XV15" s="49" t="s">
        <v>59</v>
      </c>
      <c r="XW15" s="49" t="s">
        <v>13</v>
      </c>
      <c r="XX15" s="49" t="s">
        <v>13</v>
      </c>
      <c r="XY15" s="49" t="s">
        <v>13</v>
      </c>
      <c r="XZ15" s="49" t="s">
        <v>13</v>
      </c>
      <c r="YA15" s="49" t="s">
        <v>13</v>
      </c>
      <c r="YB15" s="49" t="s">
        <v>13</v>
      </c>
      <c r="YC15" s="49" t="s">
        <v>59</v>
      </c>
      <c r="YD15" s="49" t="s">
        <v>13</v>
      </c>
      <c r="YE15" s="49" t="s">
        <v>13</v>
      </c>
      <c r="YF15" s="49" t="s">
        <v>59</v>
      </c>
      <c r="YG15" s="49" t="s">
        <v>59</v>
      </c>
      <c r="YH15" s="49"/>
      <c r="YI15" s="49"/>
      <c r="YJ15" s="49" t="s">
        <v>59</v>
      </c>
      <c r="YK15" s="49" t="s">
        <v>59</v>
      </c>
      <c r="YL15" s="49" t="s">
        <v>13</v>
      </c>
      <c r="YM15" s="122"/>
      <c r="YN15" s="122"/>
      <c r="YO15" s="49"/>
      <c r="YP15" s="49"/>
      <c r="YQ15" s="49"/>
      <c r="YR15" s="49"/>
      <c r="YS15" s="49"/>
      <c r="YT15" s="122"/>
    </row>
    <row r="16" spans="1:670" s="26" customFormat="1" ht="12.1" customHeight="1" x14ac:dyDescent="0.25">
      <c r="A16" s="183" t="s">
        <v>487</v>
      </c>
      <c r="B16" s="184" t="s">
        <v>263</v>
      </c>
      <c r="C16" s="184" t="s">
        <v>1</v>
      </c>
      <c r="D16" s="184" t="s">
        <v>2</v>
      </c>
      <c r="E16" s="185" t="s">
        <v>3</v>
      </c>
      <c r="F16" s="185" t="s">
        <v>379</v>
      </c>
      <c r="G16" s="185" t="s">
        <v>122</v>
      </c>
      <c r="H16" s="185" t="s">
        <v>234</v>
      </c>
      <c r="I16" s="185" t="s">
        <v>77</v>
      </c>
      <c r="J16" s="186" t="s">
        <v>4</v>
      </c>
      <c r="K16" s="186" t="s">
        <v>5</v>
      </c>
      <c r="L16" s="186"/>
      <c r="M16" s="186" t="s">
        <v>71</v>
      </c>
      <c r="N16" s="186" t="s">
        <v>72</v>
      </c>
      <c r="O16" s="186" t="s">
        <v>73</v>
      </c>
      <c r="P16" s="186" t="s">
        <v>102</v>
      </c>
      <c r="Q16" s="186" t="s">
        <v>103</v>
      </c>
      <c r="R16" s="186" t="s">
        <v>104</v>
      </c>
      <c r="S16" s="186" t="s">
        <v>105</v>
      </c>
      <c r="T16" s="186" t="s">
        <v>110</v>
      </c>
      <c r="U16" s="186" t="s">
        <v>8</v>
      </c>
      <c r="V16" s="186" t="s">
        <v>9</v>
      </c>
      <c r="W16" s="186" t="s">
        <v>106</v>
      </c>
      <c r="X16" s="186" t="s">
        <v>21</v>
      </c>
      <c r="Y16" s="186" t="s">
        <v>254</v>
      </c>
      <c r="Z16" s="186" t="s">
        <v>6</v>
      </c>
      <c r="AA16" s="186" t="s">
        <v>7</v>
      </c>
      <c r="AB16" s="186" t="s">
        <v>107</v>
      </c>
      <c r="AC16" s="186" t="s">
        <v>19</v>
      </c>
      <c r="AD16" s="186" t="s">
        <v>22</v>
      </c>
      <c r="AE16" s="186" t="s">
        <v>1224</v>
      </c>
      <c r="AF16" s="186" t="s">
        <v>1225</v>
      </c>
      <c r="AG16" s="186" t="s">
        <v>23</v>
      </c>
      <c r="AH16" s="186" t="s">
        <v>117</v>
      </c>
      <c r="AI16" s="186" t="s">
        <v>867</v>
      </c>
      <c r="AJ16" s="186" t="s">
        <v>126</v>
      </c>
      <c r="AK16" s="186" t="s">
        <v>75</v>
      </c>
      <c r="AL16" s="186" t="s">
        <v>108</v>
      </c>
      <c r="AM16" s="186" t="s">
        <v>109</v>
      </c>
      <c r="AN16" s="186" t="s">
        <v>259</v>
      </c>
      <c r="AO16" s="186" t="s">
        <v>260</v>
      </c>
      <c r="AP16" s="186" t="s">
        <v>1022</v>
      </c>
      <c r="AQ16" s="186" t="s">
        <v>695</v>
      </c>
      <c r="AR16" s="186" t="s">
        <v>697</v>
      </c>
      <c r="AS16" s="186" t="s">
        <v>698</v>
      </c>
      <c r="AT16" s="186" t="s">
        <v>692</v>
      </c>
      <c r="AU16" s="186"/>
      <c r="AV16" s="186"/>
      <c r="AW16" s="186"/>
      <c r="AX16" s="186"/>
      <c r="AY16" s="186"/>
      <c r="AZ16" s="186"/>
      <c r="BA16" s="186"/>
      <c r="BB16" s="186"/>
      <c r="BC16" s="186"/>
      <c r="BD16" s="186"/>
      <c r="BE16" s="186"/>
      <c r="BF16" s="186"/>
      <c r="BG16" s="186"/>
      <c r="BH16" s="186"/>
      <c r="BI16" s="186" t="s">
        <v>1226</v>
      </c>
      <c r="BJ16" s="186" t="s">
        <v>1227</v>
      </c>
      <c r="BK16" s="186" t="s">
        <v>883</v>
      </c>
      <c r="BL16" s="186" t="s">
        <v>70</v>
      </c>
      <c r="BM16" s="186" t="s">
        <v>34</v>
      </c>
      <c r="BN16" s="186" t="s">
        <v>35</v>
      </c>
      <c r="BO16" s="186" t="s">
        <v>144</v>
      </c>
      <c r="BP16" s="186" t="s">
        <v>96</v>
      </c>
      <c r="BQ16" s="186" t="s">
        <v>41</v>
      </c>
      <c r="BR16" s="186" t="s">
        <v>127</v>
      </c>
      <c r="BS16" s="186" t="s">
        <v>142</v>
      </c>
      <c r="BT16" s="186" t="s">
        <v>95</v>
      </c>
      <c r="BU16" s="186" t="s">
        <v>39</v>
      </c>
      <c r="BV16" s="186" t="s">
        <v>143</v>
      </c>
      <c r="BW16" s="186" t="s">
        <v>36</v>
      </c>
      <c r="BX16" s="186" t="s">
        <v>37</v>
      </c>
      <c r="BY16" s="186"/>
      <c r="BZ16" s="186" t="s">
        <v>56</v>
      </c>
      <c r="CA16" s="186"/>
      <c r="CB16" s="186"/>
      <c r="CC16" s="186" t="s">
        <v>135</v>
      </c>
      <c r="CD16" s="186" t="s">
        <v>868</v>
      </c>
      <c r="CE16" s="186"/>
      <c r="CF16" s="186" t="s">
        <v>136</v>
      </c>
      <c r="CG16" s="186" t="s">
        <v>208</v>
      </c>
      <c r="CH16" s="186" t="s">
        <v>301</v>
      </c>
      <c r="CI16" s="186"/>
      <c r="CJ16" s="186" t="s">
        <v>1229</v>
      </c>
      <c r="CK16" s="186" t="s">
        <v>1230</v>
      </c>
      <c r="CL16" s="186" t="s">
        <v>1231</v>
      </c>
      <c r="CM16" s="186"/>
      <c r="CN16" s="186" t="s">
        <v>128</v>
      </c>
      <c r="CO16" s="186" t="s">
        <v>40</v>
      </c>
      <c r="CP16" s="186" t="s">
        <v>38</v>
      </c>
      <c r="CQ16" s="186" t="s">
        <v>93</v>
      </c>
      <c r="CR16" s="186"/>
      <c r="CS16" s="186" t="s">
        <v>679</v>
      </c>
      <c r="CT16" s="186" t="s">
        <v>1014</v>
      </c>
      <c r="CU16" s="186" t="s">
        <v>64</v>
      </c>
      <c r="CV16" s="186" t="s">
        <v>65</v>
      </c>
      <c r="CW16" s="188" t="s">
        <v>1232</v>
      </c>
      <c r="CX16" s="186" t="s">
        <v>179</v>
      </c>
      <c r="CY16" s="186" t="s">
        <v>845</v>
      </c>
      <c r="CZ16" s="186" t="s">
        <v>192</v>
      </c>
      <c r="DA16" s="188"/>
      <c r="DB16" s="188"/>
      <c r="DC16" s="188"/>
      <c r="DD16" s="188" t="s">
        <v>1492</v>
      </c>
      <c r="DE16" s="186" t="s">
        <v>46</v>
      </c>
      <c r="DF16" s="186" t="s">
        <v>42</v>
      </c>
      <c r="DG16" s="186"/>
      <c r="DH16" s="186"/>
      <c r="DI16" s="186" t="s">
        <v>43</v>
      </c>
      <c r="DJ16" s="186" t="s">
        <v>67</v>
      </c>
      <c r="DK16" s="186" t="s">
        <v>68</v>
      </c>
      <c r="DL16" s="186" t="s">
        <v>44</v>
      </c>
      <c r="DM16" s="186" t="s">
        <v>63</v>
      </c>
      <c r="DN16" s="186" t="s">
        <v>113</v>
      </c>
      <c r="DO16" s="186" t="s">
        <v>268</v>
      </c>
      <c r="DP16" s="186" t="s">
        <v>101</v>
      </c>
      <c r="DQ16" s="186" t="s">
        <v>269</v>
      </c>
      <c r="DR16" s="186" t="s">
        <v>590</v>
      </c>
      <c r="DS16" s="186" t="s">
        <v>599</v>
      </c>
      <c r="DT16" s="186" t="s">
        <v>24</v>
      </c>
      <c r="DU16" s="186" t="s">
        <v>26</v>
      </c>
      <c r="DV16" s="186" t="s">
        <v>28</v>
      </c>
      <c r="DW16" s="186" t="s">
        <v>25</v>
      </c>
      <c r="DX16" s="186" t="s">
        <v>27</v>
      </c>
      <c r="DY16" s="186" t="s">
        <v>29</v>
      </c>
      <c r="DZ16" s="186" t="s">
        <v>488</v>
      </c>
      <c r="EA16" s="186" t="s">
        <v>598</v>
      </c>
      <c r="EB16" s="186" t="s">
        <v>489</v>
      </c>
      <c r="EC16" s="186" t="s">
        <v>506</v>
      </c>
      <c r="ED16" s="186" t="s">
        <v>507</v>
      </c>
      <c r="EE16" s="186" t="s">
        <v>508</v>
      </c>
      <c r="EF16" s="186" t="s">
        <v>681</v>
      </c>
      <c r="EG16" s="186" t="s">
        <v>682</v>
      </c>
      <c r="EH16" s="186" t="s">
        <v>30</v>
      </c>
      <c r="EI16" s="186" t="s">
        <v>32</v>
      </c>
      <c r="EJ16" s="186" t="s">
        <v>33</v>
      </c>
      <c r="EK16" s="186" t="s">
        <v>270</v>
      </c>
      <c r="EL16" s="186"/>
      <c r="EM16" s="186" t="s">
        <v>271</v>
      </c>
      <c r="EN16" s="186" t="s">
        <v>277</v>
      </c>
      <c r="EO16" s="186"/>
      <c r="EP16" s="186"/>
      <c r="EQ16" s="186"/>
      <c r="ER16" s="186"/>
      <c r="ES16" s="186"/>
      <c r="ET16" s="186"/>
      <c r="EU16" s="186" t="s">
        <v>1055</v>
      </c>
      <c r="EV16" s="186"/>
      <c r="EW16" s="186" t="s">
        <v>1070</v>
      </c>
      <c r="EX16" s="186"/>
      <c r="EY16" s="186"/>
      <c r="EZ16" s="186"/>
      <c r="FA16" s="186"/>
      <c r="FB16" s="186" t="s">
        <v>284</v>
      </c>
      <c r="FC16" s="186"/>
      <c r="FD16" s="186"/>
      <c r="FE16" s="186"/>
      <c r="FF16" s="186"/>
      <c r="FG16" s="186"/>
      <c r="FH16" s="186"/>
      <c r="FI16" s="187" t="s">
        <v>187</v>
      </c>
      <c r="FJ16" s="186" t="s">
        <v>49</v>
      </c>
      <c r="FK16" s="186"/>
      <c r="FL16" s="187" t="s">
        <v>190</v>
      </c>
      <c r="FM16" s="187"/>
      <c r="FN16" s="186"/>
      <c r="FO16" s="187" t="s">
        <v>866</v>
      </c>
      <c r="FP16" s="186"/>
      <c r="FQ16" s="186"/>
      <c r="FR16" s="186"/>
      <c r="FS16" s="186"/>
      <c r="FT16" s="186"/>
      <c r="FU16" s="186" t="s">
        <v>257</v>
      </c>
      <c r="FV16" s="186" t="s">
        <v>194</v>
      </c>
      <c r="FW16" s="186"/>
      <c r="FX16" s="187"/>
      <c r="FY16" s="187"/>
      <c r="FZ16" s="187"/>
      <c r="GA16" s="187"/>
      <c r="GB16" s="187"/>
      <c r="GC16" s="187"/>
      <c r="GD16" s="187"/>
      <c r="GE16" s="187"/>
      <c r="GF16" s="187"/>
      <c r="GG16" s="187"/>
      <c r="GH16" s="186" t="s">
        <v>97</v>
      </c>
      <c r="GI16" s="186"/>
      <c r="GJ16" s="186"/>
      <c r="GK16" s="186"/>
      <c r="GL16" s="469"/>
      <c r="GM16" s="469"/>
      <c r="GN16" s="189"/>
      <c r="GO16" s="189"/>
      <c r="GP16" s="189" t="s">
        <v>227</v>
      </c>
      <c r="GQ16" s="188" t="s">
        <v>1247</v>
      </c>
      <c r="GR16" s="186" t="s">
        <v>2316</v>
      </c>
      <c r="GS16" s="186"/>
      <c r="GT16" s="186"/>
      <c r="GU16" s="186"/>
      <c r="GV16" s="186"/>
      <c r="GW16" s="186"/>
      <c r="GX16" s="186"/>
      <c r="GY16" s="470"/>
      <c r="GZ16" s="186"/>
      <c r="HA16" s="186" t="s">
        <v>1593</v>
      </c>
      <c r="HB16" s="186"/>
      <c r="HC16" s="186"/>
      <c r="HD16" s="186"/>
      <c r="HE16" s="186"/>
      <c r="HF16" s="186"/>
      <c r="HG16" s="186"/>
      <c r="HH16" s="188"/>
      <c r="HI16" s="188"/>
      <c r="HJ16" s="186"/>
      <c r="HK16" s="188"/>
      <c r="HL16" s="188"/>
      <c r="HM16" s="188"/>
      <c r="HN16" s="186"/>
      <c r="HO16" s="186"/>
      <c r="HP16" s="188"/>
      <c r="HQ16" s="188"/>
      <c r="HR16" s="470"/>
      <c r="HS16" s="186"/>
      <c r="HT16" s="186" t="s">
        <v>182</v>
      </c>
      <c r="HU16" s="470"/>
      <c r="HV16" s="186"/>
      <c r="HW16" s="470"/>
      <c r="HX16" s="186"/>
      <c r="HY16" s="470"/>
      <c r="HZ16" s="186"/>
      <c r="IA16" s="186"/>
      <c r="IB16" s="186"/>
      <c r="IC16" s="186"/>
      <c r="ID16" s="186"/>
      <c r="IE16" s="186"/>
      <c r="IF16" s="186"/>
      <c r="IG16" s="186" t="s">
        <v>325</v>
      </c>
      <c r="IH16" s="188"/>
      <c r="II16" s="188"/>
      <c r="IJ16" s="188"/>
      <c r="IK16" s="190"/>
      <c r="IL16" s="190"/>
      <c r="IM16" s="190"/>
      <c r="IN16" s="190"/>
      <c r="IO16" s="190"/>
      <c r="IP16" s="190"/>
      <c r="IQ16" s="190"/>
      <c r="IR16" s="190"/>
      <c r="IS16" s="190"/>
      <c r="IT16" s="190"/>
      <c r="IU16" s="190"/>
      <c r="IV16" s="190"/>
      <c r="IW16" s="190"/>
      <c r="IX16" s="190"/>
      <c r="IY16" s="190"/>
      <c r="IZ16" s="190"/>
      <c r="JA16" s="190"/>
      <c r="JB16" s="190"/>
      <c r="JC16" s="190"/>
      <c r="JD16" s="190"/>
      <c r="JE16" s="190"/>
      <c r="JF16" s="190"/>
      <c r="JG16" s="190"/>
      <c r="JH16" s="190"/>
      <c r="JI16" s="190"/>
      <c r="JJ16" s="190"/>
      <c r="JK16" s="190"/>
      <c r="JL16" s="186"/>
      <c r="JM16" s="190"/>
      <c r="JN16" s="469"/>
      <c r="JO16" s="469"/>
      <c r="JP16" s="190"/>
      <c r="JQ16" s="190"/>
      <c r="JR16" s="190"/>
      <c r="JS16" s="190"/>
      <c r="JT16" s="190"/>
      <c r="JU16" s="190"/>
      <c r="JV16" s="190"/>
      <c r="JW16" s="190"/>
      <c r="JX16" s="190"/>
      <c r="JY16" s="190"/>
      <c r="JZ16" s="190"/>
      <c r="KA16" s="190"/>
      <c r="KB16" s="190"/>
      <c r="KC16" s="190"/>
      <c r="KD16" s="190"/>
      <c r="KE16" s="190"/>
      <c r="KF16" s="190"/>
      <c r="KG16" s="190"/>
      <c r="KH16" s="186" t="s">
        <v>62</v>
      </c>
      <c r="KI16" s="190"/>
      <c r="KJ16" s="190"/>
      <c r="KK16" s="190"/>
      <c r="KL16" s="190"/>
      <c r="KM16" s="190"/>
      <c r="KN16" s="190"/>
      <c r="KO16" s="190"/>
      <c r="KP16" s="190"/>
      <c r="KQ16" s="190"/>
      <c r="KR16" s="190"/>
      <c r="KS16" s="190"/>
      <c r="KT16" s="190"/>
      <c r="KU16" s="190"/>
      <c r="KV16" s="190"/>
      <c r="KW16" s="190"/>
      <c r="KX16" s="190"/>
      <c r="KY16" s="190"/>
      <c r="KZ16" s="190"/>
      <c r="LA16" s="190"/>
      <c r="LB16" s="190"/>
      <c r="LC16" s="190"/>
      <c r="LD16" s="190"/>
      <c r="LE16" s="190"/>
      <c r="LF16" s="190"/>
      <c r="LG16" s="190"/>
      <c r="LH16" s="190"/>
      <c r="LI16" s="190"/>
      <c r="LJ16" s="190"/>
      <c r="LK16" s="190"/>
      <c r="LL16" s="190"/>
      <c r="LM16" s="190"/>
      <c r="LN16" s="191" t="s">
        <v>330</v>
      </c>
      <c r="LO16" s="191" t="s">
        <v>1544</v>
      </c>
      <c r="LP16" s="190"/>
      <c r="LQ16" s="190"/>
      <c r="LR16" s="190"/>
      <c r="LS16" s="190"/>
      <c r="LT16" s="190"/>
      <c r="LU16" s="190"/>
      <c r="LV16" s="186"/>
      <c r="LW16" s="186"/>
      <c r="LX16" s="186"/>
      <c r="LY16" s="186"/>
      <c r="LZ16" s="186"/>
      <c r="MA16" s="186"/>
      <c r="MB16" s="191" t="s">
        <v>1552</v>
      </c>
      <c r="MC16" s="186"/>
      <c r="MD16" s="186"/>
      <c r="ME16" s="186"/>
      <c r="MF16" s="186"/>
      <c r="MG16" s="191" t="s">
        <v>1556</v>
      </c>
      <c r="MH16" s="186"/>
      <c r="MI16" s="186"/>
      <c r="MJ16" s="471" t="s">
        <v>98</v>
      </c>
      <c r="MK16" s="186"/>
      <c r="ML16" s="186"/>
      <c r="MM16" s="186"/>
      <c r="MN16" s="186"/>
      <c r="MO16" s="186"/>
      <c r="MP16" s="186"/>
      <c r="MQ16" s="186"/>
      <c r="MR16" s="186"/>
      <c r="MS16" s="186"/>
      <c r="MT16" s="186"/>
      <c r="MU16" s="186"/>
      <c r="MV16" s="186"/>
      <c r="MW16" s="186"/>
      <c r="MX16" s="186" t="s">
        <v>1157</v>
      </c>
      <c r="MY16" s="186" t="s">
        <v>1007</v>
      </c>
      <c r="MZ16" s="186" t="s">
        <v>1158</v>
      </c>
      <c r="NA16" s="186" t="s">
        <v>1008</v>
      </c>
      <c r="NB16" s="186"/>
      <c r="NC16" s="186"/>
      <c r="ND16" s="186"/>
      <c r="NE16" s="186"/>
      <c r="NF16" s="186" t="s">
        <v>94</v>
      </c>
      <c r="NG16" s="186"/>
      <c r="NH16" s="186" t="s">
        <v>734</v>
      </c>
      <c r="NI16" s="186"/>
      <c r="NJ16" s="186" t="s">
        <v>91</v>
      </c>
      <c r="NK16" s="186"/>
      <c r="NL16" s="186" t="s">
        <v>1685</v>
      </c>
      <c r="NM16" s="186" t="s">
        <v>742</v>
      </c>
      <c r="NN16" s="186"/>
      <c r="NO16" s="186" t="s">
        <v>743</v>
      </c>
      <c r="NP16" s="186" t="s">
        <v>92</v>
      </c>
      <c r="NQ16" s="186"/>
      <c r="NR16" s="186"/>
      <c r="NS16" s="186"/>
      <c r="NT16" s="186"/>
      <c r="NU16" s="186"/>
      <c r="NV16" s="186"/>
      <c r="NW16" s="186"/>
      <c r="NX16" s="186"/>
      <c r="NY16" s="186"/>
      <c r="NZ16" s="186"/>
      <c r="OA16" s="186"/>
      <c r="OB16" s="186"/>
      <c r="OC16" s="186"/>
      <c r="OD16" s="186"/>
      <c r="OE16" s="186"/>
      <c r="OF16" s="186"/>
      <c r="OG16" s="186"/>
      <c r="OH16" s="186"/>
      <c r="OI16" s="186"/>
      <c r="OJ16" s="186"/>
      <c r="OK16" s="186"/>
      <c r="OL16" s="186"/>
      <c r="OM16" s="186"/>
      <c r="ON16" s="186"/>
      <c r="OO16" s="186"/>
      <c r="OP16" s="186"/>
      <c r="OQ16" s="186"/>
      <c r="OR16" s="186"/>
      <c r="OS16" s="186"/>
      <c r="OT16" s="186"/>
      <c r="OU16" s="186"/>
      <c r="OV16" s="186"/>
      <c r="OW16" s="186"/>
      <c r="OX16" s="186"/>
      <c r="OY16" s="186"/>
      <c r="OZ16" s="186"/>
      <c r="PA16" s="186"/>
      <c r="PB16" s="186"/>
      <c r="PC16" s="186"/>
      <c r="PD16" s="186"/>
      <c r="PE16" s="186"/>
      <c r="PF16" s="186"/>
      <c r="PG16" s="186"/>
      <c r="PH16" s="186"/>
      <c r="PI16" s="186"/>
      <c r="PJ16" s="186"/>
      <c r="PK16" s="186"/>
      <c r="PL16" s="186"/>
      <c r="PM16" s="186"/>
      <c r="PN16" s="186"/>
      <c r="PO16" s="186"/>
      <c r="PP16" s="186"/>
      <c r="PQ16" s="186"/>
      <c r="PR16" s="186" t="s">
        <v>1570</v>
      </c>
      <c r="PS16" s="186"/>
      <c r="PT16" s="186"/>
      <c r="PU16" s="186"/>
      <c r="PV16" s="186"/>
      <c r="PW16" s="186"/>
      <c r="PX16" s="186"/>
      <c r="PY16" s="186"/>
      <c r="PZ16" s="186" t="s">
        <v>1686</v>
      </c>
      <c r="QA16" s="186"/>
      <c r="QB16" s="186"/>
      <c r="QC16" s="186"/>
      <c r="QD16" s="186"/>
      <c r="QE16" s="186"/>
      <c r="QF16" s="186"/>
      <c r="QG16" s="186"/>
      <c r="QH16" s="186" t="s">
        <v>82</v>
      </c>
      <c r="QI16" s="186"/>
      <c r="QJ16" s="186"/>
      <c r="QK16" s="186"/>
      <c r="QL16" s="186"/>
      <c r="QM16" s="186"/>
      <c r="QN16" s="186"/>
      <c r="QO16" s="186"/>
      <c r="QP16" s="186"/>
      <c r="QQ16" s="186" t="s">
        <v>456</v>
      </c>
      <c r="QR16" s="186"/>
      <c r="QS16" s="186"/>
      <c r="QT16" s="186"/>
      <c r="QU16" s="186"/>
      <c r="QV16" s="186"/>
      <c r="QW16" s="186"/>
      <c r="QX16" s="186"/>
      <c r="QY16" s="186"/>
      <c r="QZ16" s="186"/>
      <c r="RA16" s="186"/>
      <c r="RB16" s="186"/>
      <c r="RC16" s="186"/>
      <c r="RD16" s="186"/>
      <c r="RE16" s="186"/>
      <c r="RF16" s="186"/>
      <c r="RG16" s="186"/>
      <c r="RH16" s="186"/>
      <c r="RI16" s="186"/>
      <c r="RJ16" s="186"/>
      <c r="RK16" s="186"/>
      <c r="RL16" s="186"/>
      <c r="RM16" s="186"/>
      <c r="RN16" s="186"/>
      <c r="RO16" s="186"/>
      <c r="RP16" s="186"/>
      <c r="RQ16" s="186"/>
      <c r="RR16" s="186"/>
      <c r="RS16" s="186"/>
      <c r="RT16" s="186"/>
      <c r="RU16" s="186"/>
      <c r="RV16" s="186"/>
      <c r="RW16" s="186"/>
      <c r="RX16" s="186" t="s">
        <v>1262</v>
      </c>
      <c r="RY16" s="472" t="s">
        <v>1074</v>
      </c>
      <c r="RZ16" s="186"/>
      <c r="SA16" s="186"/>
      <c r="SB16" s="186"/>
      <c r="SC16" s="186"/>
      <c r="SD16" s="186"/>
      <c r="SE16" s="186"/>
      <c r="SF16" s="186"/>
      <c r="SG16" s="186"/>
      <c r="SH16" s="186"/>
      <c r="SI16" s="186"/>
      <c r="SJ16" s="186"/>
      <c r="SK16" s="186"/>
      <c r="SL16" s="186"/>
      <c r="SM16" s="186"/>
      <c r="SN16" s="186"/>
      <c r="SO16" s="186" t="s">
        <v>50</v>
      </c>
      <c r="SP16" s="186"/>
      <c r="SQ16" s="186"/>
      <c r="SR16" s="186"/>
      <c r="SS16" s="186"/>
      <c r="ST16" s="186"/>
      <c r="SU16" s="186"/>
      <c r="SV16" s="186"/>
      <c r="SW16" s="186"/>
      <c r="SX16" s="186"/>
      <c r="SY16" s="186"/>
      <c r="SZ16" s="187"/>
      <c r="TA16" s="186"/>
      <c r="TB16" s="186"/>
      <c r="TC16" s="186"/>
      <c r="TD16" s="186" t="s">
        <v>575</v>
      </c>
      <c r="TE16" s="186"/>
      <c r="TF16" s="186"/>
      <c r="TG16" s="186"/>
      <c r="TH16" s="186"/>
      <c r="TI16" s="186" t="s">
        <v>145</v>
      </c>
      <c r="TJ16" s="186"/>
      <c r="TK16" s="186"/>
      <c r="TL16" s="186"/>
      <c r="TM16" s="186"/>
      <c r="TN16" s="186"/>
      <c r="TO16" s="186"/>
      <c r="TP16" s="186"/>
      <c r="TQ16" s="189"/>
      <c r="TR16" s="189"/>
      <c r="TS16" s="189"/>
      <c r="TT16" s="189"/>
      <c r="TU16" s="189"/>
      <c r="TV16" s="189"/>
      <c r="TW16" s="186"/>
      <c r="TX16" s="186"/>
      <c r="TY16" s="186"/>
      <c r="TZ16" s="186"/>
      <c r="UA16" s="186"/>
      <c r="UB16" s="186"/>
      <c r="UC16" s="186"/>
      <c r="UD16" s="186"/>
      <c r="UE16" s="186"/>
      <c r="UF16" s="186"/>
      <c r="UG16" s="186"/>
      <c r="UH16" s="186"/>
      <c r="UI16" s="186"/>
      <c r="UJ16" s="186"/>
      <c r="UK16" s="186"/>
      <c r="UL16" s="186"/>
      <c r="UM16" s="186"/>
      <c r="UN16" s="186"/>
      <c r="UO16" s="186"/>
      <c r="UP16" s="186"/>
      <c r="UQ16" s="186"/>
      <c r="UR16" s="186"/>
      <c r="US16" s="186"/>
      <c r="UT16" s="186"/>
      <c r="UU16" s="186"/>
      <c r="UV16" s="186"/>
      <c r="UW16" s="186"/>
      <c r="UX16" s="186" t="s">
        <v>123</v>
      </c>
      <c r="UY16" s="186" t="s">
        <v>124</v>
      </c>
      <c r="UZ16" s="186"/>
      <c r="VA16" s="186"/>
      <c r="VB16" s="186"/>
      <c r="VC16" s="186"/>
      <c r="VD16" s="186"/>
      <c r="VE16" s="186"/>
      <c r="VF16" s="186"/>
      <c r="VG16" s="186"/>
      <c r="VH16" s="186"/>
      <c r="VI16" s="186"/>
      <c r="VJ16" s="192"/>
      <c r="VK16" s="193"/>
      <c r="VL16" s="192"/>
      <c r="VM16" s="194"/>
      <c r="VN16" s="193"/>
      <c r="VO16" s="193"/>
      <c r="VP16" s="193"/>
      <c r="VQ16" s="193"/>
      <c r="VR16" s="193"/>
      <c r="VS16" s="186"/>
      <c r="VT16" s="186"/>
      <c r="VU16" s="186"/>
      <c r="VV16" s="186"/>
      <c r="VW16" s="186"/>
      <c r="VX16" s="186"/>
      <c r="VY16" s="186"/>
      <c r="VZ16" s="186"/>
      <c r="WA16" s="186"/>
      <c r="WB16" s="186"/>
      <c r="WC16" s="186"/>
      <c r="WD16" s="186"/>
      <c r="WE16" s="186"/>
      <c r="WF16" s="186"/>
      <c r="WG16" s="186"/>
      <c r="WH16" s="186"/>
      <c r="WI16" s="186"/>
      <c r="WJ16" s="186"/>
      <c r="WK16" s="186"/>
      <c r="WL16" s="186"/>
      <c r="WM16" s="186"/>
      <c r="WN16" s="186"/>
      <c r="WO16" s="186"/>
      <c r="WP16" s="186"/>
      <c r="WQ16" s="186"/>
      <c r="WR16" s="186"/>
      <c r="WS16" s="186"/>
      <c r="WT16" s="186"/>
      <c r="WU16" s="186"/>
      <c r="WV16" s="186"/>
      <c r="WW16" s="186"/>
      <c r="WX16" s="186"/>
      <c r="WY16" s="186"/>
      <c r="WZ16" s="186"/>
      <c r="XA16" s="186"/>
      <c r="XB16" s="186"/>
      <c r="XC16" s="186"/>
      <c r="XD16" s="186"/>
      <c r="XE16" s="186"/>
      <c r="XF16" s="186"/>
      <c r="XG16" s="186"/>
      <c r="XH16" s="186"/>
      <c r="XI16" s="186"/>
      <c r="XJ16" s="186"/>
      <c r="XK16" s="186"/>
      <c r="XL16" s="186"/>
      <c r="XM16" s="186"/>
      <c r="XN16" s="186"/>
      <c r="XO16" s="186"/>
      <c r="XP16" s="186"/>
      <c r="XQ16" s="186" t="s">
        <v>204</v>
      </c>
      <c r="XR16" s="186" t="s">
        <v>205</v>
      </c>
      <c r="XS16" s="186" t="s">
        <v>802</v>
      </c>
      <c r="XT16" s="186" t="s">
        <v>801</v>
      </c>
      <c r="XU16" s="186" t="s">
        <v>1100</v>
      </c>
      <c r="XV16" s="186"/>
      <c r="XW16" s="186" t="s">
        <v>800</v>
      </c>
      <c r="XX16" s="186" t="s">
        <v>1102</v>
      </c>
      <c r="XY16" s="186" t="s">
        <v>1103</v>
      </c>
      <c r="XZ16" s="186" t="s">
        <v>1104</v>
      </c>
      <c r="YA16" s="186" t="s">
        <v>1101</v>
      </c>
      <c r="YB16" s="186" t="s">
        <v>1105</v>
      </c>
      <c r="YC16" s="186" t="s">
        <v>803</v>
      </c>
      <c r="YD16" s="186" t="s">
        <v>1106</v>
      </c>
      <c r="YE16" s="186" t="s">
        <v>1107</v>
      </c>
      <c r="YF16" s="186" t="s">
        <v>804</v>
      </c>
      <c r="YG16" s="186" t="s">
        <v>805</v>
      </c>
      <c r="YH16" s="186"/>
      <c r="YI16" s="186"/>
      <c r="YJ16" s="186" t="s">
        <v>806</v>
      </c>
      <c r="YK16" s="186"/>
      <c r="YL16" s="186" t="s">
        <v>807</v>
      </c>
      <c r="YM16" s="188"/>
      <c r="YN16" s="188"/>
      <c r="YO16" s="186"/>
      <c r="YP16" s="186"/>
      <c r="YQ16" s="186"/>
      <c r="YR16" s="186"/>
      <c r="YS16" s="186"/>
      <c r="YT16" s="188"/>
    </row>
    <row r="17" spans="1:670" s="94" customFormat="1" x14ac:dyDescent="0.2">
      <c r="A17" s="113" t="s">
        <v>378</v>
      </c>
      <c r="B17" s="49" t="s">
        <v>13</v>
      </c>
      <c r="C17" s="49" t="s">
        <v>13</v>
      </c>
      <c r="D17" s="49" t="s">
        <v>13</v>
      </c>
      <c r="E17" s="49" t="s">
        <v>13</v>
      </c>
      <c r="F17" s="49" t="s">
        <v>59</v>
      </c>
      <c r="G17" s="49" t="s">
        <v>31</v>
      </c>
      <c r="H17" s="49" t="s">
        <v>13</v>
      </c>
      <c r="I17" s="49" t="s">
        <v>13</v>
      </c>
      <c r="J17" s="49" t="s">
        <v>13</v>
      </c>
      <c r="K17" s="49" t="s">
        <v>13</v>
      </c>
      <c r="L17" s="49"/>
      <c r="M17" s="49" t="s">
        <v>13</v>
      </c>
      <c r="N17" s="49" t="s">
        <v>13</v>
      </c>
      <c r="O17" s="49" t="s">
        <v>13</v>
      </c>
      <c r="P17" s="49" t="s">
        <v>13</v>
      </c>
      <c r="Q17" s="49" t="s">
        <v>13</v>
      </c>
      <c r="R17" s="49" t="s">
        <v>13</v>
      </c>
      <c r="S17" s="49" t="s">
        <v>13</v>
      </c>
      <c r="T17" s="49" t="s">
        <v>13</v>
      </c>
      <c r="U17" s="49" t="s">
        <v>13</v>
      </c>
      <c r="V17" s="49" t="s">
        <v>13</v>
      </c>
      <c r="W17" s="49" t="s">
        <v>13</v>
      </c>
      <c r="X17" s="49" t="s">
        <v>13</v>
      </c>
      <c r="Y17" s="49" t="s">
        <v>13</v>
      </c>
      <c r="Z17" s="49" t="s">
        <v>13</v>
      </c>
      <c r="AA17" s="49" t="s">
        <v>13</v>
      </c>
      <c r="AB17" s="49" t="s">
        <v>13</v>
      </c>
      <c r="AC17" s="49" t="s">
        <v>59</v>
      </c>
      <c r="AD17" s="49" t="s">
        <v>13</v>
      </c>
      <c r="AE17" s="49" t="s">
        <v>13</v>
      </c>
      <c r="AF17" s="49" t="s">
        <v>13</v>
      </c>
      <c r="AG17" s="49" t="s">
        <v>13</v>
      </c>
      <c r="AH17" s="49" t="s">
        <v>13</v>
      </c>
      <c r="AI17" s="49" t="s">
        <v>13</v>
      </c>
      <c r="AJ17" s="49" t="s">
        <v>13</v>
      </c>
      <c r="AK17" s="49" t="s">
        <v>13</v>
      </c>
      <c r="AL17" s="49" t="s">
        <v>13</v>
      </c>
      <c r="AM17" s="49" t="s">
        <v>13</v>
      </c>
      <c r="AN17" s="49" t="s">
        <v>13</v>
      </c>
      <c r="AO17" s="49" t="s">
        <v>13</v>
      </c>
      <c r="AP17" s="49" t="s">
        <v>13</v>
      </c>
      <c r="AQ17" s="49" t="s">
        <v>13</v>
      </c>
      <c r="AR17" s="49" t="s">
        <v>13</v>
      </c>
      <c r="AS17" s="49" t="s">
        <v>13</v>
      </c>
      <c r="AT17" s="49" t="s">
        <v>13</v>
      </c>
      <c r="AU17" s="49"/>
      <c r="AV17" s="49"/>
      <c r="AW17" s="49"/>
      <c r="AX17" s="49"/>
      <c r="AY17" s="49"/>
      <c r="AZ17" s="49"/>
      <c r="BA17" s="49"/>
      <c r="BB17" s="49"/>
      <c r="BC17" s="49"/>
      <c r="BD17" s="49"/>
      <c r="BE17" s="49"/>
      <c r="BF17" s="49"/>
      <c r="BG17" s="49"/>
      <c r="BH17" s="49"/>
      <c r="BI17" s="49" t="s">
        <v>13</v>
      </c>
      <c r="BJ17" s="49" t="s">
        <v>13</v>
      </c>
      <c r="BK17" s="49" t="s">
        <v>13</v>
      </c>
      <c r="BL17" s="49" t="s">
        <v>13</v>
      </c>
      <c r="BM17" s="49" t="s">
        <v>13</v>
      </c>
      <c r="BN17" s="49" t="s">
        <v>13</v>
      </c>
      <c r="BO17" s="49" t="s">
        <v>13</v>
      </c>
      <c r="BP17" s="49" t="s">
        <v>13</v>
      </c>
      <c r="BQ17" s="49" t="s">
        <v>13</v>
      </c>
      <c r="BR17" s="49" t="s">
        <v>13</v>
      </c>
      <c r="BS17" s="49" t="s">
        <v>13</v>
      </c>
      <c r="BT17" s="49" t="s">
        <v>13</v>
      </c>
      <c r="BU17" s="49" t="s">
        <v>13</v>
      </c>
      <c r="BV17" s="49" t="s">
        <v>13</v>
      </c>
      <c r="BW17" s="49" t="s">
        <v>13</v>
      </c>
      <c r="BX17" s="49" t="s">
        <v>59</v>
      </c>
      <c r="BY17" s="49"/>
      <c r="BZ17" s="49" t="s">
        <v>13</v>
      </c>
      <c r="CA17" s="49" t="s">
        <v>59</v>
      </c>
      <c r="CB17" s="49" t="s">
        <v>59</v>
      </c>
      <c r="CC17" s="49" t="s">
        <v>13</v>
      </c>
      <c r="CD17" s="49" t="s">
        <v>13</v>
      </c>
      <c r="CE17" s="49" t="s">
        <v>59</v>
      </c>
      <c r="CF17" s="49" t="s">
        <v>13</v>
      </c>
      <c r="CG17" s="49" t="s">
        <v>13</v>
      </c>
      <c r="CH17" s="49" t="s">
        <v>13</v>
      </c>
      <c r="CI17" s="49" t="s">
        <v>59</v>
      </c>
      <c r="CJ17" s="49" t="s">
        <v>13</v>
      </c>
      <c r="CK17" s="49" t="s">
        <v>13</v>
      </c>
      <c r="CL17" s="49" t="s">
        <v>13</v>
      </c>
      <c r="CM17" s="49"/>
      <c r="CN17" s="49" t="s">
        <v>13</v>
      </c>
      <c r="CO17" s="49" t="s">
        <v>13</v>
      </c>
      <c r="CP17" s="49" t="s">
        <v>13</v>
      </c>
      <c r="CQ17" s="49" t="s">
        <v>13</v>
      </c>
      <c r="CR17" s="49" t="s">
        <v>59</v>
      </c>
      <c r="CS17" s="49" t="s">
        <v>13</v>
      </c>
      <c r="CT17" s="49" t="s">
        <v>13</v>
      </c>
      <c r="CU17" s="49" t="s">
        <v>13</v>
      </c>
      <c r="CV17" s="49" t="s">
        <v>13</v>
      </c>
      <c r="CW17" s="122" t="s">
        <v>13</v>
      </c>
      <c r="CX17" s="49" t="s">
        <v>13</v>
      </c>
      <c r="CY17" s="49" t="s">
        <v>13</v>
      </c>
      <c r="CZ17" s="49" t="s">
        <v>13</v>
      </c>
      <c r="DA17" s="122"/>
      <c r="DB17" s="122"/>
      <c r="DC17" s="122"/>
      <c r="DD17" s="122"/>
      <c r="DE17" s="49" t="s">
        <v>13</v>
      </c>
      <c r="DF17" s="49" t="s">
        <v>13</v>
      </c>
      <c r="DG17" s="49"/>
      <c r="DH17" s="49"/>
      <c r="DI17" s="49" t="s">
        <v>13</v>
      </c>
      <c r="DJ17" s="49" t="s">
        <v>59</v>
      </c>
      <c r="DK17" s="49" t="s">
        <v>20</v>
      </c>
      <c r="DL17" s="49" t="s">
        <v>13</v>
      </c>
      <c r="DM17" s="49" t="s">
        <v>13</v>
      </c>
      <c r="DN17" s="49" t="s">
        <v>13</v>
      </c>
      <c r="DO17" s="49" t="s">
        <v>13</v>
      </c>
      <c r="DP17" s="49" t="s">
        <v>13</v>
      </c>
      <c r="DQ17" s="49" t="s">
        <v>13</v>
      </c>
      <c r="DR17" s="49" t="s">
        <v>13</v>
      </c>
      <c r="DS17" s="49" t="s">
        <v>13</v>
      </c>
      <c r="DT17" s="49" t="s">
        <v>13</v>
      </c>
      <c r="DU17" s="49" t="s">
        <v>13</v>
      </c>
      <c r="DV17" s="49" t="s">
        <v>13</v>
      </c>
      <c r="DW17" s="49" t="s">
        <v>13</v>
      </c>
      <c r="DX17" s="49" t="s">
        <v>13</v>
      </c>
      <c r="DY17" s="49" t="s">
        <v>13</v>
      </c>
      <c r="DZ17" s="49" t="s">
        <v>13</v>
      </c>
      <c r="EA17" s="49" t="s">
        <v>13</v>
      </c>
      <c r="EB17" s="49" t="s">
        <v>13</v>
      </c>
      <c r="EC17" s="49" t="s">
        <v>13</v>
      </c>
      <c r="ED17" s="49" t="s">
        <v>13</v>
      </c>
      <c r="EE17" s="49" t="s">
        <v>13</v>
      </c>
      <c r="EF17" s="93" t="s">
        <v>13</v>
      </c>
      <c r="EG17" s="93" t="s">
        <v>13</v>
      </c>
      <c r="EH17" s="93" t="s">
        <v>59</v>
      </c>
      <c r="EI17" s="93" t="s">
        <v>59</v>
      </c>
      <c r="EJ17" s="93" t="s">
        <v>59</v>
      </c>
      <c r="EK17" s="93" t="s">
        <v>13</v>
      </c>
      <c r="EL17" s="93"/>
      <c r="EM17" s="93" t="s">
        <v>13</v>
      </c>
      <c r="EN17" s="93" t="s">
        <v>13</v>
      </c>
      <c r="EO17" s="93"/>
      <c r="EP17" s="93"/>
      <c r="EQ17" s="49"/>
      <c r="ER17" s="49"/>
      <c r="ES17" s="49"/>
      <c r="ET17" s="49"/>
      <c r="EU17" s="49" t="s">
        <v>13</v>
      </c>
      <c r="EV17" s="93"/>
      <c r="EW17" s="49" t="s">
        <v>13</v>
      </c>
      <c r="EX17" s="49" t="s">
        <v>59</v>
      </c>
      <c r="EY17" s="49" t="s">
        <v>59</v>
      </c>
      <c r="EZ17" s="49" t="s">
        <v>59</v>
      </c>
      <c r="FA17" s="49"/>
      <c r="FB17" s="49" t="s">
        <v>13</v>
      </c>
      <c r="FC17" s="49" t="s">
        <v>13</v>
      </c>
      <c r="FD17" s="49" t="s">
        <v>59</v>
      </c>
      <c r="FE17" s="49" t="s">
        <v>59</v>
      </c>
      <c r="FF17" s="49" t="s">
        <v>59</v>
      </c>
      <c r="FG17" s="49" t="s">
        <v>20</v>
      </c>
      <c r="FH17" s="49"/>
      <c r="FI17" s="49" t="s">
        <v>20</v>
      </c>
      <c r="FJ17" s="49" t="s">
        <v>20</v>
      </c>
      <c r="FK17" s="49"/>
      <c r="FL17" s="49" t="s">
        <v>20</v>
      </c>
      <c r="FM17" s="49"/>
      <c r="FN17" s="49" t="s">
        <v>59</v>
      </c>
      <c r="FO17" s="49" t="s">
        <v>13</v>
      </c>
      <c r="FP17" s="49"/>
      <c r="FQ17" s="49"/>
      <c r="FR17" s="49"/>
      <c r="FS17" s="49"/>
      <c r="FT17" s="49"/>
      <c r="FU17" s="49" t="s">
        <v>13</v>
      </c>
      <c r="FV17" s="49" t="s">
        <v>13</v>
      </c>
      <c r="FW17" s="49"/>
      <c r="FX17" s="49" t="s">
        <v>20</v>
      </c>
      <c r="FY17" s="49" t="s">
        <v>20</v>
      </c>
      <c r="FZ17" s="49"/>
      <c r="GA17" s="49" t="s">
        <v>20</v>
      </c>
      <c r="GB17" s="49" t="s">
        <v>20</v>
      </c>
      <c r="GC17" s="49"/>
      <c r="GD17" s="49"/>
      <c r="GE17" s="49" t="s">
        <v>20</v>
      </c>
      <c r="GF17" s="49"/>
      <c r="GG17" s="49" t="s">
        <v>20</v>
      </c>
      <c r="GH17" s="49" t="s">
        <v>20</v>
      </c>
      <c r="GI17" s="49" t="s">
        <v>59</v>
      </c>
      <c r="GJ17" s="49" t="s">
        <v>59</v>
      </c>
      <c r="GK17" s="49" t="s">
        <v>59</v>
      </c>
      <c r="GL17" s="465" t="s">
        <v>59</v>
      </c>
      <c r="GM17" s="465" t="s">
        <v>59</v>
      </c>
      <c r="GN17" s="49" t="s">
        <v>59</v>
      </c>
      <c r="GO17" s="49" t="s">
        <v>59</v>
      </c>
      <c r="GP17" s="49" t="s">
        <v>13</v>
      </c>
      <c r="GQ17" s="122" t="s">
        <v>13</v>
      </c>
      <c r="GR17" s="49" t="s">
        <v>59</v>
      </c>
      <c r="GS17" s="49"/>
      <c r="GT17" s="49" t="s">
        <v>59</v>
      </c>
      <c r="GU17" s="49" t="s">
        <v>59</v>
      </c>
      <c r="GV17" s="49" t="s">
        <v>59</v>
      </c>
      <c r="GW17" s="49" t="s">
        <v>59</v>
      </c>
      <c r="GX17" s="49" t="s">
        <v>59</v>
      </c>
      <c r="GY17" s="122" t="s">
        <v>59</v>
      </c>
      <c r="GZ17" s="49"/>
      <c r="HA17" s="49" t="s">
        <v>20</v>
      </c>
      <c r="HB17" s="49"/>
      <c r="HC17" s="49" t="s">
        <v>20</v>
      </c>
      <c r="HD17" s="49" t="s">
        <v>20</v>
      </c>
      <c r="HE17" s="49" t="s">
        <v>20</v>
      </c>
      <c r="HF17" s="49" t="s">
        <v>59</v>
      </c>
      <c r="HG17" s="49" t="s">
        <v>59</v>
      </c>
      <c r="HH17" s="122" t="s">
        <v>59</v>
      </c>
      <c r="HI17" s="122" t="s">
        <v>59</v>
      </c>
      <c r="HJ17" s="49" t="s">
        <v>59</v>
      </c>
      <c r="HK17" s="122" t="s">
        <v>59</v>
      </c>
      <c r="HL17" s="122" t="s">
        <v>59</v>
      </c>
      <c r="HM17" s="122" t="s">
        <v>59</v>
      </c>
      <c r="HN17" s="49" t="s">
        <v>59</v>
      </c>
      <c r="HO17" s="49" t="s">
        <v>59</v>
      </c>
      <c r="HP17" s="122" t="s">
        <v>59</v>
      </c>
      <c r="HQ17" s="122" t="s">
        <v>59</v>
      </c>
      <c r="HR17" s="122" t="s">
        <v>59</v>
      </c>
      <c r="HS17" s="49" t="s">
        <v>59</v>
      </c>
      <c r="HT17" s="49" t="s">
        <v>13</v>
      </c>
      <c r="HU17" s="122" t="s">
        <v>59</v>
      </c>
      <c r="HV17" s="49" t="s">
        <v>59</v>
      </c>
      <c r="HW17" s="122" t="s">
        <v>59</v>
      </c>
      <c r="HX17" s="49" t="s">
        <v>59</v>
      </c>
      <c r="HY17" s="122" t="s">
        <v>59</v>
      </c>
      <c r="HZ17" s="49" t="s">
        <v>59</v>
      </c>
      <c r="IA17" s="49" t="s">
        <v>20</v>
      </c>
      <c r="IB17" s="49" t="s">
        <v>20</v>
      </c>
      <c r="IC17" s="49" t="s">
        <v>59</v>
      </c>
      <c r="ID17" s="49" t="s">
        <v>59</v>
      </c>
      <c r="IE17" s="49" t="s">
        <v>59</v>
      </c>
      <c r="IF17" s="49" t="s">
        <v>20</v>
      </c>
      <c r="IG17" s="49" t="s">
        <v>59</v>
      </c>
      <c r="IH17" s="122" t="s">
        <v>59</v>
      </c>
      <c r="II17" s="122"/>
      <c r="IJ17" s="122"/>
      <c r="IK17" s="465" t="s">
        <v>59</v>
      </c>
      <c r="IL17" s="465" t="s">
        <v>59</v>
      </c>
      <c r="IM17" s="465" t="s">
        <v>59</v>
      </c>
      <c r="IN17" s="465" t="s">
        <v>59</v>
      </c>
      <c r="IO17" s="465" t="s">
        <v>59</v>
      </c>
      <c r="IP17" s="465" t="s">
        <v>59</v>
      </c>
      <c r="IQ17" s="465" t="s">
        <v>59</v>
      </c>
      <c r="IR17" s="465" t="s">
        <v>59</v>
      </c>
      <c r="IS17" s="49"/>
      <c r="IT17" s="49"/>
      <c r="IU17" s="49"/>
      <c r="IV17" s="465" t="s">
        <v>59</v>
      </c>
      <c r="IW17" s="465" t="s">
        <v>59</v>
      </c>
      <c r="IX17" s="465" t="s">
        <v>59</v>
      </c>
      <c r="IY17" s="465" t="s">
        <v>59</v>
      </c>
      <c r="IZ17" s="465" t="s">
        <v>59</v>
      </c>
      <c r="JA17" s="465" t="s">
        <v>59</v>
      </c>
      <c r="JB17" s="465" t="s">
        <v>59</v>
      </c>
      <c r="JC17" s="465" t="s">
        <v>59</v>
      </c>
      <c r="JD17" s="465" t="s">
        <v>59</v>
      </c>
      <c r="JE17" s="465" t="s">
        <v>59</v>
      </c>
      <c r="JF17" s="465" t="s">
        <v>59</v>
      </c>
      <c r="JG17" s="465" t="s">
        <v>59</v>
      </c>
      <c r="JH17" s="465" t="s">
        <v>59</v>
      </c>
      <c r="JI17" s="465" t="s">
        <v>59</v>
      </c>
      <c r="JJ17" s="465" t="s">
        <v>59</v>
      </c>
      <c r="JK17" s="465" t="s">
        <v>59</v>
      </c>
      <c r="JL17" s="49" t="s">
        <v>59</v>
      </c>
      <c r="JM17" s="465" t="s">
        <v>59</v>
      </c>
      <c r="JN17" s="465" t="s">
        <v>59</v>
      </c>
      <c r="JO17" s="465" t="s">
        <v>59</v>
      </c>
      <c r="JP17" s="465" t="s">
        <v>59</v>
      </c>
      <c r="JQ17" s="465" t="s">
        <v>59</v>
      </c>
      <c r="JR17" s="465" t="s">
        <v>59</v>
      </c>
      <c r="JS17" s="465" t="s">
        <v>59</v>
      </c>
      <c r="JT17" s="465" t="s">
        <v>59</v>
      </c>
      <c r="JU17" s="465" t="s">
        <v>59</v>
      </c>
      <c r="JV17" s="465" t="s">
        <v>59</v>
      </c>
      <c r="JW17" s="465" t="s">
        <v>59</v>
      </c>
      <c r="JX17" s="465" t="s">
        <v>59</v>
      </c>
      <c r="JY17" s="465" t="s">
        <v>59</v>
      </c>
      <c r="JZ17" s="465" t="s">
        <v>59</v>
      </c>
      <c r="KA17" s="465" t="s">
        <v>59</v>
      </c>
      <c r="KB17" s="465" t="s">
        <v>59</v>
      </c>
      <c r="KC17" s="465" t="s">
        <v>59</v>
      </c>
      <c r="KD17" s="465" t="s">
        <v>59</v>
      </c>
      <c r="KE17" s="49" t="s">
        <v>59</v>
      </c>
      <c r="KF17" s="49" t="s">
        <v>59</v>
      </c>
      <c r="KG17" s="49" t="s">
        <v>59</v>
      </c>
      <c r="KH17" s="49" t="s">
        <v>59</v>
      </c>
      <c r="KI17" s="49" t="s">
        <v>59</v>
      </c>
      <c r="KJ17" s="49" t="s">
        <v>59</v>
      </c>
      <c r="KK17" s="49" t="s">
        <v>59</v>
      </c>
      <c r="KL17" s="49" t="s">
        <v>59</v>
      </c>
      <c r="KM17" s="49" t="s">
        <v>59</v>
      </c>
      <c r="KN17" s="49" t="s">
        <v>59</v>
      </c>
      <c r="KO17" s="49" t="s">
        <v>59</v>
      </c>
      <c r="KP17" s="49" t="s">
        <v>59</v>
      </c>
      <c r="KQ17" s="49" t="s">
        <v>59</v>
      </c>
      <c r="KR17" s="49" t="s">
        <v>59</v>
      </c>
      <c r="KS17" s="49" t="s">
        <v>59</v>
      </c>
      <c r="KT17" s="49" t="s">
        <v>59</v>
      </c>
      <c r="KU17" s="49" t="s">
        <v>59</v>
      </c>
      <c r="KV17" s="49" t="s">
        <v>59</v>
      </c>
      <c r="KW17" s="49" t="s">
        <v>59</v>
      </c>
      <c r="KX17" s="49" t="s">
        <v>59</v>
      </c>
      <c r="KY17" s="49" t="s">
        <v>59</v>
      </c>
      <c r="KZ17" s="49" t="s">
        <v>59</v>
      </c>
      <c r="LA17" s="49" t="s">
        <v>59</v>
      </c>
      <c r="LB17" s="49" t="s">
        <v>59</v>
      </c>
      <c r="LC17" s="49" t="s">
        <v>59</v>
      </c>
      <c r="LD17" s="49" t="s">
        <v>59</v>
      </c>
      <c r="LE17" s="49" t="s">
        <v>59</v>
      </c>
      <c r="LF17" s="49" t="s">
        <v>59</v>
      </c>
      <c r="LG17" s="49" t="s">
        <v>59</v>
      </c>
      <c r="LH17" s="49" t="s">
        <v>59</v>
      </c>
      <c r="LI17" s="49" t="s">
        <v>59</v>
      </c>
      <c r="LJ17" s="49" t="s">
        <v>59</v>
      </c>
      <c r="LK17" s="49" t="s">
        <v>59</v>
      </c>
      <c r="LL17" s="49" t="s">
        <v>59</v>
      </c>
      <c r="LM17" s="49" t="s">
        <v>59</v>
      </c>
      <c r="LN17" s="101" t="s">
        <v>13</v>
      </c>
      <c r="LO17" s="49" t="s">
        <v>59</v>
      </c>
      <c r="LP17" s="49" t="s">
        <v>59</v>
      </c>
      <c r="LQ17" s="49" t="s">
        <v>59</v>
      </c>
      <c r="LR17" s="49" t="s">
        <v>59</v>
      </c>
      <c r="LS17" s="49" t="s">
        <v>59</v>
      </c>
      <c r="LT17" s="49" t="s">
        <v>59</v>
      </c>
      <c r="LU17" s="49" t="s">
        <v>59</v>
      </c>
      <c r="LV17" s="49" t="s">
        <v>59</v>
      </c>
      <c r="LW17" s="49" t="s">
        <v>59</v>
      </c>
      <c r="LX17" s="49" t="s">
        <v>59</v>
      </c>
      <c r="LY17" s="49" t="s">
        <v>59</v>
      </c>
      <c r="LZ17" s="49" t="s">
        <v>59</v>
      </c>
      <c r="MA17" s="49" t="s">
        <v>59</v>
      </c>
      <c r="MB17" s="49" t="s">
        <v>59</v>
      </c>
      <c r="MC17" s="49" t="s">
        <v>59</v>
      </c>
      <c r="MD17" s="49" t="s">
        <v>59</v>
      </c>
      <c r="ME17" s="49" t="s">
        <v>59</v>
      </c>
      <c r="MF17" s="49" t="s">
        <v>59</v>
      </c>
      <c r="MG17" s="49" t="s">
        <v>59</v>
      </c>
      <c r="MH17" s="49" t="s">
        <v>59</v>
      </c>
      <c r="MI17" s="49" t="s">
        <v>59</v>
      </c>
      <c r="MJ17" s="49" t="s">
        <v>59</v>
      </c>
      <c r="MK17" s="49" t="s">
        <v>59</v>
      </c>
      <c r="ML17" s="49" t="s">
        <v>59</v>
      </c>
      <c r="MM17" s="49" t="s">
        <v>20</v>
      </c>
      <c r="MN17" s="49" t="s">
        <v>59</v>
      </c>
      <c r="MO17" s="49" t="s">
        <v>59</v>
      </c>
      <c r="MP17" s="49" t="s">
        <v>59</v>
      </c>
      <c r="MQ17" s="49" t="s">
        <v>59</v>
      </c>
      <c r="MR17" s="49" t="s">
        <v>59</v>
      </c>
      <c r="MS17" s="49" t="s">
        <v>59</v>
      </c>
      <c r="MT17" s="49" t="s">
        <v>59</v>
      </c>
      <c r="MU17" s="49" t="s">
        <v>59</v>
      </c>
      <c r="MV17" s="49" t="s">
        <v>59</v>
      </c>
      <c r="MW17" s="49" t="s">
        <v>20</v>
      </c>
      <c r="MX17" s="49" t="s">
        <v>59</v>
      </c>
      <c r="MY17" s="49" t="s">
        <v>59</v>
      </c>
      <c r="MZ17" s="49" t="s">
        <v>59</v>
      </c>
      <c r="NA17" s="49" t="s">
        <v>59</v>
      </c>
      <c r="NB17" s="49"/>
      <c r="NC17" s="49"/>
      <c r="ND17" s="49"/>
      <c r="NE17" s="49"/>
      <c r="NF17" s="49" t="s">
        <v>13</v>
      </c>
      <c r="NG17" s="49" t="s">
        <v>59</v>
      </c>
      <c r="NH17" s="49" t="s">
        <v>13</v>
      </c>
      <c r="NI17" s="49" t="s">
        <v>59</v>
      </c>
      <c r="NJ17" s="49" t="s">
        <v>13</v>
      </c>
      <c r="NK17" s="49"/>
      <c r="NL17" s="49" t="s">
        <v>13</v>
      </c>
      <c r="NM17" s="49" t="s">
        <v>13</v>
      </c>
      <c r="NN17" s="49" t="s">
        <v>59</v>
      </c>
      <c r="NO17" s="49" t="s">
        <v>13</v>
      </c>
      <c r="NP17" s="49" t="s">
        <v>13</v>
      </c>
      <c r="NQ17" s="49" t="s">
        <v>59</v>
      </c>
      <c r="NR17" s="49" t="s">
        <v>59</v>
      </c>
      <c r="NS17" s="49" t="s">
        <v>59</v>
      </c>
      <c r="NT17" s="49" t="s">
        <v>59</v>
      </c>
      <c r="NU17" s="49" t="s">
        <v>59</v>
      </c>
      <c r="NV17" s="49" t="s">
        <v>59</v>
      </c>
      <c r="NW17" s="49" t="s">
        <v>59</v>
      </c>
      <c r="NX17" s="49" t="s">
        <v>59</v>
      </c>
      <c r="NY17" s="49" t="s">
        <v>59</v>
      </c>
      <c r="NZ17" s="49" t="s">
        <v>59</v>
      </c>
      <c r="OA17" s="49" t="s">
        <v>59</v>
      </c>
      <c r="OB17" s="49" t="s">
        <v>59</v>
      </c>
      <c r="OC17" s="49" t="s">
        <v>59</v>
      </c>
      <c r="OD17" s="49" t="s">
        <v>59</v>
      </c>
      <c r="OE17" s="49" t="s">
        <v>59</v>
      </c>
      <c r="OF17" s="49" t="s">
        <v>59</v>
      </c>
      <c r="OG17" s="49" t="s">
        <v>59</v>
      </c>
      <c r="OH17" s="49" t="s">
        <v>59</v>
      </c>
      <c r="OI17" s="49" t="s">
        <v>59</v>
      </c>
      <c r="OJ17" s="49" t="s">
        <v>59</v>
      </c>
      <c r="OK17" s="49" t="s">
        <v>59</v>
      </c>
      <c r="OL17" s="49" t="s">
        <v>59</v>
      </c>
      <c r="OM17" s="49" t="s">
        <v>59</v>
      </c>
      <c r="ON17" s="49" t="s">
        <v>59</v>
      </c>
      <c r="OO17" s="49" t="s">
        <v>59</v>
      </c>
      <c r="OP17" s="49" t="s">
        <v>59</v>
      </c>
      <c r="OQ17" s="49" t="s">
        <v>59</v>
      </c>
      <c r="OR17" s="49" t="s">
        <v>59</v>
      </c>
      <c r="OS17" s="49" t="s">
        <v>59</v>
      </c>
      <c r="OT17" s="49" t="s">
        <v>59</v>
      </c>
      <c r="OU17" s="49" t="s">
        <v>59</v>
      </c>
      <c r="OV17" s="49" t="s">
        <v>59</v>
      </c>
      <c r="OW17" s="49" t="s">
        <v>59</v>
      </c>
      <c r="OX17" s="49" t="s">
        <v>59</v>
      </c>
      <c r="OY17" s="49" t="s">
        <v>59</v>
      </c>
      <c r="OZ17" s="49" t="s">
        <v>59</v>
      </c>
      <c r="PA17" s="49" t="s">
        <v>59</v>
      </c>
      <c r="PB17" s="49" t="s">
        <v>59</v>
      </c>
      <c r="PC17" s="49" t="s">
        <v>59</v>
      </c>
      <c r="PD17" s="49" t="s">
        <v>59</v>
      </c>
      <c r="PE17" s="49" t="s">
        <v>59</v>
      </c>
      <c r="PF17" s="49" t="s">
        <v>59</v>
      </c>
      <c r="PG17" s="49" t="s">
        <v>59</v>
      </c>
      <c r="PH17" s="49" t="s">
        <v>59</v>
      </c>
      <c r="PI17" s="49" t="s">
        <v>59</v>
      </c>
      <c r="PJ17" s="49" t="s">
        <v>59</v>
      </c>
      <c r="PK17" s="49" t="s">
        <v>59</v>
      </c>
      <c r="PL17" s="49" t="s">
        <v>59</v>
      </c>
      <c r="PM17" s="49" t="s">
        <v>59</v>
      </c>
      <c r="PN17" s="49" t="s">
        <v>59</v>
      </c>
      <c r="PO17" s="49" t="s">
        <v>59</v>
      </c>
      <c r="PP17" s="49" t="s">
        <v>59</v>
      </c>
      <c r="PQ17" s="49" t="s">
        <v>59</v>
      </c>
      <c r="PR17" s="49" t="s">
        <v>59</v>
      </c>
      <c r="PS17" s="49" t="s">
        <v>59</v>
      </c>
      <c r="PT17" s="49" t="s">
        <v>59</v>
      </c>
      <c r="PU17" s="49" t="s">
        <v>59</v>
      </c>
      <c r="PV17" s="49" t="s">
        <v>59</v>
      </c>
      <c r="PW17" s="49" t="s">
        <v>59</v>
      </c>
      <c r="PX17" s="49"/>
      <c r="PY17" s="49" t="s">
        <v>59</v>
      </c>
      <c r="PZ17" s="49" t="s">
        <v>13</v>
      </c>
      <c r="QA17" s="49" t="s">
        <v>59</v>
      </c>
      <c r="QB17" s="49" t="s">
        <v>59</v>
      </c>
      <c r="QC17" s="49" t="s">
        <v>59</v>
      </c>
      <c r="QD17" s="49" t="s">
        <v>59</v>
      </c>
      <c r="QE17" s="49" t="s">
        <v>59</v>
      </c>
      <c r="QF17" s="49" t="s">
        <v>59</v>
      </c>
      <c r="QG17" s="49" t="s">
        <v>59</v>
      </c>
      <c r="QH17" s="49" t="s">
        <v>20</v>
      </c>
      <c r="QI17" s="49" t="s">
        <v>59</v>
      </c>
      <c r="QJ17" s="49" t="s">
        <v>59</v>
      </c>
      <c r="QK17" s="49" t="s">
        <v>59</v>
      </c>
      <c r="QL17" s="49" t="s">
        <v>59</v>
      </c>
      <c r="QM17" s="49" t="s">
        <v>59</v>
      </c>
      <c r="QN17" s="49" t="s">
        <v>59</v>
      </c>
      <c r="QO17" s="49" t="s">
        <v>59</v>
      </c>
      <c r="QP17" s="49" t="s">
        <v>59</v>
      </c>
      <c r="QQ17" s="49"/>
      <c r="QR17" s="49" t="s">
        <v>59</v>
      </c>
      <c r="QS17" s="49" t="s">
        <v>59</v>
      </c>
      <c r="QT17" s="49" t="s">
        <v>59</v>
      </c>
      <c r="QU17" s="49" t="s">
        <v>59</v>
      </c>
      <c r="QV17" s="49" t="s">
        <v>59</v>
      </c>
      <c r="QW17" s="49" t="s">
        <v>59</v>
      </c>
      <c r="QX17" s="49" t="s">
        <v>59</v>
      </c>
      <c r="QY17" s="49" t="s">
        <v>59</v>
      </c>
      <c r="QZ17" s="49" t="s">
        <v>59</v>
      </c>
      <c r="RA17" s="49" t="s">
        <v>59</v>
      </c>
      <c r="RB17" s="49" t="s">
        <v>59</v>
      </c>
      <c r="RC17" s="49" t="s">
        <v>59</v>
      </c>
      <c r="RD17" s="49" t="s">
        <v>59</v>
      </c>
      <c r="RE17" s="49" t="s">
        <v>59</v>
      </c>
      <c r="RF17" s="49" t="s">
        <v>59</v>
      </c>
      <c r="RG17" s="49" t="s">
        <v>59</v>
      </c>
      <c r="RH17" s="49" t="s">
        <v>59</v>
      </c>
      <c r="RI17" s="49" t="s">
        <v>59</v>
      </c>
      <c r="RJ17" s="49" t="s">
        <v>59</v>
      </c>
      <c r="RK17" s="49" t="s">
        <v>59</v>
      </c>
      <c r="RL17" s="49" t="s">
        <v>59</v>
      </c>
      <c r="RM17" s="49" t="s">
        <v>59</v>
      </c>
      <c r="RN17" s="49" t="s">
        <v>59</v>
      </c>
      <c r="RO17" s="49" t="s">
        <v>59</v>
      </c>
      <c r="RP17" s="49" t="s">
        <v>59</v>
      </c>
      <c r="RQ17" s="49" t="s">
        <v>59</v>
      </c>
      <c r="RR17" s="49" t="s">
        <v>59</v>
      </c>
      <c r="RS17" s="49" t="s">
        <v>59</v>
      </c>
      <c r="RT17" s="49" t="s">
        <v>59</v>
      </c>
      <c r="RU17" s="49" t="s">
        <v>59</v>
      </c>
      <c r="RV17" s="49" t="s">
        <v>59</v>
      </c>
      <c r="RW17" s="49" t="s">
        <v>59</v>
      </c>
      <c r="RX17" s="49" t="s">
        <v>13</v>
      </c>
      <c r="RY17" s="408" t="s">
        <v>13</v>
      </c>
      <c r="RZ17" s="49" t="s">
        <v>59</v>
      </c>
      <c r="SA17" s="49" t="s">
        <v>59</v>
      </c>
      <c r="SB17" s="49"/>
      <c r="SC17" s="49"/>
      <c r="SD17" s="49" t="s">
        <v>20</v>
      </c>
      <c r="SE17" s="49" t="s">
        <v>59</v>
      </c>
      <c r="SF17" s="49" t="s">
        <v>59</v>
      </c>
      <c r="SG17" s="49" t="s">
        <v>59</v>
      </c>
      <c r="SH17" s="49" t="s">
        <v>59</v>
      </c>
      <c r="SI17" s="49" t="s">
        <v>59</v>
      </c>
      <c r="SJ17" s="49" t="s">
        <v>59</v>
      </c>
      <c r="SK17" s="49" t="s">
        <v>59</v>
      </c>
      <c r="SL17" s="49" t="s">
        <v>59</v>
      </c>
      <c r="SM17" s="49" t="s">
        <v>59</v>
      </c>
      <c r="SN17" s="49" t="s">
        <v>59</v>
      </c>
      <c r="SO17" s="49" t="s">
        <v>20</v>
      </c>
      <c r="SP17" s="49" t="s">
        <v>59</v>
      </c>
      <c r="SQ17" s="49" t="s">
        <v>59</v>
      </c>
      <c r="SR17" s="49" t="s">
        <v>59</v>
      </c>
      <c r="SS17" s="49" t="s">
        <v>59</v>
      </c>
      <c r="ST17" s="49"/>
      <c r="SU17" s="49" t="s">
        <v>59</v>
      </c>
      <c r="SV17" s="49" t="s">
        <v>59</v>
      </c>
      <c r="SW17" s="49" t="s">
        <v>59</v>
      </c>
      <c r="SX17" s="49" t="s">
        <v>59</v>
      </c>
      <c r="SY17" s="49" t="s">
        <v>59</v>
      </c>
      <c r="SZ17" s="49" t="s">
        <v>20</v>
      </c>
      <c r="TA17" s="49" t="s">
        <v>59</v>
      </c>
      <c r="TB17" s="49" t="s">
        <v>59</v>
      </c>
      <c r="TC17" s="49" t="s">
        <v>59</v>
      </c>
      <c r="TD17" s="49" t="s">
        <v>20</v>
      </c>
      <c r="TE17" s="49" t="s">
        <v>59</v>
      </c>
      <c r="TF17" s="49"/>
      <c r="TG17" s="49"/>
      <c r="TH17" s="49"/>
      <c r="TI17" s="49"/>
      <c r="TJ17" s="49"/>
      <c r="TK17" s="49"/>
      <c r="TL17" s="49"/>
      <c r="TM17" s="49"/>
      <c r="TN17" s="93"/>
      <c r="TO17" s="93"/>
      <c r="TP17" s="93"/>
      <c r="TQ17" s="93"/>
      <c r="TR17" s="93"/>
      <c r="TS17" s="93"/>
      <c r="TT17" s="93"/>
      <c r="TU17" s="93"/>
      <c r="TV17" s="93"/>
      <c r="TW17" s="49"/>
      <c r="TX17" s="49"/>
      <c r="TY17" s="49"/>
      <c r="TZ17" s="72"/>
      <c r="UA17" s="72"/>
      <c r="UB17" s="72"/>
      <c r="UC17" s="72"/>
      <c r="UD17" s="49"/>
      <c r="UE17" s="49"/>
      <c r="UF17" s="49"/>
      <c r="UG17" s="49"/>
      <c r="UH17" s="49"/>
      <c r="UI17" s="49"/>
      <c r="UJ17" s="49"/>
      <c r="UK17" s="49"/>
      <c r="UL17" s="49"/>
      <c r="UM17" s="49"/>
      <c r="UN17" s="49"/>
      <c r="UO17" s="49"/>
      <c r="UP17" s="49"/>
      <c r="UQ17" s="49"/>
      <c r="UR17" s="49"/>
      <c r="US17" s="49"/>
      <c r="UT17" s="49"/>
      <c r="UU17" s="49"/>
      <c r="UV17" s="49"/>
      <c r="UW17" s="49"/>
      <c r="UX17" s="49"/>
      <c r="UY17" s="49"/>
      <c r="UZ17" s="49"/>
      <c r="VA17" s="49"/>
      <c r="VB17" s="49"/>
      <c r="VC17" s="49"/>
      <c r="VD17" s="49"/>
      <c r="VE17" s="49"/>
      <c r="VF17" s="49"/>
      <c r="VG17" s="49"/>
      <c r="VH17" s="49"/>
      <c r="VI17" s="49"/>
      <c r="VJ17" s="49"/>
      <c r="VK17" s="49"/>
      <c r="VL17" s="49"/>
      <c r="VM17" s="49"/>
      <c r="VN17" s="49"/>
      <c r="VO17" s="49"/>
      <c r="VP17" s="49"/>
      <c r="VQ17" s="49"/>
      <c r="VR17" s="49"/>
      <c r="VS17" s="49"/>
      <c r="VT17" s="49"/>
      <c r="VU17" s="49"/>
      <c r="VV17" s="49"/>
      <c r="VW17" s="49"/>
      <c r="VX17" s="49"/>
      <c r="VY17" s="49"/>
      <c r="VZ17" s="49"/>
      <c r="WA17" s="49"/>
      <c r="WB17" s="49"/>
      <c r="WC17" s="49"/>
      <c r="WD17" s="49"/>
      <c r="WE17" s="49"/>
      <c r="WF17" s="49"/>
      <c r="WG17" s="49"/>
      <c r="WH17" s="49"/>
      <c r="WI17" s="49"/>
      <c r="WJ17" s="49"/>
      <c r="WK17" s="49"/>
      <c r="WL17" s="49"/>
      <c r="WM17" s="49"/>
      <c r="WN17" s="49"/>
      <c r="WO17" s="49"/>
      <c r="WP17" s="49"/>
      <c r="WQ17" s="49"/>
      <c r="WR17" s="49"/>
      <c r="WS17" s="49"/>
      <c r="WT17" s="49"/>
      <c r="WU17" s="49"/>
      <c r="WV17" s="49"/>
      <c r="WW17" s="49"/>
      <c r="WX17" s="49"/>
      <c r="WY17" s="49"/>
      <c r="WZ17" s="49"/>
      <c r="XA17" s="49"/>
      <c r="XB17" s="49"/>
      <c r="XC17" s="49"/>
      <c r="XD17" s="49"/>
      <c r="XE17" s="49"/>
      <c r="XF17" s="49"/>
      <c r="XG17" s="49"/>
      <c r="XH17" s="49"/>
      <c r="XI17" s="49"/>
      <c r="XJ17" s="49"/>
      <c r="XK17" s="49"/>
      <c r="XL17" s="49"/>
      <c r="XM17" s="49"/>
      <c r="XN17" s="49"/>
      <c r="XO17" s="49"/>
      <c r="XP17" s="49"/>
      <c r="XQ17" s="49" t="s">
        <v>13</v>
      </c>
      <c r="XR17" s="49" t="s">
        <v>13</v>
      </c>
      <c r="XS17" s="49" t="s">
        <v>13</v>
      </c>
      <c r="XT17" s="49" t="s">
        <v>13</v>
      </c>
      <c r="XU17" s="49" t="s">
        <v>13</v>
      </c>
      <c r="XV17" s="49" t="s">
        <v>59</v>
      </c>
      <c r="XW17" s="49" t="s">
        <v>13</v>
      </c>
      <c r="XX17" s="49" t="s">
        <v>13</v>
      </c>
      <c r="XY17" s="49" t="s">
        <v>13</v>
      </c>
      <c r="XZ17" s="49" t="s">
        <v>13</v>
      </c>
      <c r="YA17" s="49" t="s">
        <v>13</v>
      </c>
      <c r="YB17" s="49" t="s">
        <v>13</v>
      </c>
      <c r="YC17" s="49" t="s">
        <v>20</v>
      </c>
      <c r="YD17" s="49" t="s">
        <v>20</v>
      </c>
      <c r="YE17" s="49" t="s">
        <v>13</v>
      </c>
      <c r="YF17" s="49" t="s">
        <v>20</v>
      </c>
      <c r="YG17" s="49" t="s">
        <v>13</v>
      </c>
      <c r="YH17" s="49"/>
      <c r="YI17" s="49"/>
      <c r="YJ17" s="49" t="s">
        <v>20</v>
      </c>
      <c r="YK17" s="49" t="s">
        <v>59</v>
      </c>
      <c r="YL17" s="49" t="s">
        <v>13</v>
      </c>
      <c r="YM17" s="122"/>
      <c r="YN17" s="122"/>
      <c r="YO17" s="49"/>
      <c r="YP17" s="49"/>
      <c r="YQ17" s="49"/>
      <c r="YR17" s="49"/>
      <c r="YS17" s="49"/>
      <c r="YT17" s="122"/>
    </row>
    <row r="18" spans="1:670" s="26" customFormat="1" ht="12.1" customHeight="1" x14ac:dyDescent="0.25">
      <c r="A18" s="195" t="s">
        <v>377</v>
      </c>
      <c r="B18" s="196" t="s">
        <v>263</v>
      </c>
      <c r="C18" s="196" t="s">
        <v>1</v>
      </c>
      <c r="D18" s="196" t="s">
        <v>2</v>
      </c>
      <c r="E18" s="197" t="s">
        <v>3</v>
      </c>
      <c r="F18" s="197" t="s">
        <v>379</v>
      </c>
      <c r="G18" s="197" t="s">
        <v>122</v>
      </c>
      <c r="H18" s="197" t="s">
        <v>234</v>
      </c>
      <c r="I18" s="197" t="s">
        <v>77</v>
      </c>
      <c r="J18" s="198" t="s">
        <v>4</v>
      </c>
      <c r="K18" s="198" t="s">
        <v>5</v>
      </c>
      <c r="L18" s="198"/>
      <c r="M18" s="198" t="s">
        <v>71</v>
      </c>
      <c r="N18" s="198" t="s">
        <v>72</v>
      </c>
      <c r="O18" s="198" t="s">
        <v>73</v>
      </c>
      <c r="P18" s="198" t="s">
        <v>102</v>
      </c>
      <c r="Q18" s="198" t="s">
        <v>103</v>
      </c>
      <c r="R18" s="198" t="s">
        <v>104</v>
      </c>
      <c r="S18" s="198" t="s">
        <v>105</v>
      </c>
      <c r="T18" s="198" t="s">
        <v>110</v>
      </c>
      <c r="U18" s="198" t="s">
        <v>8</v>
      </c>
      <c r="V18" s="198" t="s">
        <v>9</v>
      </c>
      <c r="W18" s="198" t="s">
        <v>106</v>
      </c>
      <c r="X18" s="198" t="s">
        <v>21</v>
      </c>
      <c r="Y18" s="198" t="s">
        <v>254</v>
      </c>
      <c r="Z18" s="198" t="s">
        <v>6</v>
      </c>
      <c r="AA18" s="198" t="s">
        <v>7</v>
      </c>
      <c r="AB18" s="198" t="s">
        <v>107</v>
      </c>
      <c r="AC18" s="198" t="s">
        <v>19</v>
      </c>
      <c r="AD18" s="198" t="s">
        <v>22</v>
      </c>
      <c r="AE18" s="198" t="s">
        <v>1224</v>
      </c>
      <c r="AF18" s="198" t="s">
        <v>1225</v>
      </c>
      <c r="AG18" s="198" t="s">
        <v>23</v>
      </c>
      <c r="AH18" s="198" t="s">
        <v>117</v>
      </c>
      <c r="AI18" s="198" t="s">
        <v>867</v>
      </c>
      <c r="AJ18" s="198" t="s">
        <v>126</v>
      </c>
      <c r="AK18" s="198" t="s">
        <v>75</v>
      </c>
      <c r="AL18" s="198" t="s">
        <v>108</v>
      </c>
      <c r="AM18" s="198" t="s">
        <v>109</v>
      </c>
      <c r="AN18" s="198" t="s">
        <v>259</v>
      </c>
      <c r="AO18" s="198" t="s">
        <v>260</v>
      </c>
      <c r="AP18" s="198" t="s">
        <v>1022</v>
      </c>
      <c r="AQ18" s="198" t="s">
        <v>695</v>
      </c>
      <c r="AR18" s="198" t="s">
        <v>697</v>
      </c>
      <c r="AS18" s="198" t="s">
        <v>698</v>
      </c>
      <c r="AT18" s="198" t="s">
        <v>692</v>
      </c>
      <c r="AU18" s="198"/>
      <c r="AV18" s="198"/>
      <c r="AW18" s="198"/>
      <c r="AX18" s="198"/>
      <c r="AY18" s="198"/>
      <c r="AZ18" s="198"/>
      <c r="BA18" s="198"/>
      <c r="BB18" s="198"/>
      <c r="BC18" s="198"/>
      <c r="BD18" s="198"/>
      <c r="BE18" s="198"/>
      <c r="BF18" s="198"/>
      <c r="BG18" s="198"/>
      <c r="BH18" s="198"/>
      <c r="BI18" s="198" t="s">
        <v>1226</v>
      </c>
      <c r="BJ18" s="198" t="s">
        <v>1227</v>
      </c>
      <c r="BK18" s="198" t="s">
        <v>883</v>
      </c>
      <c r="BL18" s="198" t="s">
        <v>70</v>
      </c>
      <c r="BM18" s="198" t="s">
        <v>34</v>
      </c>
      <c r="BN18" s="198" t="s">
        <v>35</v>
      </c>
      <c r="BO18" s="198" t="s">
        <v>144</v>
      </c>
      <c r="BP18" s="198" t="s">
        <v>96</v>
      </c>
      <c r="BQ18" s="198" t="s">
        <v>41</v>
      </c>
      <c r="BR18" s="198" t="s">
        <v>127</v>
      </c>
      <c r="BS18" s="198" t="s">
        <v>142</v>
      </c>
      <c r="BT18" s="198" t="s">
        <v>95</v>
      </c>
      <c r="BU18" s="198" t="s">
        <v>39</v>
      </c>
      <c r="BV18" s="198" t="s">
        <v>143</v>
      </c>
      <c r="BW18" s="198" t="s">
        <v>36</v>
      </c>
      <c r="BX18" s="198" t="s">
        <v>37</v>
      </c>
      <c r="BY18" s="198"/>
      <c r="BZ18" s="198" t="s">
        <v>56</v>
      </c>
      <c r="CA18" s="198"/>
      <c r="CB18" s="198"/>
      <c r="CC18" s="198" t="s">
        <v>135</v>
      </c>
      <c r="CD18" s="198" t="s">
        <v>868</v>
      </c>
      <c r="CE18" s="198"/>
      <c r="CF18" s="198" t="s">
        <v>136</v>
      </c>
      <c r="CG18" s="198" t="s">
        <v>208</v>
      </c>
      <c r="CH18" s="198" t="s">
        <v>301</v>
      </c>
      <c r="CI18" s="198"/>
      <c r="CJ18" s="198" t="s">
        <v>1229</v>
      </c>
      <c r="CK18" s="198" t="s">
        <v>1230</v>
      </c>
      <c r="CL18" s="198" t="s">
        <v>1231</v>
      </c>
      <c r="CM18" s="198"/>
      <c r="CN18" s="198" t="s">
        <v>128</v>
      </c>
      <c r="CO18" s="198" t="s">
        <v>40</v>
      </c>
      <c r="CP18" s="198" t="s">
        <v>38</v>
      </c>
      <c r="CQ18" s="198" t="s">
        <v>93</v>
      </c>
      <c r="CR18" s="198"/>
      <c r="CS18" s="198" t="s">
        <v>679</v>
      </c>
      <c r="CT18" s="198" t="s">
        <v>1014</v>
      </c>
      <c r="CU18" s="198" t="s">
        <v>64</v>
      </c>
      <c r="CV18" s="198" t="s">
        <v>65</v>
      </c>
      <c r="CW18" s="199" t="s">
        <v>1232</v>
      </c>
      <c r="CX18" s="198" t="s">
        <v>179</v>
      </c>
      <c r="CY18" s="198" t="s">
        <v>845</v>
      </c>
      <c r="CZ18" s="198" t="s">
        <v>192</v>
      </c>
      <c r="DA18" s="199"/>
      <c r="DB18" s="199"/>
      <c r="DC18" s="199"/>
      <c r="DD18" s="199"/>
      <c r="DE18" s="198" t="s">
        <v>46</v>
      </c>
      <c r="DF18" s="198" t="s">
        <v>42</v>
      </c>
      <c r="DG18" s="198"/>
      <c r="DH18" s="198"/>
      <c r="DI18" s="198" t="s">
        <v>37</v>
      </c>
      <c r="DJ18" s="198" t="s">
        <v>36</v>
      </c>
      <c r="DK18" s="198" t="s">
        <v>384</v>
      </c>
      <c r="DL18" s="198" t="s">
        <v>44</v>
      </c>
      <c r="DM18" s="198" t="s">
        <v>63</v>
      </c>
      <c r="DN18" s="198" t="s">
        <v>113</v>
      </c>
      <c r="DO18" s="198" t="s">
        <v>268</v>
      </c>
      <c r="DP18" s="198" t="s">
        <v>101</v>
      </c>
      <c r="DQ18" s="198" t="s">
        <v>269</v>
      </c>
      <c r="DR18" s="198" t="s">
        <v>590</v>
      </c>
      <c r="DS18" s="198" t="s">
        <v>599</v>
      </c>
      <c r="DT18" s="198" t="s">
        <v>24</v>
      </c>
      <c r="DU18" s="198" t="s">
        <v>26</v>
      </c>
      <c r="DV18" s="198" t="s">
        <v>28</v>
      </c>
      <c r="DW18" s="198" t="s">
        <v>25</v>
      </c>
      <c r="DX18" s="198" t="s">
        <v>27</v>
      </c>
      <c r="DY18" s="198" t="s">
        <v>29</v>
      </c>
      <c r="DZ18" s="198" t="s">
        <v>488</v>
      </c>
      <c r="EA18" s="198" t="s">
        <v>598</v>
      </c>
      <c r="EB18" s="198" t="s">
        <v>489</v>
      </c>
      <c r="EC18" s="198" t="s">
        <v>506</v>
      </c>
      <c r="ED18" s="198" t="s">
        <v>507</v>
      </c>
      <c r="EE18" s="198" t="s">
        <v>508</v>
      </c>
      <c r="EF18" s="198" t="s">
        <v>681</v>
      </c>
      <c r="EG18" s="198" t="s">
        <v>682</v>
      </c>
      <c r="EH18" s="198" t="s">
        <v>30</v>
      </c>
      <c r="EI18" s="198" t="s">
        <v>32</v>
      </c>
      <c r="EJ18" s="198" t="s">
        <v>33</v>
      </c>
      <c r="EK18" s="198" t="s">
        <v>270</v>
      </c>
      <c r="EL18" s="198"/>
      <c r="EM18" s="198" t="s">
        <v>271</v>
      </c>
      <c r="EN18" s="198" t="s">
        <v>277</v>
      </c>
      <c r="EO18" s="198"/>
      <c r="EP18" s="198"/>
      <c r="EQ18" s="198"/>
      <c r="ER18" s="198"/>
      <c r="ES18" s="198"/>
      <c r="ET18" s="198"/>
      <c r="EU18" s="198" t="s">
        <v>1055</v>
      </c>
      <c r="EV18" s="198"/>
      <c r="EW18" s="198" t="s">
        <v>1070</v>
      </c>
      <c r="EX18" s="198"/>
      <c r="EY18" s="198"/>
      <c r="EZ18" s="198"/>
      <c r="FA18" s="198"/>
      <c r="FB18" s="198" t="s">
        <v>284</v>
      </c>
      <c r="FC18" s="198" t="s">
        <v>216</v>
      </c>
      <c r="FD18" s="198"/>
      <c r="FE18" s="198"/>
      <c r="FF18" s="198"/>
      <c r="FG18" s="198" t="s">
        <v>429</v>
      </c>
      <c r="FH18" s="198"/>
      <c r="FI18" s="198" t="s">
        <v>188</v>
      </c>
      <c r="FJ18" s="198" t="s">
        <v>395</v>
      </c>
      <c r="FK18" s="198"/>
      <c r="FL18" s="198" t="s">
        <v>399</v>
      </c>
      <c r="FM18" s="198"/>
      <c r="FN18" s="198"/>
      <c r="FO18" s="198" t="s">
        <v>866</v>
      </c>
      <c r="FP18" s="198"/>
      <c r="FQ18" s="198"/>
      <c r="FR18" s="198"/>
      <c r="FS18" s="198"/>
      <c r="FT18" s="198"/>
      <c r="FU18" s="198" t="s">
        <v>257</v>
      </c>
      <c r="FV18" s="198" t="s">
        <v>194</v>
      </c>
      <c r="FW18" s="198"/>
      <c r="FX18" s="198" t="s">
        <v>404</v>
      </c>
      <c r="FY18" s="198" t="s">
        <v>408</v>
      </c>
      <c r="FZ18" s="198"/>
      <c r="GA18" s="198" t="s">
        <v>414</v>
      </c>
      <c r="GB18" s="198" t="s">
        <v>418</v>
      </c>
      <c r="GC18" s="198"/>
      <c r="GD18" s="198"/>
      <c r="GE18" s="198" t="s">
        <v>422</v>
      </c>
      <c r="GF18" s="198"/>
      <c r="GG18" s="198" t="s">
        <v>426</v>
      </c>
      <c r="GH18" s="198" t="s">
        <v>432</v>
      </c>
      <c r="GI18" s="198"/>
      <c r="GJ18" s="198"/>
      <c r="GK18" s="198"/>
      <c r="GL18" s="485"/>
      <c r="GM18" s="485"/>
      <c r="GN18" s="200"/>
      <c r="GO18" s="200"/>
      <c r="GP18" s="200" t="s">
        <v>227</v>
      </c>
      <c r="GQ18" s="199" t="s">
        <v>1247</v>
      </c>
      <c r="GR18" s="198"/>
      <c r="GS18" s="198"/>
      <c r="GT18" s="198"/>
      <c r="GU18" s="198"/>
      <c r="GV18" s="198"/>
      <c r="GW18" s="198"/>
      <c r="GX18" s="198"/>
      <c r="GY18" s="486"/>
      <c r="GZ18" s="198"/>
      <c r="HA18" s="198" t="s">
        <v>1644</v>
      </c>
      <c r="HB18" s="198"/>
      <c r="HC18" s="198" t="s">
        <v>1645</v>
      </c>
      <c r="HD18" s="198" t="s">
        <v>1646</v>
      </c>
      <c r="HE18" s="198" t="s">
        <v>1647</v>
      </c>
      <c r="HF18" s="198"/>
      <c r="HG18" s="198"/>
      <c r="HH18" s="199"/>
      <c r="HI18" s="199"/>
      <c r="HJ18" s="198"/>
      <c r="HK18" s="199"/>
      <c r="HL18" s="199"/>
      <c r="HM18" s="199"/>
      <c r="HN18" s="198"/>
      <c r="HO18" s="198"/>
      <c r="HP18" s="199"/>
      <c r="HQ18" s="199"/>
      <c r="HR18" s="486"/>
      <c r="HS18" s="198"/>
      <c r="HT18" s="198" t="s">
        <v>182</v>
      </c>
      <c r="HU18" s="486"/>
      <c r="HV18" s="198"/>
      <c r="HW18" s="486"/>
      <c r="HX18" s="198"/>
      <c r="HY18" s="486"/>
      <c r="HZ18" s="198"/>
      <c r="IA18" s="198" t="s">
        <v>494</v>
      </c>
      <c r="IB18" s="198" t="s">
        <v>502</v>
      </c>
      <c r="IC18" s="198"/>
      <c r="ID18" s="198"/>
      <c r="IE18" s="198"/>
      <c r="IF18" s="198" t="s">
        <v>498</v>
      </c>
      <c r="IG18" s="198" t="s">
        <v>325</v>
      </c>
      <c r="IH18" s="199"/>
      <c r="II18" s="199"/>
      <c r="IJ18" s="199"/>
      <c r="IK18" s="201"/>
      <c r="IL18" s="201"/>
      <c r="IM18" s="201"/>
      <c r="IN18" s="201"/>
      <c r="IO18" s="201"/>
      <c r="IP18" s="201"/>
      <c r="IQ18" s="201"/>
      <c r="IR18" s="201"/>
      <c r="IS18" s="201"/>
      <c r="IT18" s="201"/>
      <c r="IU18" s="201"/>
      <c r="IV18" s="201"/>
      <c r="IW18" s="201"/>
      <c r="IX18" s="201"/>
      <c r="IY18" s="201"/>
      <c r="IZ18" s="201"/>
      <c r="JA18" s="201"/>
      <c r="JB18" s="201"/>
      <c r="JC18" s="201"/>
      <c r="JD18" s="201"/>
      <c r="JE18" s="201"/>
      <c r="JF18" s="201"/>
      <c r="JG18" s="201"/>
      <c r="JH18" s="201"/>
      <c r="JI18" s="201"/>
      <c r="JJ18" s="201"/>
      <c r="JK18" s="201"/>
      <c r="JL18" s="198"/>
      <c r="JM18" s="201"/>
      <c r="JN18" s="485"/>
      <c r="JO18" s="485"/>
      <c r="JP18" s="201"/>
      <c r="JQ18" s="201"/>
      <c r="JR18" s="201"/>
      <c r="JS18" s="201"/>
      <c r="JT18" s="201"/>
      <c r="JU18" s="201"/>
      <c r="JV18" s="201"/>
      <c r="JW18" s="201"/>
      <c r="JX18" s="201"/>
      <c r="JY18" s="201"/>
      <c r="JZ18" s="201"/>
      <c r="KA18" s="201"/>
      <c r="KB18" s="201"/>
      <c r="KC18" s="201"/>
      <c r="KD18" s="201"/>
      <c r="KE18" s="201"/>
      <c r="KF18" s="201"/>
      <c r="KG18" s="201"/>
      <c r="KH18" s="201"/>
      <c r="KI18" s="201"/>
      <c r="KJ18" s="201"/>
      <c r="KK18" s="201"/>
      <c r="KL18" s="201"/>
      <c r="KM18" s="201"/>
      <c r="KN18" s="201"/>
      <c r="KO18" s="201"/>
      <c r="KP18" s="201"/>
      <c r="KQ18" s="201"/>
      <c r="KR18" s="201"/>
      <c r="KS18" s="201"/>
      <c r="KT18" s="201"/>
      <c r="KU18" s="201"/>
      <c r="KV18" s="201"/>
      <c r="KW18" s="201"/>
      <c r="KX18" s="201"/>
      <c r="KY18" s="201"/>
      <c r="KZ18" s="201"/>
      <c r="LA18" s="201"/>
      <c r="LB18" s="201"/>
      <c r="LC18" s="201"/>
      <c r="LD18" s="201"/>
      <c r="LE18" s="201"/>
      <c r="LF18" s="201"/>
      <c r="LG18" s="201"/>
      <c r="LH18" s="201"/>
      <c r="LI18" s="201"/>
      <c r="LJ18" s="201"/>
      <c r="LK18" s="201"/>
      <c r="LL18" s="201"/>
      <c r="LM18" s="201"/>
      <c r="LN18" s="202" t="s">
        <v>330</v>
      </c>
      <c r="LO18" s="201"/>
      <c r="LP18" s="201"/>
      <c r="LQ18" s="201"/>
      <c r="LR18" s="201"/>
      <c r="LS18" s="201"/>
      <c r="LT18" s="201"/>
      <c r="LU18" s="201"/>
      <c r="LV18" s="198"/>
      <c r="LW18" s="198"/>
      <c r="LX18" s="198"/>
      <c r="LY18" s="198"/>
      <c r="LZ18" s="198"/>
      <c r="MA18" s="198"/>
      <c r="MB18" s="198"/>
      <c r="MC18" s="198"/>
      <c r="MD18" s="198"/>
      <c r="ME18" s="198"/>
      <c r="MF18" s="198"/>
      <c r="MG18" s="198"/>
      <c r="MH18" s="198"/>
      <c r="MI18" s="198"/>
      <c r="MJ18" s="198"/>
      <c r="MK18" s="198"/>
      <c r="ML18" s="198"/>
      <c r="MM18" s="198" t="s">
        <v>1648</v>
      </c>
      <c r="MN18" s="198"/>
      <c r="MO18" s="198"/>
      <c r="MP18" s="198"/>
      <c r="MQ18" s="198"/>
      <c r="MR18" s="198"/>
      <c r="MS18" s="198"/>
      <c r="MT18" s="198"/>
      <c r="MU18" s="198"/>
      <c r="MV18" s="198"/>
      <c r="MW18" s="198" t="s">
        <v>1649</v>
      </c>
      <c r="MX18" s="198"/>
      <c r="MY18" s="198"/>
      <c r="MZ18" s="198"/>
      <c r="NA18" s="198"/>
      <c r="NB18" s="198"/>
      <c r="NC18" s="198"/>
      <c r="ND18" s="198"/>
      <c r="NE18" s="198"/>
      <c r="NF18" s="198" t="s">
        <v>94</v>
      </c>
      <c r="NG18" s="198"/>
      <c r="NH18" s="198" t="s">
        <v>734</v>
      </c>
      <c r="NI18" s="198"/>
      <c r="NJ18" s="198" t="s">
        <v>91</v>
      </c>
      <c r="NK18" s="198"/>
      <c r="NL18" s="198" t="s">
        <v>1685</v>
      </c>
      <c r="NM18" s="198" t="s">
        <v>742</v>
      </c>
      <c r="NN18" s="198"/>
      <c r="NO18" s="198" t="s">
        <v>743</v>
      </c>
      <c r="NP18" s="198" t="s">
        <v>92</v>
      </c>
      <c r="NQ18" s="198"/>
      <c r="NR18" s="198"/>
      <c r="NS18" s="198"/>
      <c r="NT18" s="198"/>
      <c r="NU18" s="198"/>
      <c r="NV18" s="198"/>
      <c r="NW18" s="198"/>
      <c r="NX18" s="198"/>
      <c r="NY18" s="198"/>
      <c r="NZ18" s="198"/>
      <c r="OA18" s="198"/>
      <c r="OB18" s="198"/>
      <c r="OC18" s="198"/>
      <c r="OD18" s="198"/>
      <c r="OE18" s="198"/>
      <c r="OF18" s="198"/>
      <c r="OG18" s="198"/>
      <c r="OH18" s="198"/>
      <c r="OI18" s="198"/>
      <c r="OJ18" s="198"/>
      <c r="OK18" s="198"/>
      <c r="OL18" s="198"/>
      <c r="OM18" s="198"/>
      <c r="ON18" s="198"/>
      <c r="OO18" s="198"/>
      <c r="OP18" s="198"/>
      <c r="OQ18" s="198"/>
      <c r="OR18" s="198"/>
      <c r="OS18" s="198"/>
      <c r="OT18" s="198"/>
      <c r="OU18" s="198"/>
      <c r="OV18" s="198"/>
      <c r="OW18" s="198"/>
      <c r="OX18" s="198"/>
      <c r="OY18" s="198"/>
      <c r="OZ18" s="198"/>
      <c r="PA18" s="198"/>
      <c r="PB18" s="198"/>
      <c r="PC18" s="198"/>
      <c r="PD18" s="198"/>
      <c r="PE18" s="198"/>
      <c r="PF18" s="198"/>
      <c r="PG18" s="198"/>
      <c r="PH18" s="198"/>
      <c r="PI18" s="198"/>
      <c r="PJ18" s="198"/>
      <c r="PK18" s="198"/>
      <c r="PL18" s="198"/>
      <c r="PM18" s="198"/>
      <c r="PN18" s="198"/>
      <c r="PO18" s="198"/>
      <c r="PP18" s="198"/>
      <c r="PQ18" s="198"/>
      <c r="PR18" s="198"/>
      <c r="PS18" s="198"/>
      <c r="PT18" s="198"/>
      <c r="PU18" s="198"/>
      <c r="PV18" s="198"/>
      <c r="PW18" s="198"/>
      <c r="PX18" s="198"/>
      <c r="PY18" s="198"/>
      <c r="PZ18" s="198" t="s">
        <v>1686</v>
      </c>
      <c r="QA18" s="198"/>
      <c r="QB18" s="198"/>
      <c r="QC18" s="198"/>
      <c r="QD18" s="198"/>
      <c r="QE18" s="198"/>
      <c r="QF18" s="198"/>
      <c r="QG18" s="198"/>
      <c r="QH18" s="198" t="s">
        <v>465</v>
      </c>
      <c r="QI18" s="198"/>
      <c r="QJ18" s="198"/>
      <c r="QK18" s="198"/>
      <c r="QL18" s="198"/>
      <c r="QM18" s="198"/>
      <c r="QN18" s="198"/>
      <c r="QO18" s="198"/>
      <c r="QP18" s="198"/>
      <c r="QQ18" s="198"/>
      <c r="QR18" s="198"/>
      <c r="QS18" s="198"/>
      <c r="QT18" s="198"/>
      <c r="QU18" s="198"/>
      <c r="QV18" s="198"/>
      <c r="QW18" s="198"/>
      <c r="QX18" s="198"/>
      <c r="QY18" s="198"/>
      <c r="QZ18" s="198"/>
      <c r="RA18" s="198"/>
      <c r="RB18" s="198"/>
      <c r="RC18" s="198"/>
      <c r="RD18" s="198"/>
      <c r="RE18" s="198"/>
      <c r="RF18" s="198"/>
      <c r="RG18" s="198"/>
      <c r="RH18" s="198"/>
      <c r="RI18" s="198"/>
      <c r="RJ18" s="198"/>
      <c r="RK18" s="198"/>
      <c r="RL18" s="198"/>
      <c r="RM18" s="198"/>
      <c r="RN18" s="198"/>
      <c r="RO18" s="198"/>
      <c r="RP18" s="198"/>
      <c r="RQ18" s="198"/>
      <c r="RR18" s="198"/>
      <c r="RS18" s="198"/>
      <c r="RT18" s="198"/>
      <c r="RU18" s="198"/>
      <c r="RV18" s="198"/>
      <c r="RW18" s="198"/>
      <c r="RX18" s="198" t="s">
        <v>1262</v>
      </c>
      <c r="RY18" s="487" t="s">
        <v>1074</v>
      </c>
      <c r="RZ18" s="198"/>
      <c r="SA18" s="198"/>
      <c r="SB18" s="198"/>
      <c r="SC18" s="198"/>
      <c r="SD18" s="198" t="s">
        <v>1650</v>
      </c>
      <c r="SE18" s="198"/>
      <c r="SF18" s="198"/>
      <c r="SG18" s="198"/>
      <c r="SH18" s="198"/>
      <c r="SI18" s="198"/>
      <c r="SJ18" s="198"/>
      <c r="SK18" s="198"/>
      <c r="SL18" s="198"/>
      <c r="SM18" s="198"/>
      <c r="SN18" s="198"/>
      <c r="SO18" s="198" t="s">
        <v>446</v>
      </c>
      <c r="SP18" s="198"/>
      <c r="SQ18" s="198"/>
      <c r="SR18" s="198"/>
      <c r="SS18" s="198"/>
      <c r="ST18" s="198"/>
      <c r="SU18" s="198"/>
      <c r="SV18" s="198"/>
      <c r="SW18" s="198"/>
      <c r="SX18" s="198"/>
      <c r="SY18" s="198"/>
      <c r="SZ18" s="198" t="s">
        <v>470</v>
      </c>
      <c r="TA18" s="198"/>
      <c r="TB18" s="198"/>
      <c r="TC18" s="198"/>
      <c r="TD18" s="198" t="s">
        <v>453</v>
      </c>
      <c r="TE18" s="198"/>
      <c r="TF18" s="198"/>
      <c r="TG18" s="198"/>
      <c r="TH18" s="198"/>
      <c r="TI18" s="198"/>
      <c r="TJ18" s="198"/>
      <c r="TK18" s="198"/>
      <c r="TL18" s="198"/>
      <c r="TM18" s="198"/>
      <c r="TN18" s="198"/>
      <c r="TO18" s="198"/>
      <c r="TP18" s="198"/>
      <c r="TQ18" s="200"/>
      <c r="TR18" s="200"/>
      <c r="TS18" s="200"/>
      <c r="TT18" s="200"/>
      <c r="TU18" s="200"/>
      <c r="TV18" s="200"/>
      <c r="TW18" s="198"/>
      <c r="TX18" s="198"/>
      <c r="TY18" s="198"/>
      <c r="TZ18" s="198"/>
      <c r="UA18" s="198"/>
      <c r="UB18" s="198"/>
      <c r="UC18" s="198"/>
      <c r="UD18" s="198"/>
      <c r="UE18" s="198"/>
      <c r="UF18" s="198"/>
      <c r="UG18" s="198"/>
      <c r="UH18" s="198"/>
      <c r="UI18" s="198"/>
      <c r="UJ18" s="198"/>
      <c r="UK18" s="198"/>
      <c r="UL18" s="198"/>
      <c r="UM18" s="198"/>
      <c r="UN18" s="198"/>
      <c r="UO18" s="198"/>
      <c r="UP18" s="198"/>
      <c r="UQ18" s="198"/>
      <c r="UR18" s="198"/>
      <c r="US18" s="198"/>
      <c r="UT18" s="198"/>
      <c r="UU18" s="198"/>
      <c r="UV18" s="198"/>
      <c r="UW18" s="198"/>
      <c r="UX18" s="198"/>
      <c r="UY18" s="198"/>
      <c r="UZ18" s="198"/>
      <c r="VA18" s="198"/>
      <c r="VB18" s="198"/>
      <c r="VC18" s="198"/>
      <c r="VD18" s="198"/>
      <c r="VE18" s="198"/>
      <c r="VF18" s="198"/>
      <c r="VG18" s="198"/>
      <c r="VH18" s="198"/>
      <c r="VI18" s="198"/>
      <c r="VJ18" s="198"/>
      <c r="VK18" s="198"/>
      <c r="VL18" s="198"/>
      <c r="VM18" s="198"/>
      <c r="VN18" s="198"/>
      <c r="VO18" s="198"/>
      <c r="VP18" s="198"/>
      <c r="VQ18" s="198"/>
      <c r="VR18" s="198"/>
      <c r="VS18" s="198"/>
      <c r="VT18" s="198"/>
      <c r="VU18" s="198"/>
      <c r="VV18" s="198"/>
      <c r="VW18" s="198"/>
      <c r="VX18" s="198"/>
      <c r="VY18" s="198"/>
      <c r="VZ18" s="198"/>
      <c r="WA18" s="198"/>
      <c r="WB18" s="198"/>
      <c r="WC18" s="198"/>
      <c r="WD18" s="198"/>
      <c r="WE18" s="198"/>
      <c r="WF18" s="198"/>
      <c r="WG18" s="198"/>
      <c r="WH18" s="198"/>
      <c r="WI18" s="198"/>
      <c r="WJ18" s="198"/>
      <c r="WK18" s="198"/>
      <c r="WL18" s="198"/>
      <c r="WM18" s="198"/>
      <c r="WN18" s="198"/>
      <c r="WO18" s="198"/>
      <c r="WP18" s="198"/>
      <c r="WQ18" s="198"/>
      <c r="WR18" s="198"/>
      <c r="WS18" s="198"/>
      <c r="WT18" s="198"/>
      <c r="WU18" s="198"/>
      <c r="WV18" s="198"/>
      <c r="WW18" s="198"/>
      <c r="WX18" s="198"/>
      <c r="WY18" s="198"/>
      <c r="WZ18" s="198"/>
      <c r="XA18" s="198"/>
      <c r="XB18" s="198"/>
      <c r="XC18" s="198"/>
      <c r="XD18" s="198"/>
      <c r="XE18" s="198"/>
      <c r="XF18" s="198"/>
      <c r="XG18" s="198"/>
      <c r="XH18" s="198"/>
      <c r="XI18" s="198"/>
      <c r="XJ18" s="198"/>
      <c r="XK18" s="198"/>
      <c r="XL18" s="198"/>
      <c r="XM18" s="198"/>
      <c r="XN18" s="198"/>
      <c r="XO18" s="198"/>
      <c r="XP18" s="198"/>
      <c r="XQ18" s="198" t="s">
        <v>204</v>
      </c>
      <c r="XR18" s="198" t="s">
        <v>205</v>
      </c>
      <c r="XS18" s="198" t="s">
        <v>802</v>
      </c>
      <c r="XT18" s="198" t="s">
        <v>801</v>
      </c>
      <c r="XU18" s="198" t="s">
        <v>1100</v>
      </c>
      <c r="XV18" s="198"/>
      <c r="XW18" s="198" t="s">
        <v>800</v>
      </c>
      <c r="XX18" s="198" t="s">
        <v>1102</v>
      </c>
      <c r="XY18" s="198" t="s">
        <v>1103</v>
      </c>
      <c r="XZ18" s="198" t="s">
        <v>1104</v>
      </c>
      <c r="YA18" s="198" t="s">
        <v>1101</v>
      </c>
      <c r="YB18" s="198" t="s">
        <v>1105</v>
      </c>
      <c r="YC18" s="198" t="s">
        <v>1651</v>
      </c>
      <c r="YD18" s="198" t="s">
        <v>1768</v>
      </c>
      <c r="YE18" s="198" t="s">
        <v>1107</v>
      </c>
      <c r="YF18" s="198" t="s">
        <v>1652</v>
      </c>
      <c r="YG18" s="198" t="s">
        <v>805</v>
      </c>
      <c r="YH18" s="198"/>
      <c r="YI18" s="198"/>
      <c r="YJ18" s="198" t="s">
        <v>1654</v>
      </c>
      <c r="YK18" s="198"/>
      <c r="YL18" s="198" t="s">
        <v>807</v>
      </c>
      <c r="YM18" s="199"/>
      <c r="YN18" s="199"/>
      <c r="YO18" s="198"/>
      <c r="YP18" s="198"/>
      <c r="YQ18" s="198"/>
      <c r="YR18" s="198"/>
      <c r="YS18" s="198"/>
      <c r="YT18" s="199"/>
    </row>
    <row r="19" spans="1:670" s="94" customFormat="1" x14ac:dyDescent="0.2">
      <c r="A19" s="113" t="s">
        <v>376</v>
      </c>
      <c r="B19" s="49" t="s">
        <v>13</v>
      </c>
      <c r="C19" s="49" t="s">
        <v>13</v>
      </c>
      <c r="D19" s="49" t="s">
        <v>13</v>
      </c>
      <c r="E19" s="49" t="s">
        <v>13</v>
      </c>
      <c r="F19" s="49" t="s">
        <v>59</v>
      </c>
      <c r="G19" s="49" t="s">
        <v>31</v>
      </c>
      <c r="H19" s="49" t="s">
        <v>13</v>
      </c>
      <c r="I19" s="49" t="s">
        <v>13</v>
      </c>
      <c r="J19" s="49" t="s">
        <v>13</v>
      </c>
      <c r="K19" s="49" t="s">
        <v>13</v>
      </c>
      <c r="L19" s="49"/>
      <c r="M19" s="49" t="s">
        <v>13</v>
      </c>
      <c r="N19" s="49" t="s">
        <v>13</v>
      </c>
      <c r="O19" s="49" t="s">
        <v>13</v>
      </c>
      <c r="P19" s="49" t="s">
        <v>13</v>
      </c>
      <c r="Q19" s="49" t="s">
        <v>13</v>
      </c>
      <c r="R19" s="49" t="s">
        <v>13</v>
      </c>
      <c r="S19" s="49" t="s">
        <v>13</v>
      </c>
      <c r="T19" s="49" t="s">
        <v>13</v>
      </c>
      <c r="U19" s="49" t="s">
        <v>13</v>
      </c>
      <c r="V19" s="49" t="s">
        <v>13</v>
      </c>
      <c r="W19" s="49" t="s">
        <v>13</v>
      </c>
      <c r="X19" s="49" t="s">
        <v>13</v>
      </c>
      <c r="Y19" s="49" t="s">
        <v>13</v>
      </c>
      <c r="Z19" s="49" t="s">
        <v>13</v>
      </c>
      <c r="AA19" s="49" t="s">
        <v>13</v>
      </c>
      <c r="AB19" s="49" t="s">
        <v>13</v>
      </c>
      <c r="AC19" s="49" t="s">
        <v>59</v>
      </c>
      <c r="AD19" s="49" t="s">
        <v>13</v>
      </c>
      <c r="AE19" s="49" t="s">
        <v>13</v>
      </c>
      <c r="AF19" s="49" t="s">
        <v>13</v>
      </c>
      <c r="AG19" s="49" t="s">
        <v>13</v>
      </c>
      <c r="AH19" s="49" t="s">
        <v>13</v>
      </c>
      <c r="AI19" s="49" t="s">
        <v>13</v>
      </c>
      <c r="AJ19" s="49" t="s">
        <v>13</v>
      </c>
      <c r="AK19" s="49" t="s">
        <v>13</v>
      </c>
      <c r="AL19" s="49" t="s">
        <v>13</v>
      </c>
      <c r="AM19" s="49" t="s">
        <v>13</v>
      </c>
      <c r="AN19" s="49" t="s">
        <v>13</v>
      </c>
      <c r="AO19" s="49" t="s">
        <v>13</v>
      </c>
      <c r="AP19" s="49" t="s">
        <v>13</v>
      </c>
      <c r="AQ19" s="49" t="s">
        <v>13</v>
      </c>
      <c r="AR19" s="49" t="s">
        <v>13</v>
      </c>
      <c r="AS19" s="49" t="s">
        <v>13</v>
      </c>
      <c r="AT19" s="49" t="s">
        <v>13</v>
      </c>
      <c r="AU19" s="49"/>
      <c r="AV19" s="49"/>
      <c r="AW19" s="49"/>
      <c r="AX19" s="49"/>
      <c r="AY19" s="49"/>
      <c r="AZ19" s="49"/>
      <c r="BA19" s="49"/>
      <c r="BB19" s="49"/>
      <c r="BC19" s="49"/>
      <c r="BD19" s="49"/>
      <c r="BE19" s="49"/>
      <c r="BF19" s="49"/>
      <c r="BG19" s="49"/>
      <c r="BH19" s="49"/>
      <c r="BI19" s="49" t="s">
        <v>13</v>
      </c>
      <c r="BJ19" s="49" t="s">
        <v>13</v>
      </c>
      <c r="BK19" s="49" t="s">
        <v>13</v>
      </c>
      <c r="BL19" s="49" t="s">
        <v>13</v>
      </c>
      <c r="BM19" s="49" t="s">
        <v>13</v>
      </c>
      <c r="BN19" s="49" t="s">
        <v>13</v>
      </c>
      <c r="BO19" s="49" t="s">
        <v>13</v>
      </c>
      <c r="BP19" s="49" t="s">
        <v>13</v>
      </c>
      <c r="BQ19" s="49" t="s">
        <v>13</v>
      </c>
      <c r="BR19" s="49" t="s">
        <v>13</v>
      </c>
      <c r="BS19" s="49" t="s">
        <v>13</v>
      </c>
      <c r="BT19" s="49" t="s">
        <v>13</v>
      </c>
      <c r="BU19" s="49" t="s">
        <v>13</v>
      </c>
      <c r="BV19" s="49" t="s">
        <v>13</v>
      </c>
      <c r="BW19" s="49" t="s">
        <v>13</v>
      </c>
      <c r="BX19" s="49" t="s">
        <v>13</v>
      </c>
      <c r="BY19" s="49"/>
      <c r="BZ19" s="49" t="s">
        <v>13</v>
      </c>
      <c r="CA19" s="49" t="s">
        <v>59</v>
      </c>
      <c r="CB19" s="49" t="s">
        <v>59</v>
      </c>
      <c r="CC19" s="49" t="s">
        <v>13</v>
      </c>
      <c r="CD19" s="49" t="s">
        <v>13</v>
      </c>
      <c r="CE19" s="49" t="s">
        <v>59</v>
      </c>
      <c r="CF19" s="49" t="s">
        <v>13</v>
      </c>
      <c r="CG19" s="49" t="s">
        <v>13</v>
      </c>
      <c r="CH19" s="49" t="s">
        <v>13</v>
      </c>
      <c r="CI19" s="49" t="s">
        <v>59</v>
      </c>
      <c r="CJ19" s="49" t="s">
        <v>13</v>
      </c>
      <c r="CK19" s="49" t="s">
        <v>13</v>
      </c>
      <c r="CL19" s="49" t="s">
        <v>13</v>
      </c>
      <c r="CM19" s="49"/>
      <c r="CN19" s="49" t="s">
        <v>13</v>
      </c>
      <c r="CO19" s="49" t="s">
        <v>13</v>
      </c>
      <c r="CP19" s="49" t="s">
        <v>59</v>
      </c>
      <c r="CQ19" s="49" t="s">
        <v>13</v>
      </c>
      <c r="CR19" s="49" t="s">
        <v>59</v>
      </c>
      <c r="CS19" s="49" t="s">
        <v>13</v>
      </c>
      <c r="CT19" s="49" t="s">
        <v>13</v>
      </c>
      <c r="CU19" s="49" t="s">
        <v>13</v>
      </c>
      <c r="CV19" s="49" t="s">
        <v>13</v>
      </c>
      <c r="CW19" s="122" t="s">
        <v>13</v>
      </c>
      <c r="CX19" s="49" t="s">
        <v>13</v>
      </c>
      <c r="CY19" s="49" t="s">
        <v>13</v>
      </c>
      <c r="CZ19" s="49" t="s">
        <v>13</v>
      </c>
      <c r="DA19" s="122"/>
      <c r="DB19" s="122"/>
      <c r="DC19" s="122"/>
      <c r="DD19" s="122"/>
      <c r="DE19" s="49" t="s">
        <v>13</v>
      </c>
      <c r="DF19" s="49" t="s">
        <v>13</v>
      </c>
      <c r="DG19" s="49"/>
      <c r="DH19" s="49"/>
      <c r="DI19" s="49" t="s">
        <v>13</v>
      </c>
      <c r="DJ19" s="49" t="s">
        <v>20</v>
      </c>
      <c r="DK19" s="49" t="s">
        <v>20</v>
      </c>
      <c r="DL19" s="49" t="s">
        <v>13</v>
      </c>
      <c r="DM19" s="49" t="s">
        <v>13</v>
      </c>
      <c r="DN19" s="49" t="s">
        <v>13</v>
      </c>
      <c r="DO19" s="49" t="s">
        <v>13</v>
      </c>
      <c r="DP19" s="49" t="s">
        <v>13</v>
      </c>
      <c r="DQ19" s="49" t="s">
        <v>13</v>
      </c>
      <c r="DR19" s="49" t="s">
        <v>13</v>
      </c>
      <c r="DS19" s="49" t="s">
        <v>13</v>
      </c>
      <c r="DT19" s="49" t="s">
        <v>13</v>
      </c>
      <c r="DU19" s="49" t="s">
        <v>13</v>
      </c>
      <c r="DV19" s="49" t="s">
        <v>13</v>
      </c>
      <c r="DW19" s="49" t="s">
        <v>13</v>
      </c>
      <c r="DX19" s="49" t="s">
        <v>13</v>
      </c>
      <c r="DY19" s="49" t="s">
        <v>13</v>
      </c>
      <c r="DZ19" s="49" t="s">
        <v>13</v>
      </c>
      <c r="EA19" s="49" t="s">
        <v>13</v>
      </c>
      <c r="EB19" s="49" t="s">
        <v>13</v>
      </c>
      <c r="EC19" s="49" t="s">
        <v>13</v>
      </c>
      <c r="ED19" s="49" t="s">
        <v>13</v>
      </c>
      <c r="EE19" s="49" t="s">
        <v>13</v>
      </c>
      <c r="EF19" s="93" t="s">
        <v>13</v>
      </c>
      <c r="EG19" s="93" t="s">
        <v>13</v>
      </c>
      <c r="EH19" s="93" t="s">
        <v>59</v>
      </c>
      <c r="EI19" s="93" t="s">
        <v>59</v>
      </c>
      <c r="EJ19" s="93" t="s">
        <v>59</v>
      </c>
      <c r="EK19" s="93" t="s">
        <v>13</v>
      </c>
      <c r="EL19" s="93"/>
      <c r="EM19" s="93" t="s">
        <v>13</v>
      </c>
      <c r="EN19" s="93" t="s">
        <v>13</v>
      </c>
      <c r="EO19" s="93"/>
      <c r="EP19" s="93"/>
      <c r="EQ19" s="49"/>
      <c r="ER19" s="49"/>
      <c r="ES19" s="49"/>
      <c r="ET19" s="49"/>
      <c r="EU19" s="49" t="s">
        <v>13</v>
      </c>
      <c r="EV19" s="93"/>
      <c r="EW19" s="49" t="s">
        <v>13</v>
      </c>
      <c r="EX19" s="49" t="s">
        <v>59</v>
      </c>
      <c r="EY19" s="49" t="s">
        <v>59</v>
      </c>
      <c r="EZ19" s="49" t="s">
        <v>59</v>
      </c>
      <c r="FA19" s="49"/>
      <c r="FB19" s="49" t="s">
        <v>13</v>
      </c>
      <c r="FC19" s="49" t="s">
        <v>13</v>
      </c>
      <c r="FD19" s="49" t="s">
        <v>20</v>
      </c>
      <c r="FE19" s="49" t="s">
        <v>20</v>
      </c>
      <c r="FF19" s="49" t="s">
        <v>20</v>
      </c>
      <c r="FG19" s="49" t="s">
        <v>20</v>
      </c>
      <c r="FH19" s="49"/>
      <c r="FI19" s="49" t="s">
        <v>20</v>
      </c>
      <c r="FJ19" s="49" t="s">
        <v>20</v>
      </c>
      <c r="FK19" s="49"/>
      <c r="FL19" s="49" t="s">
        <v>20</v>
      </c>
      <c r="FM19" s="49"/>
      <c r="FN19" s="49" t="s">
        <v>59</v>
      </c>
      <c r="FO19" s="49" t="s">
        <v>13</v>
      </c>
      <c r="FP19" s="49"/>
      <c r="FQ19" s="49"/>
      <c r="FR19" s="49"/>
      <c r="FS19" s="49"/>
      <c r="FT19" s="49"/>
      <c r="FU19" s="49" t="s">
        <v>13</v>
      </c>
      <c r="FV19" s="49" t="s">
        <v>13</v>
      </c>
      <c r="FW19" s="49"/>
      <c r="FX19" s="49" t="s">
        <v>20</v>
      </c>
      <c r="FY19" s="49" t="s">
        <v>20</v>
      </c>
      <c r="FZ19" s="49"/>
      <c r="GA19" s="49" t="s">
        <v>20</v>
      </c>
      <c r="GB19" s="49" t="s">
        <v>20</v>
      </c>
      <c r="GC19" s="49"/>
      <c r="GD19" s="49"/>
      <c r="GE19" s="49" t="s">
        <v>20</v>
      </c>
      <c r="GF19" s="49"/>
      <c r="GG19" s="49" t="s">
        <v>20</v>
      </c>
      <c r="GH19" s="49" t="s">
        <v>20</v>
      </c>
      <c r="GI19" s="49" t="s">
        <v>59</v>
      </c>
      <c r="GJ19" s="49" t="s">
        <v>59</v>
      </c>
      <c r="GK19" s="49" t="s">
        <v>59</v>
      </c>
      <c r="GL19" s="465" t="s">
        <v>59</v>
      </c>
      <c r="GM19" s="465" t="s">
        <v>59</v>
      </c>
      <c r="GN19" s="49" t="s">
        <v>59</v>
      </c>
      <c r="GO19" s="49" t="s">
        <v>59</v>
      </c>
      <c r="GP19" s="49" t="s">
        <v>13</v>
      </c>
      <c r="GQ19" s="122" t="s">
        <v>13</v>
      </c>
      <c r="GR19" s="49" t="s">
        <v>20</v>
      </c>
      <c r="GS19" s="49"/>
      <c r="GT19" s="49" t="s">
        <v>20</v>
      </c>
      <c r="GU19" s="49" t="s">
        <v>20</v>
      </c>
      <c r="GV19" s="49" t="s">
        <v>59</v>
      </c>
      <c r="GW19" s="49" t="s">
        <v>59</v>
      </c>
      <c r="GX19" s="49" t="s">
        <v>59</v>
      </c>
      <c r="GY19" s="122" t="s">
        <v>59</v>
      </c>
      <c r="GZ19" s="49"/>
      <c r="HA19" s="49" t="s">
        <v>20</v>
      </c>
      <c r="HB19" s="49"/>
      <c r="HC19" s="49" t="s">
        <v>20</v>
      </c>
      <c r="HD19" s="49" t="s">
        <v>20</v>
      </c>
      <c r="HE19" s="49" t="s">
        <v>20</v>
      </c>
      <c r="HF19" s="49" t="s">
        <v>59</v>
      </c>
      <c r="HG19" s="49" t="s">
        <v>59</v>
      </c>
      <c r="HH19" s="122" t="s">
        <v>59</v>
      </c>
      <c r="HI19" s="122" t="s">
        <v>59</v>
      </c>
      <c r="HJ19" s="122" t="s">
        <v>59</v>
      </c>
      <c r="HK19" s="122" t="s">
        <v>59</v>
      </c>
      <c r="HL19" s="122" t="s">
        <v>20</v>
      </c>
      <c r="HM19" s="122" t="s">
        <v>59</v>
      </c>
      <c r="HN19" s="49" t="s">
        <v>59</v>
      </c>
      <c r="HO19" s="49" t="s">
        <v>59</v>
      </c>
      <c r="HP19" s="122" t="s">
        <v>20</v>
      </c>
      <c r="HQ19" s="122" t="s">
        <v>59</v>
      </c>
      <c r="HR19" s="122" t="s">
        <v>59</v>
      </c>
      <c r="HS19" s="49" t="s">
        <v>59</v>
      </c>
      <c r="HT19" s="49" t="s">
        <v>13</v>
      </c>
      <c r="HU19" s="122" t="s">
        <v>59</v>
      </c>
      <c r="HV19" s="49" t="s">
        <v>59</v>
      </c>
      <c r="HW19" s="122" t="s">
        <v>59</v>
      </c>
      <c r="HX19" s="49" t="s">
        <v>59</v>
      </c>
      <c r="HY19" s="122" t="s">
        <v>59</v>
      </c>
      <c r="HZ19" s="49" t="s">
        <v>59</v>
      </c>
      <c r="IA19" s="49" t="s">
        <v>20</v>
      </c>
      <c r="IB19" s="49" t="s">
        <v>20</v>
      </c>
      <c r="IC19" s="49" t="s">
        <v>59</v>
      </c>
      <c r="ID19" s="49" t="s">
        <v>59</v>
      </c>
      <c r="IE19" s="49" t="s">
        <v>59</v>
      </c>
      <c r="IF19" s="49" t="s">
        <v>20</v>
      </c>
      <c r="IG19" s="49" t="s">
        <v>59</v>
      </c>
      <c r="IH19" s="122" t="s">
        <v>59</v>
      </c>
      <c r="II19" s="122"/>
      <c r="IJ19" s="122"/>
      <c r="IK19" s="465" t="s">
        <v>59</v>
      </c>
      <c r="IL19" s="465" t="s">
        <v>59</v>
      </c>
      <c r="IM19" s="465" t="s">
        <v>59</v>
      </c>
      <c r="IN19" s="465" t="s">
        <v>59</v>
      </c>
      <c r="IO19" s="465" t="s">
        <v>59</v>
      </c>
      <c r="IP19" s="465" t="s">
        <v>59</v>
      </c>
      <c r="IQ19" s="465" t="s">
        <v>59</v>
      </c>
      <c r="IR19" s="465" t="s">
        <v>59</v>
      </c>
      <c r="IS19" s="465"/>
      <c r="IT19" s="465"/>
      <c r="IU19" s="465"/>
      <c r="IV19" s="465" t="s">
        <v>59</v>
      </c>
      <c r="IW19" s="465" t="s">
        <v>59</v>
      </c>
      <c r="IX19" s="465" t="s">
        <v>59</v>
      </c>
      <c r="IY19" s="465" t="s">
        <v>59</v>
      </c>
      <c r="IZ19" s="465" t="s">
        <v>59</v>
      </c>
      <c r="JA19" s="465" t="s">
        <v>59</v>
      </c>
      <c r="JB19" s="465" t="s">
        <v>59</v>
      </c>
      <c r="JC19" s="465" t="s">
        <v>59</v>
      </c>
      <c r="JD19" s="465" t="s">
        <v>59</v>
      </c>
      <c r="JE19" s="465" t="s">
        <v>59</v>
      </c>
      <c r="JF19" s="465" t="s">
        <v>59</v>
      </c>
      <c r="JG19" s="465" t="s">
        <v>59</v>
      </c>
      <c r="JH19" s="465" t="s">
        <v>59</v>
      </c>
      <c r="JI19" s="465" t="s">
        <v>59</v>
      </c>
      <c r="JJ19" s="465" t="s">
        <v>59</v>
      </c>
      <c r="JK19" s="465" t="s">
        <v>59</v>
      </c>
      <c r="JL19" s="49" t="s">
        <v>59</v>
      </c>
      <c r="JM19" s="465" t="s">
        <v>59</v>
      </c>
      <c r="JN19" s="465" t="s">
        <v>59</v>
      </c>
      <c r="JO19" s="465" t="s">
        <v>59</v>
      </c>
      <c r="JP19" s="465" t="s">
        <v>59</v>
      </c>
      <c r="JQ19" s="465" t="s">
        <v>59</v>
      </c>
      <c r="JR19" s="465" t="s">
        <v>59</v>
      </c>
      <c r="JS19" s="465" t="s">
        <v>59</v>
      </c>
      <c r="JT19" s="465" t="s">
        <v>59</v>
      </c>
      <c r="JU19" s="465" t="s">
        <v>59</v>
      </c>
      <c r="JV19" s="465" t="s">
        <v>59</v>
      </c>
      <c r="JW19" s="465" t="s">
        <v>59</v>
      </c>
      <c r="JX19" s="465" t="s">
        <v>59</v>
      </c>
      <c r="JY19" s="465" t="s">
        <v>59</v>
      </c>
      <c r="JZ19" s="465" t="s">
        <v>59</v>
      </c>
      <c r="KA19" s="465" t="s">
        <v>59</v>
      </c>
      <c r="KB19" s="465" t="s">
        <v>59</v>
      </c>
      <c r="KC19" s="465" t="s">
        <v>59</v>
      </c>
      <c r="KD19" s="465" t="s">
        <v>59</v>
      </c>
      <c r="KE19" s="49" t="s">
        <v>59</v>
      </c>
      <c r="KF19" s="49" t="s">
        <v>59</v>
      </c>
      <c r="KG19" s="49" t="s">
        <v>59</v>
      </c>
      <c r="KH19" s="49" t="s">
        <v>59</v>
      </c>
      <c r="KI19" s="49" t="s">
        <v>59</v>
      </c>
      <c r="KJ19" s="49" t="s">
        <v>59</v>
      </c>
      <c r="KK19" s="49" t="s">
        <v>59</v>
      </c>
      <c r="KL19" s="49" t="s">
        <v>59</v>
      </c>
      <c r="KM19" s="49" t="s">
        <v>59</v>
      </c>
      <c r="KN19" s="49" t="s">
        <v>59</v>
      </c>
      <c r="KO19" s="49" t="s">
        <v>59</v>
      </c>
      <c r="KP19" s="49" t="s">
        <v>59</v>
      </c>
      <c r="KQ19" s="49" t="s">
        <v>59</v>
      </c>
      <c r="KR19" s="49" t="s">
        <v>59</v>
      </c>
      <c r="KS19" s="49" t="s">
        <v>59</v>
      </c>
      <c r="KT19" s="49" t="s">
        <v>59</v>
      </c>
      <c r="KU19" s="49" t="s">
        <v>59</v>
      </c>
      <c r="KV19" s="49" t="s">
        <v>59</v>
      </c>
      <c r="KW19" s="49" t="s">
        <v>59</v>
      </c>
      <c r="KX19" s="49" t="s">
        <v>59</v>
      </c>
      <c r="KY19" s="49" t="s">
        <v>59</v>
      </c>
      <c r="KZ19" s="49" t="s">
        <v>59</v>
      </c>
      <c r="LA19" s="49" t="s">
        <v>59</v>
      </c>
      <c r="LB19" s="49" t="s">
        <v>59</v>
      </c>
      <c r="LC19" s="49" t="s">
        <v>59</v>
      </c>
      <c r="LD19" s="49" t="s">
        <v>59</v>
      </c>
      <c r="LE19" s="49" t="s">
        <v>59</v>
      </c>
      <c r="LF19" s="49" t="s">
        <v>59</v>
      </c>
      <c r="LG19" s="49" t="s">
        <v>59</v>
      </c>
      <c r="LH19" s="49" t="s">
        <v>59</v>
      </c>
      <c r="LI19" s="49" t="s">
        <v>59</v>
      </c>
      <c r="LJ19" s="49" t="s">
        <v>59</v>
      </c>
      <c r="LK19" s="49" t="s">
        <v>59</v>
      </c>
      <c r="LL19" s="49" t="s">
        <v>59</v>
      </c>
      <c r="LM19" s="49" t="s">
        <v>59</v>
      </c>
      <c r="LN19" s="101" t="s">
        <v>13</v>
      </c>
      <c r="LO19" s="49" t="s">
        <v>59</v>
      </c>
      <c r="LP19" s="49" t="s">
        <v>59</v>
      </c>
      <c r="LQ19" s="49" t="s">
        <v>59</v>
      </c>
      <c r="LR19" s="49" t="s">
        <v>59</v>
      </c>
      <c r="LS19" s="49" t="s">
        <v>59</v>
      </c>
      <c r="LT19" s="49" t="s">
        <v>59</v>
      </c>
      <c r="LU19" s="49" t="s">
        <v>59</v>
      </c>
      <c r="LV19" s="49" t="s">
        <v>59</v>
      </c>
      <c r="LW19" s="49" t="s">
        <v>59</v>
      </c>
      <c r="LX19" s="49" t="s">
        <v>59</v>
      </c>
      <c r="LY19" s="49" t="s">
        <v>59</v>
      </c>
      <c r="LZ19" s="49" t="s">
        <v>59</v>
      </c>
      <c r="MA19" s="49" t="s">
        <v>59</v>
      </c>
      <c r="MB19" s="49" t="s">
        <v>59</v>
      </c>
      <c r="MC19" s="49" t="s">
        <v>59</v>
      </c>
      <c r="MD19" s="49" t="s">
        <v>59</v>
      </c>
      <c r="ME19" s="49" t="s">
        <v>59</v>
      </c>
      <c r="MF19" s="49" t="s">
        <v>59</v>
      </c>
      <c r="MG19" s="49" t="s">
        <v>59</v>
      </c>
      <c r="MH19" s="49" t="s">
        <v>59</v>
      </c>
      <c r="MI19" s="49" t="s">
        <v>59</v>
      </c>
      <c r="MJ19" s="49" t="s">
        <v>59</v>
      </c>
      <c r="MK19" s="49" t="s">
        <v>59</v>
      </c>
      <c r="ML19" s="49" t="s">
        <v>59</v>
      </c>
      <c r="MM19" s="49" t="s">
        <v>20</v>
      </c>
      <c r="MN19" s="49" t="s">
        <v>59</v>
      </c>
      <c r="MO19" s="49" t="s">
        <v>59</v>
      </c>
      <c r="MP19" s="49" t="s">
        <v>59</v>
      </c>
      <c r="MQ19" s="49" t="s">
        <v>59</v>
      </c>
      <c r="MR19" s="49" t="s">
        <v>59</v>
      </c>
      <c r="MS19" s="49" t="s">
        <v>59</v>
      </c>
      <c r="MT19" s="49" t="s">
        <v>59</v>
      </c>
      <c r="MU19" s="49" t="s">
        <v>59</v>
      </c>
      <c r="MV19" s="49" t="s">
        <v>59</v>
      </c>
      <c r="MW19" s="49" t="s">
        <v>20</v>
      </c>
      <c r="MX19" s="49" t="s">
        <v>59</v>
      </c>
      <c r="MY19" s="49" t="s">
        <v>59</v>
      </c>
      <c r="MZ19" s="49" t="s">
        <v>59</v>
      </c>
      <c r="NA19" s="49" t="s">
        <v>59</v>
      </c>
      <c r="NB19" s="49"/>
      <c r="NC19" s="49"/>
      <c r="ND19" s="49"/>
      <c r="NE19" s="49"/>
      <c r="NF19" s="49" t="s">
        <v>13</v>
      </c>
      <c r="NG19" s="49" t="s">
        <v>59</v>
      </c>
      <c r="NH19" s="49" t="s">
        <v>13</v>
      </c>
      <c r="NI19" s="49" t="s">
        <v>59</v>
      </c>
      <c r="NJ19" s="49" t="s">
        <v>13</v>
      </c>
      <c r="NK19" s="49"/>
      <c r="NL19" s="49" t="s">
        <v>13</v>
      </c>
      <c r="NM19" s="49" t="s">
        <v>13</v>
      </c>
      <c r="NN19" s="49" t="s">
        <v>59</v>
      </c>
      <c r="NO19" s="49" t="s">
        <v>13</v>
      </c>
      <c r="NP19" s="49" t="s">
        <v>13</v>
      </c>
      <c r="NQ19" s="49" t="s">
        <v>59</v>
      </c>
      <c r="NR19" s="49" t="s">
        <v>59</v>
      </c>
      <c r="NS19" s="49" t="s">
        <v>59</v>
      </c>
      <c r="NT19" s="49" t="s">
        <v>59</v>
      </c>
      <c r="NU19" s="49" t="s">
        <v>59</v>
      </c>
      <c r="NV19" s="49" t="s">
        <v>59</v>
      </c>
      <c r="NW19" s="49" t="s">
        <v>59</v>
      </c>
      <c r="NX19" s="49" t="s">
        <v>59</v>
      </c>
      <c r="NY19" s="49" t="s">
        <v>59</v>
      </c>
      <c r="NZ19" s="49" t="s">
        <v>59</v>
      </c>
      <c r="OA19" s="49" t="s">
        <v>59</v>
      </c>
      <c r="OB19" s="49" t="s">
        <v>59</v>
      </c>
      <c r="OC19" s="49" t="s">
        <v>59</v>
      </c>
      <c r="OD19" s="49" t="s">
        <v>59</v>
      </c>
      <c r="OE19" s="49" t="s">
        <v>59</v>
      </c>
      <c r="OF19" s="49" t="s">
        <v>59</v>
      </c>
      <c r="OG19" s="49" t="s">
        <v>59</v>
      </c>
      <c r="OH19" s="49" t="s">
        <v>59</v>
      </c>
      <c r="OI19" s="49" t="s">
        <v>59</v>
      </c>
      <c r="OJ19" s="49" t="s">
        <v>59</v>
      </c>
      <c r="OK19" s="49" t="s">
        <v>59</v>
      </c>
      <c r="OL19" s="49" t="s">
        <v>59</v>
      </c>
      <c r="OM19" s="49" t="s">
        <v>59</v>
      </c>
      <c r="ON19" s="49" t="s">
        <v>59</v>
      </c>
      <c r="OO19" s="49" t="s">
        <v>59</v>
      </c>
      <c r="OP19" s="49" t="s">
        <v>59</v>
      </c>
      <c r="OQ19" s="49" t="s">
        <v>59</v>
      </c>
      <c r="OR19" s="49" t="s">
        <v>59</v>
      </c>
      <c r="OS19" s="49" t="s">
        <v>59</v>
      </c>
      <c r="OT19" s="49" t="s">
        <v>59</v>
      </c>
      <c r="OU19" s="49" t="s">
        <v>59</v>
      </c>
      <c r="OV19" s="49" t="s">
        <v>59</v>
      </c>
      <c r="OW19" s="49" t="s">
        <v>59</v>
      </c>
      <c r="OX19" s="49" t="s">
        <v>59</v>
      </c>
      <c r="OY19" s="49" t="s">
        <v>59</v>
      </c>
      <c r="OZ19" s="49" t="s">
        <v>59</v>
      </c>
      <c r="PA19" s="49" t="s">
        <v>59</v>
      </c>
      <c r="PB19" s="49" t="s">
        <v>59</v>
      </c>
      <c r="PC19" s="49" t="s">
        <v>59</v>
      </c>
      <c r="PD19" s="49" t="s">
        <v>59</v>
      </c>
      <c r="PE19" s="49" t="s">
        <v>59</v>
      </c>
      <c r="PF19" s="49" t="s">
        <v>59</v>
      </c>
      <c r="PG19" s="49" t="s">
        <v>59</v>
      </c>
      <c r="PH19" s="49" t="s">
        <v>59</v>
      </c>
      <c r="PI19" s="49" t="s">
        <v>59</v>
      </c>
      <c r="PJ19" s="49" t="s">
        <v>59</v>
      </c>
      <c r="PK19" s="49" t="s">
        <v>59</v>
      </c>
      <c r="PL19" s="49" t="s">
        <v>59</v>
      </c>
      <c r="PM19" s="49" t="s">
        <v>59</v>
      </c>
      <c r="PN19" s="49" t="s">
        <v>59</v>
      </c>
      <c r="PO19" s="49" t="s">
        <v>59</v>
      </c>
      <c r="PP19" s="49" t="s">
        <v>59</v>
      </c>
      <c r="PQ19" s="49" t="s">
        <v>59</v>
      </c>
      <c r="PR19" s="49" t="s">
        <v>59</v>
      </c>
      <c r="PS19" s="49" t="s">
        <v>59</v>
      </c>
      <c r="PT19" s="49" t="s">
        <v>59</v>
      </c>
      <c r="PU19" s="49" t="s">
        <v>59</v>
      </c>
      <c r="PV19" s="49" t="s">
        <v>59</v>
      </c>
      <c r="PW19" s="49" t="s">
        <v>59</v>
      </c>
      <c r="PX19" s="49"/>
      <c r="PY19" s="49" t="s">
        <v>59</v>
      </c>
      <c r="PZ19" s="49" t="s">
        <v>13</v>
      </c>
      <c r="QA19" s="49" t="s">
        <v>59</v>
      </c>
      <c r="QB19" s="49" t="s">
        <v>59</v>
      </c>
      <c r="QC19" s="49" t="s">
        <v>59</v>
      </c>
      <c r="QD19" s="49" t="s">
        <v>59</v>
      </c>
      <c r="QE19" s="49" t="s">
        <v>59</v>
      </c>
      <c r="QF19" s="49" t="s">
        <v>59</v>
      </c>
      <c r="QG19" s="49" t="s">
        <v>59</v>
      </c>
      <c r="QH19" s="49" t="s">
        <v>20</v>
      </c>
      <c r="QI19" s="49" t="s">
        <v>59</v>
      </c>
      <c r="QJ19" s="49" t="s">
        <v>59</v>
      </c>
      <c r="QK19" s="49" t="s">
        <v>59</v>
      </c>
      <c r="QL19" s="49" t="s">
        <v>59</v>
      </c>
      <c r="QM19" s="49" t="s">
        <v>59</v>
      </c>
      <c r="QN19" s="49" t="s">
        <v>59</v>
      </c>
      <c r="QO19" s="49" t="s">
        <v>59</v>
      </c>
      <c r="QP19" s="49" t="s">
        <v>59</v>
      </c>
      <c r="QQ19" s="49"/>
      <c r="QR19" s="49" t="s">
        <v>59</v>
      </c>
      <c r="QS19" s="49" t="s">
        <v>59</v>
      </c>
      <c r="QT19" s="49" t="s">
        <v>59</v>
      </c>
      <c r="QU19" s="49" t="s">
        <v>59</v>
      </c>
      <c r="QV19" s="49" t="s">
        <v>59</v>
      </c>
      <c r="QW19" s="49" t="s">
        <v>59</v>
      </c>
      <c r="QX19" s="49" t="s">
        <v>59</v>
      </c>
      <c r="QY19" s="49" t="s">
        <v>59</v>
      </c>
      <c r="QZ19" s="49" t="s">
        <v>59</v>
      </c>
      <c r="RA19" s="49" t="s">
        <v>59</v>
      </c>
      <c r="RB19" s="49" t="s">
        <v>59</v>
      </c>
      <c r="RC19" s="49" t="s">
        <v>59</v>
      </c>
      <c r="RD19" s="49" t="s">
        <v>59</v>
      </c>
      <c r="RE19" s="49" t="s">
        <v>59</v>
      </c>
      <c r="RF19" s="49" t="s">
        <v>59</v>
      </c>
      <c r="RG19" s="49" t="s">
        <v>59</v>
      </c>
      <c r="RH19" s="49" t="s">
        <v>59</v>
      </c>
      <c r="RI19" s="49" t="s">
        <v>59</v>
      </c>
      <c r="RJ19" s="49" t="s">
        <v>59</v>
      </c>
      <c r="RK19" s="49" t="s">
        <v>59</v>
      </c>
      <c r="RL19" s="49" t="s">
        <v>59</v>
      </c>
      <c r="RM19" s="49" t="s">
        <v>59</v>
      </c>
      <c r="RN19" s="49" t="s">
        <v>59</v>
      </c>
      <c r="RO19" s="49" t="s">
        <v>59</v>
      </c>
      <c r="RP19" s="49" t="s">
        <v>59</v>
      </c>
      <c r="RQ19" s="49" t="s">
        <v>59</v>
      </c>
      <c r="RR19" s="49" t="s">
        <v>59</v>
      </c>
      <c r="RS19" s="49" t="s">
        <v>59</v>
      </c>
      <c r="RT19" s="49" t="s">
        <v>59</v>
      </c>
      <c r="RU19" s="49" t="s">
        <v>59</v>
      </c>
      <c r="RV19" s="49" t="s">
        <v>59</v>
      </c>
      <c r="RW19" s="49" t="s">
        <v>59</v>
      </c>
      <c r="RX19" s="49" t="s">
        <v>13</v>
      </c>
      <c r="RY19" s="408" t="s">
        <v>13</v>
      </c>
      <c r="RZ19" s="49" t="s">
        <v>59</v>
      </c>
      <c r="SA19" s="49" t="s">
        <v>59</v>
      </c>
      <c r="SB19" s="49"/>
      <c r="SC19" s="49"/>
      <c r="SD19" s="49" t="s">
        <v>20</v>
      </c>
      <c r="SE19" s="49" t="s">
        <v>59</v>
      </c>
      <c r="SF19" s="49" t="s">
        <v>59</v>
      </c>
      <c r="SG19" s="49" t="s">
        <v>59</v>
      </c>
      <c r="SH19" s="49" t="s">
        <v>59</v>
      </c>
      <c r="SI19" s="49" t="s">
        <v>59</v>
      </c>
      <c r="SJ19" s="49" t="s">
        <v>59</v>
      </c>
      <c r="SK19" s="49" t="s">
        <v>59</v>
      </c>
      <c r="SL19" s="49" t="s">
        <v>59</v>
      </c>
      <c r="SM19" s="49" t="s">
        <v>59</v>
      </c>
      <c r="SN19" s="49" t="s">
        <v>59</v>
      </c>
      <c r="SO19" s="49" t="s">
        <v>20</v>
      </c>
      <c r="SP19" s="49" t="s">
        <v>59</v>
      </c>
      <c r="SQ19" s="49" t="s">
        <v>59</v>
      </c>
      <c r="SR19" s="49" t="s">
        <v>59</v>
      </c>
      <c r="SS19" s="49" t="s">
        <v>59</v>
      </c>
      <c r="ST19" s="49"/>
      <c r="SU19" s="49" t="s">
        <v>59</v>
      </c>
      <c r="SV19" s="49" t="s">
        <v>59</v>
      </c>
      <c r="SW19" s="49" t="s">
        <v>59</v>
      </c>
      <c r="SX19" s="49" t="s">
        <v>59</v>
      </c>
      <c r="SY19" s="49" t="s">
        <v>59</v>
      </c>
      <c r="SZ19" s="49" t="s">
        <v>20</v>
      </c>
      <c r="TA19" s="49" t="s">
        <v>59</v>
      </c>
      <c r="TB19" s="49" t="s">
        <v>59</v>
      </c>
      <c r="TC19" s="49" t="s">
        <v>59</v>
      </c>
      <c r="TD19" s="49" t="s">
        <v>20</v>
      </c>
      <c r="TE19" s="49" t="s">
        <v>59</v>
      </c>
      <c r="TF19" s="49"/>
      <c r="TG19" s="49"/>
      <c r="TH19" s="49"/>
      <c r="TI19" s="49"/>
      <c r="TJ19" s="49"/>
      <c r="TK19" s="49"/>
      <c r="TL19" s="49"/>
      <c r="TM19" s="49"/>
      <c r="TN19" s="93"/>
      <c r="TO19" s="93"/>
      <c r="TP19" s="93"/>
      <c r="TQ19" s="93"/>
      <c r="TR19" s="93"/>
      <c r="TS19" s="93"/>
      <c r="TT19" s="93"/>
      <c r="TU19" s="93"/>
      <c r="TV19" s="93"/>
      <c r="TW19" s="49"/>
      <c r="TX19" s="49"/>
      <c r="TY19" s="49"/>
      <c r="TZ19" s="72"/>
      <c r="UA19" s="72"/>
      <c r="UB19" s="72"/>
      <c r="UC19" s="72"/>
      <c r="UD19" s="49"/>
      <c r="UE19" s="49"/>
      <c r="UF19" s="49"/>
      <c r="UG19" s="49"/>
      <c r="UH19" s="49"/>
      <c r="UI19" s="49"/>
      <c r="UJ19" s="49"/>
      <c r="UK19" s="49"/>
      <c r="UL19" s="49"/>
      <c r="UM19" s="49"/>
      <c r="UN19" s="49"/>
      <c r="UO19" s="49"/>
      <c r="UP19" s="49"/>
      <c r="UQ19" s="49"/>
      <c r="UR19" s="49"/>
      <c r="US19" s="49"/>
      <c r="UT19" s="49"/>
      <c r="UU19" s="49"/>
      <c r="UV19" s="49"/>
      <c r="UW19" s="49"/>
      <c r="UX19" s="49"/>
      <c r="UY19" s="49"/>
      <c r="UZ19" s="49"/>
      <c r="VA19" s="49"/>
      <c r="VB19" s="49"/>
      <c r="VC19" s="49"/>
      <c r="VD19" s="49"/>
      <c r="VE19" s="49"/>
      <c r="VF19" s="49"/>
      <c r="VG19" s="49"/>
      <c r="VH19" s="49"/>
      <c r="VI19" s="49"/>
      <c r="VJ19" s="49"/>
      <c r="VK19" s="49"/>
      <c r="VL19" s="49"/>
      <c r="VM19" s="49"/>
      <c r="VN19" s="49"/>
      <c r="VO19" s="49"/>
      <c r="VP19" s="49"/>
      <c r="VQ19" s="49"/>
      <c r="VR19" s="49"/>
      <c r="VS19" s="49"/>
      <c r="VT19" s="49"/>
      <c r="VU19" s="49"/>
      <c r="VV19" s="49"/>
      <c r="VW19" s="49"/>
      <c r="VX19" s="49"/>
      <c r="VY19" s="49"/>
      <c r="VZ19" s="49"/>
      <c r="WA19" s="49"/>
      <c r="WB19" s="49"/>
      <c r="WC19" s="49"/>
      <c r="WD19" s="49"/>
      <c r="WE19" s="49"/>
      <c r="WF19" s="49"/>
      <c r="WG19" s="49"/>
      <c r="WH19" s="49"/>
      <c r="WI19" s="49"/>
      <c r="WJ19" s="49"/>
      <c r="WK19" s="49"/>
      <c r="WL19" s="49"/>
      <c r="WM19" s="49"/>
      <c r="WN19" s="49"/>
      <c r="WO19" s="49"/>
      <c r="WP19" s="49"/>
      <c r="WQ19" s="49"/>
      <c r="WR19" s="49"/>
      <c r="WS19" s="49"/>
      <c r="WT19" s="49"/>
      <c r="WU19" s="49"/>
      <c r="WV19" s="49"/>
      <c r="WW19" s="49"/>
      <c r="WX19" s="49"/>
      <c r="WY19" s="49"/>
      <c r="WZ19" s="49"/>
      <c r="XA19" s="49"/>
      <c r="XB19" s="49"/>
      <c r="XC19" s="49"/>
      <c r="XD19" s="49"/>
      <c r="XE19" s="49"/>
      <c r="XF19" s="49"/>
      <c r="XG19" s="49"/>
      <c r="XH19" s="49"/>
      <c r="XI19" s="49"/>
      <c r="XJ19" s="49"/>
      <c r="XK19" s="49"/>
      <c r="XL19" s="49"/>
      <c r="XM19" s="49"/>
      <c r="XN19" s="49"/>
      <c r="XO19" s="49"/>
      <c r="XP19" s="49"/>
      <c r="XQ19" s="49" t="s">
        <v>13</v>
      </c>
      <c r="XR19" s="49" t="s">
        <v>13</v>
      </c>
      <c r="XS19" s="49" t="s">
        <v>13</v>
      </c>
      <c r="XT19" s="49" t="s">
        <v>13</v>
      </c>
      <c r="XU19" s="49" t="s">
        <v>13</v>
      </c>
      <c r="XV19" s="49" t="s">
        <v>59</v>
      </c>
      <c r="XW19" s="49" t="s">
        <v>13</v>
      </c>
      <c r="XX19" s="49" t="s">
        <v>13</v>
      </c>
      <c r="XY19" s="49" t="s">
        <v>13</v>
      </c>
      <c r="XZ19" s="49" t="s">
        <v>13</v>
      </c>
      <c r="YA19" s="49" t="s">
        <v>13</v>
      </c>
      <c r="YB19" s="49" t="s">
        <v>13</v>
      </c>
      <c r="YC19" s="49" t="s">
        <v>20</v>
      </c>
      <c r="YD19" s="49" t="s">
        <v>20</v>
      </c>
      <c r="YE19" s="49" t="s">
        <v>13</v>
      </c>
      <c r="YF19" s="49" t="s">
        <v>20</v>
      </c>
      <c r="YG19" s="49" t="s">
        <v>20</v>
      </c>
      <c r="YH19" s="49"/>
      <c r="YI19" s="49"/>
      <c r="YJ19" s="49" t="s">
        <v>20</v>
      </c>
      <c r="YK19" s="49" t="s">
        <v>59</v>
      </c>
      <c r="YL19" s="49" t="s">
        <v>13</v>
      </c>
      <c r="YM19" s="122"/>
      <c r="YN19" s="122"/>
      <c r="YO19" s="49"/>
      <c r="YP19" s="49"/>
      <c r="YQ19" s="49"/>
      <c r="YR19" s="49"/>
      <c r="YS19" s="49"/>
      <c r="YT19" s="122"/>
    </row>
    <row r="20" spans="1:670" s="26" customFormat="1" ht="12.1" customHeight="1" x14ac:dyDescent="0.25">
      <c r="A20" s="203" t="s">
        <v>375</v>
      </c>
      <c r="B20" s="204" t="s">
        <v>263</v>
      </c>
      <c r="C20" s="204" t="s">
        <v>1</v>
      </c>
      <c r="D20" s="204" t="s">
        <v>2</v>
      </c>
      <c r="E20" s="205" t="s">
        <v>3</v>
      </c>
      <c r="F20" s="205" t="s">
        <v>379</v>
      </c>
      <c r="G20" s="205" t="s">
        <v>122</v>
      </c>
      <c r="H20" s="205" t="s">
        <v>234</v>
      </c>
      <c r="I20" s="205" t="s">
        <v>77</v>
      </c>
      <c r="J20" s="206" t="s">
        <v>4</v>
      </c>
      <c r="K20" s="206" t="s">
        <v>5</v>
      </c>
      <c r="L20" s="206"/>
      <c r="M20" s="206" t="s">
        <v>71</v>
      </c>
      <c r="N20" s="206" t="s">
        <v>72</v>
      </c>
      <c r="O20" s="206" t="s">
        <v>73</v>
      </c>
      <c r="P20" s="206" t="s">
        <v>102</v>
      </c>
      <c r="Q20" s="206" t="s">
        <v>103</v>
      </c>
      <c r="R20" s="206" t="s">
        <v>104</v>
      </c>
      <c r="S20" s="206" t="s">
        <v>105</v>
      </c>
      <c r="T20" s="206" t="s">
        <v>110</v>
      </c>
      <c r="U20" s="206" t="s">
        <v>8</v>
      </c>
      <c r="V20" s="206" t="s">
        <v>9</v>
      </c>
      <c r="W20" s="206" t="s">
        <v>106</v>
      </c>
      <c r="X20" s="206" t="s">
        <v>21</v>
      </c>
      <c r="Y20" s="206" t="s">
        <v>254</v>
      </c>
      <c r="Z20" s="206" t="s">
        <v>6</v>
      </c>
      <c r="AA20" s="206" t="s">
        <v>7</v>
      </c>
      <c r="AB20" s="206" t="s">
        <v>107</v>
      </c>
      <c r="AC20" s="206" t="s">
        <v>19</v>
      </c>
      <c r="AD20" s="206" t="s">
        <v>22</v>
      </c>
      <c r="AE20" s="206" t="s">
        <v>1224</v>
      </c>
      <c r="AF20" s="206" t="s">
        <v>1225</v>
      </c>
      <c r="AG20" s="206" t="s">
        <v>23</v>
      </c>
      <c r="AH20" s="206" t="s">
        <v>117</v>
      </c>
      <c r="AI20" s="206" t="s">
        <v>867</v>
      </c>
      <c r="AJ20" s="206" t="s">
        <v>126</v>
      </c>
      <c r="AK20" s="206" t="s">
        <v>75</v>
      </c>
      <c r="AL20" s="206" t="s">
        <v>108</v>
      </c>
      <c r="AM20" s="206" t="s">
        <v>109</v>
      </c>
      <c r="AN20" s="206" t="s">
        <v>259</v>
      </c>
      <c r="AO20" s="206" t="s">
        <v>260</v>
      </c>
      <c r="AP20" s="206" t="s">
        <v>1022</v>
      </c>
      <c r="AQ20" s="206" t="s">
        <v>695</v>
      </c>
      <c r="AR20" s="206" t="s">
        <v>697</v>
      </c>
      <c r="AS20" s="206" t="s">
        <v>698</v>
      </c>
      <c r="AT20" s="206" t="s">
        <v>692</v>
      </c>
      <c r="AU20" s="206"/>
      <c r="AV20" s="206"/>
      <c r="AW20" s="206"/>
      <c r="AX20" s="206"/>
      <c r="AY20" s="206"/>
      <c r="AZ20" s="206"/>
      <c r="BA20" s="206"/>
      <c r="BB20" s="206"/>
      <c r="BC20" s="206"/>
      <c r="BD20" s="206"/>
      <c r="BE20" s="206"/>
      <c r="BF20" s="206"/>
      <c r="BG20" s="206"/>
      <c r="BH20" s="206"/>
      <c r="BI20" s="206" t="s">
        <v>1226</v>
      </c>
      <c r="BJ20" s="206" t="s">
        <v>1227</v>
      </c>
      <c r="BK20" s="206" t="s">
        <v>883</v>
      </c>
      <c r="BL20" s="206" t="s">
        <v>70</v>
      </c>
      <c r="BM20" s="206" t="s">
        <v>34</v>
      </c>
      <c r="BN20" s="206" t="s">
        <v>35</v>
      </c>
      <c r="BO20" s="206" t="s">
        <v>144</v>
      </c>
      <c r="BP20" s="206" t="s">
        <v>96</v>
      </c>
      <c r="BQ20" s="206" t="s">
        <v>41</v>
      </c>
      <c r="BR20" s="206" t="s">
        <v>127</v>
      </c>
      <c r="BS20" s="206" t="s">
        <v>142</v>
      </c>
      <c r="BT20" s="206" t="s">
        <v>95</v>
      </c>
      <c r="BU20" s="206" t="s">
        <v>39</v>
      </c>
      <c r="BV20" s="206" t="s">
        <v>143</v>
      </c>
      <c r="BW20" s="206" t="s">
        <v>36</v>
      </c>
      <c r="BX20" s="206" t="s">
        <v>37</v>
      </c>
      <c r="BY20" s="206"/>
      <c r="BZ20" s="206" t="s">
        <v>56</v>
      </c>
      <c r="CA20" s="206"/>
      <c r="CB20" s="206"/>
      <c r="CC20" s="206" t="s">
        <v>135</v>
      </c>
      <c r="CD20" s="206" t="s">
        <v>868</v>
      </c>
      <c r="CE20" s="206"/>
      <c r="CF20" s="206" t="s">
        <v>136</v>
      </c>
      <c r="CG20" s="206" t="s">
        <v>208</v>
      </c>
      <c r="CH20" s="206" t="s">
        <v>301</v>
      </c>
      <c r="CI20" s="206"/>
      <c r="CJ20" s="206" t="s">
        <v>1229</v>
      </c>
      <c r="CK20" s="206" t="s">
        <v>1230</v>
      </c>
      <c r="CL20" s="206" t="s">
        <v>1231</v>
      </c>
      <c r="CM20" s="206"/>
      <c r="CN20" s="206" t="s">
        <v>128</v>
      </c>
      <c r="CO20" s="206" t="s">
        <v>40</v>
      </c>
      <c r="CP20" s="206" t="s">
        <v>38</v>
      </c>
      <c r="CQ20" s="206" t="s">
        <v>93</v>
      </c>
      <c r="CR20" s="206"/>
      <c r="CS20" s="206" t="s">
        <v>679</v>
      </c>
      <c r="CT20" s="206" t="s">
        <v>1014</v>
      </c>
      <c r="CU20" s="206" t="s">
        <v>64</v>
      </c>
      <c r="CV20" s="206" t="s">
        <v>65</v>
      </c>
      <c r="CW20" s="207" t="s">
        <v>1232</v>
      </c>
      <c r="CX20" s="206" t="s">
        <v>179</v>
      </c>
      <c r="CY20" s="206" t="s">
        <v>845</v>
      </c>
      <c r="CZ20" s="206" t="s">
        <v>192</v>
      </c>
      <c r="DA20" s="207"/>
      <c r="DB20" s="207"/>
      <c r="DC20" s="207"/>
      <c r="DD20" s="207"/>
      <c r="DE20" s="206" t="s">
        <v>46</v>
      </c>
      <c r="DF20" s="206" t="s">
        <v>42</v>
      </c>
      <c r="DG20" s="206"/>
      <c r="DH20" s="206"/>
      <c r="DI20" s="206" t="s">
        <v>38</v>
      </c>
      <c r="DJ20" s="206" t="s">
        <v>380</v>
      </c>
      <c r="DK20" s="206" t="s">
        <v>383</v>
      </c>
      <c r="DL20" s="206" t="s">
        <v>44</v>
      </c>
      <c r="DM20" s="206" t="s">
        <v>63</v>
      </c>
      <c r="DN20" s="206" t="s">
        <v>113</v>
      </c>
      <c r="DO20" s="206" t="s">
        <v>268</v>
      </c>
      <c r="DP20" s="206" t="s">
        <v>101</v>
      </c>
      <c r="DQ20" s="206" t="s">
        <v>269</v>
      </c>
      <c r="DR20" s="206" t="s">
        <v>590</v>
      </c>
      <c r="DS20" s="206" t="s">
        <v>599</v>
      </c>
      <c r="DT20" s="206" t="s">
        <v>24</v>
      </c>
      <c r="DU20" s="206" t="s">
        <v>26</v>
      </c>
      <c r="DV20" s="206" t="s">
        <v>28</v>
      </c>
      <c r="DW20" s="206" t="s">
        <v>25</v>
      </c>
      <c r="DX20" s="206" t="s">
        <v>27</v>
      </c>
      <c r="DY20" s="206" t="s">
        <v>29</v>
      </c>
      <c r="DZ20" s="206" t="s">
        <v>488</v>
      </c>
      <c r="EA20" s="206" t="s">
        <v>598</v>
      </c>
      <c r="EB20" s="206" t="s">
        <v>489</v>
      </c>
      <c r="EC20" s="206" t="s">
        <v>506</v>
      </c>
      <c r="ED20" s="206" t="s">
        <v>507</v>
      </c>
      <c r="EE20" s="206" t="s">
        <v>508</v>
      </c>
      <c r="EF20" s="206" t="s">
        <v>681</v>
      </c>
      <c r="EG20" s="206" t="s">
        <v>682</v>
      </c>
      <c r="EH20" s="206" t="s">
        <v>30</v>
      </c>
      <c r="EI20" s="206" t="s">
        <v>32</v>
      </c>
      <c r="EJ20" s="206" t="s">
        <v>33</v>
      </c>
      <c r="EK20" s="206" t="s">
        <v>270</v>
      </c>
      <c r="EL20" s="206"/>
      <c r="EM20" s="206" t="s">
        <v>271</v>
      </c>
      <c r="EN20" s="206" t="s">
        <v>277</v>
      </c>
      <c r="EO20" s="206"/>
      <c r="EP20" s="206"/>
      <c r="EQ20" s="206"/>
      <c r="ER20" s="206"/>
      <c r="ES20" s="206"/>
      <c r="ET20" s="206"/>
      <c r="EU20" s="206" t="s">
        <v>1055</v>
      </c>
      <c r="EV20" s="206"/>
      <c r="EW20" s="206" t="s">
        <v>1070</v>
      </c>
      <c r="EX20" s="206"/>
      <c r="EY20" s="206"/>
      <c r="EZ20" s="206"/>
      <c r="FA20" s="206"/>
      <c r="FB20" s="206" t="s">
        <v>284</v>
      </c>
      <c r="FC20" s="206" t="s">
        <v>216</v>
      </c>
      <c r="FD20" s="206" t="s">
        <v>389</v>
      </c>
      <c r="FE20" s="206" t="s">
        <v>701</v>
      </c>
      <c r="FF20" s="206" t="s">
        <v>391</v>
      </c>
      <c r="FG20" s="206" t="s">
        <v>430</v>
      </c>
      <c r="FH20" s="206"/>
      <c r="FI20" s="206" t="s">
        <v>189</v>
      </c>
      <c r="FJ20" s="206" t="s">
        <v>396</v>
      </c>
      <c r="FK20" s="206"/>
      <c r="FL20" s="206" t="s">
        <v>400</v>
      </c>
      <c r="FM20" s="206"/>
      <c r="FN20" s="206"/>
      <c r="FO20" s="206" t="s">
        <v>866</v>
      </c>
      <c r="FP20" s="206"/>
      <c r="FQ20" s="206"/>
      <c r="FR20" s="206"/>
      <c r="FS20" s="206"/>
      <c r="FT20" s="206"/>
      <c r="FU20" s="206" t="s">
        <v>257</v>
      </c>
      <c r="FV20" s="206" t="s">
        <v>194</v>
      </c>
      <c r="FW20" s="206"/>
      <c r="FX20" s="206" t="s">
        <v>405</v>
      </c>
      <c r="FY20" s="206" t="s">
        <v>411</v>
      </c>
      <c r="FZ20" s="206"/>
      <c r="GA20" s="206" t="s">
        <v>415</v>
      </c>
      <c r="GB20" s="206" t="s">
        <v>419</v>
      </c>
      <c r="GC20" s="206"/>
      <c r="GD20" s="206"/>
      <c r="GE20" s="206" t="s">
        <v>423</v>
      </c>
      <c r="GF20" s="206"/>
      <c r="GG20" s="206" t="s">
        <v>427</v>
      </c>
      <c r="GH20" s="206" t="s">
        <v>433</v>
      </c>
      <c r="GI20" s="206"/>
      <c r="GJ20" s="206"/>
      <c r="GK20" s="206"/>
      <c r="GL20" s="488"/>
      <c r="GM20" s="488"/>
      <c r="GN20" s="208"/>
      <c r="GO20" s="208"/>
      <c r="GP20" s="208" t="s">
        <v>227</v>
      </c>
      <c r="GQ20" s="207" t="s">
        <v>1247</v>
      </c>
      <c r="GR20" s="206" t="s">
        <v>1658</v>
      </c>
      <c r="GS20" s="206"/>
      <c r="GT20" s="206" t="s">
        <v>762</v>
      </c>
      <c r="GU20" s="206" t="s">
        <v>764</v>
      </c>
      <c r="GV20" s="206"/>
      <c r="GW20" s="206"/>
      <c r="GX20" s="206"/>
      <c r="GY20" s="489"/>
      <c r="GZ20" s="206"/>
      <c r="HA20" s="206" t="s">
        <v>1659</v>
      </c>
      <c r="HB20" s="206"/>
      <c r="HC20" s="206" t="s">
        <v>1660</v>
      </c>
      <c r="HD20" s="206" t="s">
        <v>385</v>
      </c>
      <c r="HE20" s="206" t="s">
        <v>767</v>
      </c>
      <c r="HF20" s="206"/>
      <c r="HG20" s="206"/>
      <c r="HH20" s="207"/>
      <c r="HI20" s="207"/>
      <c r="HJ20" s="207"/>
      <c r="HK20" s="207"/>
      <c r="HL20" s="207" t="s">
        <v>519</v>
      </c>
      <c r="HM20" s="207"/>
      <c r="HN20" s="206"/>
      <c r="HO20" s="206"/>
      <c r="HP20" s="207" t="s">
        <v>524</v>
      </c>
      <c r="HQ20" s="207"/>
      <c r="HR20" s="489"/>
      <c r="HS20" s="206"/>
      <c r="HT20" s="206" t="s">
        <v>182</v>
      </c>
      <c r="HU20" s="489"/>
      <c r="HV20" s="206"/>
      <c r="HW20" s="489"/>
      <c r="HX20" s="206"/>
      <c r="HY20" s="489"/>
      <c r="HZ20" s="206"/>
      <c r="IA20" s="206" t="s">
        <v>495</v>
      </c>
      <c r="IB20" s="206" t="s">
        <v>503</v>
      </c>
      <c r="IC20" s="206"/>
      <c r="ID20" s="206"/>
      <c r="IE20" s="206"/>
      <c r="IF20" s="206" t="s">
        <v>499</v>
      </c>
      <c r="IG20" s="206" t="s">
        <v>325</v>
      </c>
      <c r="IH20" s="207"/>
      <c r="II20" s="207"/>
      <c r="IJ20" s="207"/>
      <c r="IK20" s="34"/>
      <c r="IL20" s="34"/>
      <c r="IM20" s="34"/>
      <c r="IN20" s="34"/>
      <c r="IO20" s="34"/>
      <c r="IP20" s="34"/>
      <c r="IQ20" s="34"/>
      <c r="IR20" s="34"/>
      <c r="IS20" s="34"/>
      <c r="IT20" s="34"/>
      <c r="IU20" s="34"/>
      <c r="IV20" s="34"/>
      <c r="IW20" s="34"/>
      <c r="IX20" s="34"/>
      <c r="IY20" s="34"/>
      <c r="IZ20" s="34"/>
      <c r="JA20" s="34"/>
      <c r="JB20" s="34"/>
      <c r="JC20" s="34"/>
      <c r="JD20" s="34"/>
      <c r="JE20" s="34"/>
      <c r="JF20" s="34"/>
      <c r="JG20" s="34"/>
      <c r="JH20" s="34"/>
      <c r="JI20" s="34"/>
      <c r="JJ20" s="34"/>
      <c r="JK20" s="34"/>
      <c r="JL20" s="210"/>
      <c r="JM20" s="34"/>
      <c r="JN20" s="488"/>
      <c r="JO20" s="488"/>
      <c r="JP20" s="34"/>
      <c r="JQ20" s="34"/>
      <c r="JR20" s="34"/>
      <c r="JS20" s="34"/>
      <c r="JT20" s="34"/>
      <c r="JU20" s="34"/>
      <c r="JV20" s="34"/>
      <c r="JW20" s="34"/>
      <c r="JX20" s="34"/>
      <c r="JY20" s="34"/>
      <c r="JZ20" s="34"/>
      <c r="KA20" s="34"/>
      <c r="KB20" s="34"/>
      <c r="KC20" s="34"/>
      <c r="KD20" s="34"/>
      <c r="KE20" s="34"/>
      <c r="KF20" s="34"/>
      <c r="KG20" s="34"/>
      <c r="KH20" s="34"/>
      <c r="KI20" s="34"/>
      <c r="KJ20" s="34"/>
      <c r="KK20" s="34"/>
      <c r="KL20" s="34"/>
      <c r="KM20" s="34"/>
      <c r="KN20" s="34"/>
      <c r="KO20" s="34"/>
      <c r="KP20" s="34"/>
      <c r="KQ20" s="34"/>
      <c r="KR20" s="34"/>
      <c r="KS20" s="34"/>
      <c r="KT20" s="34"/>
      <c r="KU20" s="34"/>
      <c r="KV20" s="34"/>
      <c r="KW20" s="34"/>
      <c r="KX20" s="34"/>
      <c r="KY20" s="34"/>
      <c r="KZ20" s="34"/>
      <c r="LA20" s="34"/>
      <c r="LB20" s="34"/>
      <c r="LC20" s="34"/>
      <c r="LD20" s="34"/>
      <c r="LE20" s="34"/>
      <c r="LF20" s="34"/>
      <c r="LG20" s="34"/>
      <c r="LH20" s="34"/>
      <c r="LI20" s="34"/>
      <c r="LJ20" s="34"/>
      <c r="LK20" s="34"/>
      <c r="LL20" s="34"/>
      <c r="LM20" s="34"/>
      <c r="LN20" s="209" t="s">
        <v>330</v>
      </c>
      <c r="LO20" s="34"/>
      <c r="LP20" s="34"/>
      <c r="LQ20" s="34"/>
      <c r="LR20" s="34"/>
      <c r="LS20" s="34"/>
      <c r="LT20" s="34"/>
      <c r="LU20" s="34"/>
      <c r="LV20" s="206"/>
      <c r="LW20" s="206"/>
      <c r="LX20" s="206"/>
      <c r="LY20" s="206"/>
      <c r="LZ20" s="206"/>
      <c r="MA20" s="206"/>
      <c r="MB20" s="206"/>
      <c r="MC20" s="206"/>
      <c r="MD20" s="206"/>
      <c r="ME20" s="206"/>
      <c r="MF20" s="206"/>
      <c r="MG20" s="206"/>
      <c r="MH20" s="206"/>
      <c r="MI20" s="206"/>
      <c r="MJ20" s="206"/>
      <c r="MK20" s="206"/>
      <c r="ML20" s="206"/>
      <c r="MM20" s="206" t="s">
        <v>1661</v>
      </c>
      <c r="MN20" s="206"/>
      <c r="MO20" s="206"/>
      <c r="MP20" s="206"/>
      <c r="MQ20" s="206"/>
      <c r="MR20" s="206"/>
      <c r="MS20" s="206"/>
      <c r="MT20" s="206"/>
      <c r="MU20" s="206"/>
      <c r="MV20" s="206"/>
      <c r="MW20" s="206" t="s">
        <v>1662</v>
      </c>
      <c r="MX20" s="206"/>
      <c r="MY20" s="206"/>
      <c r="MZ20" s="206"/>
      <c r="NA20" s="206"/>
      <c r="NB20" s="206"/>
      <c r="NC20" s="206"/>
      <c r="ND20" s="206"/>
      <c r="NE20" s="206"/>
      <c r="NF20" s="206" t="s">
        <v>94</v>
      </c>
      <c r="NG20" s="206"/>
      <c r="NH20" s="206" t="s">
        <v>734</v>
      </c>
      <c r="NI20" s="206"/>
      <c r="NJ20" s="206" t="s">
        <v>91</v>
      </c>
      <c r="NK20" s="206"/>
      <c r="NL20" s="206" t="s">
        <v>1685</v>
      </c>
      <c r="NM20" s="206" t="s">
        <v>742</v>
      </c>
      <c r="NN20" s="206"/>
      <c r="NO20" s="206" t="s">
        <v>743</v>
      </c>
      <c r="NP20" s="206" t="s">
        <v>92</v>
      </c>
      <c r="NQ20" s="206"/>
      <c r="NR20" s="206"/>
      <c r="NS20" s="206"/>
      <c r="NT20" s="206"/>
      <c r="NU20" s="206"/>
      <c r="NV20" s="206"/>
      <c r="NW20" s="206"/>
      <c r="NX20" s="206"/>
      <c r="NY20" s="206"/>
      <c r="NZ20" s="206"/>
      <c r="OA20" s="206"/>
      <c r="OB20" s="206"/>
      <c r="OC20" s="206"/>
      <c r="OD20" s="206"/>
      <c r="OE20" s="206"/>
      <c r="OF20" s="206"/>
      <c r="OG20" s="206"/>
      <c r="OH20" s="206"/>
      <c r="OI20" s="206"/>
      <c r="OJ20" s="206"/>
      <c r="OK20" s="206"/>
      <c r="OL20" s="206"/>
      <c r="OM20" s="206"/>
      <c r="ON20" s="206"/>
      <c r="OO20" s="206"/>
      <c r="OP20" s="206"/>
      <c r="OQ20" s="206"/>
      <c r="OR20" s="206"/>
      <c r="OS20" s="206"/>
      <c r="OT20" s="206"/>
      <c r="OU20" s="206"/>
      <c r="OV20" s="206"/>
      <c r="OW20" s="206"/>
      <c r="OX20" s="206"/>
      <c r="OY20" s="206"/>
      <c r="OZ20" s="206"/>
      <c r="PA20" s="206"/>
      <c r="PB20" s="206"/>
      <c r="PC20" s="206"/>
      <c r="PD20" s="206"/>
      <c r="PE20" s="206"/>
      <c r="PF20" s="206"/>
      <c r="PG20" s="206"/>
      <c r="PH20" s="206"/>
      <c r="PI20" s="206"/>
      <c r="PJ20" s="206"/>
      <c r="PK20" s="206"/>
      <c r="PL20" s="206"/>
      <c r="PM20" s="206"/>
      <c r="PN20" s="206"/>
      <c r="PO20" s="206"/>
      <c r="PP20" s="206"/>
      <c r="PQ20" s="206"/>
      <c r="PR20" s="206"/>
      <c r="PS20" s="206"/>
      <c r="PT20" s="206"/>
      <c r="PU20" s="206"/>
      <c r="PV20" s="206"/>
      <c r="PW20" s="206"/>
      <c r="PX20" s="206"/>
      <c r="PY20" s="206"/>
      <c r="PZ20" s="206" t="s">
        <v>1686</v>
      </c>
      <c r="QA20" s="206"/>
      <c r="QB20" s="206"/>
      <c r="QC20" s="206"/>
      <c r="QD20" s="206"/>
      <c r="QE20" s="206"/>
      <c r="QF20" s="206"/>
      <c r="QG20" s="206"/>
      <c r="QH20" s="206" t="s">
        <v>466</v>
      </c>
      <c r="QI20" s="206"/>
      <c r="QJ20" s="206"/>
      <c r="QK20" s="206"/>
      <c r="QL20" s="206"/>
      <c r="QM20" s="206"/>
      <c r="QN20" s="206"/>
      <c r="QO20" s="206"/>
      <c r="QP20" s="206"/>
      <c r="QQ20" s="206"/>
      <c r="QR20" s="206"/>
      <c r="QS20" s="206"/>
      <c r="QT20" s="206"/>
      <c r="QU20" s="206"/>
      <c r="QV20" s="206"/>
      <c r="QW20" s="206"/>
      <c r="QX20" s="206"/>
      <c r="QY20" s="206"/>
      <c r="QZ20" s="206"/>
      <c r="RA20" s="206"/>
      <c r="RB20" s="206"/>
      <c r="RC20" s="206"/>
      <c r="RD20" s="206"/>
      <c r="RE20" s="206"/>
      <c r="RF20" s="206"/>
      <c r="RG20" s="206"/>
      <c r="RH20" s="206"/>
      <c r="RI20" s="206"/>
      <c r="RJ20" s="206"/>
      <c r="RK20" s="206"/>
      <c r="RL20" s="206"/>
      <c r="RM20" s="206"/>
      <c r="RN20" s="206"/>
      <c r="RO20" s="206"/>
      <c r="RP20" s="206"/>
      <c r="RQ20" s="206"/>
      <c r="RR20" s="206"/>
      <c r="RS20" s="206"/>
      <c r="RT20" s="206"/>
      <c r="RU20" s="206"/>
      <c r="RV20" s="206"/>
      <c r="RW20" s="206"/>
      <c r="RX20" s="206" t="s">
        <v>1262</v>
      </c>
      <c r="RY20" s="490" t="s">
        <v>1074</v>
      </c>
      <c r="RZ20" s="206"/>
      <c r="SA20" s="206"/>
      <c r="SB20" s="206"/>
      <c r="SC20" s="206"/>
      <c r="SD20" s="206" t="s">
        <v>554</v>
      </c>
      <c r="SE20" s="206"/>
      <c r="SF20" s="206"/>
      <c r="SG20" s="206"/>
      <c r="SH20" s="206"/>
      <c r="SI20" s="206"/>
      <c r="SJ20" s="206"/>
      <c r="SK20" s="206"/>
      <c r="SL20" s="206"/>
      <c r="SM20" s="206"/>
      <c r="SN20" s="206"/>
      <c r="SO20" s="206" t="s">
        <v>447</v>
      </c>
      <c r="SP20" s="206"/>
      <c r="SQ20" s="206"/>
      <c r="SR20" s="206"/>
      <c r="SS20" s="206"/>
      <c r="ST20" s="206"/>
      <c r="SU20" s="206"/>
      <c r="SV20" s="206"/>
      <c r="SW20" s="206"/>
      <c r="SX20" s="206"/>
      <c r="SY20" s="206"/>
      <c r="SZ20" s="206" t="s">
        <v>471</v>
      </c>
      <c r="TA20" s="206"/>
      <c r="TB20" s="206"/>
      <c r="TC20" s="206"/>
      <c r="TD20" s="206" t="s">
        <v>454</v>
      </c>
      <c r="TE20" s="206"/>
      <c r="TF20" s="206"/>
      <c r="TG20" s="206"/>
      <c r="TH20" s="206"/>
      <c r="TI20" s="206"/>
      <c r="TJ20" s="206"/>
      <c r="TK20" s="206"/>
      <c r="TL20" s="206"/>
      <c r="TM20" s="206"/>
      <c r="TN20" s="206"/>
      <c r="TO20" s="206"/>
      <c r="TP20" s="206"/>
      <c r="TQ20" s="208"/>
      <c r="TR20" s="208"/>
      <c r="TS20" s="208"/>
      <c r="TT20" s="208"/>
      <c r="TU20" s="208"/>
      <c r="TV20" s="208"/>
      <c r="TW20" s="206"/>
      <c r="TX20" s="206"/>
      <c r="TY20" s="206"/>
      <c r="TZ20" s="206"/>
      <c r="UA20" s="206"/>
      <c r="UB20" s="206"/>
      <c r="UC20" s="206"/>
      <c r="UD20" s="206"/>
      <c r="UE20" s="206"/>
      <c r="UF20" s="206"/>
      <c r="UG20" s="206"/>
      <c r="UH20" s="206"/>
      <c r="UI20" s="206"/>
      <c r="UJ20" s="206"/>
      <c r="UK20" s="206"/>
      <c r="UL20" s="206"/>
      <c r="UM20" s="206"/>
      <c r="UN20" s="206"/>
      <c r="UO20" s="206"/>
      <c r="UP20" s="206"/>
      <c r="UQ20" s="206"/>
      <c r="UR20" s="206"/>
      <c r="US20" s="206"/>
      <c r="UT20" s="206"/>
      <c r="UU20" s="206"/>
      <c r="UV20" s="206"/>
      <c r="UW20" s="206"/>
      <c r="UX20" s="206"/>
      <c r="UY20" s="206"/>
      <c r="UZ20" s="206"/>
      <c r="VA20" s="206"/>
      <c r="VB20" s="206"/>
      <c r="VC20" s="206"/>
      <c r="VD20" s="206"/>
      <c r="VE20" s="206"/>
      <c r="VF20" s="206"/>
      <c r="VG20" s="206"/>
      <c r="VH20" s="206"/>
      <c r="VI20" s="206"/>
      <c r="VJ20" s="206"/>
      <c r="VK20" s="206"/>
      <c r="VL20" s="206"/>
      <c r="VM20" s="206"/>
      <c r="VN20" s="206"/>
      <c r="VO20" s="206"/>
      <c r="VP20" s="206"/>
      <c r="VQ20" s="206"/>
      <c r="VR20" s="206"/>
      <c r="VS20" s="206"/>
      <c r="VT20" s="206"/>
      <c r="VU20" s="206"/>
      <c r="VV20" s="206"/>
      <c r="VW20" s="206"/>
      <c r="VX20" s="206"/>
      <c r="VY20" s="206"/>
      <c r="VZ20" s="206"/>
      <c r="WA20" s="206"/>
      <c r="WB20" s="206"/>
      <c r="WC20" s="206"/>
      <c r="WD20" s="206"/>
      <c r="WE20" s="206"/>
      <c r="WF20" s="206"/>
      <c r="WG20" s="206"/>
      <c r="WH20" s="206"/>
      <c r="WI20" s="206"/>
      <c r="WJ20" s="206"/>
      <c r="WK20" s="206"/>
      <c r="WL20" s="206"/>
      <c r="WM20" s="206"/>
      <c r="WN20" s="206"/>
      <c r="WO20" s="206"/>
      <c r="WP20" s="206"/>
      <c r="WQ20" s="206"/>
      <c r="WR20" s="206"/>
      <c r="WS20" s="206"/>
      <c r="WT20" s="206"/>
      <c r="WU20" s="206"/>
      <c r="WV20" s="206"/>
      <c r="WW20" s="206"/>
      <c r="WX20" s="206"/>
      <c r="WY20" s="206"/>
      <c r="WZ20" s="206"/>
      <c r="XA20" s="206"/>
      <c r="XB20" s="206"/>
      <c r="XC20" s="206"/>
      <c r="XD20" s="206"/>
      <c r="XE20" s="206"/>
      <c r="XF20" s="206"/>
      <c r="XG20" s="206"/>
      <c r="XH20" s="206"/>
      <c r="XI20" s="206"/>
      <c r="XJ20" s="206"/>
      <c r="XK20" s="206"/>
      <c r="XL20" s="206"/>
      <c r="XM20" s="206"/>
      <c r="XN20" s="206"/>
      <c r="XO20" s="206"/>
      <c r="XP20" s="206"/>
      <c r="XQ20" s="206" t="s">
        <v>204</v>
      </c>
      <c r="XR20" s="206" t="s">
        <v>205</v>
      </c>
      <c r="XS20" s="206" t="s">
        <v>802</v>
      </c>
      <c r="XT20" s="206" t="s">
        <v>801</v>
      </c>
      <c r="XU20" s="206" t="s">
        <v>1100</v>
      </c>
      <c r="XV20" s="206"/>
      <c r="XW20" s="206" t="s">
        <v>800</v>
      </c>
      <c r="XX20" s="206" t="s">
        <v>1102</v>
      </c>
      <c r="XY20" s="206" t="s">
        <v>1103</v>
      </c>
      <c r="XZ20" s="206" t="s">
        <v>1104</v>
      </c>
      <c r="YA20" s="206" t="s">
        <v>1101</v>
      </c>
      <c r="YB20" s="206" t="s">
        <v>1105</v>
      </c>
      <c r="YC20" s="206" t="s">
        <v>1663</v>
      </c>
      <c r="YD20" s="206" t="s">
        <v>1769</v>
      </c>
      <c r="YE20" s="206" t="s">
        <v>1107</v>
      </c>
      <c r="YF20" s="206" t="s">
        <v>1664</v>
      </c>
      <c r="YG20" s="206" t="s">
        <v>1665</v>
      </c>
      <c r="YH20" s="206"/>
      <c r="YI20" s="206"/>
      <c r="YJ20" s="206" t="s">
        <v>1666</v>
      </c>
      <c r="YK20" s="206"/>
      <c r="YL20" s="206" t="s">
        <v>807</v>
      </c>
      <c r="YM20" s="207"/>
      <c r="YN20" s="207"/>
      <c r="YO20" s="206"/>
      <c r="YP20" s="206"/>
      <c r="YQ20" s="206"/>
      <c r="YR20" s="206"/>
      <c r="YS20" s="206"/>
      <c r="YT20" s="207"/>
    </row>
    <row r="21" spans="1:670" s="94" customFormat="1" x14ac:dyDescent="0.2">
      <c r="A21" s="113" t="s">
        <v>374</v>
      </c>
      <c r="B21" s="49" t="s">
        <v>13</v>
      </c>
      <c r="C21" s="49" t="s">
        <v>13</v>
      </c>
      <c r="D21" s="49" t="s">
        <v>13</v>
      </c>
      <c r="E21" s="49" t="s">
        <v>13</v>
      </c>
      <c r="F21" s="49" t="s">
        <v>59</v>
      </c>
      <c r="G21" s="49" t="s">
        <v>31</v>
      </c>
      <c r="H21" s="49" t="s">
        <v>13</v>
      </c>
      <c r="I21" s="49" t="s">
        <v>13</v>
      </c>
      <c r="J21" s="49" t="s">
        <v>13</v>
      </c>
      <c r="K21" s="49" t="s">
        <v>13</v>
      </c>
      <c r="L21" s="49"/>
      <c r="M21" s="49" t="s">
        <v>13</v>
      </c>
      <c r="N21" s="49" t="s">
        <v>13</v>
      </c>
      <c r="O21" s="49" t="s">
        <v>13</v>
      </c>
      <c r="P21" s="49" t="s">
        <v>13</v>
      </c>
      <c r="Q21" s="49" t="s">
        <v>13</v>
      </c>
      <c r="R21" s="49" t="s">
        <v>13</v>
      </c>
      <c r="S21" s="49" t="s">
        <v>13</v>
      </c>
      <c r="T21" s="49" t="s">
        <v>13</v>
      </c>
      <c r="U21" s="49" t="s">
        <v>13</v>
      </c>
      <c r="V21" s="49" t="s">
        <v>13</v>
      </c>
      <c r="W21" s="49" t="s">
        <v>13</v>
      </c>
      <c r="X21" s="49" t="s">
        <v>13</v>
      </c>
      <c r="Y21" s="49" t="s">
        <v>13</v>
      </c>
      <c r="Z21" s="49" t="s">
        <v>13</v>
      </c>
      <c r="AA21" s="49" t="s">
        <v>13</v>
      </c>
      <c r="AB21" s="49" t="s">
        <v>13</v>
      </c>
      <c r="AC21" s="49" t="s">
        <v>59</v>
      </c>
      <c r="AD21" s="49" t="s">
        <v>13</v>
      </c>
      <c r="AE21" s="49" t="s">
        <v>13</v>
      </c>
      <c r="AF21" s="49" t="s">
        <v>13</v>
      </c>
      <c r="AG21" s="49" t="s">
        <v>13</v>
      </c>
      <c r="AH21" s="49" t="s">
        <v>13</v>
      </c>
      <c r="AI21" s="49" t="s">
        <v>13</v>
      </c>
      <c r="AJ21" s="49" t="s">
        <v>13</v>
      </c>
      <c r="AK21" s="49" t="s">
        <v>13</v>
      </c>
      <c r="AL21" s="49" t="s">
        <v>13</v>
      </c>
      <c r="AM21" s="49" t="s">
        <v>13</v>
      </c>
      <c r="AN21" s="49" t="s">
        <v>13</v>
      </c>
      <c r="AO21" s="49" t="s">
        <v>13</v>
      </c>
      <c r="AP21" s="49" t="s">
        <v>13</v>
      </c>
      <c r="AQ21" s="49" t="s">
        <v>13</v>
      </c>
      <c r="AR21" s="49" t="s">
        <v>13</v>
      </c>
      <c r="AS21" s="49" t="s">
        <v>13</v>
      </c>
      <c r="AT21" s="49" t="s">
        <v>13</v>
      </c>
      <c r="AU21" s="49"/>
      <c r="AV21" s="49"/>
      <c r="AW21" s="49"/>
      <c r="AX21" s="49"/>
      <c r="AY21" s="49"/>
      <c r="AZ21" s="49"/>
      <c r="BA21" s="49"/>
      <c r="BB21" s="49"/>
      <c r="BC21" s="49"/>
      <c r="BD21" s="49"/>
      <c r="BE21" s="49"/>
      <c r="BF21" s="49"/>
      <c r="BG21" s="49"/>
      <c r="BH21" s="49"/>
      <c r="BI21" s="49" t="s">
        <v>13</v>
      </c>
      <c r="BJ21" s="49" t="s">
        <v>13</v>
      </c>
      <c r="BK21" s="49" t="s">
        <v>13</v>
      </c>
      <c r="BL21" s="49" t="s">
        <v>13</v>
      </c>
      <c r="BM21" s="49" t="s">
        <v>13</v>
      </c>
      <c r="BN21" s="49" t="s">
        <v>13</v>
      </c>
      <c r="BO21" s="49" t="s">
        <v>13</v>
      </c>
      <c r="BP21" s="49" t="s">
        <v>13</v>
      </c>
      <c r="BQ21" s="49" t="s">
        <v>13</v>
      </c>
      <c r="BR21" s="49" t="s">
        <v>13</v>
      </c>
      <c r="BS21" s="49" t="s">
        <v>13</v>
      </c>
      <c r="BT21" s="49" t="s">
        <v>13</v>
      </c>
      <c r="BU21" s="49" t="s">
        <v>13</v>
      </c>
      <c r="BV21" s="49" t="s">
        <v>13</v>
      </c>
      <c r="BW21" s="49" t="s">
        <v>13</v>
      </c>
      <c r="BX21" s="49" t="s">
        <v>13</v>
      </c>
      <c r="BY21" s="49"/>
      <c r="BZ21" s="49" t="s">
        <v>13</v>
      </c>
      <c r="CA21" s="49" t="s">
        <v>59</v>
      </c>
      <c r="CB21" s="49" t="s">
        <v>59</v>
      </c>
      <c r="CC21" s="49" t="s">
        <v>13</v>
      </c>
      <c r="CD21" s="49" t="s">
        <v>13</v>
      </c>
      <c r="CE21" s="49" t="s">
        <v>59</v>
      </c>
      <c r="CF21" s="49" t="s">
        <v>13</v>
      </c>
      <c r="CG21" s="49" t="s">
        <v>13</v>
      </c>
      <c r="CH21" s="49" t="s">
        <v>13</v>
      </c>
      <c r="CI21" s="49" t="s">
        <v>59</v>
      </c>
      <c r="CJ21" s="49" t="s">
        <v>13</v>
      </c>
      <c r="CK21" s="49" t="s">
        <v>13</v>
      </c>
      <c r="CL21" s="49" t="s">
        <v>13</v>
      </c>
      <c r="CM21" s="49"/>
      <c r="CN21" s="49" t="s">
        <v>13</v>
      </c>
      <c r="CO21" s="49" t="s">
        <v>59</v>
      </c>
      <c r="CP21" s="49" t="s">
        <v>13</v>
      </c>
      <c r="CQ21" s="49" t="s">
        <v>13</v>
      </c>
      <c r="CR21" s="49" t="s">
        <v>59</v>
      </c>
      <c r="CS21" s="49" t="s">
        <v>13</v>
      </c>
      <c r="CT21" s="49" t="s">
        <v>13</v>
      </c>
      <c r="CU21" s="49" t="s">
        <v>13</v>
      </c>
      <c r="CV21" s="49" t="s">
        <v>13</v>
      </c>
      <c r="CW21" s="122" t="s">
        <v>13</v>
      </c>
      <c r="CX21" s="49" t="s">
        <v>13</v>
      </c>
      <c r="CY21" s="49" t="s">
        <v>13</v>
      </c>
      <c r="CZ21" s="49" t="s">
        <v>13</v>
      </c>
      <c r="DA21" s="122"/>
      <c r="DB21" s="122"/>
      <c r="DC21" s="122"/>
      <c r="DD21" s="122"/>
      <c r="DE21" s="49" t="s">
        <v>13</v>
      </c>
      <c r="DF21" s="49" t="s">
        <v>13</v>
      </c>
      <c r="DG21" s="49"/>
      <c r="DH21" s="49"/>
      <c r="DI21" s="49" t="s">
        <v>13</v>
      </c>
      <c r="DJ21" s="49" t="s">
        <v>20</v>
      </c>
      <c r="DK21" s="49" t="s">
        <v>20</v>
      </c>
      <c r="DL21" s="49" t="s">
        <v>13</v>
      </c>
      <c r="DM21" s="49" t="s">
        <v>13</v>
      </c>
      <c r="DN21" s="49" t="s">
        <v>13</v>
      </c>
      <c r="DO21" s="49" t="s">
        <v>13</v>
      </c>
      <c r="DP21" s="49" t="s">
        <v>13</v>
      </c>
      <c r="DQ21" s="49" t="s">
        <v>13</v>
      </c>
      <c r="DR21" s="49" t="s">
        <v>13</v>
      </c>
      <c r="DS21" s="49" t="s">
        <v>13</v>
      </c>
      <c r="DT21" s="49" t="s">
        <v>13</v>
      </c>
      <c r="DU21" s="49" t="s">
        <v>13</v>
      </c>
      <c r="DV21" s="49" t="s">
        <v>13</v>
      </c>
      <c r="DW21" s="49" t="s">
        <v>13</v>
      </c>
      <c r="DX21" s="49" t="s">
        <v>13</v>
      </c>
      <c r="DY21" s="49" t="s">
        <v>13</v>
      </c>
      <c r="DZ21" s="49" t="s">
        <v>13</v>
      </c>
      <c r="EA21" s="49" t="s">
        <v>13</v>
      </c>
      <c r="EB21" s="49" t="s">
        <v>13</v>
      </c>
      <c r="EC21" s="49" t="s">
        <v>13</v>
      </c>
      <c r="ED21" s="49" t="s">
        <v>13</v>
      </c>
      <c r="EE21" s="49" t="s">
        <v>13</v>
      </c>
      <c r="EF21" s="93" t="s">
        <v>13</v>
      </c>
      <c r="EG21" s="93" t="s">
        <v>13</v>
      </c>
      <c r="EH21" s="93" t="s">
        <v>59</v>
      </c>
      <c r="EI21" s="93" t="s">
        <v>59</v>
      </c>
      <c r="EJ21" s="93" t="s">
        <v>59</v>
      </c>
      <c r="EK21" s="93" t="s">
        <v>13</v>
      </c>
      <c r="EL21" s="93"/>
      <c r="EM21" s="93" t="s">
        <v>13</v>
      </c>
      <c r="EN21" s="93" t="s">
        <v>13</v>
      </c>
      <c r="EO21" s="93"/>
      <c r="EP21" s="93"/>
      <c r="EQ21" s="49"/>
      <c r="ER21" s="49"/>
      <c r="ES21" s="49"/>
      <c r="ET21" s="49"/>
      <c r="EU21" s="49" t="s">
        <v>13</v>
      </c>
      <c r="EV21" s="93"/>
      <c r="EW21" s="49" t="s">
        <v>13</v>
      </c>
      <c r="EX21" s="49" t="s">
        <v>59</v>
      </c>
      <c r="EY21" s="49" t="s">
        <v>20</v>
      </c>
      <c r="EZ21" s="49" t="s">
        <v>20</v>
      </c>
      <c r="FA21" s="49"/>
      <c r="FB21" s="49" t="s">
        <v>13</v>
      </c>
      <c r="FC21" s="49" t="s">
        <v>13</v>
      </c>
      <c r="FD21" s="49" t="s">
        <v>20</v>
      </c>
      <c r="FE21" s="49" t="s">
        <v>20</v>
      </c>
      <c r="FF21" s="49" t="s">
        <v>20</v>
      </c>
      <c r="FG21" s="49" t="s">
        <v>20</v>
      </c>
      <c r="FH21" s="49"/>
      <c r="FI21" s="49" t="s">
        <v>20</v>
      </c>
      <c r="FJ21" s="49" t="s">
        <v>20</v>
      </c>
      <c r="FK21" s="49"/>
      <c r="FL21" s="49" t="s">
        <v>20</v>
      </c>
      <c r="FM21" s="49"/>
      <c r="FN21" s="49" t="s">
        <v>59</v>
      </c>
      <c r="FO21" s="49" t="s">
        <v>13</v>
      </c>
      <c r="FP21" s="49"/>
      <c r="FQ21" s="49"/>
      <c r="FR21" s="49"/>
      <c r="FS21" s="49"/>
      <c r="FT21" s="49"/>
      <c r="FU21" s="49" t="s">
        <v>13</v>
      </c>
      <c r="FV21" s="49" t="s">
        <v>13</v>
      </c>
      <c r="FW21" s="49"/>
      <c r="FX21" s="49" t="s">
        <v>20</v>
      </c>
      <c r="FY21" s="49" t="s">
        <v>20</v>
      </c>
      <c r="FZ21" s="49"/>
      <c r="GA21" s="49" t="s">
        <v>20</v>
      </c>
      <c r="GB21" s="49" t="s">
        <v>20</v>
      </c>
      <c r="GC21" s="49"/>
      <c r="GD21" s="49"/>
      <c r="GE21" s="49" t="s">
        <v>20</v>
      </c>
      <c r="GF21" s="49"/>
      <c r="GG21" s="49" t="s">
        <v>20</v>
      </c>
      <c r="GH21" s="49" t="s">
        <v>20</v>
      </c>
      <c r="GI21" s="49" t="s">
        <v>59</v>
      </c>
      <c r="GJ21" s="49" t="s">
        <v>59</v>
      </c>
      <c r="GK21" s="49" t="s">
        <v>59</v>
      </c>
      <c r="GL21" s="465" t="s">
        <v>59</v>
      </c>
      <c r="GM21" s="465" t="s">
        <v>59</v>
      </c>
      <c r="GN21" s="49" t="s">
        <v>59</v>
      </c>
      <c r="GO21" s="49" t="s">
        <v>59</v>
      </c>
      <c r="GP21" s="49" t="s">
        <v>13</v>
      </c>
      <c r="GQ21" s="122" t="s">
        <v>13</v>
      </c>
      <c r="GR21" s="49" t="s">
        <v>20</v>
      </c>
      <c r="GS21" s="49"/>
      <c r="GT21" s="49" t="s">
        <v>20</v>
      </c>
      <c r="GU21" s="49" t="s">
        <v>20</v>
      </c>
      <c r="GV21" s="49" t="s">
        <v>59</v>
      </c>
      <c r="GW21" s="49" t="s">
        <v>59</v>
      </c>
      <c r="GX21" s="49" t="s">
        <v>20</v>
      </c>
      <c r="GY21" s="123" t="s">
        <v>59</v>
      </c>
      <c r="GZ21" s="49"/>
      <c r="HA21" s="49" t="s">
        <v>20</v>
      </c>
      <c r="HB21" s="49"/>
      <c r="HC21" s="49" t="s">
        <v>20</v>
      </c>
      <c r="HD21" s="49" t="s">
        <v>20</v>
      </c>
      <c r="HE21" s="49" t="s">
        <v>20</v>
      </c>
      <c r="HF21" s="49" t="s">
        <v>59</v>
      </c>
      <c r="HG21" s="49" t="s">
        <v>59</v>
      </c>
      <c r="HH21" s="123" t="s">
        <v>59</v>
      </c>
      <c r="HI21" s="123" t="s">
        <v>59</v>
      </c>
      <c r="HJ21" s="123" t="s">
        <v>59</v>
      </c>
      <c r="HK21" s="123" t="s">
        <v>59</v>
      </c>
      <c r="HL21" s="122" t="s">
        <v>20</v>
      </c>
      <c r="HM21" s="123" t="s">
        <v>59</v>
      </c>
      <c r="HN21" s="49" t="s">
        <v>59</v>
      </c>
      <c r="HO21" s="49" t="s">
        <v>59</v>
      </c>
      <c r="HP21" s="122" t="s">
        <v>20</v>
      </c>
      <c r="HQ21" s="122" t="s">
        <v>59</v>
      </c>
      <c r="HR21" s="123" t="s">
        <v>59</v>
      </c>
      <c r="HS21" s="49" t="s">
        <v>59</v>
      </c>
      <c r="HT21" s="49" t="s">
        <v>13</v>
      </c>
      <c r="HU21" s="123" t="s">
        <v>59</v>
      </c>
      <c r="HV21" s="49" t="s">
        <v>59</v>
      </c>
      <c r="HW21" s="123" t="s">
        <v>59</v>
      </c>
      <c r="HX21" s="49" t="s">
        <v>59</v>
      </c>
      <c r="HY21" s="123" t="s">
        <v>59</v>
      </c>
      <c r="HZ21" s="49" t="s">
        <v>59</v>
      </c>
      <c r="IA21" s="49" t="s">
        <v>20</v>
      </c>
      <c r="IB21" s="49" t="s">
        <v>20</v>
      </c>
      <c r="IC21" s="49" t="s">
        <v>59</v>
      </c>
      <c r="ID21" s="49" t="s">
        <v>59</v>
      </c>
      <c r="IE21" s="49" t="s">
        <v>59</v>
      </c>
      <c r="IF21" s="49" t="s">
        <v>20</v>
      </c>
      <c r="IG21" s="49" t="s">
        <v>59</v>
      </c>
      <c r="IH21" s="49" t="s">
        <v>59</v>
      </c>
      <c r="II21" s="49"/>
      <c r="IJ21" s="49"/>
      <c r="IK21" s="465" t="s">
        <v>59</v>
      </c>
      <c r="IL21" s="465" t="s">
        <v>59</v>
      </c>
      <c r="IM21" s="465" t="s">
        <v>59</v>
      </c>
      <c r="IN21" s="465" t="s">
        <v>59</v>
      </c>
      <c r="IO21" s="465" t="s">
        <v>59</v>
      </c>
      <c r="IP21" s="465" t="s">
        <v>59</v>
      </c>
      <c r="IQ21" s="465" t="s">
        <v>59</v>
      </c>
      <c r="IR21" s="465" t="s">
        <v>59</v>
      </c>
      <c r="IS21" s="465"/>
      <c r="IT21" s="465"/>
      <c r="IU21" s="465"/>
      <c r="IV21" s="465" t="s">
        <v>59</v>
      </c>
      <c r="IW21" s="465" t="s">
        <v>59</v>
      </c>
      <c r="IX21" s="465" t="s">
        <v>59</v>
      </c>
      <c r="IY21" s="465" t="s">
        <v>59</v>
      </c>
      <c r="IZ21" s="465" t="s">
        <v>59</v>
      </c>
      <c r="JA21" s="465" t="s">
        <v>59</v>
      </c>
      <c r="JB21" s="465" t="s">
        <v>59</v>
      </c>
      <c r="JC21" s="465" t="s">
        <v>59</v>
      </c>
      <c r="JD21" s="465" t="s">
        <v>59</v>
      </c>
      <c r="JE21" s="465" t="s">
        <v>59</v>
      </c>
      <c r="JF21" s="465" t="s">
        <v>59</v>
      </c>
      <c r="JG21" s="465" t="s">
        <v>59</v>
      </c>
      <c r="JH21" s="465" t="s">
        <v>59</v>
      </c>
      <c r="JI21" s="465" t="s">
        <v>59</v>
      </c>
      <c r="JJ21" s="465" t="s">
        <v>59</v>
      </c>
      <c r="JK21" s="465" t="s">
        <v>59</v>
      </c>
      <c r="JL21" s="49" t="s">
        <v>59</v>
      </c>
      <c r="JM21" s="465" t="s">
        <v>59</v>
      </c>
      <c r="JN21" s="465" t="s">
        <v>59</v>
      </c>
      <c r="JO21" s="465" t="s">
        <v>59</v>
      </c>
      <c r="JP21" s="465" t="s">
        <v>59</v>
      </c>
      <c r="JQ21" s="465" t="s">
        <v>59</v>
      </c>
      <c r="JR21" s="465" t="s">
        <v>59</v>
      </c>
      <c r="JS21" s="465" t="s">
        <v>59</v>
      </c>
      <c r="JT21" s="465" t="s">
        <v>59</v>
      </c>
      <c r="JU21" s="465" t="s">
        <v>59</v>
      </c>
      <c r="JV21" s="465" t="s">
        <v>59</v>
      </c>
      <c r="JW21" s="465" t="s">
        <v>59</v>
      </c>
      <c r="JX21" s="465" t="s">
        <v>59</v>
      </c>
      <c r="JY21" s="465" t="s">
        <v>59</v>
      </c>
      <c r="JZ21" s="465" t="s">
        <v>59</v>
      </c>
      <c r="KA21" s="465" t="s">
        <v>59</v>
      </c>
      <c r="KB21" s="465" t="s">
        <v>59</v>
      </c>
      <c r="KC21" s="465" t="s">
        <v>59</v>
      </c>
      <c r="KD21" s="465" t="s">
        <v>59</v>
      </c>
      <c r="KE21" s="49" t="s">
        <v>59</v>
      </c>
      <c r="KF21" s="49" t="s">
        <v>59</v>
      </c>
      <c r="KG21" s="49" t="s">
        <v>59</v>
      </c>
      <c r="KH21" s="49" t="s">
        <v>59</v>
      </c>
      <c r="KI21" s="49" t="s">
        <v>59</v>
      </c>
      <c r="KJ21" s="49" t="s">
        <v>59</v>
      </c>
      <c r="KK21" s="49" t="s">
        <v>59</v>
      </c>
      <c r="KL21" s="49" t="s">
        <v>59</v>
      </c>
      <c r="KM21" s="49" t="s">
        <v>59</v>
      </c>
      <c r="KN21" s="49" t="s">
        <v>59</v>
      </c>
      <c r="KO21" s="49" t="s">
        <v>59</v>
      </c>
      <c r="KP21" s="49" t="s">
        <v>59</v>
      </c>
      <c r="KQ21" s="49" t="s">
        <v>59</v>
      </c>
      <c r="KR21" s="49" t="s">
        <v>59</v>
      </c>
      <c r="KS21" s="49" t="s">
        <v>59</v>
      </c>
      <c r="KT21" s="49" t="s">
        <v>59</v>
      </c>
      <c r="KU21" s="49" t="s">
        <v>59</v>
      </c>
      <c r="KV21" s="49" t="s">
        <v>59</v>
      </c>
      <c r="KW21" s="49" t="s">
        <v>59</v>
      </c>
      <c r="KX21" s="49" t="s">
        <v>59</v>
      </c>
      <c r="KY21" s="49" t="s">
        <v>59</v>
      </c>
      <c r="KZ21" s="49" t="s">
        <v>59</v>
      </c>
      <c r="LA21" s="49" t="s">
        <v>59</v>
      </c>
      <c r="LB21" s="49" t="s">
        <v>59</v>
      </c>
      <c r="LC21" s="49" t="s">
        <v>59</v>
      </c>
      <c r="LD21" s="49" t="s">
        <v>59</v>
      </c>
      <c r="LE21" s="49" t="s">
        <v>59</v>
      </c>
      <c r="LF21" s="49" t="s">
        <v>59</v>
      </c>
      <c r="LG21" s="49" t="s">
        <v>59</v>
      </c>
      <c r="LH21" s="49" t="s">
        <v>59</v>
      </c>
      <c r="LI21" s="49" t="s">
        <v>59</v>
      </c>
      <c r="LJ21" s="49" t="s">
        <v>59</v>
      </c>
      <c r="LK21" s="49" t="s">
        <v>59</v>
      </c>
      <c r="LL21" s="49" t="s">
        <v>59</v>
      </c>
      <c r="LM21" s="49" t="s">
        <v>59</v>
      </c>
      <c r="LN21" s="101" t="s">
        <v>13</v>
      </c>
      <c r="LO21" s="49" t="s">
        <v>59</v>
      </c>
      <c r="LP21" s="49" t="s">
        <v>59</v>
      </c>
      <c r="LQ21" s="49" t="s">
        <v>59</v>
      </c>
      <c r="LR21" s="49" t="s">
        <v>59</v>
      </c>
      <c r="LS21" s="49" t="s">
        <v>59</v>
      </c>
      <c r="LT21" s="49" t="s">
        <v>59</v>
      </c>
      <c r="LU21" s="49" t="s">
        <v>59</v>
      </c>
      <c r="LV21" s="49" t="s">
        <v>59</v>
      </c>
      <c r="LW21" s="49" t="s">
        <v>59</v>
      </c>
      <c r="LX21" s="49" t="s">
        <v>59</v>
      </c>
      <c r="LY21" s="49" t="s">
        <v>59</v>
      </c>
      <c r="LZ21" s="49" t="s">
        <v>59</v>
      </c>
      <c r="MA21" s="49" t="s">
        <v>59</v>
      </c>
      <c r="MB21" s="49" t="s">
        <v>59</v>
      </c>
      <c r="MC21" s="49" t="s">
        <v>59</v>
      </c>
      <c r="MD21" s="49" t="s">
        <v>59</v>
      </c>
      <c r="ME21" s="49" t="s">
        <v>59</v>
      </c>
      <c r="MF21" s="49" t="s">
        <v>59</v>
      </c>
      <c r="MG21" s="49" t="s">
        <v>59</v>
      </c>
      <c r="MH21" s="49" t="s">
        <v>59</v>
      </c>
      <c r="MI21" s="49" t="s">
        <v>59</v>
      </c>
      <c r="MJ21" s="49" t="s">
        <v>59</v>
      </c>
      <c r="MK21" s="49" t="s">
        <v>59</v>
      </c>
      <c r="ML21" s="49" t="s">
        <v>59</v>
      </c>
      <c r="MM21" s="49" t="s">
        <v>20</v>
      </c>
      <c r="MN21" s="49" t="s">
        <v>59</v>
      </c>
      <c r="MO21" s="49" t="s">
        <v>59</v>
      </c>
      <c r="MP21" s="49" t="s">
        <v>59</v>
      </c>
      <c r="MQ21" s="49" t="s">
        <v>59</v>
      </c>
      <c r="MR21" s="49" t="s">
        <v>59</v>
      </c>
      <c r="MS21" s="49" t="s">
        <v>59</v>
      </c>
      <c r="MT21" s="49" t="s">
        <v>59</v>
      </c>
      <c r="MU21" s="49" t="s">
        <v>59</v>
      </c>
      <c r="MV21" s="49" t="s">
        <v>59</v>
      </c>
      <c r="MW21" s="49" t="s">
        <v>59</v>
      </c>
      <c r="MX21" s="49" t="s">
        <v>59</v>
      </c>
      <c r="MY21" s="49" t="s">
        <v>59</v>
      </c>
      <c r="MZ21" s="49" t="s">
        <v>59</v>
      </c>
      <c r="NA21" s="49" t="s">
        <v>59</v>
      </c>
      <c r="NB21" s="49"/>
      <c r="NC21" s="49"/>
      <c r="ND21" s="49"/>
      <c r="NE21" s="49"/>
      <c r="NF21" s="49" t="s">
        <v>13</v>
      </c>
      <c r="NG21" s="49" t="s">
        <v>59</v>
      </c>
      <c r="NH21" s="49" t="s">
        <v>13</v>
      </c>
      <c r="NI21" s="49" t="s">
        <v>59</v>
      </c>
      <c r="NJ21" s="49" t="s">
        <v>13</v>
      </c>
      <c r="NK21" s="49"/>
      <c r="NL21" s="49" t="s">
        <v>13</v>
      </c>
      <c r="NM21" s="49" t="s">
        <v>13</v>
      </c>
      <c r="NN21" s="49" t="s">
        <v>59</v>
      </c>
      <c r="NO21" s="49" t="s">
        <v>13</v>
      </c>
      <c r="NP21" s="49" t="s">
        <v>13</v>
      </c>
      <c r="NQ21" s="49" t="s">
        <v>59</v>
      </c>
      <c r="NR21" s="49" t="s">
        <v>59</v>
      </c>
      <c r="NS21" s="49" t="s">
        <v>59</v>
      </c>
      <c r="NT21" s="49" t="s">
        <v>59</v>
      </c>
      <c r="NU21" s="49" t="s">
        <v>59</v>
      </c>
      <c r="NV21" s="49" t="s">
        <v>59</v>
      </c>
      <c r="NW21" s="49" t="s">
        <v>59</v>
      </c>
      <c r="NX21" s="49" t="s">
        <v>59</v>
      </c>
      <c r="NY21" s="49" t="s">
        <v>59</v>
      </c>
      <c r="NZ21" s="49" t="s">
        <v>59</v>
      </c>
      <c r="OA21" s="49" t="s">
        <v>59</v>
      </c>
      <c r="OB21" s="49" t="s">
        <v>59</v>
      </c>
      <c r="OC21" s="49" t="s">
        <v>59</v>
      </c>
      <c r="OD21" s="49" t="s">
        <v>59</v>
      </c>
      <c r="OE21" s="49" t="s">
        <v>59</v>
      </c>
      <c r="OF21" s="49" t="s">
        <v>59</v>
      </c>
      <c r="OG21" s="49" t="s">
        <v>59</v>
      </c>
      <c r="OH21" s="49" t="s">
        <v>59</v>
      </c>
      <c r="OI21" s="49" t="s">
        <v>59</v>
      </c>
      <c r="OJ21" s="49" t="s">
        <v>59</v>
      </c>
      <c r="OK21" s="49" t="s">
        <v>59</v>
      </c>
      <c r="OL21" s="49" t="s">
        <v>59</v>
      </c>
      <c r="OM21" s="49" t="s">
        <v>59</v>
      </c>
      <c r="ON21" s="49" t="s">
        <v>59</v>
      </c>
      <c r="OO21" s="49" t="s">
        <v>59</v>
      </c>
      <c r="OP21" s="49" t="s">
        <v>59</v>
      </c>
      <c r="OQ21" s="49" t="s">
        <v>59</v>
      </c>
      <c r="OR21" s="49" t="s">
        <v>59</v>
      </c>
      <c r="OS21" s="49" t="s">
        <v>59</v>
      </c>
      <c r="OT21" s="49" t="s">
        <v>59</v>
      </c>
      <c r="OU21" s="49" t="s">
        <v>59</v>
      </c>
      <c r="OV21" s="49" t="s">
        <v>59</v>
      </c>
      <c r="OW21" s="49" t="s">
        <v>59</v>
      </c>
      <c r="OX21" s="49" t="s">
        <v>59</v>
      </c>
      <c r="OY21" s="49" t="s">
        <v>59</v>
      </c>
      <c r="OZ21" s="49" t="s">
        <v>59</v>
      </c>
      <c r="PA21" s="49" t="s">
        <v>59</v>
      </c>
      <c r="PB21" s="49" t="s">
        <v>59</v>
      </c>
      <c r="PC21" s="49" t="s">
        <v>59</v>
      </c>
      <c r="PD21" s="49" t="s">
        <v>59</v>
      </c>
      <c r="PE21" s="49" t="s">
        <v>59</v>
      </c>
      <c r="PF21" s="49" t="s">
        <v>59</v>
      </c>
      <c r="PG21" s="49" t="s">
        <v>59</v>
      </c>
      <c r="PH21" s="49" t="s">
        <v>59</v>
      </c>
      <c r="PI21" s="49" t="s">
        <v>59</v>
      </c>
      <c r="PJ21" s="49" t="s">
        <v>59</v>
      </c>
      <c r="PK21" s="49" t="s">
        <v>59</v>
      </c>
      <c r="PL21" s="49" t="s">
        <v>59</v>
      </c>
      <c r="PM21" s="49" t="s">
        <v>59</v>
      </c>
      <c r="PN21" s="49" t="s">
        <v>59</v>
      </c>
      <c r="PO21" s="49" t="s">
        <v>59</v>
      </c>
      <c r="PP21" s="49" t="s">
        <v>59</v>
      </c>
      <c r="PQ21" s="49" t="s">
        <v>59</v>
      </c>
      <c r="PR21" s="49" t="s">
        <v>59</v>
      </c>
      <c r="PS21" s="49" t="s">
        <v>59</v>
      </c>
      <c r="PT21" s="49" t="s">
        <v>59</v>
      </c>
      <c r="PU21" s="49" t="s">
        <v>59</v>
      </c>
      <c r="PV21" s="49" t="s">
        <v>59</v>
      </c>
      <c r="PW21" s="49" t="s">
        <v>59</v>
      </c>
      <c r="PX21" s="49"/>
      <c r="PY21" s="49" t="s">
        <v>59</v>
      </c>
      <c r="PZ21" s="49" t="s">
        <v>13</v>
      </c>
      <c r="QA21" s="49" t="s">
        <v>59</v>
      </c>
      <c r="QB21" s="49" t="s">
        <v>59</v>
      </c>
      <c r="QC21" s="49" t="s">
        <v>59</v>
      </c>
      <c r="QD21" s="49" t="s">
        <v>59</v>
      </c>
      <c r="QE21" s="49" t="s">
        <v>59</v>
      </c>
      <c r="QF21" s="49" t="s">
        <v>59</v>
      </c>
      <c r="QG21" s="49" t="s">
        <v>59</v>
      </c>
      <c r="QH21" s="49" t="s">
        <v>20</v>
      </c>
      <c r="QI21" s="49" t="s">
        <v>59</v>
      </c>
      <c r="QJ21" s="49" t="s">
        <v>59</v>
      </c>
      <c r="QK21" s="49" t="s">
        <v>59</v>
      </c>
      <c r="QL21" s="49" t="s">
        <v>59</v>
      </c>
      <c r="QM21" s="49" t="s">
        <v>59</v>
      </c>
      <c r="QN21" s="49" t="s">
        <v>59</v>
      </c>
      <c r="QO21" s="49" t="s">
        <v>59</v>
      </c>
      <c r="QP21" s="49" t="s">
        <v>59</v>
      </c>
      <c r="QQ21" s="49"/>
      <c r="QR21" s="49" t="s">
        <v>59</v>
      </c>
      <c r="QS21" s="49" t="s">
        <v>59</v>
      </c>
      <c r="QT21" s="49" t="s">
        <v>59</v>
      </c>
      <c r="QU21" s="49" t="s">
        <v>59</v>
      </c>
      <c r="QV21" s="49" t="s">
        <v>59</v>
      </c>
      <c r="QW21" s="49" t="s">
        <v>59</v>
      </c>
      <c r="QX21" s="49" t="s">
        <v>59</v>
      </c>
      <c r="QY21" s="49" t="s">
        <v>59</v>
      </c>
      <c r="QZ21" s="49" t="s">
        <v>59</v>
      </c>
      <c r="RA21" s="49" t="s">
        <v>59</v>
      </c>
      <c r="RB21" s="49" t="s">
        <v>59</v>
      </c>
      <c r="RC21" s="49" t="s">
        <v>59</v>
      </c>
      <c r="RD21" s="49" t="s">
        <v>59</v>
      </c>
      <c r="RE21" s="49" t="s">
        <v>59</v>
      </c>
      <c r="RF21" s="49" t="s">
        <v>59</v>
      </c>
      <c r="RG21" s="49" t="s">
        <v>59</v>
      </c>
      <c r="RH21" s="49" t="s">
        <v>59</v>
      </c>
      <c r="RI21" s="49" t="s">
        <v>59</v>
      </c>
      <c r="RJ21" s="49" t="s">
        <v>59</v>
      </c>
      <c r="RK21" s="49" t="s">
        <v>59</v>
      </c>
      <c r="RL21" s="49" t="s">
        <v>59</v>
      </c>
      <c r="RM21" s="49" t="s">
        <v>59</v>
      </c>
      <c r="RN21" s="49" t="s">
        <v>59</v>
      </c>
      <c r="RO21" s="49" t="s">
        <v>59</v>
      </c>
      <c r="RP21" s="49" t="s">
        <v>59</v>
      </c>
      <c r="RQ21" s="49" t="s">
        <v>59</v>
      </c>
      <c r="RR21" s="49" t="s">
        <v>59</v>
      </c>
      <c r="RS21" s="49" t="s">
        <v>59</v>
      </c>
      <c r="RT21" s="49" t="s">
        <v>59</v>
      </c>
      <c r="RU21" s="49" t="s">
        <v>59</v>
      </c>
      <c r="RV21" s="49" t="s">
        <v>59</v>
      </c>
      <c r="RW21" s="49" t="s">
        <v>59</v>
      </c>
      <c r="RX21" s="49" t="s">
        <v>13</v>
      </c>
      <c r="RY21" s="408" t="s">
        <v>13</v>
      </c>
      <c r="RZ21" s="49" t="s">
        <v>59</v>
      </c>
      <c r="SA21" s="49" t="s">
        <v>59</v>
      </c>
      <c r="SB21" s="49"/>
      <c r="SC21" s="49"/>
      <c r="SD21" s="49" t="s">
        <v>20</v>
      </c>
      <c r="SE21" s="49" t="s">
        <v>59</v>
      </c>
      <c r="SF21" s="49" t="s">
        <v>59</v>
      </c>
      <c r="SG21" s="49" t="s">
        <v>59</v>
      </c>
      <c r="SH21" s="49" t="s">
        <v>59</v>
      </c>
      <c r="SI21" s="49" t="s">
        <v>59</v>
      </c>
      <c r="SJ21" s="49" t="s">
        <v>20</v>
      </c>
      <c r="SK21" s="49" t="s">
        <v>20</v>
      </c>
      <c r="SL21" s="49" t="s">
        <v>59</v>
      </c>
      <c r="SM21" s="49" t="s">
        <v>59</v>
      </c>
      <c r="SN21" s="49" t="s">
        <v>59</v>
      </c>
      <c r="SO21" s="49" t="s">
        <v>20</v>
      </c>
      <c r="SP21" s="49" t="s">
        <v>59</v>
      </c>
      <c r="SQ21" s="49" t="s">
        <v>59</v>
      </c>
      <c r="SR21" s="49" t="s">
        <v>59</v>
      </c>
      <c r="SS21" s="49" t="s">
        <v>59</v>
      </c>
      <c r="ST21" s="49"/>
      <c r="SU21" s="49" t="s">
        <v>20</v>
      </c>
      <c r="SV21" s="49" t="s">
        <v>59</v>
      </c>
      <c r="SW21" s="49" t="s">
        <v>59</v>
      </c>
      <c r="SX21" s="49" t="s">
        <v>59</v>
      </c>
      <c r="SY21" s="49" t="s">
        <v>59</v>
      </c>
      <c r="SZ21" s="49" t="s">
        <v>20</v>
      </c>
      <c r="TA21" s="49" t="s">
        <v>59</v>
      </c>
      <c r="TB21" s="49" t="s">
        <v>59</v>
      </c>
      <c r="TC21" s="49" t="s">
        <v>59</v>
      </c>
      <c r="TD21" s="49" t="s">
        <v>20</v>
      </c>
      <c r="TE21" s="49" t="s">
        <v>59</v>
      </c>
      <c r="TF21" s="49"/>
      <c r="TG21" s="49"/>
      <c r="TH21" s="49"/>
      <c r="TI21" s="49"/>
      <c r="TJ21" s="49"/>
      <c r="TK21" s="49"/>
      <c r="TL21" s="49"/>
      <c r="TM21" s="49"/>
      <c r="TN21" s="93"/>
      <c r="TO21" s="93"/>
      <c r="TP21" s="93"/>
      <c r="TQ21" s="93"/>
      <c r="TR21" s="93"/>
      <c r="TS21" s="93"/>
      <c r="TT21" s="93"/>
      <c r="TU21" s="93"/>
      <c r="TV21" s="93"/>
      <c r="TW21" s="49"/>
      <c r="TX21" s="49"/>
      <c r="TY21" s="49"/>
      <c r="TZ21" s="72"/>
      <c r="UA21" s="72"/>
      <c r="UB21" s="72"/>
      <c r="UC21" s="72"/>
      <c r="UD21" s="49"/>
      <c r="UE21" s="49"/>
      <c r="UF21" s="49"/>
      <c r="UG21" s="49"/>
      <c r="UH21" s="49"/>
      <c r="UI21" s="49"/>
      <c r="UJ21" s="49"/>
      <c r="UK21" s="49"/>
      <c r="UL21" s="49"/>
      <c r="UM21" s="49"/>
      <c r="UN21" s="49"/>
      <c r="UO21" s="49"/>
      <c r="UP21" s="49"/>
      <c r="UQ21" s="49"/>
      <c r="UR21" s="49"/>
      <c r="US21" s="49"/>
      <c r="UT21" s="49"/>
      <c r="UU21" s="49"/>
      <c r="UV21" s="49"/>
      <c r="UW21" s="49"/>
      <c r="UX21" s="49"/>
      <c r="UY21" s="49"/>
      <c r="UZ21" s="49"/>
      <c r="VA21" s="49"/>
      <c r="VB21" s="49"/>
      <c r="VC21" s="49"/>
      <c r="VD21" s="49"/>
      <c r="VE21" s="49"/>
      <c r="VF21" s="49"/>
      <c r="VG21" s="49"/>
      <c r="VH21" s="49"/>
      <c r="VI21" s="49"/>
      <c r="VJ21" s="49"/>
      <c r="VK21" s="49"/>
      <c r="VL21" s="49"/>
      <c r="VM21" s="49"/>
      <c r="VN21" s="49"/>
      <c r="VO21" s="49"/>
      <c r="VP21" s="49"/>
      <c r="VQ21" s="49"/>
      <c r="VR21" s="49"/>
      <c r="VS21" s="49"/>
      <c r="VT21" s="49"/>
      <c r="VU21" s="49"/>
      <c r="VV21" s="49"/>
      <c r="VW21" s="49"/>
      <c r="VX21" s="49"/>
      <c r="VY21" s="49"/>
      <c r="VZ21" s="49"/>
      <c r="WA21" s="49"/>
      <c r="WB21" s="49"/>
      <c r="WC21" s="49"/>
      <c r="WD21" s="49"/>
      <c r="WE21" s="49"/>
      <c r="WF21" s="49"/>
      <c r="WG21" s="49"/>
      <c r="WH21" s="49"/>
      <c r="WI21" s="49"/>
      <c r="WJ21" s="49"/>
      <c r="WK21" s="49"/>
      <c r="WL21" s="49"/>
      <c r="WM21" s="49"/>
      <c r="WN21" s="49"/>
      <c r="WO21" s="49"/>
      <c r="WP21" s="49"/>
      <c r="WQ21" s="49"/>
      <c r="WR21" s="49"/>
      <c r="WS21" s="49"/>
      <c r="WT21" s="49"/>
      <c r="WU21" s="49"/>
      <c r="WV21" s="49"/>
      <c r="WW21" s="49"/>
      <c r="WX21" s="49"/>
      <c r="WY21" s="49"/>
      <c r="WZ21" s="49"/>
      <c r="XA21" s="49"/>
      <c r="XB21" s="49"/>
      <c r="XC21" s="49"/>
      <c r="XD21" s="49"/>
      <c r="XE21" s="49"/>
      <c r="XF21" s="49"/>
      <c r="XG21" s="49"/>
      <c r="XH21" s="49"/>
      <c r="XI21" s="49"/>
      <c r="XJ21" s="49"/>
      <c r="XK21" s="49"/>
      <c r="XL21" s="49"/>
      <c r="XM21" s="49"/>
      <c r="XN21" s="49"/>
      <c r="XO21" s="49"/>
      <c r="XP21" s="49"/>
      <c r="XQ21" s="49" t="s">
        <v>13</v>
      </c>
      <c r="XR21" s="49" t="s">
        <v>13</v>
      </c>
      <c r="XS21" s="49" t="s">
        <v>13</v>
      </c>
      <c r="XT21" s="49" t="s">
        <v>13</v>
      </c>
      <c r="XU21" s="49" t="s">
        <v>13</v>
      </c>
      <c r="XV21" s="49" t="s">
        <v>59</v>
      </c>
      <c r="XW21" s="49" t="s">
        <v>13</v>
      </c>
      <c r="XX21" s="49" t="s">
        <v>13</v>
      </c>
      <c r="XY21" s="49" t="s">
        <v>13</v>
      </c>
      <c r="XZ21" s="49" t="s">
        <v>13</v>
      </c>
      <c r="YA21" s="49" t="s">
        <v>13</v>
      </c>
      <c r="YB21" s="49" t="s">
        <v>13</v>
      </c>
      <c r="YC21" s="49" t="s">
        <v>20</v>
      </c>
      <c r="YD21" s="49" t="s">
        <v>20</v>
      </c>
      <c r="YE21" s="49" t="s">
        <v>13</v>
      </c>
      <c r="YF21" s="49" t="s">
        <v>20</v>
      </c>
      <c r="YG21" s="49" t="s">
        <v>20</v>
      </c>
      <c r="YH21" s="49"/>
      <c r="YI21" s="49"/>
      <c r="YJ21" s="49" t="s">
        <v>20</v>
      </c>
      <c r="YK21" s="49" t="s">
        <v>59</v>
      </c>
      <c r="YL21" s="49" t="s">
        <v>13</v>
      </c>
      <c r="YM21" s="122"/>
      <c r="YN21" s="122"/>
      <c r="YO21" s="49"/>
      <c r="YP21" s="49"/>
      <c r="YQ21" s="49"/>
      <c r="YR21" s="49"/>
      <c r="YS21" s="49"/>
      <c r="YT21" s="122"/>
    </row>
    <row r="22" spans="1:670" s="26" customFormat="1" ht="12.1" customHeight="1" x14ac:dyDescent="0.25">
      <c r="A22" s="211" t="s">
        <v>373</v>
      </c>
      <c r="B22" s="212" t="s">
        <v>263</v>
      </c>
      <c r="C22" s="212" t="s">
        <v>1</v>
      </c>
      <c r="D22" s="212" t="s">
        <v>2</v>
      </c>
      <c r="E22" s="213" t="s">
        <v>3</v>
      </c>
      <c r="F22" s="213" t="s">
        <v>379</v>
      </c>
      <c r="G22" s="213" t="s">
        <v>122</v>
      </c>
      <c r="H22" s="213" t="s">
        <v>234</v>
      </c>
      <c r="I22" s="213" t="s">
        <v>77</v>
      </c>
      <c r="J22" s="214" t="s">
        <v>4</v>
      </c>
      <c r="K22" s="214" t="s">
        <v>5</v>
      </c>
      <c r="L22" s="214"/>
      <c r="M22" s="214" t="s">
        <v>71</v>
      </c>
      <c r="N22" s="214" t="s">
        <v>72</v>
      </c>
      <c r="O22" s="214" t="s">
        <v>73</v>
      </c>
      <c r="P22" s="214" t="s">
        <v>102</v>
      </c>
      <c r="Q22" s="214" t="s">
        <v>103</v>
      </c>
      <c r="R22" s="214" t="s">
        <v>104</v>
      </c>
      <c r="S22" s="214" t="s">
        <v>105</v>
      </c>
      <c r="T22" s="214" t="s">
        <v>110</v>
      </c>
      <c r="U22" s="214" t="s">
        <v>8</v>
      </c>
      <c r="V22" s="214" t="s">
        <v>9</v>
      </c>
      <c r="W22" s="214" t="s">
        <v>106</v>
      </c>
      <c r="X22" s="214" t="s">
        <v>21</v>
      </c>
      <c r="Y22" s="214" t="s">
        <v>254</v>
      </c>
      <c r="Z22" s="214" t="s">
        <v>6</v>
      </c>
      <c r="AA22" s="214" t="s">
        <v>7</v>
      </c>
      <c r="AB22" s="214" t="s">
        <v>107</v>
      </c>
      <c r="AC22" s="214" t="s">
        <v>19</v>
      </c>
      <c r="AD22" s="214" t="s">
        <v>22</v>
      </c>
      <c r="AE22" s="214" t="s">
        <v>1224</v>
      </c>
      <c r="AF22" s="214" t="s">
        <v>1225</v>
      </c>
      <c r="AG22" s="214" t="s">
        <v>23</v>
      </c>
      <c r="AH22" s="214" t="s">
        <v>117</v>
      </c>
      <c r="AI22" s="214" t="s">
        <v>867</v>
      </c>
      <c r="AJ22" s="214" t="s">
        <v>126</v>
      </c>
      <c r="AK22" s="214" t="s">
        <v>75</v>
      </c>
      <c r="AL22" s="214" t="s">
        <v>108</v>
      </c>
      <c r="AM22" s="214" t="s">
        <v>109</v>
      </c>
      <c r="AN22" s="214" t="s">
        <v>259</v>
      </c>
      <c r="AO22" s="214" t="s">
        <v>260</v>
      </c>
      <c r="AP22" s="214" t="s">
        <v>1022</v>
      </c>
      <c r="AQ22" s="214" t="s">
        <v>695</v>
      </c>
      <c r="AR22" s="214" t="s">
        <v>697</v>
      </c>
      <c r="AS22" s="214" t="s">
        <v>698</v>
      </c>
      <c r="AT22" s="214" t="s">
        <v>692</v>
      </c>
      <c r="AU22" s="214"/>
      <c r="AV22" s="214"/>
      <c r="AW22" s="214"/>
      <c r="AX22" s="214"/>
      <c r="AY22" s="214"/>
      <c r="AZ22" s="214"/>
      <c r="BA22" s="214"/>
      <c r="BB22" s="214"/>
      <c r="BC22" s="214"/>
      <c r="BD22" s="214"/>
      <c r="BE22" s="214"/>
      <c r="BF22" s="214"/>
      <c r="BG22" s="214"/>
      <c r="BH22" s="214"/>
      <c r="BI22" s="214" t="s">
        <v>1226</v>
      </c>
      <c r="BJ22" s="214" t="s">
        <v>1227</v>
      </c>
      <c r="BK22" s="214" t="s">
        <v>883</v>
      </c>
      <c r="BL22" s="214" t="s">
        <v>70</v>
      </c>
      <c r="BM22" s="214" t="s">
        <v>34</v>
      </c>
      <c r="BN22" s="214" t="s">
        <v>35</v>
      </c>
      <c r="BO22" s="214" t="s">
        <v>144</v>
      </c>
      <c r="BP22" s="214" t="s">
        <v>96</v>
      </c>
      <c r="BQ22" s="214" t="s">
        <v>41</v>
      </c>
      <c r="BR22" s="214" t="s">
        <v>127</v>
      </c>
      <c r="BS22" s="214" t="s">
        <v>142</v>
      </c>
      <c r="BT22" s="214" t="s">
        <v>95</v>
      </c>
      <c r="BU22" s="214" t="s">
        <v>39</v>
      </c>
      <c r="BV22" s="214" t="s">
        <v>143</v>
      </c>
      <c r="BW22" s="214" t="s">
        <v>36</v>
      </c>
      <c r="BX22" s="214" t="s">
        <v>37</v>
      </c>
      <c r="BY22" s="214"/>
      <c r="BZ22" s="214" t="s">
        <v>56</v>
      </c>
      <c r="CA22" s="214"/>
      <c r="CB22" s="214"/>
      <c r="CC22" s="214" t="s">
        <v>135</v>
      </c>
      <c r="CD22" s="214" t="s">
        <v>868</v>
      </c>
      <c r="CE22" s="214"/>
      <c r="CF22" s="214" t="s">
        <v>136</v>
      </c>
      <c r="CG22" s="214" t="s">
        <v>208</v>
      </c>
      <c r="CH22" s="214" t="s">
        <v>301</v>
      </c>
      <c r="CI22" s="214"/>
      <c r="CJ22" s="214" t="s">
        <v>1229</v>
      </c>
      <c r="CK22" s="214" t="s">
        <v>1230</v>
      </c>
      <c r="CL22" s="214" t="s">
        <v>1231</v>
      </c>
      <c r="CM22" s="214"/>
      <c r="CN22" s="214" t="s">
        <v>128</v>
      </c>
      <c r="CO22" s="214" t="s">
        <v>40</v>
      </c>
      <c r="CP22" s="214" t="s">
        <v>38</v>
      </c>
      <c r="CQ22" s="214" t="s">
        <v>93</v>
      </c>
      <c r="CR22" s="214"/>
      <c r="CS22" s="214" t="s">
        <v>679</v>
      </c>
      <c r="CT22" s="214" t="s">
        <v>1014</v>
      </c>
      <c r="CU22" s="214" t="s">
        <v>64</v>
      </c>
      <c r="CV22" s="214" t="s">
        <v>65</v>
      </c>
      <c r="CW22" s="215" t="s">
        <v>1232</v>
      </c>
      <c r="CX22" s="214" t="s">
        <v>179</v>
      </c>
      <c r="CY22" s="214" t="s">
        <v>845</v>
      </c>
      <c r="CZ22" s="214" t="s">
        <v>192</v>
      </c>
      <c r="DA22" s="215"/>
      <c r="DB22" s="215"/>
      <c r="DC22" s="215"/>
      <c r="DD22" s="215"/>
      <c r="DE22" s="214" t="s">
        <v>46</v>
      </c>
      <c r="DF22" s="214" t="s">
        <v>42</v>
      </c>
      <c r="DG22" s="214"/>
      <c r="DH22" s="214"/>
      <c r="DI22" s="214" t="s">
        <v>40</v>
      </c>
      <c r="DJ22" s="214" t="s">
        <v>381</v>
      </c>
      <c r="DK22" s="214" t="s">
        <v>382</v>
      </c>
      <c r="DL22" s="214" t="s">
        <v>44</v>
      </c>
      <c r="DM22" s="214" t="s">
        <v>63</v>
      </c>
      <c r="DN22" s="214" t="s">
        <v>113</v>
      </c>
      <c r="DO22" s="214" t="s">
        <v>268</v>
      </c>
      <c r="DP22" s="214" t="s">
        <v>101</v>
      </c>
      <c r="DQ22" s="214" t="s">
        <v>269</v>
      </c>
      <c r="DR22" s="214" t="s">
        <v>590</v>
      </c>
      <c r="DS22" s="214" t="s">
        <v>599</v>
      </c>
      <c r="DT22" s="214" t="s">
        <v>24</v>
      </c>
      <c r="DU22" s="214" t="s">
        <v>26</v>
      </c>
      <c r="DV22" s="214" t="s">
        <v>28</v>
      </c>
      <c r="DW22" s="214" t="s">
        <v>25</v>
      </c>
      <c r="DX22" s="214" t="s">
        <v>27</v>
      </c>
      <c r="DY22" s="214" t="s">
        <v>29</v>
      </c>
      <c r="DZ22" s="214" t="s">
        <v>488</v>
      </c>
      <c r="EA22" s="214" t="s">
        <v>598</v>
      </c>
      <c r="EB22" s="214" t="s">
        <v>489</v>
      </c>
      <c r="EC22" s="214" t="s">
        <v>506</v>
      </c>
      <c r="ED22" s="214" t="s">
        <v>507</v>
      </c>
      <c r="EE22" s="214" t="s">
        <v>508</v>
      </c>
      <c r="EF22" s="214" t="s">
        <v>681</v>
      </c>
      <c r="EG22" s="214" t="s">
        <v>682</v>
      </c>
      <c r="EH22" s="214" t="s">
        <v>30</v>
      </c>
      <c r="EI22" s="214" t="s">
        <v>32</v>
      </c>
      <c r="EJ22" s="214" t="s">
        <v>33</v>
      </c>
      <c r="EK22" s="214" t="s">
        <v>270</v>
      </c>
      <c r="EL22" s="214"/>
      <c r="EM22" s="214" t="s">
        <v>271</v>
      </c>
      <c r="EN22" s="214" t="s">
        <v>277</v>
      </c>
      <c r="EO22" s="214"/>
      <c r="EP22" s="214"/>
      <c r="EQ22" s="214"/>
      <c r="ER22" s="214"/>
      <c r="ES22" s="214"/>
      <c r="ET22" s="214"/>
      <c r="EU22" s="214" t="s">
        <v>1055</v>
      </c>
      <c r="EV22" s="214"/>
      <c r="EW22" s="214" t="s">
        <v>1070</v>
      </c>
      <c r="EX22" s="214"/>
      <c r="EY22" s="214" t="s">
        <v>387</v>
      </c>
      <c r="EZ22" s="214" t="s">
        <v>388</v>
      </c>
      <c r="FA22" s="214"/>
      <c r="FB22" s="214" t="s">
        <v>284</v>
      </c>
      <c r="FC22" s="214" t="s">
        <v>216</v>
      </c>
      <c r="FD22" s="214" t="s">
        <v>390</v>
      </c>
      <c r="FE22" s="214" t="s">
        <v>702</v>
      </c>
      <c r="FF22" s="214" t="s">
        <v>392</v>
      </c>
      <c r="FG22" s="214" t="s">
        <v>431</v>
      </c>
      <c r="FH22" s="214"/>
      <c r="FI22" s="214" t="s">
        <v>393</v>
      </c>
      <c r="FJ22" s="214" t="s">
        <v>397</v>
      </c>
      <c r="FK22" s="214"/>
      <c r="FL22" s="214" t="s">
        <v>401</v>
      </c>
      <c r="FM22" s="214"/>
      <c r="FN22" s="214"/>
      <c r="FO22" s="214" t="s">
        <v>866</v>
      </c>
      <c r="FP22" s="214"/>
      <c r="FQ22" s="214"/>
      <c r="FR22" s="214"/>
      <c r="FS22" s="214"/>
      <c r="FT22" s="214"/>
      <c r="FU22" s="214" t="s">
        <v>257</v>
      </c>
      <c r="FV22" s="214" t="s">
        <v>194</v>
      </c>
      <c r="FW22" s="214"/>
      <c r="FX22" s="214" t="s">
        <v>406</v>
      </c>
      <c r="FY22" s="214" t="s">
        <v>412</v>
      </c>
      <c r="FZ22" s="214"/>
      <c r="GA22" s="214" t="s">
        <v>416</v>
      </c>
      <c r="GB22" s="214" t="s">
        <v>409</v>
      </c>
      <c r="GC22" s="214"/>
      <c r="GD22" s="214"/>
      <c r="GE22" s="214" t="s">
        <v>424</v>
      </c>
      <c r="GF22" s="214"/>
      <c r="GG22" s="214" t="s">
        <v>428</v>
      </c>
      <c r="GH22" s="214" t="s">
        <v>434</v>
      </c>
      <c r="GI22" s="214"/>
      <c r="GJ22" s="214"/>
      <c r="GK22" s="214"/>
      <c r="GL22" s="491"/>
      <c r="GM22" s="491"/>
      <c r="GN22" s="216"/>
      <c r="GO22" s="216"/>
      <c r="GP22" s="216" t="s">
        <v>227</v>
      </c>
      <c r="GQ22" s="215" t="s">
        <v>1247</v>
      </c>
      <c r="GR22" s="214" t="s">
        <v>1670</v>
      </c>
      <c r="GS22" s="214"/>
      <c r="GT22" s="214" t="s">
        <v>628</v>
      </c>
      <c r="GU22" s="214" t="s">
        <v>540</v>
      </c>
      <c r="GV22" s="214"/>
      <c r="GW22" s="214"/>
      <c r="GX22" s="214" t="s">
        <v>626</v>
      </c>
      <c r="GY22" s="492"/>
      <c r="GZ22" s="214"/>
      <c r="HA22" s="214" t="s">
        <v>1671</v>
      </c>
      <c r="HB22" s="214"/>
      <c r="HC22" s="214" t="s">
        <v>509</v>
      </c>
      <c r="HD22" s="214" t="s">
        <v>386</v>
      </c>
      <c r="HE22" s="214" t="s">
        <v>766</v>
      </c>
      <c r="HF22" s="214"/>
      <c r="HG22" s="214"/>
      <c r="HH22" s="215"/>
      <c r="HI22" s="215"/>
      <c r="HJ22" s="215"/>
      <c r="HK22" s="215"/>
      <c r="HL22" s="215" t="s">
        <v>520</v>
      </c>
      <c r="HM22" s="215"/>
      <c r="HN22" s="214"/>
      <c r="HO22" s="214"/>
      <c r="HP22" s="215" t="s">
        <v>525</v>
      </c>
      <c r="HQ22" s="215"/>
      <c r="HR22" s="492"/>
      <c r="HS22" s="214"/>
      <c r="HT22" s="214" t="s">
        <v>182</v>
      </c>
      <c r="HU22" s="492"/>
      <c r="HV22" s="214"/>
      <c r="HW22" s="492"/>
      <c r="HX22" s="214"/>
      <c r="HY22" s="492"/>
      <c r="HZ22" s="214"/>
      <c r="IA22" s="214" t="s">
        <v>496</v>
      </c>
      <c r="IB22" s="214" t="s">
        <v>504</v>
      </c>
      <c r="IC22" s="214"/>
      <c r="ID22" s="214"/>
      <c r="IE22" s="214"/>
      <c r="IF22" s="214" t="s">
        <v>500</v>
      </c>
      <c r="IG22" s="214" t="s">
        <v>325</v>
      </c>
      <c r="IH22" s="214"/>
      <c r="II22" s="214"/>
      <c r="IJ22" s="214"/>
      <c r="IK22" s="214"/>
      <c r="IL22" s="214"/>
      <c r="IM22" s="214"/>
      <c r="IN22" s="214"/>
      <c r="IO22" s="214"/>
      <c r="IP22" s="214"/>
      <c r="IQ22" s="214"/>
      <c r="IR22" s="214"/>
      <c r="IS22" s="214"/>
      <c r="IT22" s="214"/>
      <c r="IU22" s="214"/>
      <c r="IV22" s="214"/>
      <c r="IW22" s="214"/>
      <c r="IX22" s="214"/>
      <c r="IY22" s="214"/>
      <c r="IZ22" s="214"/>
      <c r="JA22" s="214"/>
      <c r="JB22" s="214"/>
      <c r="JC22" s="214"/>
      <c r="JD22" s="214"/>
      <c r="JE22" s="214"/>
      <c r="JF22" s="214"/>
      <c r="JG22" s="214"/>
      <c r="JH22" s="214"/>
      <c r="JI22" s="214"/>
      <c r="JJ22" s="214"/>
      <c r="JK22" s="214"/>
      <c r="JL22" s="214"/>
      <c r="JM22" s="214"/>
      <c r="JN22" s="491"/>
      <c r="JO22" s="491"/>
      <c r="JP22" s="214"/>
      <c r="JQ22" s="214"/>
      <c r="JR22" s="214"/>
      <c r="JS22" s="214"/>
      <c r="JT22" s="214"/>
      <c r="JU22" s="214"/>
      <c r="JV22" s="214"/>
      <c r="JW22" s="214"/>
      <c r="JX22" s="214"/>
      <c r="JY22" s="214"/>
      <c r="JZ22" s="214"/>
      <c r="KA22" s="214"/>
      <c r="KB22" s="214"/>
      <c r="KC22" s="214"/>
      <c r="KD22" s="214"/>
      <c r="KE22" s="214"/>
      <c r="KF22" s="214"/>
      <c r="KG22" s="214"/>
      <c r="KH22" s="214"/>
      <c r="KI22" s="214"/>
      <c r="KJ22" s="214"/>
      <c r="KK22" s="214"/>
      <c r="KL22" s="214"/>
      <c r="KM22" s="214"/>
      <c r="KN22" s="214"/>
      <c r="KO22" s="214"/>
      <c r="KP22" s="214"/>
      <c r="KQ22" s="214"/>
      <c r="KR22" s="214"/>
      <c r="KS22" s="214"/>
      <c r="KT22" s="214"/>
      <c r="KU22" s="214"/>
      <c r="KV22" s="214"/>
      <c r="KW22" s="214"/>
      <c r="KX22" s="214"/>
      <c r="KY22" s="214"/>
      <c r="KZ22" s="214"/>
      <c r="LA22" s="214"/>
      <c r="LB22" s="214"/>
      <c r="LC22" s="214"/>
      <c r="LD22" s="214"/>
      <c r="LE22" s="214"/>
      <c r="LF22" s="214"/>
      <c r="LG22" s="214"/>
      <c r="LH22" s="214"/>
      <c r="LI22" s="214"/>
      <c r="LJ22" s="214"/>
      <c r="LK22" s="214"/>
      <c r="LL22" s="214"/>
      <c r="LM22" s="214"/>
      <c r="LN22" s="217" t="s">
        <v>330</v>
      </c>
      <c r="LO22" s="214"/>
      <c r="LP22" s="214"/>
      <c r="LQ22" s="214"/>
      <c r="LR22" s="214"/>
      <c r="LS22" s="214"/>
      <c r="LT22" s="214"/>
      <c r="LU22" s="214"/>
      <c r="LV22" s="214"/>
      <c r="LW22" s="214"/>
      <c r="LX22" s="214"/>
      <c r="LY22" s="214"/>
      <c r="LZ22" s="214"/>
      <c r="MA22" s="214"/>
      <c r="MB22" s="214"/>
      <c r="MC22" s="214"/>
      <c r="MD22" s="214"/>
      <c r="ME22" s="214"/>
      <c r="MF22" s="214"/>
      <c r="MG22" s="214"/>
      <c r="MH22" s="214"/>
      <c r="MI22" s="214"/>
      <c r="MJ22" s="214"/>
      <c r="MK22" s="214"/>
      <c r="ML22" s="214"/>
      <c r="MM22" s="214" t="s">
        <v>1672</v>
      </c>
      <c r="MN22" s="214"/>
      <c r="MO22" s="214"/>
      <c r="MP22" s="214"/>
      <c r="MQ22" s="214"/>
      <c r="MR22" s="214"/>
      <c r="MS22" s="214"/>
      <c r="MT22" s="214"/>
      <c r="MU22" s="214"/>
      <c r="MV22" s="214"/>
      <c r="MW22" s="214"/>
      <c r="MX22" s="214"/>
      <c r="MY22" s="214"/>
      <c r="MZ22" s="214"/>
      <c r="NA22" s="214"/>
      <c r="NB22" s="214"/>
      <c r="NC22" s="214"/>
      <c r="ND22" s="214"/>
      <c r="NE22" s="214"/>
      <c r="NF22" s="214" t="s">
        <v>94</v>
      </c>
      <c r="NG22" s="214"/>
      <c r="NH22" s="214" t="s">
        <v>734</v>
      </c>
      <c r="NI22" s="214"/>
      <c r="NJ22" s="214" t="s">
        <v>91</v>
      </c>
      <c r="NK22" s="214"/>
      <c r="NL22" s="214" t="s">
        <v>1685</v>
      </c>
      <c r="NM22" s="214" t="s">
        <v>742</v>
      </c>
      <c r="NN22" s="214"/>
      <c r="NO22" s="214" t="s">
        <v>743</v>
      </c>
      <c r="NP22" s="214" t="s">
        <v>92</v>
      </c>
      <c r="NQ22" s="214"/>
      <c r="NR22" s="214"/>
      <c r="NS22" s="214"/>
      <c r="NT22" s="214"/>
      <c r="NU22" s="214"/>
      <c r="NV22" s="214"/>
      <c r="NW22" s="214"/>
      <c r="NX22" s="214"/>
      <c r="NY22" s="214"/>
      <c r="NZ22" s="214"/>
      <c r="OA22" s="214"/>
      <c r="OB22" s="214"/>
      <c r="OC22" s="214"/>
      <c r="OD22" s="214"/>
      <c r="OE22" s="214"/>
      <c r="OF22" s="214"/>
      <c r="OG22" s="214"/>
      <c r="OH22" s="214"/>
      <c r="OI22" s="214"/>
      <c r="OJ22" s="214"/>
      <c r="OK22" s="214"/>
      <c r="OL22" s="214"/>
      <c r="OM22" s="214"/>
      <c r="ON22" s="214"/>
      <c r="OO22" s="214"/>
      <c r="OP22" s="214"/>
      <c r="OQ22" s="214"/>
      <c r="OR22" s="214"/>
      <c r="OS22" s="214"/>
      <c r="OT22" s="214"/>
      <c r="OU22" s="214"/>
      <c r="OV22" s="214"/>
      <c r="OW22" s="214"/>
      <c r="OX22" s="214"/>
      <c r="OY22" s="214"/>
      <c r="OZ22" s="214"/>
      <c r="PA22" s="214"/>
      <c r="PB22" s="214"/>
      <c r="PC22" s="214"/>
      <c r="PD22" s="214"/>
      <c r="PE22" s="214"/>
      <c r="PF22" s="214"/>
      <c r="PG22" s="214"/>
      <c r="PH22" s="214"/>
      <c r="PI22" s="214"/>
      <c r="PJ22" s="214"/>
      <c r="PK22" s="214"/>
      <c r="PL22" s="214"/>
      <c r="PM22" s="214"/>
      <c r="PN22" s="214"/>
      <c r="PO22" s="214"/>
      <c r="PP22" s="214"/>
      <c r="PQ22" s="214"/>
      <c r="PR22" s="214"/>
      <c r="PS22" s="214"/>
      <c r="PT22" s="214"/>
      <c r="PU22" s="214"/>
      <c r="PV22" s="214"/>
      <c r="PW22" s="214"/>
      <c r="PX22" s="214"/>
      <c r="PY22" s="214"/>
      <c r="PZ22" s="214" t="s">
        <v>1686</v>
      </c>
      <c r="QA22" s="214"/>
      <c r="QB22" s="214"/>
      <c r="QC22" s="214"/>
      <c r="QD22" s="214"/>
      <c r="QE22" s="214"/>
      <c r="QF22" s="214"/>
      <c r="QG22" s="214"/>
      <c r="QH22" s="214" t="s">
        <v>467</v>
      </c>
      <c r="QI22" s="214"/>
      <c r="QJ22" s="214"/>
      <c r="QK22" s="214"/>
      <c r="QL22" s="214"/>
      <c r="QM22" s="214"/>
      <c r="QN22" s="214"/>
      <c r="QO22" s="214"/>
      <c r="QP22" s="214"/>
      <c r="QQ22" s="214"/>
      <c r="QR22" s="214"/>
      <c r="QS22" s="214"/>
      <c r="QT22" s="214"/>
      <c r="QU22" s="214"/>
      <c r="QV22" s="214"/>
      <c r="QW22" s="214"/>
      <c r="QX22" s="214"/>
      <c r="QY22" s="214"/>
      <c r="QZ22" s="214"/>
      <c r="RA22" s="214"/>
      <c r="RB22" s="214"/>
      <c r="RC22" s="214"/>
      <c r="RD22" s="214"/>
      <c r="RE22" s="214"/>
      <c r="RF22" s="214"/>
      <c r="RG22" s="214"/>
      <c r="RH22" s="214"/>
      <c r="RI22" s="214"/>
      <c r="RJ22" s="214"/>
      <c r="RK22" s="214"/>
      <c r="RL22" s="214"/>
      <c r="RM22" s="214"/>
      <c r="RN22" s="214"/>
      <c r="RO22" s="214"/>
      <c r="RP22" s="214"/>
      <c r="RQ22" s="214"/>
      <c r="RR22" s="214"/>
      <c r="RS22" s="214"/>
      <c r="RT22" s="214"/>
      <c r="RU22" s="214"/>
      <c r="RV22" s="214"/>
      <c r="RW22" s="214"/>
      <c r="RX22" s="214" t="s">
        <v>1262</v>
      </c>
      <c r="RY22" s="493" t="s">
        <v>1074</v>
      </c>
      <c r="RZ22" s="214"/>
      <c r="SA22" s="214"/>
      <c r="SB22" s="214"/>
      <c r="SC22" s="214"/>
      <c r="SD22" s="214" t="s">
        <v>555</v>
      </c>
      <c r="SE22" s="214"/>
      <c r="SF22" s="214"/>
      <c r="SG22" s="214"/>
      <c r="SH22" s="214"/>
      <c r="SI22" s="214"/>
      <c r="SJ22" s="214" t="s">
        <v>558</v>
      </c>
      <c r="SK22" s="214" t="s">
        <v>560</v>
      </c>
      <c r="SL22" s="214"/>
      <c r="SM22" s="214"/>
      <c r="SN22" s="214"/>
      <c r="SO22" s="214" t="s">
        <v>448</v>
      </c>
      <c r="SP22" s="214"/>
      <c r="SQ22" s="214"/>
      <c r="SR22" s="214"/>
      <c r="SS22" s="214"/>
      <c r="ST22" s="214"/>
      <c r="SU22" s="214" t="s">
        <v>576</v>
      </c>
      <c r="SV22" s="214"/>
      <c r="SW22" s="214"/>
      <c r="SX22" s="214"/>
      <c r="SY22" s="214"/>
      <c r="SZ22" s="214" t="s">
        <v>472</v>
      </c>
      <c r="TA22" s="214"/>
      <c r="TB22" s="214"/>
      <c r="TC22" s="214"/>
      <c r="TD22" s="214" t="s">
        <v>455</v>
      </c>
      <c r="TE22" s="214"/>
      <c r="TF22" s="214"/>
      <c r="TG22" s="214"/>
      <c r="TH22" s="214"/>
      <c r="TI22" s="214"/>
      <c r="TJ22" s="214"/>
      <c r="TK22" s="214"/>
      <c r="TL22" s="214"/>
      <c r="TM22" s="214"/>
      <c r="TN22" s="214"/>
      <c r="TO22" s="214"/>
      <c r="TP22" s="214"/>
      <c r="TQ22" s="216"/>
      <c r="TR22" s="216"/>
      <c r="TS22" s="216"/>
      <c r="TT22" s="216"/>
      <c r="TU22" s="216"/>
      <c r="TV22" s="216"/>
      <c r="TW22" s="214"/>
      <c r="TX22" s="214"/>
      <c r="TY22" s="214"/>
      <c r="TZ22" s="214"/>
      <c r="UA22" s="214"/>
      <c r="UB22" s="214"/>
      <c r="UC22" s="214"/>
      <c r="UD22" s="214"/>
      <c r="UE22" s="214"/>
      <c r="UF22" s="214"/>
      <c r="UG22" s="214"/>
      <c r="UH22" s="214"/>
      <c r="UI22" s="214"/>
      <c r="UJ22" s="214"/>
      <c r="UK22" s="214"/>
      <c r="UL22" s="214"/>
      <c r="UM22" s="214"/>
      <c r="UN22" s="214"/>
      <c r="UO22" s="214"/>
      <c r="UP22" s="214"/>
      <c r="UQ22" s="214"/>
      <c r="UR22" s="214"/>
      <c r="US22" s="214"/>
      <c r="UT22" s="214"/>
      <c r="UU22" s="214"/>
      <c r="UV22" s="214"/>
      <c r="UW22" s="214"/>
      <c r="UX22" s="214"/>
      <c r="UY22" s="214"/>
      <c r="UZ22" s="214"/>
      <c r="VA22" s="214"/>
      <c r="VB22" s="214"/>
      <c r="VC22" s="214"/>
      <c r="VD22" s="214"/>
      <c r="VE22" s="214"/>
      <c r="VF22" s="214"/>
      <c r="VG22" s="214"/>
      <c r="VH22" s="214"/>
      <c r="VI22" s="214"/>
      <c r="VJ22" s="214"/>
      <c r="VK22" s="214"/>
      <c r="VL22" s="214"/>
      <c r="VM22" s="214"/>
      <c r="VN22" s="214"/>
      <c r="VO22" s="214"/>
      <c r="VP22" s="214"/>
      <c r="VQ22" s="214"/>
      <c r="VR22" s="214"/>
      <c r="VS22" s="214"/>
      <c r="VT22" s="214"/>
      <c r="VU22" s="214"/>
      <c r="VV22" s="214"/>
      <c r="VW22" s="214"/>
      <c r="VX22" s="214"/>
      <c r="VY22" s="214"/>
      <c r="VZ22" s="214"/>
      <c r="WA22" s="214"/>
      <c r="WB22" s="214"/>
      <c r="WC22" s="214"/>
      <c r="WD22" s="214"/>
      <c r="WE22" s="214"/>
      <c r="WF22" s="214"/>
      <c r="WG22" s="214"/>
      <c r="WH22" s="214"/>
      <c r="WI22" s="214"/>
      <c r="WJ22" s="214"/>
      <c r="WK22" s="214"/>
      <c r="WL22" s="214"/>
      <c r="WM22" s="214"/>
      <c r="WN22" s="214"/>
      <c r="WO22" s="214"/>
      <c r="WP22" s="214"/>
      <c r="WQ22" s="214"/>
      <c r="WR22" s="214"/>
      <c r="WS22" s="214"/>
      <c r="WT22" s="214"/>
      <c r="WU22" s="214"/>
      <c r="WV22" s="214"/>
      <c r="WW22" s="214"/>
      <c r="WX22" s="214"/>
      <c r="WY22" s="214"/>
      <c r="WZ22" s="214"/>
      <c r="XA22" s="214"/>
      <c r="XB22" s="214"/>
      <c r="XC22" s="214"/>
      <c r="XD22" s="214"/>
      <c r="XE22" s="214"/>
      <c r="XF22" s="214"/>
      <c r="XG22" s="214"/>
      <c r="XH22" s="214"/>
      <c r="XI22" s="214"/>
      <c r="XJ22" s="214"/>
      <c r="XK22" s="214"/>
      <c r="XL22" s="214"/>
      <c r="XM22" s="214"/>
      <c r="XN22" s="214"/>
      <c r="XO22" s="214"/>
      <c r="XP22" s="214"/>
      <c r="XQ22" s="214" t="s">
        <v>204</v>
      </c>
      <c r="XR22" s="214" t="s">
        <v>205</v>
      </c>
      <c r="XS22" s="214" t="s">
        <v>802</v>
      </c>
      <c r="XT22" s="214" t="s">
        <v>801</v>
      </c>
      <c r="XU22" s="214" t="s">
        <v>1100</v>
      </c>
      <c r="XV22" s="214"/>
      <c r="XW22" s="214" t="s">
        <v>800</v>
      </c>
      <c r="XX22" s="214" t="s">
        <v>1102</v>
      </c>
      <c r="XY22" s="214" t="s">
        <v>1103</v>
      </c>
      <c r="XZ22" s="214" t="s">
        <v>1104</v>
      </c>
      <c r="YA22" s="214" t="s">
        <v>1101</v>
      </c>
      <c r="YB22" s="214" t="s">
        <v>1105</v>
      </c>
      <c r="YC22" s="214" t="s">
        <v>1673</v>
      </c>
      <c r="YD22" s="214" t="s">
        <v>1770</v>
      </c>
      <c r="YE22" s="214" t="s">
        <v>1107</v>
      </c>
      <c r="YF22" s="214" t="s">
        <v>1674</v>
      </c>
      <c r="YG22" s="214" t="s">
        <v>1675</v>
      </c>
      <c r="YH22" s="214"/>
      <c r="YI22" s="214"/>
      <c r="YJ22" s="214" t="s">
        <v>1676</v>
      </c>
      <c r="YK22" s="214"/>
      <c r="YL22" s="214" t="s">
        <v>807</v>
      </c>
      <c r="YM22" s="215"/>
      <c r="YN22" s="215"/>
      <c r="YO22" s="214"/>
      <c r="YP22" s="214"/>
      <c r="YQ22" s="214"/>
      <c r="YR22" s="214"/>
      <c r="YS22" s="214"/>
      <c r="YT22" s="215"/>
    </row>
    <row r="23" spans="1:670" s="94" customFormat="1" x14ac:dyDescent="0.2">
      <c r="A23" s="113" t="s">
        <v>482</v>
      </c>
      <c r="B23" s="49" t="s">
        <v>13</v>
      </c>
      <c r="C23" s="49" t="s">
        <v>13</v>
      </c>
      <c r="D23" s="49" t="s">
        <v>13</v>
      </c>
      <c r="E23" s="49" t="s">
        <v>13</v>
      </c>
      <c r="F23" s="49" t="s">
        <v>59</v>
      </c>
      <c r="G23" s="49" t="s">
        <v>31</v>
      </c>
      <c r="H23" s="49" t="s">
        <v>13</v>
      </c>
      <c r="I23" s="49" t="s">
        <v>13</v>
      </c>
      <c r="J23" s="49" t="s">
        <v>13</v>
      </c>
      <c r="K23" s="49" t="s">
        <v>13</v>
      </c>
      <c r="L23" s="49"/>
      <c r="M23" s="49" t="s">
        <v>13</v>
      </c>
      <c r="N23" s="49" t="s">
        <v>13</v>
      </c>
      <c r="O23" s="49" t="s">
        <v>13</v>
      </c>
      <c r="P23" s="49" t="s">
        <v>13</v>
      </c>
      <c r="Q23" s="49" t="s">
        <v>13</v>
      </c>
      <c r="R23" s="49" t="s">
        <v>13</v>
      </c>
      <c r="S23" s="49" t="s">
        <v>13</v>
      </c>
      <c r="T23" s="49" t="s">
        <v>13</v>
      </c>
      <c r="U23" s="49" t="s">
        <v>13</v>
      </c>
      <c r="V23" s="49" t="s">
        <v>13</v>
      </c>
      <c r="W23" s="49" t="s">
        <v>13</v>
      </c>
      <c r="X23" s="49" t="s">
        <v>13</v>
      </c>
      <c r="Y23" s="49" t="s">
        <v>13</v>
      </c>
      <c r="Z23" s="49" t="s">
        <v>13</v>
      </c>
      <c r="AA23" s="49" t="s">
        <v>13</v>
      </c>
      <c r="AB23" s="49" t="s">
        <v>13</v>
      </c>
      <c r="AC23" s="49" t="s">
        <v>59</v>
      </c>
      <c r="AD23" s="49" t="s">
        <v>13</v>
      </c>
      <c r="AE23" s="49" t="s">
        <v>13</v>
      </c>
      <c r="AF23" s="49" t="s">
        <v>13</v>
      </c>
      <c r="AG23" s="49" t="s">
        <v>13</v>
      </c>
      <c r="AH23" s="49" t="s">
        <v>13</v>
      </c>
      <c r="AI23" s="49" t="s">
        <v>13</v>
      </c>
      <c r="AJ23" s="49" t="s">
        <v>13</v>
      </c>
      <c r="AK23" s="49" t="s">
        <v>13</v>
      </c>
      <c r="AL23" s="49" t="s">
        <v>13</v>
      </c>
      <c r="AM23" s="49" t="s">
        <v>13</v>
      </c>
      <c r="AN23" s="49" t="s">
        <v>13</v>
      </c>
      <c r="AO23" s="49" t="s">
        <v>13</v>
      </c>
      <c r="AP23" s="49" t="s">
        <v>13</v>
      </c>
      <c r="AQ23" s="49" t="s">
        <v>13</v>
      </c>
      <c r="AR23" s="49" t="s">
        <v>13</v>
      </c>
      <c r="AS23" s="49" t="s">
        <v>13</v>
      </c>
      <c r="AT23" s="49" t="s">
        <v>13</v>
      </c>
      <c r="AU23" s="49"/>
      <c r="AV23" s="49"/>
      <c r="AW23" s="49"/>
      <c r="AX23" s="49"/>
      <c r="AY23" s="49"/>
      <c r="AZ23" s="49"/>
      <c r="BA23" s="49"/>
      <c r="BB23" s="49"/>
      <c r="BC23" s="49"/>
      <c r="BD23" s="49"/>
      <c r="BE23" s="49"/>
      <c r="BF23" s="49"/>
      <c r="BG23" s="49"/>
      <c r="BH23" s="49"/>
      <c r="BI23" s="49" t="s">
        <v>13</v>
      </c>
      <c r="BJ23" s="49" t="s">
        <v>13</v>
      </c>
      <c r="BK23" s="49" t="s">
        <v>13</v>
      </c>
      <c r="BL23" s="49" t="s">
        <v>13</v>
      </c>
      <c r="BM23" s="49" t="s">
        <v>13</v>
      </c>
      <c r="BN23" s="49" t="s">
        <v>13</v>
      </c>
      <c r="BO23" s="49" t="s">
        <v>13</v>
      </c>
      <c r="BP23" s="49" t="s">
        <v>13</v>
      </c>
      <c r="BQ23" s="49" t="s">
        <v>13</v>
      </c>
      <c r="BR23" s="49" t="s">
        <v>13</v>
      </c>
      <c r="BS23" s="49" t="s">
        <v>13</v>
      </c>
      <c r="BT23" s="49" t="s">
        <v>13</v>
      </c>
      <c r="BU23" s="49" t="s">
        <v>13</v>
      </c>
      <c r="BV23" s="49" t="s">
        <v>13</v>
      </c>
      <c r="BW23" s="49" t="s">
        <v>13</v>
      </c>
      <c r="BX23" s="49" t="s">
        <v>13</v>
      </c>
      <c r="BY23" s="49"/>
      <c r="BZ23" s="49" t="s">
        <v>13</v>
      </c>
      <c r="CA23" s="49" t="s">
        <v>59</v>
      </c>
      <c r="CB23" s="49" t="s">
        <v>59</v>
      </c>
      <c r="CC23" s="49" t="s">
        <v>59</v>
      </c>
      <c r="CD23" s="49" t="s">
        <v>59</v>
      </c>
      <c r="CE23" s="49" t="s">
        <v>59</v>
      </c>
      <c r="CF23" s="49" t="s">
        <v>13</v>
      </c>
      <c r="CG23" s="49" t="s">
        <v>13</v>
      </c>
      <c r="CH23" s="49" t="s">
        <v>13</v>
      </c>
      <c r="CI23" s="49" t="s">
        <v>59</v>
      </c>
      <c r="CJ23" s="49" t="s">
        <v>13</v>
      </c>
      <c r="CK23" s="49" t="s">
        <v>13</v>
      </c>
      <c r="CL23" s="49" t="s">
        <v>13</v>
      </c>
      <c r="CM23" s="49"/>
      <c r="CN23" s="49" t="s">
        <v>13</v>
      </c>
      <c r="CO23" s="49" t="s">
        <v>13</v>
      </c>
      <c r="CP23" s="49" t="s">
        <v>13</v>
      </c>
      <c r="CQ23" s="49" t="s">
        <v>13</v>
      </c>
      <c r="CR23" s="49" t="s">
        <v>59</v>
      </c>
      <c r="CS23" s="49" t="s">
        <v>13</v>
      </c>
      <c r="CT23" s="49" t="s">
        <v>13</v>
      </c>
      <c r="CU23" s="49" t="s">
        <v>13</v>
      </c>
      <c r="CV23" s="49" t="s">
        <v>13</v>
      </c>
      <c r="CW23" s="122" t="s">
        <v>13</v>
      </c>
      <c r="CX23" s="49" t="s">
        <v>13</v>
      </c>
      <c r="CY23" s="49" t="s">
        <v>13</v>
      </c>
      <c r="CZ23" s="49" t="s">
        <v>13</v>
      </c>
      <c r="DA23" s="122"/>
      <c r="DB23" s="122"/>
      <c r="DC23" s="122"/>
      <c r="DD23" s="122"/>
      <c r="DE23" s="49" t="s">
        <v>13</v>
      </c>
      <c r="DF23" s="49" t="s">
        <v>13</v>
      </c>
      <c r="DG23" s="49"/>
      <c r="DH23" s="49"/>
      <c r="DI23" s="49" t="s">
        <v>13</v>
      </c>
      <c r="DJ23" s="49" t="s">
        <v>59</v>
      </c>
      <c r="DK23" s="49" t="s">
        <v>59</v>
      </c>
      <c r="DL23" s="49" t="s">
        <v>13</v>
      </c>
      <c r="DM23" s="49" t="s">
        <v>13</v>
      </c>
      <c r="DN23" s="49" t="s">
        <v>13</v>
      </c>
      <c r="DO23" s="49" t="s">
        <v>13</v>
      </c>
      <c r="DP23" s="49" t="s">
        <v>13</v>
      </c>
      <c r="DQ23" s="49" t="s">
        <v>13</v>
      </c>
      <c r="DR23" s="49" t="s">
        <v>13</v>
      </c>
      <c r="DS23" s="49" t="s">
        <v>13</v>
      </c>
      <c r="DT23" s="49" t="s">
        <v>13</v>
      </c>
      <c r="DU23" s="49" t="s">
        <v>13</v>
      </c>
      <c r="DV23" s="49" t="s">
        <v>13</v>
      </c>
      <c r="DW23" s="49" t="s">
        <v>13</v>
      </c>
      <c r="DX23" s="49" t="s">
        <v>13</v>
      </c>
      <c r="DY23" s="49" t="s">
        <v>13</v>
      </c>
      <c r="DZ23" s="49" t="s">
        <v>13</v>
      </c>
      <c r="EA23" s="49" t="s">
        <v>13</v>
      </c>
      <c r="EB23" s="49" t="s">
        <v>13</v>
      </c>
      <c r="EC23" s="49" t="s">
        <v>13</v>
      </c>
      <c r="ED23" s="49" t="s">
        <v>13</v>
      </c>
      <c r="EE23" s="49" t="s">
        <v>13</v>
      </c>
      <c r="EF23" s="49" t="s">
        <v>13</v>
      </c>
      <c r="EG23" s="49" t="s">
        <v>13</v>
      </c>
      <c r="EH23" s="49" t="s">
        <v>59</v>
      </c>
      <c r="EI23" s="49" t="s">
        <v>59</v>
      </c>
      <c r="EJ23" s="49" t="s">
        <v>59</v>
      </c>
      <c r="EK23" s="49" t="s">
        <v>13</v>
      </c>
      <c r="EL23" s="49"/>
      <c r="EM23" s="49" t="s">
        <v>13</v>
      </c>
      <c r="EN23" s="49" t="s">
        <v>13</v>
      </c>
      <c r="EO23" s="49"/>
      <c r="EP23" s="49"/>
      <c r="EQ23" s="49"/>
      <c r="ER23" s="49"/>
      <c r="ES23" s="49"/>
      <c r="ET23" s="49"/>
      <c r="EU23" s="49" t="s">
        <v>13</v>
      </c>
      <c r="EV23" s="49"/>
      <c r="EW23" s="49" t="s">
        <v>13</v>
      </c>
      <c r="EX23" s="49" t="s">
        <v>59</v>
      </c>
      <c r="EY23" s="49" t="s">
        <v>59</v>
      </c>
      <c r="EZ23" s="49" t="s">
        <v>59</v>
      </c>
      <c r="FA23" s="49"/>
      <c r="FB23" s="49" t="s">
        <v>13</v>
      </c>
      <c r="FC23" s="49" t="s">
        <v>59</v>
      </c>
      <c r="FD23" s="49" t="s">
        <v>59</v>
      </c>
      <c r="FE23" s="49" t="s">
        <v>59</v>
      </c>
      <c r="FF23" s="49" t="s">
        <v>59</v>
      </c>
      <c r="FG23" s="94" t="s">
        <v>59</v>
      </c>
      <c r="FI23" s="94" t="s">
        <v>59</v>
      </c>
      <c r="FJ23" s="49" t="s">
        <v>59</v>
      </c>
      <c r="FK23" s="49"/>
      <c r="FL23" s="94" t="s">
        <v>59</v>
      </c>
      <c r="FN23" s="49" t="s">
        <v>59</v>
      </c>
      <c r="FO23" s="94" t="s">
        <v>13</v>
      </c>
      <c r="FP23" s="49"/>
      <c r="FQ23" s="49"/>
      <c r="FR23" s="49"/>
      <c r="FS23" s="49"/>
      <c r="FT23" s="49"/>
      <c r="FU23" s="49" t="s">
        <v>13</v>
      </c>
      <c r="FV23" s="49" t="s">
        <v>13</v>
      </c>
      <c r="FW23" s="49"/>
      <c r="FX23" s="94" t="s">
        <v>59</v>
      </c>
      <c r="FY23" s="94" t="s">
        <v>59</v>
      </c>
      <c r="GA23" s="94" t="s">
        <v>59</v>
      </c>
      <c r="GB23" s="94" t="s">
        <v>59</v>
      </c>
      <c r="GE23" s="94" t="s">
        <v>59</v>
      </c>
      <c r="GG23" s="94" t="s">
        <v>59</v>
      </c>
      <c r="GH23" s="94" t="s">
        <v>59</v>
      </c>
      <c r="GI23" s="49" t="s">
        <v>59</v>
      </c>
      <c r="GJ23" s="49" t="s">
        <v>59</v>
      </c>
      <c r="GK23" s="49" t="s">
        <v>59</v>
      </c>
      <c r="GL23" s="465" t="s">
        <v>59</v>
      </c>
      <c r="GM23" s="465" t="s">
        <v>59</v>
      </c>
      <c r="GN23" s="49" t="s">
        <v>59</v>
      </c>
      <c r="GO23" s="49" t="s">
        <v>59</v>
      </c>
      <c r="GP23" s="49" t="s">
        <v>13</v>
      </c>
      <c r="GQ23" s="122" t="s">
        <v>13</v>
      </c>
      <c r="GR23" s="49" t="s">
        <v>59</v>
      </c>
      <c r="GS23" s="49"/>
      <c r="GT23" s="49" t="s">
        <v>59</v>
      </c>
      <c r="GU23" s="49" t="s">
        <v>59</v>
      </c>
      <c r="GV23" s="49" t="s">
        <v>59</v>
      </c>
      <c r="GW23" s="49" t="s">
        <v>59</v>
      </c>
      <c r="GX23" s="49" t="s">
        <v>59</v>
      </c>
      <c r="GY23" s="123" t="s">
        <v>59</v>
      </c>
      <c r="GZ23" s="49"/>
      <c r="HA23" s="49" t="s">
        <v>59</v>
      </c>
      <c r="HB23" s="49"/>
      <c r="HC23" s="49" t="s">
        <v>59</v>
      </c>
      <c r="HD23" s="49" t="s">
        <v>59</v>
      </c>
      <c r="HE23" s="49" t="s">
        <v>59</v>
      </c>
      <c r="HF23" s="49" t="s">
        <v>59</v>
      </c>
      <c r="HG23" s="49" t="s">
        <v>59</v>
      </c>
      <c r="HH23" s="123" t="s">
        <v>59</v>
      </c>
      <c r="HI23" s="123" t="s">
        <v>59</v>
      </c>
      <c r="HJ23" s="123" t="s">
        <v>59</v>
      </c>
      <c r="HK23" s="123" t="s">
        <v>59</v>
      </c>
      <c r="HL23" s="123" t="s">
        <v>59</v>
      </c>
      <c r="HM23" s="123" t="s">
        <v>59</v>
      </c>
      <c r="HN23" s="94" t="s">
        <v>59</v>
      </c>
      <c r="HO23" s="94" t="s">
        <v>59</v>
      </c>
      <c r="HP23" s="123" t="s">
        <v>59</v>
      </c>
      <c r="HQ23" s="123" t="s">
        <v>59</v>
      </c>
      <c r="HR23" s="123" t="s">
        <v>59</v>
      </c>
      <c r="HS23" s="94" t="s">
        <v>59</v>
      </c>
      <c r="HT23" s="49" t="s">
        <v>13</v>
      </c>
      <c r="HU23" s="123" t="s">
        <v>59</v>
      </c>
      <c r="HV23" s="49" t="s">
        <v>59</v>
      </c>
      <c r="HW23" s="123" t="s">
        <v>59</v>
      </c>
      <c r="HX23" s="49" t="s">
        <v>59</v>
      </c>
      <c r="HY23" s="123" t="s">
        <v>59</v>
      </c>
      <c r="HZ23" s="49" t="s">
        <v>59</v>
      </c>
      <c r="IA23" s="49" t="s">
        <v>59</v>
      </c>
      <c r="IB23" s="49" t="s">
        <v>59</v>
      </c>
      <c r="IC23" s="49" t="s">
        <v>59</v>
      </c>
      <c r="ID23" s="49" t="s">
        <v>59</v>
      </c>
      <c r="IE23" s="49" t="s">
        <v>59</v>
      </c>
      <c r="IF23" s="49" t="s">
        <v>59</v>
      </c>
      <c r="IG23" s="49" t="s">
        <v>59</v>
      </c>
      <c r="IH23" s="49" t="s">
        <v>59</v>
      </c>
      <c r="II23" s="49"/>
      <c r="IJ23" s="49"/>
      <c r="IK23" s="465" t="s">
        <v>59</v>
      </c>
      <c r="IL23" s="465" t="s">
        <v>59</v>
      </c>
      <c r="IM23" s="465" t="s">
        <v>59</v>
      </c>
      <c r="IN23" s="465" t="s">
        <v>59</v>
      </c>
      <c r="IO23" s="465" t="s">
        <v>59</v>
      </c>
      <c r="IP23" s="465" t="s">
        <v>59</v>
      </c>
      <c r="IQ23" s="465" t="s">
        <v>59</v>
      </c>
      <c r="IR23" s="465" t="s">
        <v>59</v>
      </c>
      <c r="IS23" s="465"/>
      <c r="IT23" s="465"/>
      <c r="IU23" s="465"/>
      <c r="IV23" s="465" t="s">
        <v>59</v>
      </c>
      <c r="IW23" s="465" t="s">
        <v>59</v>
      </c>
      <c r="IX23" s="465" t="s">
        <v>59</v>
      </c>
      <c r="IY23" s="465" t="s">
        <v>59</v>
      </c>
      <c r="IZ23" s="465" t="s">
        <v>59</v>
      </c>
      <c r="JA23" s="465" t="s">
        <v>59</v>
      </c>
      <c r="JB23" s="465" t="s">
        <v>59</v>
      </c>
      <c r="JC23" s="465" t="s">
        <v>59</v>
      </c>
      <c r="JD23" s="465" t="s">
        <v>59</v>
      </c>
      <c r="JE23" s="465" t="s">
        <v>59</v>
      </c>
      <c r="JF23" s="465" t="s">
        <v>59</v>
      </c>
      <c r="JG23" s="465" t="s">
        <v>59</v>
      </c>
      <c r="JH23" s="465" t="s">
        <v>59</v>
      </c>
      <c r="JI23" s="465" t="s">
        <v>59</v>
      </c>
      <c r="JJ23" s="465" t="s">
        <v>59</v>
      </c>
      <c r="JK23" s="465" t="s">
        <v>59</v>
      </c>
      <c r="JL23" s="49" t="s">
        <v>59</v>
      </c>
      <c r="JM23" s="465" t="s">
        <v>59</v>
      </c>
      <c r="JN23" s="465" t="s">
        <v>59</v>
      </c>
      <c r="JO23" s="465" t="s">
        <v>59</v>
      </c>
      <c r="JP23" s="465" t="s">
        <v>59</v>
      </c>
      <c r="JQ23" s="465" t="s">
        <v>59</v>
      </c>
      <c r="JR23" s="465" t="s">
        <v>59</v>
      </c>
      <c r="JS23" s="465" t="s">
        <v>59</v>
      </c>
      <c r="JT23" s="465" t="s">
        <v>59</v>
      </c>
      <c r="JU23" s="465" t="s">
        <v>59</v>
      </c>
      <c r="JV23" s="465" t="s">
        <v>59</v>
      </c>
      <c r="JW23" s="465" t="s">
        <v>59</v>
      </c>
      <c r="JX23" s="465" t="s">
        <v>59</v>
      </c>
      <c r="JY23" s="465" t="s">
        <v>59</v>
      </c>
      <c r="JZ23" s="465" t="s">
        <v>59</v>
      </c>
      <c r="KA23" s="465" t="s">
        <v>59</v>
      </c>
      <c r="KB23" s="465" t="s">
        <v>59</v>
      </c>
      <c r="KC23" s="465" t="s">
        <v>59</v>
      </c>
      <c r="KD23" s="465" t="s">
        <v>59</v>
      </c>
      <c r="KE23" s="49" t="s">
        <v>59</v>
      </c>
      <c r="KF23" s="49" t="s">
        <v>59</v>
      </c>
      <c r="KG23" s="49" t="s">
        <v>59</v>
      </c>
      <c r="KH23" s="49" t="s">
        <v>59</v>
      </c>
      <c r="KI23" s="49" t="s">
        <v>59</v>
      </c>
      <c r="KJ23" s="49" t="s">
        <v>59</v>
      </c>
      <c r="KK23" s="49" t="s">
        <v>59</v>
      </c>
      <c r="KL23" s="49" t="s">
        <v>59</v>
      </c>
      <c r="KM23" s="49" t="s">
        <v>59</v>
      </c>
      <c r="KN23" s="49" t="s">
        <v>59</v>
      </c>
      <c r="KO23" s="49" t="s">
        <v>59</v>
      </c>
      <c r="KP23" s="49" t="s">
        <v>59</v>
      </c>
      <c r="KQ23" s="49" t="s">
        <v>59</v>
      </c>
      <c r="KR23" s="49" t="s">
        <v>59</v>
      </c>
      <c r="KS23" s="49" t="s">
        <v>59</v>
      </c>
      <c r="KT23" s="49" t="s">
        <v>59</v>
      </c>
      <c r="KU23" s="49" t="s">
        <v>59</v>
      </c>
      <c r="KV23" s="49" t="s">
        <v>59</v>
      </c>
      <c r="KW23" s="49" t="s">
        <v>59</v>
      </c>
      <c r="KX23" s="49" t="s">
        <v>59</v>
      </c>
      <c r="KY23" s="49" t="s">
        <v>59</v>
      </c>
      <c r="KZ23" s="49" t="s">
        <v>59</v>
      </c>
      <c r="LA23" s="49" t="s">
        <v>59</v>
      </c>
      <c r="LB23" s="49" t="s">
        <v>59</v>
      </c>
      <c r="LC23" s="49" t="s">
        <v>59</v>
      </c>
      <c r="LD23" s="49" t="s">
        <v>59</v>
      </c>
      <c r="LE23" s="49" t="s">
        <v>59</v>
      </c>
      <c r="LF23" s="49" t="s">
        <v>59</v>
      </c>
      <c r="LG23" s="49" t="s">
        <v>59</v>
      </c>
      <c r="LH23" s="49" t="s">
        <v>59</v>
      </c>
      <c r="LI23" s="49" t="s">
        <v>59</v>
      </c>
      <c r="LJ23" s="49" t="s">
        <v>59</v>
      </c>
      <c r="LK23" s="49" t="s">
        <v>59</v>
      </c>
      <c r="LL23" s="49" t="s">
        <v>59</v>
      </c>
      <c r="LM23" s="49" t="s">
        <v>59</v>
      </c>
      <c r="LN23" s="101" t="s">
        <v>13</v>
      </c>
      <c r="LO23" s="49" t="s">
        <v>59</v>
      </c>
      <c r="LP23" s="49" t="s">
        <v>59</v>
      </c>
      <c r="LQ23" s="49" t="s">
        <v>59</v>
      </c>
      <c r="LR23" s="49" t="s">
        <v>59</v>
      </c>
      <c r="LS23" s="49" t="s">
        <v>59</v>
      </c>
      <c r="LT23" s="49" t="s">
        <v>59</v>
      </c>
      <c r="LU23" s="49" t="s">
        <v>59</v>
      </c>
      <c r="LV23" s="49" t="s">
        <v>59</v>
      </c>
      <c r="LW23" s="49" t="s">
        <v>59</v>
      </c>
      <c r="LX23" s="49" t="s">
        <v>59</v>
      </c>
      <c r="LY23" s="49" t="s">
        <v>59</v>
      </c>
      <c r="LZ23" s="49" t="s">
        <v>59</v>
      </c>
      <c r="MA23" s="49" t="s">
        <v>59</v>
      </c>
      <c r="MB23" s="49" t="s">
        <v>59</v>
      </c>
      <c r="MC23" s="49" t="s">
        <v>59</v>
      </c>
      <c r="MD23" s="49" t="s">
        <v>59</v>
      </c>
      <c r="ME23" s="49" t="s">
        <v>59</v>
      </c>
      <c r="MF23" s="49" t="s">
        <v>59</v>
      </c>
      <c r="MG23" s="49" t="s">
        <v>59</v>
      </c>
      <c r="MH23" s="49" t="s">
        <v>59</v>
      </c>
      <c r="MI23" s="49" t="s">
        <v>59</v>
      </c>
      <c r="MJ23" s="49" t="s">
        <v>59</v>
      </c>
      <c r="MK23" s="49" t="s">
        <v>59</v>
      </c>
      <c r="ML23" s="49" t="s">
        <v>59</v>
      </c>
      <c r="MM23" s="49" t="s">
        <v>59</v>
      </c>
      <c r="MN23" s="49" t="s">
        <v>59</v>
      </c>
      <c r="MO23" s="49" t="s">
        <v>59</v>
      </c>
      <c r="MP23" s="49" t="s">
        <v>59</v>
      </c>
      <c r="MQ23" s="49" t="s">
        <v>59</v>
      </c>
      <c r="MR23" s="49" t="s">
        <v>59</v>
      </c>
      <c r="MS23" s="49" t="s">
        <v>59</v>
      </c>
      <c r="MT23" s="49" t="s">
        <v>59</v>
      </c>
      <c r="MU23" s="49" t="s">
        <v>59</v>
      </c>
      <c r="MV23" s="49" t="s">
        <v>59</v>
      </c>
      <c r="MW23" s="49" t="s">
        <v>59</v>
      </c>
      <c r="MX23" s="49" t="s">
        <v>59</v>
      </c>
      <c r="MY23" s="49" t="s">
        <v>59</v>
      </c>
      <c r="MZ23" s="49" t="s">
        <v>59</v>
      </c>
      <c r="NA23" s="49" t="s">
        <v>59</v>
      </c>
      <c r="NB23" s="49"/>
      <c r="NC23" s="49"/>
      <c r="ND23" s="49"/>
      <c r="NE23" s="49"/>
      <c r="NF23" s="49" t="s">
        <v>13</v>
      </c>
      <c r="NG23" s="49" t="s">
        <v>59</v>
      </c>
      <c r="NH23" s="49" t="s">
        <v>13</v>
      </c>
      <c r="NI23" s="49" t="s">
        <v>59</v>
      </c>
      <c r="NJ23" s="49" t="s">
        <v>13</v>
      </c>
      <c r="NK23" s="49"/>
      <c r="NL23" s="49" t="s">
        <v>13</v>
      </c>
      <c r="NM23" s="49" t="s">
        <v>13</v>
      </c>
      <c r="NN23" s="49" t="s">
        <v>59</v>
      </c>
      <c r="NO23" s="49" t="s">
        <v>13</v>
      </c>
      <c r="NP23" s="49" t="s">
        <v>13</v>
      </c>
      <c r="NQ23" s="49" t="s">
        <v>59</v>
      </c>
      <c r="NR23" s="49" t="s">
        <v>59</v>
      </c>
      <c r="NS23" s="49" t="s">
        <v>59</v>
      </c>
      <c r="NT23" s="49" t="s">
        <v>59</v>
      </c>
      <c r="NU23" s="49" t="s">
        <v>59</v>
      </c>
      <c r="NV23" s="49" t="s">
        <v>59</v>
      </c>
      <c r="NW23" s="49" t="s">
        <v>59</v>
      </c>
      <c r="NX23" s="49" t="s">
        <v>59</v>
      </c>
      <c r="NY23" s="49" t="s">
        <v>59</v>
      </c>
      <c r="NZ23" s="49" t="s">
        <v>59</v>
      </c>
      <c r="OA23" s="49" t="s">
        <v>59</v>
      </c>
      <c r="OB23" s="49" t="s">
        <v>59</v>
      </c>
      <c r="OC23" s="49" t="s">
        <v>59</v>
      </c>
      <c r="OD23" s="49" t="s">
        <v>59</v>
      </c>
      <c r="OE23" s="49" t="s">
        <v>59</v>
      </c>
      <c r="OF23" s="49" t="s">
        <v>59</v>
      </c>
      <c r="OG23" s="49" t="s">
        <v>59</v>
      </c>
      <c r="OH23" s="49" t="s">
        <v>59</v>
      </c>
      <c r="OI23" s="49" t="s">
        <v>59</v>
      </c>
      <c r="OJ23" s="49" t="s">
        <v>59</v>
      </c>
      <c r="OK23" s="49" t="s">
        <v>59</v>
      </c>
      <c r="OL23" s="49" t="s">
        <v>59</v>
      </c>
      <c r="OM23" s="49" t="s">
        <v>59</v>
      </c>
      <c r="ON23" s="49" t="s">
        <v>59</v>
      </c>
      <c r="OO23" s="49" t="s">
        <v>59</v>
      </c>
      <c r="OP23" s="49" t="s">
        <v>59</v>
      </c>
      <c r="OQ23" s="49" t="s">
        <v>59</v>
      </c>
      <c r="OR23" s="49" t="s">
        <v>59</v>
      </c>
      <c r="OS23" s="49" t="s">
        <v>59</v>
      </c>
      <c r="OT23" s="49" t="s">
        <v>59</v>
      </c>
      <c r="OU23" s="49" t="s">
        <v>59</v>
      </c>
      <c r="OV23" s="49" t="s">
        <v>59</v>
      </c>
      <c r="OW23" s="49" t="s">
        <v>59</v>
      </c>
      <c r="OX23" s="49" t="s">
        <v>59</v>
      </c>
      <c r="OY23" s="49" t="s">
        <v>59</v>
      </c>
      <c r="OZ23" s="49" t="s">
        <v>59</v>
      </c>
      <c r="PA23" s="49" t="s">
        <v>59</v>
      </c>
      <c r="PB23" s="49" t="s">
        <v>59</v>
      </c>
      <c r="PC23" s="49" t="s">
        <v>59</v>
      </c>
      <c r="PD23" s="49" t="s">
        <v>59</v>
      </c>
      <c r="PE23" s="49" t="s">
        <v>59</v>
      </c>
      <c r="PF23" s="49" t="s">
        <v>59</v>
      </c>
      <c r="PG23" s="49" t="s">
        <v>59</v>
      </c>
      <c r="PH23" s="49" t="s">
        <v>59</v>
      </c>
      <c r="PI23" s="49" t="s">
        <v>59</v>
      </c>
      <c r="PJ23" s="49" t="s">
        <v>59</v>
      </c>
      <c r="PK23" s="49" t="s">
        <v>59</v>
      </c>
      <c r="PL23" s="49" t="s">
        <v>59</v>
      </c>
      <c r="PM23" s="49" t="s">
        <v>59</v>
      </c>
      <c r="PN23" s="49" t="s">
        <v>59</v>
      </c>
      <c r="PO23" s="49" t="s">
        <v>59</v>
      </c>
      <c r="PP23" s="49" t="s">
        <v>59</v>
      </c>
      <c r="PQ23" s="49" t="s">
        <v>59</v>
      </c>
      <c r="PR23" s="49" t="s">
        <v>59</v>
      </c>
      <c r="PS23" s="49" t="s">
        <v>59</v>
      </c>
      <c r="PT23" s="49" t="s">
        <v>59</v>
      </c>
      <c r="PU23" s="49" t="s">
        <v>59</v>
      </c>
      <c r="PV23" s="49" t="s">
        <v>59</v>
      </c>
      <c r="PW23" s="49" t="s">
        <v>59</v>
      </c>
      <c r="PX23" s="49"/>
      <c r="PY23" s="49" t="s">
        <v>59</v>
      </c>
      <c r="PZ23" s="49" t="s">
        <v>13</v>
      </c>
      <c r="QA23" s="49" t="s">
        <v>59</v>
      </c>
      <c r="QB23" s="49" t="s">
        <v>59</v>
      </c>
      <c r="QC23" s="49" t="s">
        <v>59</v>
      </c>
      <c r="QD23" s="49" t="s">
        <v>59</v>
      </c>
      <c r="QE23" s="49" t="s">
        <v>59</v>
      </c>
      <c r="QF23" s="49" t="s">
        <v>59</v>
      </c>
      <c r="QG23" s="49" t="s">
        <v>59</v>
      </c>
      <c r="QH23" s="49" t="s">
        <v>20</v>
      </c>
      <c r="QI23" s="49" t="s">
        <v>59</v>
      </c>
      <c r="QJ23" s="49" t="s">
        <v>59</v>
      </c>
      <c r="QK23" s="49" t="s">
        <v>59</v>
      </c>
      <c r="QL23" s="49" t="s">
        <v>59</v>
      </c>
      <c r="QM23" s="49" t="s">
        <v>59</v>
      </c>
      <c r="QN23" s="49" t="s">
        <v>59</v>
      </c>
      <c r="QO23" s="49" t="s">
        <v>59</v>
      </c>
      <c r="QP23" s="49" t="s">
        <v>59</v>
      </c>
      <c r="QQ23" s="49"/>
      <c r="QR23" s="49" t="s">
        <v>59</v>
      </c>
      <c r="QS23" s="49" t="s">
        <v>59</v>
      </c>
      <c r="QT23" s="49" t="s">
        <v>59</v>
      </c>
      <c r="QU23" s="49" t="s">
        <v>59</v>
      </c>
      <c r="QV23" s="49" t="s">
        <v>59</v>
      </c>
      <c r="QW23" s="49" t="s">
        <v>59</v>
      </c>
      <c r="QX23" s="49" t="s">
        <v>59</v>
      </c>
      <c r="QY23" s="49" t="s">
        <v>59</v>
      </c>
      <c r="QZ23" s="49" t="s">
        <v>59</v>
      </c>
      <c r="RA23" s="49" t="s">
        <v>59</v>
      </c>
      <c r="RB23" s="49" t="s">
        <v>59</v>
      </c>
      <c r="RC23" s="49" t="s">
        <v>59</v>
      </c>
      <c r="RD23" s="49" t="s">
        <v>59</v>
      </c>
      <c r="RE23" s="49" t="s">
        <v>59</v>
      </c>
      <c r="RF23" s="49" t="s">
        <v>59</v>
      </c>
      <c r="RG23" s="49" t="s">
        <v>59</v>
      </c>
      <c r="RH23" s="49" t="s">
        <v>59</v>
      </c>
      <c r="RI23" s="49" t="s">
        <v>59</v>
      </c>
      <c r="RJ23" s="49" t="s">
        <v>59</v>
      </c>
      <c r="RK23" s="49" t="s">
        <v>59</v>
      </c>
      <c r="RL23" s="49" t="s">
        <v>59</v>
      </c>
      <c r="RM23" s="49" t="s">
        <v>59</v>
      </c>
      <c r="RN23" s="49" t="s">
        <v>59</v>
      </c>
      <c r="RO23" s="49" t="s">
        <v>59</v>
      </c>
      <c r="RP23" s="49" t="s">
        <v>59</v>
      </c>
      <c r="RQ23" s="49" t="s">
        <v>59</v>
      </c>
      <c r="RR23" s="49" t="s">
        <v>59</v>
      </c>
      <c r="RS23" s="49" t="s">
        <v>59</v>
      </c>
      <c r="RT23" s="49" t="s">
        <v>59</v>
      </c>
      <c r="RU23" s="49" t="s">
        <v>59</v>
      </c>
      <c r="RV23" s="49" t="s">
        <v>59</v>
      </c>
      <c r="RW23" s="49" t="s">
        <v>59</v>
      </c>
      <c r="RX23" s="49" t="s">
        <v>13</v>
      </c>
      <c r="RY23" s="408" t="s">
        <v>13</v>
      </c>
      <c r="RZ23" s="49" t="s">
        <v>59</v>
      </c>
      <c r="SA23" s="49" t="s">
        <v>59</v>
      </c>
      <c r="SB23" s="49"/>
      <c r="SC23" s="49"/>
      <c r="SD23" s="49" t="s">
        <v>20</v>
      </c>
      <c r="SE23" s="49" t="s">
        <v>59</v>
      </c>
      <c r="SF23" s="49" t="s">
        <v>59</v>
      </c>
      <c r="SG23" s="49" t="s">
        <v>59</v>
      </c>
      <c r="SH23" s="49" t="s">
        <v>59</v>
      </c>
      <c r="SI23" s="49" t="s">
        <v>59</v>
      </c>
      <c r="SJ23" s="49" t="s">
        <v>59</v>
      </c>
      <c r="SK23" s="49" t="s">
        <v>59</v>
      </c>
      <c r="SL23" s="49" t="s">
        <v>59</v>
      </c>
      <c r="SM23" s="49" t="s">
        <v>59</v>
      </c>
      <c r="SN23" s="49" t="s">
        <v>59</v>
      </c>
      <c r="SO23" s="49" t="s">
        <v>20</v>
      </c>
      <c r="SP23" s="49" t="s">
        <v>59</v>
      </c>
      <c r="SQ23" s="49" t="s">
        <v>59</v>
      </c>
      <c r="SR23" s="49" t="s">
        <v>59</v>
      </c>
      <c r="SS23" s="49" t="s">
        <v>59</v>
      </c>
      <c r="ST23" s="49"/>
      <c r="SU23" s="49" t="s">
        <v>59</v>
      </c>
      <c r="SV23" s="49" t="s">
        <v>59</v>
      </c>
      <c r="SW23" s="49" t="s">
        <v>59</v>
      </c>
      <c r="SX23" s="49" t="s">
        <v>59</v>
      </c>
      <c r="SY23" s="49" t="s">
        <v>59</v>
      </c>
      <c r="SZ23" s="49"/>
      <c r="TA23" s="49" t="s">
        <v>59</v>
      </c>
      <c r="TB23" s="49" t="s">
        <v>59</v>
      </c>
      <c r="TC23" s="49" t="s">
        <v>59</v>
      </c>
      <c r="TD23" s="49" t="s">
        <v>20</v>
      </c>
      <c r="TE23" s="49" t="s">
        <v>59</v>
      </c>
      <c r="TF23" s="49"/>
      <c r="TG23" s="49"/>
      <c r="TH23" s="49"/>
      <c r="TI23" s="49"/>
      <c r="TJ23" s="49"/>
      <c r="TK23" s="49"/>
      <c r="TL23" s="49"/>
      <c r="TM23" s="49"/>
      <c r="TN23" s="93"/>
      <c r="TO23" s="93"/>
      <c r="TP23" s="93"/>
      <c r="TQ23" s="93"/>
      <c r="TR23" s="93"/>
      <c r="TS23" s="93"/>
      <c r="TT23" s="93"/>
      <c r="TU23" s="93"/>
      <c r="TV23" s="93"/>
      <c r="TW23" s="49"/>
      <c r="TX23" s="49"/>
      <c r="TY23" s="49"/>
      <c r="TZ23" s="72"/>
      <c r="UA23" s="72"/>
      <c r="UB23" s="72"/>
      <c r="UC23" s="72"/>
      <c r="UD23" s="49"/>
      <c r="UE23" s="49"/>
      <c r="UF23" s="49"/>
      <c r="UG23" s="49"/>
      <c r="UH23" s="49"/>
      <c r="UI23" s="49"/>
      <c r="UJ23" s="49"/>
      <c r="UK23" s="49"/>
      <c r="UL23" s="49"/>
      <c r="UM23" s="49"/>
      <c r="UN23" s="49"/>
      <c r="UO23" s="49"/>
      <c r="UP23" s="49"/>
      <c r="UQ23" s="49"/>
      <c r="UR23" s="49"/>
      <c r="US23" s="49"/>
      <c r="UT23" s="49"/>
      <c r="UU23" s="49"/>
      <c r="UV23" s="49"/>
      <c r="UW23" s="49"/>
      <c r="UX23" s="49"/>
      <c r="UY23" s="49"/>
      <c r="UZ23" s="49"/>
      <c r="VA23" s="49"/>
      <c r="VB23" s="49"/>
      <c r="VC23" s="49"/>
      <c r="VD23" s="49"/>
      <c r="VE23" s="49"/>
      <c r="VF23" s="49"/>
      <c r="VG23" s="49"/>
      <c r="VH23" s="49"/>
      <c r="VI23" s="49"/>
      <c r="VJ23" s="49"/>
      <c r="VK23" s="49"/>
      <c r="VL23" s="49"/>
      <c r="VM23" s="49"/>
      <c r="VN23" s="49"/>
      <c r="VO23" s="49"/>
      <c r="VP23" s="49"/>
      <c r="VQ23" s="49"/>
      <c r="VR23" s="49"/>
      <c r="VS23" s="49"/>
      <c r="VT23" s="49"/>
      <c r="VU23" s="49"/>
      <c r="VV23" s="49"/>
      <c r="VW23" s="49"/>
      <c r="VX23" s="49"/>
      <c r="VY23" s="49"/>
      <c r="VZ23" s="49"/>
      <c r="WA23" s="49"/>
      <c r="WB23" s="49"/>
      <c r="WC23" s="49"/>
      <c r="WD23" s="49"/>
      <c r="WE23" s="49"/>
      <c r="WF23" s="49"/>
      <c r="WG23" s="49"/>
      <c r="WH23" s="49"/>
      <c r="WI23" s="49"/>
      <c r="WJ23" s="49"/>
      <c r="WK23" s="49"/>
      <c r="WL23" s="49"/>
      <c r="WM23" s="49"/>
      <c r="WN23" s="49"/>
      <c r="WO23" s="49"/>
      <c r="WP23" s="49"/>
      <c r="WQ23" s="49"/>
      <c r="WR23" s="49"/>
      <c r="WS23" s="49"/>
      <c r="WT23" s="49"/>
      <c r="WU23" s="49"/>
      <c r="WV23" s="49"/>
      <c r="WW23" s="49"/>
      <c r="WX23" s="49"/>
      <c r="WY23" s="49"/>
      <c r="WZ23" s="49"/>
      <c r="XA23" s="49"/>
      <c r="XB23" s="49"/>
      <c r="XC23" s="49"/>
      <c r="XD23" s="49"/>
      <c r="XE23" s="49"/>
      <c r="XF23" s="49"/>
      <c r="XG23" s="49"/>
      <c r="XH23" s="49"/>
      <c r="XI23" s="49"/>
      <c r="XJ23" s="49"/>
      <c r="XK23" s="49"/>
      <c r="XL23" s="49"/>
      <c r="XM23" s="49"/>
      <c r="XN23" s="49"/>
      <c r="XO23" s="49"/>
      <c r="XP23" s="49"/>
      <c r="XQ23" s="49" t="s">
        <v>13</v>
      </c>
      <c r="XR23" s="49" t="s">
        <v>13</v>
      </c>
      <c r="XS23" s="49" t="s">
        <v>13</v>
      </c>
      <c r="XT23" s="49" t="s">
        <v>13</v>
      </c>
      <c r="XU23" s="49" t="s">
        <v>13</v>
      </c>
      <c r="XV23" s="49" t="s">
        <v>59</v>
      </c>
      <c r="XW23" s="49" t="s">
        <v>13</v>
      </c>
      <c r="XX23" s="49" t="s">
        <v>13</v>
      </c>
      <c r="XY23" s="49" t="s">
        <v>13</v>
      </c>
      <c r="XZ23" s="49" t="s">
        <v>13</v>
      </c>
      <c r="YA23" s="49" t="s">
        <v>13</v>
      </c>
      <c r="YB23" s="49" t="s">
        <v>13</v>
      </c>
      <c r="YC23" s="49" t="s">
        <v>59</v>
      </c>
      <c r="YD23" s="49" t="s">
        <v>13</v>
      </c>
      <c r="YE23" s="49" t="s">
        <v>13</v>
      </c>
      <c r="YF23" s="49" t="s">
        <v>59</v>
      </c>
      <c r="YG23" s="49" t="s">
        <v>59</v>
      </c>
      <c r="YH23" s="49"/>
      <c r="YI23" s="49"/>
      <c r="YJ23" s="49" t="s">
        <v>59</v>
      </c>
      <c r="YK23" s="49" t="s">
        <v>59</v>
      </c>
      <c r="YL23" s="49" t="s">
        <v>13</v>
      </c>
      <c r="YM23" s="122"/>
      <c r="YN23" s="122"/>
      <c r="YO23" s="49"/>
      <c r="YP23" s="49"/>
      <c r="YQ23" s="49"/>
      <c r="YR23" s="49"/>
      <c r="YS23" s="49"/>
      <c r="YT23" s="122"/>
    </row>
    <row r="24" spans="1:670" s="26" customFormat="1" ht="12.1" customHeight="1" x14ac:dyDescent="0.25">
      <c r="A24" s="112" t="s">
        <v>483</v>
      </c>
      <c r="B24" s="218" t="s">
        <v>263</v>
      </c>
      <c r="C24" s="218" t="s">
        <v>1</v>
      </c>
      <c r="D24" s="218" t="s">
        <v>2</v>
      </c>
      <c r="E24" s="219" t="s">
        <v>3</v>
      </c>
      <c r="F24" s="219" t="s">
        <v>379</v>
      </c>
      <c r="G24" s="219" t="s">
        <v>122</v>
      </c>
      <c r="H24" s="219" t="s">
        <v>234</v>
      </c>
      <c r="I24" s="219" t="s">
        <v>77</v>
      </c>
      <c r="J24" s="220" t="s">
        <v>4</v>
      </c>
      <c r="K24" s="220" t="s">
        <v>5</v>
      </c>
      <c r="L24" s="220"/>
      <c r="M24" s="220" t="s">
        <v>71</v>
      </c>
      <c r="N24" s="220" t="s">
        <v>72</v>
      </c>
      <c r="O24" s="220" t="s">
        <v>73</v>
      </c>
      <c r="P24" s="220" t="s">
        <v>102</v>
      </c>
      <c r="Q24" s="220" t="s">
        <v>103</v>
      </c>
      <c r="R24" s="220" t="s">
        <v>104</v>
      </c>
      <c r="S24" s="220" t="s">
        <v>105</v>
      </c>
      <c r="T24" s="220" t="s">
        <v>110</v>
      </c>
      <c r="U24" s="220" t="s">
        <v>8</v>
      </c>
      <c r="V24" s="220" t="s">
        <v>9</v>
      </c>
      <c r="W24" s="220" t="s">
        <v>106</v>
      </c>
      <c r="X24" s="220" t="s">
        <v>21</v>
      </c>
      <c r="Y24" s="220" t="s">
        <v>254</v>
      </c>
      <c r="Z24" s="220" t="s">
        <v>6</v>
      </c>
      <c r="AA24" s="220" t="s">
        <v>7</v>
      </c>
      <c r="AB24" s="220" t="s">
        <v>107</v>
      </c>
      <c r="AC24" s="220" t="s">
        <v>19</v>
      </c>
      <c r="AD24" s="220" t="s">
        <v>22</v>
      </c>
      <c r="AE24" s="220" t="s">
        <v>1224</v>
      </c>
      <c r="AF24" s="220" t="s">
        <v>1225</v>
      </c>
      <c r="AG24" s="220" t="s">
        <v>23</v>
      </c>
      <c r="AH24" s="220" t="s">
        <v>117</v>
      </c>
      <c r="AI24" s="220" t="s">
        <v>867</v>
      </c>
      <c r="AJ24" s="220" t="s">
        <v>126</v>
      </c>
      <c r="AK24" s="220" t="s">
        <v>75</v>
      </c>
      <c r="AL24" s="220" t="s">
        <v>108</v>
      </c>
      <c r="AM24" s="220" t="s">
        <v>109</v>
      </c>
      <c r="AN24" s="220" t="s">
        <v>259</v>
      </c>
      <c r="AO24" s="220" t="s">
        <v>260</v>
      </c>
      <c r="AP24" s="220" t="s">
        <v>1022</v>
      </c>
      <c r="AQ24" s="220" t="s">
        <v>695</v>
      </c>
      <c r="AR24" s="220" t="s">
        <v>697</v>
      </c>
      <c r="AS24" s="220" t="s">
        <v>698</v>
      </c>
      <c r="AT24" s="220" t="s">
        <v>692</v>
      </c>
      <c r="AU24" s="220"/>
      <c r="AV24" s="220"/>
      <c r="AW24" s="220"/>
      <c r="AX24" s="220"/>
      <c r="AY24" s="220"/>
      <c r="AZ24" s="220"/>
      <c r="BA24" s="220"/>
      <c r="BB24" s="220"/>
      <c r="BC24" s="220"/>
      <c r="BD24" s="220"/>
      <c r="BE24" s="220"/>
      <c r="BF24" s="220"/>
      <c r="BG24" s="220"/>
      <c r="BH24" s="220"/>
      <c r="BI24" s="220" t="s">
        <v>1226</v>
      </c>
      <c r="BJ24" s="220" t="s">
        <v>1227</v>
      </c>
      <c r="BK24" s="220" t="s">
        <v>883</v>
      </c>
      <c r="BL24" s="220" t="s">
        <v>70</v>
      </c>
      <c r="BM24" s="220" t="s">
        <v>34</v>
      </c>
      <c r="BN24" s="220" t="s">
        <v>35</v>
      </c>
      <c r="BO24" s="220" t="s">
        <v>144</v>
      </c>
      <c r="BP24" s="220" t="s">
        <v>96</v>
      </c>
      <c r="BQ24" s="220" t="s">
        <v>41</v>
      </c>
      <c r="BR24" s="220" t="s">
        <v>127</v>
      </c>
      <c r="BS24" s="220" t="s">
        <v>142</v>
      </c>
      <c r="BT24" s="220" t="s">
        <v>95</v>
      </c>
      <c r="BU24" s="220" t="s">
        <v>39</v>
      </c>
      <c r="BV24" s="220" t="s">
        <v>143</v>
      </c>
      <c r="BW24" s="220" t="s">
        <v>36</v>
      </c>
      <c r="BX24" s="220" t="s">
        <v>37</v>
      </c>
      <c r="BY24" s="220"/>
      <c r="BZ24" s="220" t="s">
        <v>56</v>
      </c>
      <c r="CA24" s="220"/>
      <c r="CB24" s="220"/>
      <c r="CC24" s="220" t="s">
        <v>135</v>
      </c>
      <c r="CD24" s="220" t="s">
        <v>868</v>
      </c>
      <c r="CE24" s="220"/>
      <c r="CF24" s="220" t="s">
        <v>136</v>
      </c>
      <c r="CG24" s="220" t="s">
        <v>208</v>
      </c>
      <c r="CH24" s="220" t="s">
        <v>301</v>
      </c>
      <c r="CI24" s="220"/>
      <c r="CJ24" s="220" t="s">
        <v>1229</v>
      </c>
      <c r="CK24" s="220" t="s">
        <v>1230</v>
      </c>
      <c r="CL24" s="220" t="s">
        <v>1231</v>
      </c>
      <c r="CM24" s="220"/>
      <c r="CN24" s="220" t="s">
        <v>128</v>
      </c>
      <c r="CO24" s="220" t="s">
        <v>40</v>
      </c>
      <c r="CP24" s="220" t="s">
        <v>38</v>
      </c>
      <c r="CQ24" s="220" t="s">
        <v>93</v>
      </c>
      <c r="CR24" s="220"/>
      <c r="CS24" s="220" t="s">
        <v>679</v>
      </c>
      <c r="CT24" s="220" t="s">
        <v>1014</v>
      </c>
      <c r="CU24" s="220" t="s">
        <v>64</v>
      </c>
      <c r="CV24" s="220" t="s">
        <v>65</v>
      </c>
      <c r="CW24" s="223" t="s">
        <v>1232</v>
      </c>
      <c r="CX24" s="220" t="s">
        <v>179</v>
      </c>
      <c r="CY24" s="220" t="s">
        <v>845</v>
      </c>
      <c r="CZ24" s="220" t="s">
        <v>192</v>
      </c>
      <c r="DA24" s="223"/>
      <c r="DB24" s="223"/>
      <c r="DC24" s="223"/>
      <c r="DD24" s="223"/>
      <c r="DE24" s="220" t="s">
        <v>46</v>
      </c>
      <c r="DF24" s="220" t="s">
        <v>42</v>
      </c>
      <c r="DG24" s="220"/>
      <c r="DH24" s="220"/>
      <c r="DI24" s="220" t="s">
        <v>868</v>
      </c>
      <c r="DJ24" s="220"/>
      <c r="DK24" s="220"/>
      <c r="DL24" s="220" t="s">
        <v>44</v>
      </c>
      <c r="DM24" s="220" t="s">
        <v>63</v>
      </c>
      <c r="DN24" s="220" t="s">
        <v>113</v>
      </c>
      <c r="DO24" s="220" t="s">
        <v>268</v>
      </c>
      <c r="DP24" s="220" t="s">
        <v>101</v>
      </c>
      <c r="DQ24" s="220" t="s">
        <v>269</v>
      </c>
      <c r="DR24" s="220" t="s">
        <v>590</v>
      </c>
      <c r="DS24" s="220" t="s">
        <v>599</v>
      </c>
      <c r="DT24" s="220" t="s">
        <v>24</v>
      </c>
      <c r="DU24" s="220" t="s">
        <v>26</v>
      </c>
      <c r="DV24" s="220" t="s">
        <v>28</v>
      </c>
      <c r="DW24" s="220" t="s">
        <v>25</v>
      </c>
      <c r="DX24" s="220" t="s">
        <v>27</v>
      </c>
      <c r="DY24" s="220" t="s">
        <v>29</v>
      </c>
      <c r="DZ24" s="220" t="s">
        <v>488</v>
      </c>
      <c r="EA24" s="220" t="s">
        <v>598</v>
      </c>
      <c r="EB24" s="220" t="s">
        <v>489</v>
      </c>
      <c r="EC24" s="220" t="s">
        <v>506</v>
      </c>
      <c r="ED24" s="220" t="s">
        <v>507</v>
      </c>
      <c r="EE24" s="220" t="s">
        <v>508</v>
      </c>
      <c r="EF24" s="220" t="s">
        <v>681</v>
      </c>
      <c r="EG24" s="220" t="s">
        <v>682</v>
      </c>
      <c r="EH24" s="220" t="s">
        <v>30</v>
      </c>
      <c r="EI24" s="220" t="s">
        <v>32</v>
      </c>
      <c r="EJ24" s="220" t="s">
        <v>33</v>
      </c>
      <c r="EK24" s="220" t="s">
        <v>270</v>
      </c>
      <c r="EL24" s="220"/>
      <c r="EM24" s="220" t="s">
        <v>271</v>
      </c>
      <c r="EN24" s="220" t="s">
        <v>277</v>
      </c>
      <c r="EO24" s="220"/>
      <c r="EP24" s="220"/>
      <c r="EQ24" s="220"/>
      <c r="ER24" s="220"/>
      <c r="ES24" s="220"/>
      <c r="ET24" s="220"/>
      <c r="EU24" s="220" t="s">
        <v>1055</v>
      </c>
      <c r="EV24" s="220"/>
      <c r="EW24" s="220" t="s">
        <v>1070</v>
      </c>
      <c r="EX24" s="220"/>
      <c r="EY24" s="220"/>
      <c r="EZ24" s="220"/>
      <c r="FA24" s="220"/>
      <c r="FB24" s="220" t="s">
        <v>284</v>
      </c>
      <c r="FC24" s="220"/>
      <c r="FD24" s="220"/>
      <c r="FE24" s="220"/>
      <c r="FF24" s="220"/>
      <c r="FG24" s="221"/>
      <c r="FH24" s="221"/>
      <c r="FI24" s="221"/>
      <c r="FJ24" s="220"/>
      <c r="FK24" s="220"/>
      <c r="FL24" s="221"/>
      <c r="FM24" s="221"/>
      <c r="FN24" s="220"/>
      <c r="FO24" s="221" t="s">
        <v>866</v>
      </c>
      <c r="FP24" s="220"/>
      <c r="FQ24" s="220"/>
      <c r="FR24" s="220"/>
      <c r="FS24" s="220"/>
      <c r="FT24" s="220"/>
      <c r="FU24" s="220" t="s">
        <v>257</v>
      </c>
      <c r="FV24" s="220" t="s">
        <v>194</v>
      </c>
      <c r="FW24" s="220"/>
      <c r="FX24" s="221"/>
      <c r="FY24" s="221"/>
      <c r="FZ24" s="221"/>
      <c r="GA24" s="221"/>
      <c r="GB24" s="221"/>
      <c r="GC24" s="221"/>
      <c r="GD24" s="221"/>
      <c r="GE24" s="221"/>
      <c r="GF24" s="221"/>
      <c r="GG24" s="221"/>
      <c r="GH24" s="221"/>
      <c r="GI24" s="220"/>
      <c r="GJ24" s="220"/>
      <c r="GK24" s="220"/>
      <c r="GL24" s="494"/>
      <c r="GM24" s="494"/>
      <c r="GN24" s="224"/>
      <c r="GO24" s="224"/>
      <c r="GP24" s="224" t="s">
        <v>227</v>
      </c>
      <c r="GQ24" s="223" t="s">
        <v>1247</v>
      </c>
      <c r="GR24" s="220" t="s">
        <v>2316</v>
      </c>
      <c r="GS24" s="220"/>
      <c r="GT24" s="220"/>
      <c r="GU24" s="220"/>
      <c r="GV24" s="220"/>
      <c r="GW24" s="220"/>
      <c r="GX24" s="220"/>
      <c r="GY24" s="495"/>
      <c r="GZ24" s="220"/>
      <c r="HA24" s="220" t="s">
        <v>1644</v>
      </c>
      <c r="HB24" s="220"/>
      <c r="HC24" s="220"/>
      <c r="HD24" s="220"/>
      <c r="HE24" s="220"/>
      <c r="HF24" s="220"/>
      <c r="HG24" s="220"/>
      <c r="HH24" s="222"/>
      <c r="HI24" s="222"/>
      <c r="HJ24" s="222"/>
      <c r="HK24" s="222"/>
      <c r="HL24" s="222"/>
      <c r="HM24" s="222"/>
      <c r="HN24" s="221"/>
      <c r="HO24" s="221"/>
      <c r="HP24" s="222"/>
      <c r="HQ24" s="222"/>
      <c r="HR24" s="495"/>
      <c r="HS24" s="221"/>
      <c r="HT24" s="220" t="s">
        <v>182</v>
      </c>
      <c r="HU24" s="495"/>
      <c r="HV24" s="220"/>
      <c r="HW24" s="495"/>
      <c r="HX24" s="220"/>
      <c r="HY24" s="495"/>
      <c r="HZ24" s="220"/>
      <c r="IA24" s="220"/>
      <c r="IB24" s="220"/>
      <c r="IC24" s="220"/>
      <c r="ID24" s="220"/>
      <c r="IE24" s="220"/>
      <c r="IF24" s="220"/>
      <c r="IG24" s="220" t="s">
        <v>325</v>
      </c>
      <c r="IH24" s="223"/>
      <c r="II24" s="223"/>
      <c r="IJ24" s="223"/>
      <c r="IK24" s="220"/>
      <c r="IL24" s="220"/>
      <c r="IM24" s="220"/>
      <c r="IN24" s="220"/>
      <c r="IO24" s="220"/>
      <c r="IP24" s="220"/>
      <c r="IQ24" s="220"/>
      <c r="IR24" s="220"/>
      <c r="IS24" s="220"/>
      <c r="IT24" s="220"/>
      <c r="IU24" s="220"/>
      <c r="IV24" s="220"/>
      <c r="IW24" s="220"/>
      <c r="IX24" s="220"/>
      <c r="IY24" s="220"/>
      <c r="IZ24" s="220"/>
      <c r="JA24" s="220"/>
      <c r="JB24" s="220"/>
      <c r="JC24" s="220"/>
      <c r="JD24" s="220"/>
      <c r="JE24" s="220"/>
      <c r="JF24" s="220"/>
      <c r="JG24" s="220"/>
      <c r="JH24" s="220"/>
      <c r="JI24" s="220"/>
      <c r="JJ24" s="220"/>
      <c r="JK24" s="220"/>
      <c r="JL24" s="220"/>
      <c r="JM24" s="220"/>
      <c r="JN24" s="494"/>
      <c r="JO24" s="494"/>
      <c r="JP24" s="220"/>
      <c r="JQ24" s="220"/>
      <c r="JR24" s="220"/>
      <c r="JS24" s="220"/>
      <c r="JT24" s="220"/>
      <c r="JU24" s="220"/>
      <c r="JV24" s="220"/>
      <c r="JW24" s="220"/>
      <c r="JX24" s="220"/>
      <c r="JY24" s="220"/>
      <c r="JZ24" s="220"/>
      <c r="KA24" s="220"/>
      <c r="KB24" s="220"/>
      <c r="KC24" s="220"/>
      <c r="KD24" s="220"/>
      <c r="KE24" s="220"/>
      <c r="KF24" s="220"/>
      <c r="KG24" s="220"/>
      <c r="KH24" s="220"/>
      <c r="KI24" s="220"/>
      <c r="KJ24" s="220"/>
      <c r="KK24" s="220"/>
      <c r="KL24" s="220"/>
      <c r="KM24" s="220"/>
      <c r="KN24" s="220"/>
      <c r="KO24" s="220"/>
      <c r="KP24" s="220"/>
      <c r="KQ24" s="220"/>
      <c r="KR24" s="220"/>
      <c r="KS24" s="220"/>
      <c r="KT24" s="220"/>
      <c r="KU24" s="220"/>
      <c r="KV24" s="220"/>
      <c r="KW24" s="220"/>
      <c r="KX24" s="220"/>
      <c r="KY24" s="220"/>
      <c r="KZ24" s="220"/>
      <c r="LA24" s="220"/>
      <c r="LB24" s="220"/>
      <c r="LC24" s="220"/>
      <c r="LD24" s="220"/>
      <c r="LE24" s="220"/>
      <c r="LF24" s="220"/>
      <c r="LG24" s="220"/>
      <c r="LH24" s="220"/>
      <c r="LI24" s="220"/>
      <c r="LJ24" s="220"/>
      <c r="LK24" s="220"/>
      <c r="LL24" s="220"/>
      <c r="LM24" s="220"/>
      <c r="LN24" s="225" t="s">
        <v>330</v>
      </c>
      <c r="LO24" s="220"/>
      <c r="LP24" s="220"/>
      <c r="LQ24" s="220"/>
      <c r="LR24" s="220"/>
      <c r="LS24" s="220"/>
      <c r="LT24" s="220"/>
      <c r="LU24" s="220"/>
      <c r="LV24" s="220"/>
      <c r="LW24" s="220"/>
      <c r="LX24" s="220"/>
      <c r="LY24" s="220"/>
      <c r="LZ24" s="220"/>
      <c r="MA24" s="220"/>
      <c r="MB24" s="220"/>
      <c r="MC24" s="220"/>
      <c r="MD24" s="220"/>
      <c r="ME24" s="220"/>
      <c r="MF24" s="220"/>
      <c r="MG24" s="220"/>
      <c r="MH24" s="220"/>
      <c r="MI24" s="220"/>
      <c r="MJ24" s="220"/>
      <c r="MK24" s="220"/>
      <c r="ML24" s="220"/>
      <c r="MM24" s="220"/>
      <c r="MN24" s="220"/>
      <c r="MO24" s="220"/>
      <c r="MP24" s="220"/>
      <c r="MQ24" s="220"/>
      <c r="MR24" s="220"/>
      <c r="MS24" s="220"/>
      <c r="MT24" s="220"/>
      <c r="MU24" s="220"/>
      <c r="MV24" s="220"/>
      <c r="MW24" s="220"/>
      <c r="MX24" s="220"/>
      <c r="MY24" s="220"/>
      <c r="MZ24" s="220"/>
      <c r="NA24" s="220"/>
      <c r="NB24" s="220"/>
      <c r="NC24" s="220"/>
      <c r="ND24" s="220"/>
      <c r="NE24" s="220"/>
      <c r="NF24" s="220" t="s">
        <v>94</v>
      </c>
      <c r="NG24" s="220"/>
      <c r="NH24" s="220" t="s">
        <v>734</v>
      </c>
      <c r="NI24" s="220"/>
      <c r="NJ24" s="220" t="s">
        <v>91</v>
      </c>
      <c r="NK24" s="220"/>
      <c r="NL24" s="220" t="s">
        <v>1685</v>
      </c>
      <c r="NM24" s="220" t="s">
        <v>742</v>
      </c>
      <c r="NN24" s="220"/>
      <c r="NO24" s="220" t="s">
        <v>743</v>
      </c>
      <c r="NP24" s="220" t="s">
        <v>92</v>
      </c>
      <c r="NQ24" s="220"/>
      <c r="NR24" s="220"/>
      <c r="NS24" s="220"/>
      <c r="NT24" s="220"/>
      <c r="NU24" s="220"/>
      <c r="NV24" s="220"/>
      <c r="NW24" s="220"/>
      <c r="NX24" s="220"/>
      <c r="NY24" s="220"/>
      <c r="NZ24" s="220"/>
      <c r="OA24" s="220"/>
      <c r="OB24" s="220"/>
      <c r="OC24" s="220"/>
      <c r="OD24" s="220"/>
      <c r="OE24" s="220"/>
      <c r="OF24" s="220"/>
      <c r="OG24" s="220"/>
      <c r="OH24" s="220"/>
      <c r="OI24" s="220"/>
      <c r="OJ24" s="220"/>
      <c r="OK24" s="220"/>
      <c r="OL24" s="220"/>
      <c r="OM24" s="220"/>
      <c r="ON24" s="220"/>
      <c r="OO24" s="220"/>
      <c r="OP24" s="220"/>
      <c r="OQ24" s="220"/>
      <c r="OR24" s="220"/>
      <c r="OS24" s="220"/>
      <c r="OT24" s="220"/>
      <c r="OU24" s="220"/>
      <c r="OV24" s="220"/>
      <c r="OW24" s="220"/>
      <c r="OX24" s="220"/>
      <c r="OY24" s="220"/>
      <c r="OZ24" s="220"/>
      <c r="PA24" s="220"/>
      <c r="PB24" s="220"/>
      <c r="PC24" s="220"/>
      <c r="PD24" s="220"/>
      <c r="PE24" s="220"/>
      <c r="PF24" s="220"/>
      <c r="PG24" s="220"/>
      <c r="PH24" s="220"/>
      <c r="PI24" s="220"/>
      <c r="PJ24" s="220"/>
      <c r="PK24" s="220"/>
      <c r="PL24" s="220"/>
      <c r="PM24" s="220"/>
      <c r="PN24" s="220"/>
      <c r="PO24" s="220"/>
      <c r="PP24" s="220"/>
      <c r="PQ24" s="220"/>
      <c r="PR24" s="220"/>
      <c r="PS24" s="220"/>
      <c r="PT24" s="220"/>
      <c r="PU24" s="220"/>
      <c r="PV24" s="220"/>
      <c r="PW24" s="220"/>
      <c r="PX24" s="220"/>
      <c r="PY24" s="220"/>
      <c r="PZ24" s="220" t="s">
        <v>1686</v>
      </c>
      <c r="QA24" s="220"/>
      <c r="QB24" s="220"/>
      <c r="QC24" s="220"/>
      <c r="QD24" s="220"/>
      <c r="QE24" s="220"/>
      <c r="QF24" s="220"/>
      <c r="QG24" s="220"/>
      <c r="QH24" s="220" t="s">
        <v>484</v>
      </c>
      <c r="QI24" s="220"/>
      <c r="QJ24" s="220"/>
      <c r="QK24" s="220"/>
      <c r="QL24" s="220"/>
      <c r="QM24" s="220"/>
      <c r="QN24" s="220"/>
      <c r="QO24" s="220"/>
      <c r="QP24" s="220"/>
      <c r="QQ24" s="220"/>
      <c r="QR24" s="220"/>
      <c r="QS24" s="220"/>
      <c r="QT24" s="220"/>
      <c r="QU24" s="220"/>
      <c r="QV24" s="220"/>
      <c r="QW24" s="220"/>
      <c r="QX24" s="220"/>
      <c r="QY24" s="220"/>
      <c r="QZ24" s="220"/>
      <c r="RA24" s="220"/>
      <c r="RB24" s="220"/>
      <c r="RC24" s="220"/>
      <c r="RD24" s="220"/>
      <c r="RE24" s="220"/>
      <c r="RF24" s="220"/>
      <c r="RG24" s="220"/>
      <c r="RH24" s="220"/>
      <c r="RI24" s="220"/>
      <c r="RJ24" s="220"/>
      <c r="RK24" s="220"/>
      <c r="RL24" s="220"/>
      <c r="RM24" s="220"/>
      <c r="RN24" s="220"/>
      <c r="RO24" s="220"/>
      <c r="RP24" s="220"/>
      <c r="RQ24" s="220"/>
      <c r="RR24" s="220"/>
      <c r="RS24" s="220"/>
      <c r="RT24" s="220"/>
      <c r="RU24" s="220"/>
      <c r="RV24" s="220"/>
      <c r="RW24" s="220"/>
      <c r="RX24" s="220" t="s">
        <v>1262</v>
      </c>
      <c r="RY24" s="496" t="s">
        <v>1074</v>
      </c>
      <c r="RZ24" s="220"/>
      <c r="SA24" s="220"/>
      <c r="SB24" s="220"/>
      <c r="SC24" s="220"/>
      <c r="SD24" s="220" t="s">
        <v>556</v>
      </c>
      <c r="SE24" s="220"/>
      <c r="SF24" s="220"/>
      <c r="SG24" s="220"/>
      <c r="SH24" s="220"/>
      <c r="SI24" s="220"/>
      <c r="SJ24" s="220"/>
      <c r="SK24" s="220"/>
      <c r="SL24" s="220"/>
      <c r="SM24" s="220"/>
      <c r="SN24" s="220"/>
      <c r="SO24" s="220" t="s">
        <v>485</v>
      </c>
      <c r="SP24" s="220"/>
      <c r="SQ24" s="220"/>
      <c r="SR24" s="220"/>
      <c r="SS24" s="220"/>
      <c r="ST24" s="220"/>
      <c r="SU24" s="220"/>
      <c r="SV24" s="220"/>
      <c r="SW24" s="220"/>
      <c r="SX24" s="220"/>
      <c r="SY24" s="220"/>
      <c r="SZ24" s="220"/>
      <c r="TA24" s="220"/>
      <c r="TB24" s="220"/>
      <c r="TC24" s="220"/>
      <c r="TD24" s="220" t="s">
        <v>1677</v>
      </c>
      <c r="TE24" s="220"/>
      <c r="TF24" s="220"/>
      <c r="TG24" s="220"/>
      <c r="TH24" s="220"/>
      <c r="TI24" s="220"/>
      <c r="TJ24" s="220"/>
      <c r="TK24" s="220"/>
      <c r="TL24" s="220"/>
      <c r="TM24" s="220"/>
      <c r="TN24" s="220"/>
      <c r="TO24" s="220"/>
      <c r="TP24" s="220"/>
      <c r="TQ24" s="224"/>
      <c r="TR24" s="224"/>
      <c r="TS24" s="224"/>
      <c r="TT24" s="224"/>
      <c r="TU24" s="224"/>
      <c r="TV24" s="224"/>
      <c r="TW24" s="220"/>
      <c r="TX24" s="220"/>
      <c r="TY24" s="220"/>
      <c r="TZ24" s="220"/>
      <c r="UA24" s="220"/>
      <c r="UB24" s="220"/>
      <c r="UC24" s="220"/>
      <c r="UD24" s="220"/>
      <c r="UE24" s="220"/>
      <c r="UF24" s="220"/>
      <c r="UG24" s="220"/>
      <c r="UH24" s="220"/>
      <c r="UI24" s="220"/>
      <c r="UJ24" s="220"/>
      <c r="UK24" s="220"/>
      <c r="UL24" s="220"/>
      <c r="UM24" s="220"/>
      <c r="UN24" s="220"/>
      <c r="UO24" s="220"/>
      <c r="UP24" s="220"/>
      <c r="UQ24" s="220"/>
      <c r="UR24" s="220"/>
      <c r="US24" s="220"/>
      <c r="UT24" s="220"/>
      <c r="UU24" s="220"/>
      <c r="UV24" s="220"/>
      <c r="UW24" s="220"/>
      <c r="UX24" s="220"/>
      <c r="UY24" s="220"/>
      <c r="UZ24" s="220"/>
      <c r="VA24" s="220"/>
      <c r="VB24" s="220"/>
      <c r="VC24" s="220"/>
      <c r="VD24" s="220"/>
      <c r="VE24" s="220"/>
      <c r="VF24" s="220"/>
      <c r="VG24" s="220"/>
      <c r="VH24" s="220"/>
      <c r="VI24" s="220"/>
      <c r="VJ24" s="220"/>
      <c r="VK24" s="220"/>
      <c r="VL24" s="220"/>
      <c r="VM24" s="220"/>
      <c r="VN24" s="220"/>
      <c r="VO24" s="220"/>
      <c r="VP24" s="220"/>
      <c r="VQ24" s="220"/>
      <c r="VR24" s="220"/>
      <c r="VS24" s="220"/>
      <c r="VT24" s="220"/>
      <c r="VU24" s="220"/>
      <c r="VV24" s="220"/>
      <c r="VW24" s="220"/>
      <c r="VX24" s="220"/>
      <c r="VY24" s="220"/>
      <c r="VZ24" s="220"/>
      <c r="WA24" s="220"/>
      <c r="WB24" s="220"/>
      <c r="WC24" s="220"/>
      <c r="WD24" s="220"/>
      <c r="WE24" s="220"/>
      <c r="WF24" s="220"/>
      <c r="WG24" s="220"/>
      <c r="WH24" s="220"/>
      <c r="WI24" s="220"/>
      <c r="WJ24" s="220"/>
      <c r="WK24" s="220"/>
      <c r="WL24" s="220"/>
      <c r="WM24" s="220"/>
      <c r="WN24" s="220"/>
      <c r="WO24" s="220"/>
      <c r="WP24" s="220"/>
      <c r="WQ24" s="220"/>
      <c r="WR24" s="220"/>
      <c r="WS24" s="220"/>
      <c r="WT24" s="220"/>
      <c r="WU24" s="220"/>
      <c r="WV24" s="220"/>
      <c r="WW24" s="220"/>
      <c r="WX24" s="220"/>
      <c r="WY24" s="220"/>
      <c r="WZ24" s="220"/>
      <c r="XA24" s="220"/>
      <c r="XB24" s="220"/>
      <c r="XC24" s="220"/>
      <c r="XD24" s="220"/>
      <c r="XE24" s="220"/>
      <c r="XF24" s="220"/>
      <c r="XG24" s="220"/>
      <c r="XH24" s="220"/>
      <c r="XI24" s="220"/>
      <c r="XJ24" s="220"/>
      <c r="XK24" s="220"/>
      <c r="XL24" s="220"/>
      <c r="XM24" s="220"/>
      <c r="XN24" s="220"/>
      <c r="XO24" s="220"/>
      <c r="XP24" s="220"/>
      <c r="XQ24" s="220" t="s">
        <v>204</v>
      </c>
      <c r="XR24" s="220" t="s">
        <v>205</v>
      </c>
      <c r="XS24" s="220" t="s">
        <v>802</v>
      </c>
      <c r="XT24" s="220" t="s">
        <v>801</v>
      </c>
      <c r="XU24" s="220" t="s">
        <v>1100</v>
      </c>
      <c r="XV24" s="220"/>
      <c r="XW24" s="220" t="s">
        <v>800</v>
      </c>
      <c r="XX24" s="220" t="s">
        <v>1102</v>
      </c>
      <c r="XY24" s="220" t="s">
        <v>1103</v>
      </c>
      <c r="XZ24" s="220" t="s">
        <v>1104</v>
      </c>
      <c r="YA24" s="220" t="s">
        <v>1101</v>
      </c>
      <c r="YB24" s="220" t="s">
        <v>1105</v>
      </c>
      <c r="YC24" s="220"/>
      <c r="YD24" s="220" t="s">
        <v>1106</v>
      </c>
      <c r="YE24" s="220" t="s">
        <v>1107</v>
      </c>
      <c r="YF24" s="220"/>
      <c r="YG24" s="220"/>
      <c r="YH24" s="220"/>
      <c r="YI24" s="220"/>
      <c r="YJ24" s="220"/>
      <c r="YK24" s="220"/>
      <c r="YL24" s="220" t="s">
        <v>807</v>
      </c>
      <c r="YM24" s="223"/>
      <c r="YN24" s="223"/>
      <c r="YO24" s="220"/>
      <c r="YP24" s="220"/>
      <c r="YQ24" s="220"/>
      <c r="YR24" s="220"/>
      <c r="YS24" s="220"/>
      <c r="YT24" s="223"/>
    </row>
    <row r="25" spans="1:670" s="26" customFormat="1" ht="12.1" customHeight="1" x14ac:dyDescent="0.25">
      <c r="A25" s="113" t="s">
        <v>1735</v>
      </c>
      <c r="B25" s="49" t="s">
        <v>13</v>
      </c>
      <c r="C25" s="49" t="s">
        <v>13</v>
      </c>
      <c r="D25" s="49" t="s">
        <v>13</v>
      </c>
      <c r="E25" s="49" t="s">
        <v>13</v>
      </c>
      <c r="F25" s="49" t="s">
        <v>59</v>
      </c>
      <c r="G25" s="49" t="s">
        <v>31</v>
      </c>
      <c r="H25" s="49" t="s">
        <v>13</v>
      </c>
      <c r="I25" s="49" t="s">
        <v>13</v>
      </c>
      <c r="J25" s="49" t="s">
        <v>13</v>
      </c>
      <c r="K25" s="49" t="s">
        <v>13</v>
      </c>
      <c r="L25" s="49"/>
      <c r="M25" s="49" t="s">
        <v>13</v>
      </c>
      <c r="N25" s="49" t="s">
        <v>13</v>
      </c>
      <c r="O25" s="49" t="s">
        <v>13</v>
      </c>
      <c r="P25" s="49" t="s">
        <v>13</v>
      </c>
      <c r="Q25" s="49" t="s">
        <v>13</v>
      </c>
      <c r="R25" s="49" t="s">
        <v>13</v>
      </c>
      <c r="S25" s="49" t="s">
        <v>13</v>
      </c>
      <c r="T25" s="49" t="s">
        <v>13</v>
      </c>
      <c r="U25" s="49" t="s">
        <v>13</v>
      </c>
      <c r="V25" s="49" t="s">
        <v>13</v>
      </c>
      <c r="W25" s="49" t="s">
        <v>13</v>
      </c>
      <c r="X25" s="49" t="s">
        <v>13</v>
      </c>
      <c r="Y25" s="49" t="s">
        <v>13</v>
      </c>
      <c r="Z25" s="49" t="s">
        <v>13</v>
      </c>
      <c r="AA25" s="49" t="s">
        <v>13</v>
      </c>
      <c r="AB25" s="49" t="s">
        <v>13</v>
      </c>
      <c r="AC25" s="49" t="s">
        <v>59</v>
      </c>
      <c r="AD25" s="49" t="s">
        <v>13</v>
      </c>
      <c r="AE25" s="49" t="s">
        <v>13</v>
      </c>
      <c r="AF25" s="49" t="s">
        <v>13</v>
      </c>
      <c r="AG25" s="49" t="s">
        <v>13</v>
      </c>
      <c r="AH25" s="49" t="s">
        <v>13</v>
      </c>
      <c r="AI25" s="49" t="s">
        <v>13</v>
      </c>
      <c r="AJ25" s="49" t="s">
        <v>13</v>
      </c>
      <c r="AK25" s="49" t="s">
        <v>13</v>
      </c>
      <c r="AL25" s="49" t="s">
        <v>13</v>
      </c>
      <c r="AM25" s="49" t="s">
        <v>13</v>
      </c>
      <c r="AN25" s="49" t="s">
        <v>13</v>
      </c>
      <c r="AO25" s="49" t="s">
        <v>13</v>
      </c>
      <c r="AP25" s="49" t="s">
        <v>13</v>
      </c>
      <c r="AQ25" s="49" t="s">
        <v>13</v>
      </c>
      <c r="AR25" s="49" t="s">
        <v>13</v>
      </c>
      <c r="AS25" s="49" t="s">
        <v>13</v>
      </c>
      <c r="AT25" s="49" t="s">
        <v>13</v>
      </c>
      <c r="AU25" s="49"/>
      <c r="AV25" s="49"/>
      <c r="AW25" s="49"/>
      <c r="AX25" s="49"/>
      <c r="AY25" s="49"/>
      <c r="AZ25" s="49"/>
      <c r="BA25" s="49"/>
      <c r="BB25" s="49"/>
      <c r="BC25" s="49"/>
      <c r="BD25" s="49"/>
      <c r="BE25" s="49"/>
      <c r="BF25" s="49"/>
      <c r="BG25" s="49"/>
      <c r="BH25" s="49"/>
      <c r="BI25" s="49" t="s">
        <v>13</v>
      </c>
      <c r="BJ25" s="49" t="s">
        <v>13</v>
      </c>
      <c r="BK25" s="49" t="s">
        <v>13</v>
      </c>
      <c r="BL25" s="49" t="s">
        <v>13</v>
      </c>
      <c r="BM25" s="49" t="s">
        <v>13</v>
      </c>
      <c r="BN25" s="49" t="s">
        <v>13</v>
      </c>
      <c r="BO25" s="49" t="s">
        <v>13</v>
      </c>
      <c r="BP25" s="49" t="s">
        <v>13</v>
      </c>
      <c r="BQ25" s="49" t="s">
        <v>13</v>
      </c>
      <c r="BR25" s="49" t="s">
        <v>13</v>
      </c>
      <c r="BS25" s="49" t="s">
        <v>13</v>
      </c>
      <c r="BT25" s="49" t="s">
        <v>13</v>
      </c>
      <c r="BU25" s="49" t="s">
        <v>13</v>
      </c>
      <c r="BV25" s="49" t="s">
        <v>13</v>
      </c>
      <c r="BW25" s="49" t="s">
        <v>13</v>
      </c>
      <c r="BX25" s="49" t="s">
        <v>13</v>
      </c>
      <c r="BY25" s="49"/>
      <c r="BZ25" s="49" t="s">
        <v>13</v>
      </c>
      <c r="CA25" s="49" t="s">
        <v>59</v>
      </c>
      <c r="CB25" s="49" t="s">
        <v>59</v>
      </c>
      <c r="CC25" s="49" t="s">
        <v>59</v>
      </c>
      <c r="CD25" s="49" t="s">
        <v>59</v>
      </c>
      <c r="CE25" s="49" t="s">
        <v>59</v>
      </c>
      <c r="CF25" s="49" t="s">
        <v>13</v>
      </c>
      <c r="CG25" s="49" t="s">
        <v>13</v>
      </c>
      <c r="CH25" s="49" t="s">
        <v>13</v>
      </c>
      <c r="CI25" s="49" t="s">
        <v>59</v>
      </c>
      <c r="CJ25" s="49" t="s">
        <v>13</v>
      </c>
      <c r="CK25" s="49" t="s">
        <v>13</v>
      </c>
      <c r="CL25" s="49" t="s">
        <v>13</v>
      </c>
      <c r="CM25" s="49"/>
      <c r="CN25" s="49" t="s">
        <v>13</v>
      </c>
      <c r="CO25" s="49" t="s">
        <v>13</v>
      </c>
      <c r="CP25" s="49" t="s">
        <v>13</v>
      </c>
      <c r="CQ25" s="49" t="s">
        <v>13</v>
      </c>
      <c r="CR25" s="49" t="s">
        <v>59</v>
      </c>
      <c r="CS25" s="49" t="s">
        <v>13</v>
      </c>
      <c r="CT25" s="49" t="s">
        <v>13</v>
      </c>
      <c r="CU25" s="49" t="s">
        <v>13</v>
      </c>
      <c r="CV25" s="49" t="s">
        <v>13</v>
      </c>
      <c r="CW25" s="122" t="s">
        <v>59</v>
      </c>
      <c r="CX25" s="49" t="s">
        <v>13</v>
      </c>
      <c r="CY25" s="49" t="s">
        <v>13</v>
      </c>
      <c r="CZ25" s="49" t="s">
        <v>13</v>
      </c>
      <c r="DA25" s="122"/>
      <c r="DB25" s="122"/>
      <c r="DC25" s="122"/>
      <c r="DD25" s="122"/>
      <c r="DE25" s="49" t="s">
        <v>13</v>
      </c>
      <c r="DF25" s="49" t="s">
        <v>13</v>
      </c>
      <c r="DG25" s="49"/>
      <c r="DH25" s="49"/>
      <c r="DI25" s="49" t="s">
        <v>13</v>
      </c>
      <c r="DJ25" s="49" t="s">
        <v>59</v>
      </c>
      <c r="DK25" s="49" t="s">
        <v>59</v>
      </c>
      <c r="DL25" s="49" t="s">
        <v>13</v>
      </c>
      <c r="DM25" s="49" t="s">
        <v>13</v>
      </c>
      <c r="DN25" s="49" t="s">
        <v>13</v>
      </c>
      <c r="DO25" s="49" t="s">
        <v>13</v>
      </c>
      <c r="DP25" s="49" t="s">
        <v>13</v>
      </c>
      <c r="DQ25" s="49" t="s">
        <v>13</v>
      </c>
      <c r="DR25" s="49" t="s">
        <v>13</v>
      </c>
      <c r="DS25" s="49" t="s">
        <v>13</v>
      </c>
      <c r="DT25" s="49" t="s">
        <v>13</v>
      </c>
      <c r="DU25" s="49" t="s">
        <v>13</v>
      </c>
      <c r="DV25" s="49" t="s">
        <v>13</v>
      </c>
      <c r="DW25" s="49" t="s">
        <v>13</v>
      </c>
      <c r="DX25" s="49" t="s">
        <v>13</v>
      </c>
      <c r="DY25" s="49" t="s">
        <v>13</v>
      </c>
      <c r="DZ25" s="49" t="s">
        <v>13</v>
      </c>
      <c r="EA25" s="49" t="s">
        <v>13</v>
      </c>
      <c r="EB25" s="49" t="s">
        <v>13</v>
      </c>
      <c r="EC25" s="49" t="s">
        <v>13</v>
      </c>
      <c r="ED25" s="49" t="s">
        <v>13</v>
      </c>
      <c r="EE25" s="49" t="s">
        <v>13</v>
      </c>
      <c r="EF25" s="49" t="s">
        <v>13</v>
      </c>
      <c r="EG25" s="49" t="s">
        <v>13</v>
      </c>
      <c r="EH25" s="49" t="s">
        <v>59</v>
      </c>
      <c r="EI25" s="49" t="s">
        <v>59</v>
      </c>
      <c r="EJ25" s="49" t="s">
        <v>59</v>
      </c>
      <c r="EK25" s="49" t="s">
        <v>13</v>
      </c>
      <c r="EL25" s="49"/>
      <c r="EM25" s="49" t="s">
        <v>13</v>
      </c>
      <c r="EN25" s="49" t="s">
        <v>13</v>
      </c>
      <c r="EO25" s="49"/>
      <c r="EP25" s="49"/>
      <c r="EQ25" s="49"/>
      <c r="ER25" s="49"/>
      <c r="ES25" s="49"/>
      <c r="ET25" s="49"/>
      <c r="EU25" s="49" t="s">
        <v>13</v>
      </c>
      <c r="EV25" s="49"/>
      <c r="EW25" s="49" t="s">
        <v>13</v>
      </c>
      <c r="EX25" s="49" t="s">
        <v>59</v>
      </c>
      <c r="EY25" s="49" t="s">
        <v>59</v>
      </c>
      <c r="EZ25" s="49" t="s">
        <v>59</v>
      </c>
      <c r="FA25" s="49"/>
      <c r="FB25" s="49" t="s">
        <v>13</v>
      </c>
      <c r="FC25" s="49" t="s">
        <v>59</v>
      </c>
      <c r="FD25" s="49" t="s">
        <v>59</v>
      </c>
      <c r="FE25" s="49" t="s">
        <v>59</v>
      </c>
      <c r="FF25" s="49" t="s">
        <v>59</v>
      </c>
      <c r="FG25" s="49" t="s">
        <v>20</v>
      </c>
      <c r="FH25" s="94"/>
      <c r="FI25" s="94" t="s">
        <v>59</v>
      </c>
      <c r="FJ25" s="94" t="s">
        <v>59</v>
      </c>
      <c r="FK25" s="49"/>
      <c r="FL25" s="94" t="s">
        <v>59</v>
      </c>
      <c r="FM25" s="94"/>
      <c r="FN25" s="49" t="s">
        <v>59</v>
      </c>
      <c r="FO25" s="94" t="s">
        <v>13</v>
      </c>
      <c r="FP25" s="49"/>
      <c r="FQ25" s="49"/>
      <c r="FR25" s="49"/>
      <c r="FS25" s="49"/>
      <c r="FT25" s="49"/>
      <c r="FU25" s="49" t="s">
        <v>13</v>
      </c>
      <c r="FV25" s="49" t="s">
        <v>13</v>
      </c>
      <c r="FW25" s="49"/>
      <c r="FX25" s="94" t="s">
        <v>59</v>
      </c>
      <c r="FY25" s="94" t="s">
        <v>20</v>
      </c>
      <c r="FZ25" s="94"/>
      <c r="GA25" s="94" t="s">
        <v>20</v>
      </c>
      <c r="GB25" s="49" t="s">
        <v>20</v>
      </c>
      <c r="GC25" s="94"/>
      <c r="GD25" s="94"/>
      <c r="GE25" s="94" t="s">
        <v>59</v>
      </c>
      <c r="GF25" s="94"/>
      <c r="GG25" s="49" t="s">
        <v>20</v>
      </c>
      <c r="GH25" s="49" t="s">
        <v>20</v>
      </c>
      <c r="GI25" s="49" t="s">
        <v>59</v>
      </c>
      <c r="GJ25" s="49" t="s">
        <v>59</v>
      </c>
      <c r="GK25" s="49" t="s">
        <v>59</v>
      </c>
      <c r="GL25" s="465" t="s">
        <v>59</v>
      </c>
      <c r="GM25" s="465" t="s">
        <v>59</v>
      </c>
      <c r="GN25" s="49" t="s">
        <v>59</v>
      </c>
      <c r="GO25" s="49" t="s">
        <v>59</v>
      </c>
      <c r="GP25" s="49" t="s">
        <v>13</v>
      </c>
      <c r="GQ25" s="122" t="s">
        <v>13</v>
      </c>
      <c r="GR25" s="49" t="s">
        <v>59</v>
      </c>
      <c r="GS25" s="49"/>
      <c r="GT25" s="49" t="s">
        <v>59</v>
      </c>
      <c r="GU25" s="49" t="s">
        <v>59</v>
      </c>
      <c r="GV25" s="49" t="s">
        <v>59</v>
      </c>
      <c r="GW25" s="49" t="s">
        <v>59</v>
      </c>
      <c r="GX25" s="49" t="s">
        <v>59</v>
      </c>
      <c r="GY25" s="123" t="s">
        <v>59</v>
      </c>
      <c r="GZ25" s="49"/>
      <c r="HA25" s="49" t="s">
        <v>59</v>
      </c>
      <c r="HB25" s="49"/>
      <c r="HC25" s="49" t="s">
        <v>59</v>
      </c>
      <c r="HD25" s="49" t="s">
        <v>59</v>
      </c>
      <c r="HE25" s="49" t="s">
        <v>59</v>
      </c>
      <c r="HF25" s="49" t="s">
        <v>59</v>
      </c>
      <c r="HG25" s="49" t="s">
        <v>59</v>
      </c>
      <c r="HH25" s="123" t="s">
        <v>59</v>
      </c>
      <c r="HI25" s="123" t="s">
        <v>59</v>
      </c>
      <c r="HJ25" s="123" t="s">
        <v>59</v>
      </c>
      <c r="HK25" s="123" t="s">
        <v>59</v>
      </c>
      <c r="HL25" s="123" t="s">
        <v>59</v>
      </c>
      <c r="HM25" s="123" t="s">
        <v>59</v>
      </c>
      <c r="HN25" s="123" t="s">
        <v>59</v>
      </c>
      <c r="HO25" s="123" t="s">
        <v>59</v>
      </c>
      <c r="HP25" s="123" t="s">
        <v>59</v>
      </c>
      <c r="HQ25" s="123" t="s">
        <v>59</v>
      </c>
      <c r="HR25" s="123" t="s">
        <v>59</v>
      </c>
      <c r="HS25" s="94" t="s">
        <v>59</v>
      </c>
      <c r="HT25" s="49" t="s">
        <v>13</v>
      </c>
      <c r="HU25" s="123" t="s">
        <v>59</v>
      </c>
      <c r="HV25" s="49" t="s">
        <v>59</v>
      </c>
      <c r="HW25" s="123" t="s">
        <v>59</v>
      </c>
      <c r="HX25" s="49" t="s">
        <v>59</v>
      </c>
      <c r="HY25" s="123" t="s">
        <v>59</v>
      </c>
      <c r="HZ25" s="49" t="s">
        <v>59</v>
      </c>
      <c r="IA25" s="49" t="s">
        <v>59</v>
      </c>
      <c r="IB25" s="49" t="s">
        <v>59</v>
      </c>
      <c r="IC25" s="49" t="s">
        <v>59</v>
      </c>
      <c r="ID25" s="49" t="s">
        <v>59</v>
      </c>
      <c r="IE25" s="49" t="s">
        <v>59</v>
      </c>
      <c r="IF25" s="49" t="s">
        <v>59</v>
      </c>
      <c r="IG25" s="49" t="s">
        <v>59</v>
      </c>
      <c r="IH25" s="49" t="s">
        <v>59</v>
      </c>
      <c r="II25" s="49"/>
      <c r="IJ25" s="49"/>
      <c r="IK25" s="465" t="s">
        <v>59</v>
      </c>
      <c r="IL25" s="465" t="s">
        <v>59</v>
      </c>
      <c r="IM25" s="465" t="s">
        <v>59</v>
      </c>
      <c r="IN25" s="465" t="s">
        <v>59</v>
      </c>
      <c r="IO25" s="465" t="s">
        <v>59</v>
      </c>
      <c r="IP25" s="465" t="s">
        <v>59</v>
      </c>
      <c r="IQ25" s="465" t="s">
        <v>59</v>
      </c>
      <c r="IR25" s="465" t="s">
        <v>59</v>
      </c>
      <c r="IS25" s="465"/>
      <c r="IT25" s="465"/>
      <c r="IU25" s="465"/>
      <c r="IV25" s="465" t="s">
        <v>59</v>
      </c>
      <c r="IW25" s="465" t="s">
        <v>59</v>
      </c>
      <c r="IX25" s="465" t="s">
        <v>59</v>
      </c>
      <c r="IY25" s="465" t="s">
        <v>59</v>
      </c>
      <c r="IZ25" s="465" t="s">
        <v>59</v>
      </c>
      <c r="JA25" s="465" t="s">
        <v>59</v>
      </c>
      <c r="JB25" s="465" t="s">
        <v>59</v>
      </c>
      <c r="JC25" s="465" t="s">
        <v>59</v>
      </c>
      <c r="JD25" s="465" t="s">
        <v>59</v>
      </c>
      <c r="JE25" s="465" t="s">
        <v>59</v>
      </c>
      <c r="JF25" s="465" t="s">
        <v>59</v>
      </c>
      <c r="JG25" s="465" t="s">
        <v>59</v>
      </c>
      <c r="JH25" s="465" t="s">
        <v>59</v>
      </c>
      <c r="JI25" s="465" t="s">
        <v>59</v>
      </c>
      <c r="JJ25" s="465" t="s">
        <v>59</v>
      </c>
      <c r="JK25" s="465" t="s">
        <v>59</v>
      </c>
      <c r="JL25" s="49" t="s">
        <v>59</v>
      </c>
      <c r="JM25" s="465" t="s">
        <v>59</v>
      </c>
      <c r="JN25" s="465" t="s">
        <v>59</v>
      </c>
      <c r="JO25" s="465" t="s">
        <v>59</v>
      </c>
      <c r="JP25" s="465" t="s">
        <v>59</v>
      </c>
      <c r="JQ25" s="465" t="s">
        <v>59</v>
      </c>
      <c r="JR25" s="465" t="s">
        <v>59</v>
      </c>
      <c r="JS25" s="465" t="s">
        <v>59</v>
      </c>
      <c r="JT25" s="465" t="s">
        <v>59</v>
      </c>
      <c r="JU25" s="465" t="s">
        <v>59</v>
      </c>
      <c r="JV25" s="465" t="s">
        <v>59</v>
      </c>
      <c r="JW25" s="465" t="s">
        <v>59</v>
      </c>
      <c r="JX25" s="465" t="s">
        <v>59</v>
      </c>
      <c r="JY25" s="465" t="s">
        <v>59</v>
      </c>
      <c r="JZ25" s="465" t="s">
        <v>59</v>
      </c>
      <c r="KA25" s="465" t="s">
        <v>59</v>
      </c>
      <c r="KB25" s="465" t="s">
        <v>59</v>
      </c>
      <c r="KC25" s="465" t="s">
        <v>59</v>
      </c>
      <c r="KD25" s="465" t="s">
        <v>59</v>
      </c>
      <c r="KE25" s="49" t="s">
        <v>59</v>
      </c>
      <c r="KF25" s="49" t="s">
        <v>59</v>
      </c>
      <c r="KG25" s="49" t="s">
        <v>59</v>
      </c>
      <c r="KH25" s="49" t="s">
        <v>59</v>
      </c>
      <c r="KI25" s="49" t="s">
        <v>59</v>
      </c>
      <c r="KJ25" s="49" t="s">
        <v>59</v>
      </c>
      <c r="KK25" s="49" t="s">
        <v>59</v>
      </c>
      <c r="KL25" s="49" t="s">
        <v>59</v>
      </c>
      <c r="KM25" s="49" t="s">
        <v>59</v>
      </c>
      <c r="KN25" s="49" t="s">
        <v>59</v>
      </c>
      <c r="KO25" s="49" t="s">
        <v>59</v>
      </c>
      <c r="KP25" s="49" t="s">
        <v>59</v>
      </c>
      <c r="KQ25" s="49" t="s">
        <v>59</v>
      </c>
      <c r="KR25" s="49" t="s">
        <v>59</v>
      </c>
      <c r="KS25" s="49" t="s">
        <v>59</v>
      </c>
      <c r="KT25" s="49" t="s">
        <v>59</v>
      </c>
      <c r="KU25" s="49" t="s">
        <v>59</v>
      </c>
      <c r="KV25" s="49" t="s">
        <v>59</v>
      </c>
      <c r="KW25" s="49" t="s">
        <v>59</v>
      </c>
      <c r="KX25" s="49" t="s">
        <v>59</v>
      </c>
      <c r="KY25" s="49" t="s">
        <v>59</v>
      </c>
      <c r="KZ25" s="49" t="s">
        <v>59</v>
      </c>
      <c r="LA25" s="49" t="s">
        <v>59</v>
      </c>
      <c r="LB25" s="49" t="s">
        <v>59</v>
      </c>
      <c r="LC25" s="49" t="s">
        <v>59</v>
      </c>
      <c r="LD25" s="49" t="s">
        <v>59</v>
      </c>
      <c r="LE25" s="49" t="s">
        <v>59</v>
      </c>
      <c r="LF25" s="49" t="s">
        <v>59</v>
      </c>
      <c r="LG25" s="49" t="s">
        <v>59</v>
      </c>
      <c r="LH25" s="49" t="s">
        <v>59</v>
      </c>
      <c r="LI25" s="49" t="s">
        <v>59</v>
      </c>
      <c r="LJ25" s="49" t="s">
        <v>59</v>
      </c>
      <c r="LK25" s="49" t="s">
        <v>59</v>
      </c>
      <c r="LL25" s="49" t="s">
        <v>59</v>
      </c>
      <c r="LM25" s="49" t="s">
        <v>59</v>
      </c>
      <c r="LN25" s="101" t="s">
        <v>13</v>
      </c>
      <c r="LO25" s="49" t="s">
        <v>59</v>
      </c>
      <c r="LP25" s="49" t="s">
        <v>59</v>
      </c>
      <c r="LQ25" s="49" t="s">
        <v>59</v>
      </c>
      <c r="LR25" s="49" t="s">
        <v>59</v>
      </c>
      <c r="LS25" s="49" t="s">
        <v>59</v>
      </c>
      <c r="LT25" s="49" t="s">
        <v>59</v>
      </c>
      <c r="LU25" s="49" t="s">
        <v>59</v>
      </c>
      <c r="LV25" s="49" t="s">
        <v>59</v>
      </c>
      <c r="LW25" s="49" t="s">
        <v>59</v>
      </c>
      <c r="LX25" s="49" t="s">
        <v>59</v>
      </c>
      <c r="LY25" s="49" t="s">
        <v>59</v>
      </c>
      <c r="LZ25" s="49" t="s">
        <v>59</v>
      </c>
      <c r="MA25" s="49" t="s">
        <v>59</v>
      </c>
      <c r="MB25" s="49" t="s">
        <v>59</v>
      </c>
      <c r="MC25" s="49" t="s">
        <v>59</v>
      </c>
      <c r="MD25" s="49" t="s">
        <v>59</v>
      </c>
      <c r="ME25" s="49" t="s">
        <v>59</v>
      </c>
      <c r="MF25" s="49" t="s">
        <v>59</v>
      </c>
      <c r="MG25" s="49" t="s">
        <v>59</v>
      </c>
      <c r="MH25" s="49" t="s">
        <v>59</v>
      </c>
      <c r="MI25" s="49" t="s">
        <v>59</v>
      </c>
      <c r="MJ25" s="49" t="s">
        <v>59</v>
      </c>
      <c r="MK25" s="49" t="s">
        <v>59</v>
      </c>
      <c r="ML25" s="49" t="s">
        <v>59</v>
      </c>
      <c r="MM25" s="49" t="s">
        <v>59</v>
      </c>
      <c r="MN25" s="49" t="s">
        <v>59</v>
      </c>
      <c r="MO25" s="49" t="s">
        <v>59</v>
      </c>
      <c r="MP25" s="49" t="s">
        <v>59</v>
      </c>
      <c r="MQ25" s="49" t="s">
        <v>59</v>
      </c>
      <c r="MR25" s="49" t="s">
        <v>59</v>
      </c>
      <c r="MS25" s="49" t="s">
        <v>59</v>
      </c>
      <c r="MT25" s="49" t="s">
        <v>59</v>
      </c>
      <c r="MU25" s="49" t="s">
        <v>59</v>
      </c>
      <c r="MV25" s="49" t="s">
        <v>59</v>
      </c>
      <c r="MW25" s="49" t="s">
        <v>59</v>
      </c>
      <c r="MX25" s="49" t="s">
        <v>59</v>
      </c>
      <c r="MY25" s="49" t="s">
        <v>59</v>
      </c>
      <c r="MZ25" s="49" t="s">
        <v>59</v>
      </c>
      <c r="NA25" s="49" t="s">
        <v>59</v>
      </c>
      <c r="NB25" s="49"/>
      <c r="NC25" s="49"/>
      <c r="ND25" s="49"/>
      <c r="NE25" s="49"/>
      <c r="NF25" s="49" t="s">
        <v>13</v>
      </c>
      <c r="NG25" s="49" t="s">
        <v>59</v>
      </c>
      <c r="NH25" s="49" t="s">
        <v>13</v>
      </c>
      <c r="NI25" s="49" t="s">
        <v>59</v>
      </c>
      <c r="NJ25" s="49" t="s">
        <v>13</v>
      </c>
      <c r="NK25" s="49"/>
      <c r="NL25" s="49" t="s">
        <v>13</v>
      </c>
      <c r="NM25" s="49" t="s">
        <v>13</v>
      </c>
      <c r="NN25" s="49" t="s">
        <v>59</v>
      </c>
      <c r="NO25" s="49" t="s">
        <v>13</v>
      </c>
      <c r="NP25" s="49" t="s">
        <v>13</v>
      </c>
      <c r="NQ25" s="49" t="s">
        <v>59</v>
      </c>
      <c r="NR25" s="49" t="s">
        <v>59</v>
      </c>
      <c r="NS25" s="49" t="s">
        <v>59</v>
      </c>
      <c r="NT25" s="49" t="s">
        <v>59</v>
      </c>
      <c r="NU25" s="49" t="s">
        <v>59</v>
      </c>
      <c r="NV25" s="49" t="s">
        <v>59</v>
      </c>
      <c r="NW25" s="49" t="s">
        <v>59</v>
      </c>
      <c r="NX25" s="49" t="s">
        <v>59</v>
      </c>
      <c r="NY25" s="49" t="s">
        <v>59</v>
      </c>
      <c r="NZ25" s="49" t="s">
        <v>59</v>
      </c>
      <c r="OA25" s="49" t="s">
        <v>59</v>
      </c>
      <c r="OB25" s="49" t="s">
        <v>59</v>
      </c>
      <c r="OC25" s="49" t="s">
        <v>59</v>
      </c>
      <c r="OD25" s="49" t="s">
        <v>59</v>
      </c>
      <c r="OE25" s="49" t="s">
        <v>59</v>
      </c>
      <c r="OF25" s="49" t="s">
        <v>59</v>
      </c>
      <c r="OG25" s="49" t="s">
        <v>59</v>
      </c>
      <c r="OH25" s="49" t="s">
        <v>59</v>
      </c>
      <c r="OI25" s="49" t="s">
        <v>59</v>
      </c>
      <c r="OJ25" s="49" t="s">
        <v>59</v>
      </c>
      <c r="OK25" s="49" t="s">
        <v>59</v>
      </c>
      <c r="OL25" s="49" t="s">
        <v>59</v>
      </c>
      <c r="OM25" s="49" t="s">
        <v>59</v>
      </c>
      <c r="ON25" s="49" t="s">
        <v>59</v>
      </c>
      <c r="OO25" s="49" t="s">
        <v>59</v>
      </c>
      <c r="OP25" s="49" t="s">
        <v>59</v>
      </c>
      <c r="OQ25" s="49" t="s">
        <v>59</v>
      </c>
      <c r="OR25" s="49" t="s">
        <v>59</v>
      </c>
      <c r="OS25" s="49" t="s">
        <v>59</v>
      </c>
      <c r="OT25" s="49" t="s">
        <v>59</v>
      </c>
      <c r="OU25" s="49" t="s">
        <v>59</v>
      </c>
      <c r="OV25" s="49" t="s">
        <v>59</v>
      </c>
      <c r="OW25" s="49" t="s">
        <v>59</v>
      </c>
      <c r="OX25" s="49" t="s">
        <v>59</v>
      </c>
      <c r="OY25" s="49" t="s">
        <v>59</v>
      </c>
      <c r="OZ25" s="49" t="s">
        <v>59</v>
      </c>
      <c r="PA25" s="49" t="s">
        <v>59</v>
      </c>
      <c r="PB25" s="49" t="s">
        <v>59</v>
      </c>
      <c r="PC25" s="49" t="s">
        <v>59</v>
      </c>
      <c r="PD25" s="49" t="s">
        <v>59</v>
      </c>
      <c r="PE25" s="49" t="s">
        <v>59</v>
      </c>
      <c r="PF25" s="49" t="s">
        <v>59</v>
      </c>
      <c r="PG25" s="49" t="s">
        <v>59</v>
      </c>
      <c r="PH25" s="49" t="s">
        <v>59</v>
      </c>
      <c r="PI25" s="49" t="s">
        <v>59</v>
      </c>
      <c r="PJ25" s="49" t="s">
        <v>59</v>
      </c>
      <c r="PK25" s="49" t="s">
        <v>59</v>
      </c>
      <c r="PL25" s="49" t="s">
        <v>59</v>
      </c>
      <c r="PM25" s="49" t="s">
        <v>59</v>
      </c>
      <c r="PN25" s="49" t="s">
        <v>59</v>
      </c>
      <c r="PO25" s="49" t="s">
        <v>59</v>
      </c>
      <c r="PP25" s="49" t="s">
        <v>59</v>
      </c>
      <c r="PQ25" s="49" t="s">
        <v>59</v>
      </c>
      <c r="PR25" s="49" t="s">
        <v>59</v>
      </c>
      <c r="PS25" s="49" t="s">
        <v>59</v>
      </c>
      <c r="PT25" s="49" t="s">
        <v>59</v>
      </c>
      <c r="PU25" s="49" t="s">
        <v>59</v>
      </c>
      <c r="PV25" s="49" t="s">
        <v>59</v>
      </c>
      <c r="PW25" s="49" t="s">
        <v>59</v>
      </c>
      <c r="PX25" s="49"/>
      <c r="PY25" s="49" t="s">
        <v>59</v>
      </c>
      <c r="PZ25" s="49" t="s">
        <v>13</v>
      </c>
      <c r="QA25" s="49" t="s">
        <v>59</v>
      </c>
      <c r="QB25" s="49" t="s">
        <v>59</v>
      </c>
      <c r="QC25" s="49" t="s">
        <v>59</v>
      </c>
      <c r="QD25" s="49" t="s">
        <v>59</v>
      </c>
      <c r="QE25" s="49" t="s">
        <v>59</v>
      </c>
      <c r="QF25" s="49" t="s">
        <v>59</v>
      </c>
      <c r="QG25" s="49" t="s">
        <v>59</v>
      </c>
      <c r="QH25" s="49" t="s">
        <v>20</v>
      </c>
      <c r="QI25" s="49" t="s">
        <v>59</v>
      </c>
      <c r="QJ25" s="49" t="s">
        <v>59</v>
      </c>
      <c r="QK25" s="49" t="s">
        <v>59</v>
      </c>
      <c r="QL25" s="49" t="s">
        <v>59</v>
      </c>
      <c r="QM25" s="49" t="s">
        <v>59</v>
      </c>
      <c r="QN25" s="49" t="s">
        <v>59</v>
      </c>
      <c r="QO25" s="49" t="s">
        <v>59</v>
      </c>
      <c r="QP25" s="49" t="s">
        <v>59</v>
      </c>
      <c r="QQ25" s="49"/>
      <c r="QR25" s="49" t="s">
        <v>59</v>
      </c>
      <c r="QS25" s="49" t="s">
        <v>59</v>
      </c>
      <c r="QT25" s="49" t="s">
        <v>59</v>
      </c>
      <c r="QU25" s="49" t="s">
        <v>59</v>
      </c>
      <c r="QV25" s="49" t="s">
        <v>59</v>
      </c>
      <c r="QW25" s="49" t="s">
        <v>59</v>
      </c>
      <c r="QX25" s="49" t="s">
        <v>59</v>
      </c>
      <c r="QY25" s="49" t="s">
        <v>59</v>
      </c>
      <c r="QZ25" s="49" t="s">
        <v>59</v>
      </c>
      <c r="RA25" s="49" t="s">
        <v>59</v>
      </c>
      <c r="RB25" s="49" t="s">
        <v>59</v>
      </c>
      <c r="RC25" s="49" t="s">
        <v>59</v>
      </c>
      <c r="RD25" s="49" t="s">
        <v>59</v>
      </c>
      <c r="RE25" s="49" t="s">
        <v>59</v>
      </c>
      <c r="RF25" s="49" t="s">
        <v>59</v>
      </c>
      <c r="RG25" s="49" t="s">
        <v>59</v>
      </c>
      <c r="RH25" s="49" t="s">
        <v>59</v>
      </c>
      <c r="RI25" s="49" t="s">
        <v>59</v>
      </c>
      <c r="RJ25" s="49" t="s">
        <v>59</v>
      </c>
      <c r="RK25" s="49" t="s">
        <v>59</v>
      </c>
      <c r="RL25" s="49" t="s">
        <v>59</v>
      </c>
      <c r="RM25" s="49" t="s">
        <v>59</v>
      </c>
      <c r="RN25" s="49" t="s">
        <v>59</v>
      </c>
      <c r="RO25" s="49" t="s">
        <v>59</v>
      </c>
      <c r="RP25" s="49" t="s">
        <v>59</v>
      </c>
      <c r="RQ25" s="49" t="s">
        <v>59</v>
      </c>
      <c r="RR25" s="49" t="s">
        <v>59</v>
      </c>
      <c r="RS25" s="49" t="s">
        <v>59</v>
      </c>
      <c r="RT25" s="49" t="s">
        <v>59</v>
      </c>
      <c r="RU25" s="49" t="s">
        <v>59</v>
      </c>
      <c r="RV25" s="49" t="s">
        <v>59</v>
      </c>
      <c r="RW25" s="49" t="s">
        <v>59</v>
      </c>
      <c r="RX25" s="49" t="s">
        <v>13</v>
      </c>
      <c r="RY25" s="408" t="s">
        <v>13</v>
      </c>
      <c r="RZ25" s="49" t="s">
        <v>59</v>
      </c>
      <c r="SA25" s="49" t="s">
        <v>59</v>
      </c>
      <c r="SB25" s="49"/>
      <c r="SC25" s="49"/>
      <c r="SD25" s="49" t="s">
        <v>20</v>
      </c>
      <c r="SE25" s="49" t="s">
        <v>59</v>
      </c>
      <c r="SF25" s="49" t="s">
        <v>59</v>
      </c>
      <c r="SG25" s="49" t="s">
        <v>59</v>
      </c>
      <c r="SH25" s="49" t="s">
        <v>59</v>
      </c>
      <c r="SI25" s="49" t="s">
        <v>59</v>
      </c>
      <c r="SJ25" s="49" t="s">
        <v>59</v>
      </c>
      <c r="SK25" s="49" t="s">
        <v>59</v>
      </c>
      <c r="SL25" s="49" t="s">
        <v>59</v>
      </c>
      <c r="SM25" s="49" t="s">
        <v>59</v>
      </c>
      <c r="SN25" s="49" t="s">
        <v>59</v>
      </c>
      <c r="SO25" s="49" t="s">
        <v>20</v>
      </c>
      <c r="SP25" s="49" t="s">
        <v>59</v>
      </c>
      <c r="SQ25" s="49" t="s">
        <v>59</v>
      </c>
      <c r="SR25" s="49" t="s">
        <v>59</v>
      </c>
      <c r="SS25" s="49" t="s">
        <v>59</v>
      </c>
      <c r="ST25" s="49"/>
      <c r="SU25" s="49" t="s">
        <v>59</v>
      </c>
      <c r="SV25" s="49" t="s">
        <v>59</v>
      </c>
      <c r="SW25" s="49" t="s">
        <v>59</v>
      </c>
      <c r="SX25" s="49" t="s">
        <v>59</v>
      </c>
      <c r="SY25" s="49" t="s">
        <v>59</v>
      </c>
      <c r="SZ25" s="49" t="s">
        <v>59</v>
      </c>
      <c r="TA25" s="49" t="s">
        <v>59</v>
      </c>
      <c r="TB25" s="49" t="s">
        <v>59</v>
      </c>
      <c r="TC25" s="49" t="s">
        <v>59</v>
      </c>
      <c r="TD25" s="49" t="s">
        <v>59</v>
      </c>
      <c r="TE25" s="49" t="s">
        <v>59</v>
      </c>
      <c r="TF25" s="49"/>
      <c r="TG25" s="49"/>
      <c r="TH25" s="49"/>
      <c r="TI25" s="49"/>
      <c r="TJ25" s="49"/>
      <c r="TK25" s="49"/>
      <c r="TL25" s="49"/>
      <c r="TM25" s="49"/>
      <c r="TN25" s="93"/>
      <c r="TO25" s="93"/>
      <c r="TP25" s="93"/>
      <c r="TQ25" s="93"/>
      <c r="TR25" s="93"/>
      <c r="TS25" s="93"/>
      <c r="TT25" s="93"/>
      <c r="TU25" s="93"/>
      <c r="TV25" s="93"/>
      <c r="TW25" s="49"/>
      <c r="TX25" s="49"/>
      <c r="TY25" s="49"/>
      <c r="TZ25" s="72"/>
      <c r="UA25" s="72"/>
      <c r="UB25" s="72"/>
      <c r="UC25" s="72"/>
      <c r="UD25" s="49"/>
      <c r="UE25" s="49"/>
      <c r="UF25" s="49"/>
      <c r="UG25" s="49"/>
      <c r="UH25" s="49"/>
      <c r="UI25" s="49"/>
      <c r="UJ25" s="49"/>
      <c r="UK25" s="49"/>
      <c r="UL25" s="49"/>
      <c r="UM25" s="49"/>
      <c r="UN25" s="49"/>
      <c r="UO25" s="49"/>
      <c r="UP25" s="49"/>
      <c r="UQ25" s="49"/>
      <c r="UR25" s="49"/>
      <c r="US25" s="49"/>
      <c r="UT25" s="49"/>
      <c r="UU25" s="49"/>
      <c r="UV25" s="49"/>
      <c r="UW25" s="49"/>
      <c r="UX25" s="49"/>
      <c r="UY25" s="49"/>
      <c r="UZ25" s="49"/>
      <c r="VA25" s="49"/>
      <c r="VB25" s="49" t="s">
        <v>59</v>
      </c>
      <c r="VC25" s="49" t="s">
        <v>59</v>
      </c>
      <c r="VD25" s="49" t="s">
        <v>59</v>
      </c>
      <c r="VE25" s="49" t="s">
        <v>59</v>
      </c>
      <c r="VF25" s="49" t="s">
        <v>59</v>
      </c>
      <c r="VG25" s="49" t="s">
        <v>59</v>
      </c>
      <c r="VH25" s="49"/>
      <c r="VI25" s="49"/>
      <c r="VJ25" s="49"/>
      <c r="VK25" s="49"/>
      <c r="VL25" s="49"/>
      <c r="VM25" s="49"/>
      <c r="VN25" s="49"/>
      <c r="VO25" s="49"/>
      <c r="VP25" s="49"/>
      <c r="VQ25" s="49"/>
      <c r="VR25" s="49"/>
      <c r="VS25" s="49"/>
      <c r="VT25" s="49"/>
      <c r="VU25" s="49"/>
      <c r="VV25" s="49"/>
      <c r="VW25" s="49"/>
      <c r="VX25" s="49"/>
      <c r="VY25" s="49"/>
      <c r="VZ25" s="49"/>
      <c r="WA25" s="49"/>
      <c r="WB25" s="49"/>
      <c r="WC25" s="49"/>
      <c r="WD25" s="49"/>
      <c r="WE25" s="49"/>
      <c r="WF25" s="49"/>
      <c r="WG25" s="49"/>
      <c r="WH25" s="49"/>
      <c r="WI25" s="49"/>
      <c r="WJ25" s="49"/>
      <c r="WK25" s="49"/>
      <c r="WL25" s="49"/>
      <c r="WM25" s="49"/>
      <c r="WN25" s="49"/>
      <c r="WO25" s="49"/>
      <c r="WP25" s="49"/>
      <c r="WQ25" s="49"/>
      <c r="WR25" s="49"/>
      <c r="WS25" s="49"/>
      <c r="WT25" s="49"/>
      <c r="WU25" s="49"/>
      <c r="WV25" s="49"/>
      <c r="WW25" s="49"/>
      <c r="WX25" s="49"/>
      <c r="WY25" s="49"/>
      <c r="WZ25" s="49"/>
      <c r="XA25" s="49"/>
      <c r="XB25" s="49"/>
      <c r="XC25" s="49"/>
      <c r="XD25" s="49"/>
      <c r="XE25" s="49"/>
      <c r="XF25" s="49"/>
      <c r="XG25" s="49"/>
      <c r="XH25" s="49"/>
      <c r="XI25" s="49"/>
      <c r="XJ25" s="49"/>
      <c r="XK25" s="49"/>
      <c r="XL25" s="49"/>
      <c r="XM25" s="49"/>
      <c r="XN25" s="49"/>
      <c r="XO25" s="49"/>
      <c r="XP25" s="49"/>
      <c r="XQ25" s="49" t="s">
        <v>13</v>
      </c>
      <c r="XR25" s="49" t="s">
        <v>13</v>
      </c>
      <c r="XS25" s="49" t="s">
        <v>13</v>
      </c>
      <c r="XT25" s="49" t="s">
        <v>13</v>
      </c>
      <c r="XU25" s="49" t="s">
        <v>13</v>
      </c>
      <c r="XV25" s="49" t="s">
        <v>59</v>
      </c>
      <c r="XW25" s="49" t="s">
        <v>13</v>
      </c>
      <c r="XX25" s="49" t="s">
        <v>13</v>
      </c>
      <c r="XY25" s="49" t="s">
        <v>13</v>
      </c>
      <c r="XZ25" s="49" t="s">
        <v>13</v>
      </c>
      <c r="YA25" s="49" t="s">
        <v>13</v>
      </c>
      <c r="YB25" s="49" t="s">
        <v>13</v>
      </c>
      <c r="YC25" s="49" t="s">
        <v>20</v>
      </c>
      <c r="YD25" s="49" t="s">
        <v>20</v>
      </c>
      <c r="YE25" s="49" t="s">
        <v>13</v>
      </c>
      <c r="YF25" s="49" t="s">
        <v>20</v>
      </c>
      <c r="YG25" s="49" t="s">
        <v>20</v>
      </c>
      <c r="YH25" s="49"/>
      <c r="YI25" s="49"/>
      <c r="YJ25" s="49" t="s">
        <v>20</v>
      </c>
      <c r="YK25" s="49" t="s">
        <v>59</v>
      </c>
      <c r="YL25" s="49" t="s">
        <v>13</v>
      </c>
      <c r="YM25" s="122"/>
      <c r="YN25" s="122"/>
      <c r="YO25" s="49"/>
      <c r="YP25" s="49"/>
      <c r="YQ25" s="49"/>
      <c r="YR25" s="49"/>
      <c r="YS25" s="49"/>
      <c r="YT25" s="122"/>
    </row>
    <row r="26" spans="1:670" s="26" customFormat="1" ht="12.1" customHeight="1" x14ac:dyDescent="0.25">
      <c r="A26" s="532" t="s">
        <v>1736</v>
      </c>
      <c r="B26" s="509" t="s">
        <v>263</v>
      </c>
      <c r="C26" s="509" t="s">
        <v>1</v>
      </c>
      <c r="D26" s="509" t="s">
        <v>2</v>
      </c>
      <c r="E26" s="510" t="s">
        <v>3</v>
      </c>
      <c r="F26" s="510" t="s">
        <v>379</v>
      </c>
      <c r="G26" s="510" t="s">
        <v>122</v>
      </c>
      <c r="H26" s="510" t="s">
        <v>234</v>
      </c>
      <c r="I26" s="510" t="s">
        <v>77</v>
      </c>
      <c r="J26" s="511" t="s">
        <v>4</v>
      </c>
      <c r="K26" s="511" t="s">
        <v>5</v>
      </c>
      <c r="L26" s="511"/>
      <c r="M26" s="511" t="s">
        <v>71</v>
      </c>
      <c r="N26" s="511" t="s">
        <v>72</v>
      </c>
      <c r="O26" s="511" t="s">
        <v>73</v>
      </c>
      <c r="P26" s="511" t="s">
        <v>102</v>
      </c>
      <c r="Q26" s="511" t="s">
        <v>103</v>
      </c>
      <c r="R26" s="511" t="s">
        <v>104</v>
      </c>
      <c r="S26" s="511" t="s">
        <v>105</v>
      </c>
      <c r="T26" s="511" t="s">
        <v>110</v>
      </c>
      <c r="U26" s="511" t="s">
        <v>8</v>
      </c>
      <c r="V26" s="511" t="s">
        <v>9</v>
      </c>
      <c r="W26" s="511" t="s">
        <v>106</v>
      </c>
      <c r="X26" s="511" t="s">
        <v>21</v>
      </c>
      <c r="Y26" s="511" t="s">
        <v>254</v>
      </c>
      <c r="Z26" s="511" t="s">
        <v>6</v>
      </c>
      <c r="AA26" s="511" t="s">
        <v>7</v>
      </c>
      <c r="AB26" s="511" t="s">
        <v>107</v>
      </c>
      <c r="AC26" s="511" t="s">
        <v>19</v>
      </c>
      <c r="AD26" s="511" t="s">
        <v>22</v>
      </c>
      <c r="AE26" s="511" t="s">
        <v>1224</v>
      </c>
      <c r="AF26" s="511" t="s">
        <v>1225</v>
      </c>
      <c r="AG26" s="511" t="s">
        <v>23</v>
      </c>
      <c r="AH26" s="511" t="s">
        <v>117</v>
      </c>
      <c r="AI26" s="511" t="s">
        <v>867</v>
      </c>
      <c r="AJ26" s="511" t="s">
        <v>126</v>
      </c>
      <c r="AK26" s="511" t="s">
        <v>75</v>
      </c>
      <c r="AL26" s="511" t="s">
        <v>108</v>
      </c>
      <c r="AM26" s="511" t="s">
        <v>109</v>
      </c>
      <c r="AN26" s="511" t="s">
        <v>259</v>
      </c>
      <c r="AO26" s="511" t="s">
        <v>260</v>
      </c>
      <c r="AP26" s="511" t="s">
        <v>1022</v>
      </c>
      <c r="AQ26" s="511" t="s">
        <v>695</v>
      </c>
      <c r="AR26" s="511" t="s">
        <v>697</v>
      </c>
      <c r="AS26" s="511" t="s">
        <v>698</v>
      </c>
      <c r="AT26" s="511" t="s">
        <v>692</v>
      </c>
      <c r="AU26" s="511"/>
      <c r="AV26" s="511"/>
      <c r="AW26" s="511"/>
      <c r="AX26" s="511"/>
      <c r="AY26" s="511"/>
      <c r="AZ26" s="511"/>
      <c r="BA26" s="511"/>
      <c r="BB26" s="511"/>
      <c r="BC26" s="511"/>
      <c r="BD26" s="511"/>
      <c r="BE26" s="511"/>
      <c r="BF26" s="511"/>
      <c r="BG26" s="511"/>
      <c r="BH26" s="511"/>
      <c r="BI26" s="511" t="s">
        <v>1226</v>
      </c>
      <c r="BJ26" s="511" t="s">
        <v>1227</v>
      </c>
      <c r="BK26" s="511" t="s">
        <v>883</v>
      </c>
      <c r="BL26" s="511" t="s">
        <v>70</v>
      </c>
      <c r="BM26" s="511" t="s">
        <v>34</v>
      </c>
      <c r="BN26" s="511" t="s">
        <v>35</v>
      </c>
      <c r="BO26" s="511" t="s">
        <v>144</v>
      </c>
      <c r="BP26" s="511" t="s">
        <v>96</v>
      </c>
      <c r="BQ26" s="511" t="s">
        <v>41</v>
      </c>
      <c r="BR26" s="511" t="s">
        <v>127</v>
      </c>
      <c r="BS26" s="511" t="s">
        <v>142</v>
      </c>
      <c r="BT26" s="511" t="s">
        <v>95</v>
      </c>
      <c r="BU26" s="511" t="s">
        <v>39</v>
      </c>
      <c r="BV26" s="511" t="s">
        <v>143</v>
      </c>
      <c r="BW26" s="511" t="s">
        <v>36</v>
      </c>
      <c r="BX26" s="511" t="s">
        <v>37</v>
      </c>
      <c r="BY26" s="511"/>
      <c r="BZ26" s="511" t="s">
        <v>56</v>
      </c>
      <c r="CA26" s="511"/>
      <c r="CB26" s="511"/>
      <c r="CC26" s="511" t="s">
        <v>135</v>
      </c>
      <c r="CD26" s="511" t="s">
        <v>868</v>
      </c>
      <c r="CE26" s="511"/>
      <c r="CF26" s="511" t="s">
        <v>136</v>
      </c>
      <c r="CG26" s="511" t="s">
        <v>208</v>
      </c>
      <c r="CH26" s="511" t="s">
        <v>301</v>
      </c>
      <c r="CI26" s="511"/>
      <c r="CJ26" s="511" t="s">
        <v>1229</v>
      </c>
      <c r="CK26" s="511" t="s">
        <v>1230</v>
      </c>
      <c r="CL26" s="511" t="s">
        <v>1231</v>
      </c>
      <c r="CM26" s="511"/>
      <c r="CN26" s="511" t="s">
        <v>128</v>
      </c>
      <c r="CO26" s="511" t="s">
        <v>40</v>
      </c>
      <c r="CP26" s="511" t="s">
        <v>38</v>
      </c>
      <c r="CQ26" s="511" t="s">
        <v>93</v>
      </c>
      <c r="CR26" s="511"/>
      <c r="CS26" s="511" t="s">
        <v>679</v>
      </c>
      <c r="CT26" s="511" t="s">
        <v>1014</v>
      </c>
      <c r="CU26" s="511" t="s">
        <v>64</v>
      </c>
      <c r="CV26" s="511" t="s">
        <v>65</v>
      </c>
      <c r="CW26" s="512"/>
      <c r="CX26" s="511" t="s">
        <v>179</v>
      </c>
      <c r="CY26" s="511" t="s">
        <v>845</v>
      </c>
      <c r="CZ26" s="511" t="s">
        <v>192</v>
      </c>
      <c r="DA26" s="512"/>
      <c r="DB26" s="512"/>
      <c r="DC26" s="512"/>
      <c r="DD26" s="512"/>
      <c r="DE26" s="511" t="s">
        <v>46</v>
      </c>
      <c r="DF26" s="511" t="s">
        <v>42</v>
      </c>
      <c r="DG26" s="511"/>
      <c r="DH26" s="511"/>
      <c r="DI26" s="511" t="s">
        <v>1232</v>
      </c>
      <c r="DJ26" s="511"/>
      <c r="DK26" s="511"/>
      <c r="DL26" s="511" t="s">
        <v>44</v>
      </c>
      <c r="DM26" s="511" t="s">
        <v>63</v>
      </c>
      <c r="DN26" s="511" t="s">
        <v>113</v>
      </c>
      <c r="DO26" s="511" t="s">
        <v>268</v>
      </c>
      <c r="DP26" s="511" t="s">
        <v>101</v>
      </c>
      <c r="DQ26" s="511" t="s">
        <v>269</v>
      </c>
      <c r="DR26" s="511" t="s">
        <v>590</v>
      </c>
      <c r="DS26" s="511" t="s">
        <v>599</v>
      </c>
      <c r="DT26" s="511" t="s">
        <v>24</v>
      </c>
      <c r="DU26" s="511" t="s">
        <v>26</v>
      </c>
      <c r="DV26" s="511" t="s">
        <v>28</v>
      </c>
      <c r="DW26" s="511" t="s">
        <v>25</v>
      </c>
      <c r="DX26" s="511" t="s">
        <v>27</v>
      </c>
      <c r="DY26" s="511" t="s">
        <v>29</v>
      </c>
      <c r="DZ26" s="511" t="s">
        <v>488</v>
      </c>
      <c r="EA26" s="511" t="s">
        <v>598</v>
      </c>
      <c r="EB26" s="511" t="s">
        <v>489</v>
      </c>
      <c r="EC26" s="511" t="s">
        <v>506</v>
      </c>
      <c r="ED26" s="511" t="s">
        <v>507</v>
      </c>
      <c r="EE26" s="511" t="s">
        <v>508</v>
      </c>
      <c r="EF26" s="511" t="s">
        <v>681</v>
      </c>
      <c r="EG26" s="511" t="s">
        <v>682</v>
      </c>
      <c r="EH26" s="511" t="s">
        <v>30</v>
      </c>
      <c r="EI26" s="511" t="s">
        <v>32</v>
      </c>
      <c r="EJ26" s="511" t="s">
        <v>33</v>
      </c>
      <c r="EK26" s="511" t="s">
        <v>270</v>
      </c>
      <c r="EL26" s="511"/>
      <c r="EM26" s="511" t="s">
        <v>271</v>
      </c>
      <c r="EN26" s="511" t="s">
        <v>277</v>
      </c>
      <c r="EO26" s="511"/>
      <c r="EP26" s="511"/>
      <c r="EQ26" s="511"/>
      <c r="ER26" s="511"/>
      <c r="ES26" s="511"/>
      <c r="ET26" s="511"/>
      <c r="EU26" s="511" t="s">
        <v>1055</v>
      </c>
      <c r="EV26" s="511"/>
      <c r="EW26" s="511" t="s">
        <v>1070</v>
      </c>
      <c r="EX26" s="511"/>
      <c r="EY26" s="511"/>
      <c r="EZ26" s="511"/>
      <c r="FA26" s="511"/>
      <c r="FB26" s="511" t="s">
        <v>284</v>
      </c>
      <c r="FC26" s="511"/>
      <c r="FD26" s="511"/>
      <c r="FE26" s="511"/>
      <c r="FF26" s="511"/>
      <c r="FG26" s="513" t="s">
        <v>1681</v>
      </c>
      <c r="FH26" s="513"/>
      <c r="FI26" s="513"/>
      <c r="FJ26" s="511"/>
      <c r="FK26" s="511"/>
      <c r="FL26" s="513"/>
      <c r="FM26" s="513"/>
      <c r="FN26" s="511"/>
      <c r="FO26" s="513" t="s">
        <v>866</v>
      </c>
      <c r="FP26" s="511"/>
      <c r="FQ26" s="511"/>
      <c r="FR26" s="511"/>
      <c r="FS26" s="511"/>
      <c r="FT26" s="511"/>
      <c r="FU26" s="511" t="s">
        <v>257</v>
      </c>
      <c r="FV26" s="511" t="s">
        <v>194</v>
      </c>
      <c r="FW26" s="511"/>
      <c r="FX26" s="513"/>
      <c r="FY26" s="513" t="s">
        <v>1781</v>
      </c>
      <c r="FZ26" s="513"/>
      <c r="GA26" s="513" t="s">
        <v>1783</v>
      </c>
      <c r="GB26" s="513" t="s">
        <v>1682</v>
      </c>
      <c r="GC26" s="513"/>
      <c r="GD26" s="513"/>
      <c r="GE26" s="513"/>
      <c r="GF26" s="513"/>
      <c r="GG26" s="513" t="s">
        <v>1683</v>
      </c>
      <c r="GH26" s="513" t="s">
        <v>1684</v>
      </c>
      <c r="GI26" s="511"/>
      <c r="GJ26" s="511"/>
      <c r="GK26" s="511"/>
      <c r="GL26" s="514"/>
      <c r="GM26" s="514"/>
      <c r="GN26" s="515"/>
      <c r="GO26" s="515"/>
      <c r="GP26" s="515" t="s">
        <v>227</v>
      </c>
      <c r="GQ26" s="512" t="s">
        <v>1247</v>
      </c>
      <c r="GR26" s="511" t="s">
        <v>2316</v>
      </c>
      <c r="GS26" s="511"/>
      <c r="GT26" s="511"/>
      <c r="GU26" s="511"/>
      <c r="GV26" s="511"/>
      <c r="GW26" s="511"/>
      <c r="GX26" s="511"/>
      <c r="GY26" s="516"/>
      <c r="GZ26" s="511"/>
      <c r="HA26" s="511" t="s">
        <v>1644</v>
      </c>
      <c r="HB26" s="511"/>
      <c r="HC26" s="511"/>
      <c r="HD26" s="511"/>
      <c r="HE26" s="511"/>
      <c r="HF26" s="511"/>
      <c r="HG26" s="511"/>
      <c r="HH26" s="517"/>
      <c r="HI26" s="517"/>
      <c r="HJ26" s="517"/>
      <c r="HK26" s="517"/>
      <c r="HL26" s="517"/>
      <c r="HM26" s="517"/>
      <c r="HN26" s="517"/>
      <c r="HO26" s="517"/>
      <c r="HP26" s="517"/>
      <c r="HQ26" s="517"/>
      <c r="HR26" s="516"/>
      <c r="HS26" s="513"/>
      <c r="HT26" s="511" t="s">
        <v>182</v>
      </c>
      <c r="HU26" s="516"/>
      <c r="HV26" s="511"/>
      <c r="HW26" s="516"/>
      <c r="HX26" s="511"/>
      <c r="HY26" s="516"/>
      <c r="HZ26" s="511"/>
      <c r="IA26" s="511"/>
      <c r="IB26" s="511"/>
      <c r="IC26" s="511"/>
      <c r="ID26" s="511"/>
      <c r="IE26" s="511"/>
      <c r="IF26" s="511"/>
      <c r="IG26" s="511" t="s">
        <v>325</v>
      </c>
      <c r="IH26" s="512"/>
      <c r="II26" s="512"/>
      <c r="IJ26" s="512"/>
      <c r="IK26" s="511"/>
      <c r="IL26" s="511"/>
      <c r="IM26" s="511"/>
      <c r="IN26" s="511"/>
      <c r="IO26" s="511"/>
      <c r="IP26" s="511"/>
      <c r="IQ26" s="511"/>
      <c r="IR26" s="511"/>
      <c r="IS26" s="511"/>
      <c r="IT26" s="511"/>
      <c r="IU26" s="511"/>
      <c r="IV26" s="511"/>
      <c r="IW26" s="511"/>
      <c r="IX26" s="511"/>
      <c r="IY26" s="511"/>
      <c r="IZ26" s="511"/>
      <c r="JA26" s="511"/>
      <c r="JB26" s="511"/>
      <c r="JC26" s="511"/>
      <c r="JD26" s="511"/>
      <c r="JE26" s="511"/>
      <c r="JF26" s="511"/>
      <c r="JG26" s="511"/>
      <c r="JH26" s="511"/>
      <c r="JI26" s="511"/>
      <c r="JJ26" s="511"/>
      <c r="JK26" s="511"/>
      <c r="JL26" s="511"/>
      <c r="JM26" s="511"/>
      <c r="JN26" s="514"/>
      <c r="JO26" s="514"/>
      <c r="JP26" s="511"/>
      <c r="JQ26" s="511"/>
      <c r="JR26" s="511"/>
      <c r="JS26" s="511"/>
      <c r="JT26" s="511"/>
      <c r="JU26" s="511"/>
      <c r="JV26" s="511"/>
      <c r="JW26" s="511"/>
      <c r="JX26" s="511"/>
      <c r="JY26" s="511"/>
      <c r="JZ26" s="511"/>
      <c r="KA26" s="511"/>
      <c r="KB26" s="511"/>
      <c r="KC26" s="511"/>
      <c r="KD26" s="511"/>
      <c r="KE26" s="511"/>
      <c r="KF26" s="511"/>
      <c r="KG26" s="511"/>
      <c r="KH26" s="511"/>
      <c r="KI26" s="511"/>
      <c r="KJ26" s="511"/>
      <c r="KK26" s="511"/>
      <c r="KL26" s="511"/>
      <c r="KM26" s="511"/>
      <c r="KN26" s="511"/>
      <c r="KO26" s="511"/>
      <c r="KP26" s="511"/>
      <c r="KQ26" s="511"/>
      <c r="KR26" s="511"/>
      <c r="KS26" s="511"/>
      <c r="KT26" s="511"/>
      <c r="KU26" s="511"/>
      <c r="KV26" s="511"/>
      <c r="KW26" s="511"/>
      <c r="KX26" s="511"/>
      <c r="KY26" s="511"/>
      <c r="KZ26" s="511"/>
      <c r="LA26" s="511"/>
      <c r="LB26" s="511"/>
      <c r="LC26" s="511"/>
      <c r="LD26" s="511"/>
      <c r="LE26" s="511"/>
      <c r="LF26" s="511"/>
      <c r="LG26" s="511"/>
      <c r="LH26" s="511"/>
      <c r="LI26" s="511"/>
      <c r="LJ26" s="511"/>
      <c r="LK26" s="511"/>
      <c r="LL26" s="511"/>
      <c r="LM26" s="511"/>
      <c r="LN26" s="518" t="s">
        <v>330</v>
      </c>
      <c r="LO26" s="511"/>
      <c r="LP26" s="511"/>
      <c r="LQ26" s="511"/>
      <c r="LR26" s="511"/>
      <c r="LS26" s="511"/>
      <c r="LT26" s="511"/>
      <c r="LU26" s="511"/>
      <c r="LV26" s="511"/>
      <c r="LW26" s="511"/>
      <c r="LX26" s="511"/>
      <c r="LY26" s="511"/>
      <c r="LZ26" s="511"/>
      <c r="MA26" s="511"/>
      <c r="MB26" s="511"/>
      <c r="MC26" s="511"/>
      <c r="MD26" s="511"/>
      <c r="ME26" s="511"/>
      <c r="MF26" s="511"/>
      <c r="MG26" s="511"/>
      <c r="MH26" s="511"/>
      <c r="MI26" s="511"/>
      <c r="MJ26" s="511"/>
      <c r="MK26" s="511"/>
      <c r="ML26" s="511"/>
      <c r="MM26" s="511"/>
      <c r="MN26" s="511"/>
      <c r="MO26" s="511"/>
      <c r="MP26" s="511"/>
      <c r="MQ26" s="511"/>
      <c r="MR26" s="511"/>
      <c r="MS26" s="511"/>
      <c r="MT26" s="511"/>
      <c r="MU26" s="511"/>
      <c r="MV26" s="511"/>
      <c r="MW26" s="511"/>
      <c r="MX26" s="511"/>
      <c r="MY26" s="511"/>
      <c r="MZ26" s="511"/>
      <c r="NA26" s="511"/>
      <c r="NB26" s="511"/>
      <c r="NC26" s="511"/>
      <c r="ND26" s="511"/>
      <c r="NE26" s="511"/>
      <c r="NF26" s="511" t="s">
        <v>94</v>
      </c>
      <c r="NG26" s="511"/>
      <c r="NH26" s="511" t="s">
        <v>734</v>
      </c>
      <c r="NI26" s="511"/>
      <c r="NJ26" s="511" t="s">
        <v>91</v>
      </c>
      <c r="NK26" s="511"/>
      <c r="NL26" s="511" t="s">
        <v>1685</v>
      </c>
      <c r="NM26" s="511" t="s">
        <v>742</v>
      </c>
      <c r="NN26" s="511"/>
      <c r="NO26" s="511" t="s">
        <v>743</v>
      </c>
      <c r="NP26" s="511" t="s">
        <v>92</v>
      </c>
      <c r="NQ26" s="511"/>
      <c r="NR26" s="511"/>
      <c r="NS26" s="511"/>
      <c r="NT26" s="511"/>
      <c r="NU26" s="511"/>
      <c r="NV26" s="511"/>
      <c r="NW26" s="511"/>
      <c r="NX26" s="511"/>
      <c r="NY26" s="511"/>
      <c r="NZ26" s="511"/>
      <c r="OA26" s="511"/>
      <c r="OB26" s="511"/>
      <c r="OC26" s="511"/>
      <c r="OD26" s="511"/>
      <c r="OE26" s="511"/>
      <c r="OF26" s="511"/>
      <c r="OG26" s="511"/>
      <c r="OH26" s="511"/>
      <c r="OI26" s="511"/>
      <c r="OJ26" s="511"/>
      <c r="OK26" s="511"/>
      <c r="OL26" s="511"/>
      <c r="OM26" s="511"/>
      <c r="ON26" s="511"/>
      <c r="OO26" s="511"/>
      <c r="OP26" s="511"/>
      <c r="OQ26" s="511"/>
      <c r="OR26" s="511"/>
      <c r="OS26" s="511"/>
      <c r="OT26" s="511"/>
      <c r="OU26" s="511"/>
      <c r="OV26" s="511"/>
      <c r="OW26" s="511"/>
      <c r="OX26" s="511"/>
      <c r="OY26" s="511"/>
      <c r="OZ26" s="511"/>
      <c r="PA26" s="511"/>
      <c r="PB26" s="511"/>
      <c r="PC26" s="511"/>
      <c r="PD26" s="511"/>
      <c r="PE26" s="511"/>
      <c r="PF26" s="511"/>
      <c r="PG26" s="511"/>
      <c r="PH26" s="511"/>
      <c r="PI26" s="511"/>
      <c r="PJ26" s="511"/>
      <c r="PK26" s="511"/>
      <c r="PL26" s="511"/>
      <c r="PM26" s="511"/>
      <c r="PN26" s="511"/>
      <c r="PO26" s="511"/>
      <c r="PP26" s="511"/>
      <c r="PQ26" s="511"/>
      <c r="PR26" s="511"/>
      <c r="PS26" s="511"/>
      <c r="PT26" s="511"/>
      <c r="PU26" s="511"/>
      <c r="PV26" s="511"/>
      <c r="PW26" s="511"/>
      <c r="PX26" s="511"/>
      <c r="PY26" s="511"/>
      <c r="PZ26" s="511" t="s">
        <v>1686</v>
      </c>
      <c r="QA26" s="511"/>
      <c r="QB26" s="511"/>
      <c r="QC26" s="511"/>
      <c r="QD26" s="511"/>
      <c r="QE26" s="511"/>
      <c r="QF26" s="511"/>
      <c r="QG26" s="511"/>
      <c r="QH26" s="511" t="s">
        <v>1687</v>
      </c>
      <c r="QI26" s="511"/>
      <c r="QJ26" s="511"/>
      <c r="QK26" s="511"/>
      <c r="QL26" s="511"/>
      <c r="QM26" s="511"/>
      <c r="QN26" s="511"/>
      <c r="QO26" s="511"/>
      <c r="QP26" s="511"/>
      <c r="QQ26" s="511"/>
      <c r="QR26" s="511"/>
      <c r="QS26" s="511"/>
      <c r="QT26" s="511"/>
      <c r="QU26" s="511"/>
      <c r="QV26" s="511"/>
      <c r="QW26" s="511"/>
      <c r="QX26" s="511"/>
      <c r="QY26" s="511"/>
      <c r="QZ26" s="511"/>
      <c r="RA26" s="511"/>
      <c r="RB26" s="511"/>
      <c r="RC26" s="511"/>
      <c r="RD26" s="511"/>
      <c r="RE26" s="511"/>
      <c r="RF26" s="511"/>
      <c r="RG26" s="511"/>
      <c r="RH26" s="511"/>
      <c r="RI26" s="511"/>
      <c r="RJ26" s="511"/>
      <c r="RK26" s="511"/>
      <c r="RL26" s="511"/>
      <c r="RM26" s="511"/>
      <c r="RN26" s="511"/>
      <c r="RO26" s="511"/>
      <c r="RP26" s="511"/>
      <c r="RQ26" s="511"/>
      <c r="RR26" s="511"/>
      <c r="RS26" s="511"/>
      <c r="RT26" s="511"/>
      <c r="RU26" s="511"/>
      <c r="RV26" s="511"/>
      <c r="RW26" s="511"/>
      <c r="RX26" s="511" t="s">
        <v>1262</v>
      </c>
      <c r="RY26" s="519" t="s">
        <v>1074</v>
      </c>
      <c r="RZ26" s="511"/>
      <c r="SA26" s="511"/>
      <c r="SB26" s="511"/>
      <c r="SC26" s="511"/>
      <c r="SD26" s="511" t="s">
        <v>556</v>
      </c>
      <c r="SE26" s="511"/>
      <c r="SF26" s="511"/>
      <c r="SG26" s="511"/>
      <c r="SH26" s="511"/>
      <c r="SI26" s="511"/>
      <c r="SJ26" s="511"/>
      <c r="SK26" s="511"/>
      <c r="SL26" s="511"/>
      <c r="SM26" s="511"/>
      <c r="SN26" s="511"/>
      <c r="SO26" s="511" t="s">
        <v>1688</v>
      </c>
      <c r="SP26" s="511"/>
      <c r="SQ26" s="511"/>
      <c r="SR26" s="511"/>
      <c r="SS26" s="511"/>
      <c r="ST26" s="511"/>
      <c r="SU26" s="511"/>
      <c r="SV26" s="511"/>
      <c r="SW26" s="511"/>
      <c r="SX26" s="511"/>
      <c r="SY26" s="511"/>
      <c r="SZ26" s="511"/>
      <c r="TA26" s="511"/>
      <c r="TB26" s="511"/>
      <c r="TC26" s="511"/>
      <c r="TD26" s="511"/>
      <c r="TE26" s="511"/>
      <c r="TF26" s="511"/>
      <c r="TG26" s="511"/>
      <c r="TH26" s="511"/>
      <c r="TI26" s="511"/>
      <c r="TJ26" s="511"/>
      <c r="TK26" s="511"/>
      <c r="TL26" s="511"/>
      <c r="TM26" s="511"/>
      <c r="TN26" s="511"/>
      <c r="TO26" s="511"/>
      <c r="TP26" s="511"/>
      <c r="TQ26" s="515"/>
      <c r="TR26" s="515"/>
      <c r="TS26" s="515"/>
      <c r="TT26" s="515"/>
      <c r="TU26" s="515"/>
      <c r="TV26" s="515"/>
      <c r="TW26" s="511"/>
      <c r="TX26" s="511"/>
      <c r="TY26" s="511"/>
      <c r="TZ26" s="511"/>
      <c r="UA26" s="511"/>
      <c r="UB26" s="511"/>
      <c r="UC26" s="511"/>
      <c r="UD26" s="511"/>
      <c r="UE26" s="511"/>
      <c r="UF26" s="511"/>
      <c r="UG26" s="511"/>
      <c r="UH26" s="511"/>
      <c r="UI26" s="511"/>
      <c r="UJ26" s="511"/>
      <c r="UK26" s="511"/>
      <c r="UL26" s="511"/>
      <c r="UM26" s="511"/>
      <c r="UN26" s="511"/>
      <c r="UO26" s="511"/>
      <c r="UP26" s="511"/>
      <c r="UQ26" s="511"/>
      <c r="UR26" s="511"/>
      <c r="US26" s="511"/>
      <c r="UT26" s="511"/>
      <c r="UU26" s="511"/>
      <c r="UV26" s="511"/>
      <c r="UW26" s="511"/>
      <c r="UX26" s="511"/>
      <c r="UY26" s="511"/>
      <c r="UZ26" s="511"/>
      <c r="VA26" s="511"/>
      <c r="VB26" s="511"/>
      <c r="VC26" s="511"/>
      <c r="VD26" s="511"/>
      <c r="VE26" s="511"/>
      <c r="VF26" s="511"/>
      <c r="VG26" s="511"/>
      <c r="VH26" s="511"/>
      <c r="VI26" s="511"/>
      <c r="VJ26" s="511"/>
      <c r="VK26" s="511"/>
      <c r="VL26" s="511"/>
      <c r="VM26" s="511"/>
      <c r="VN26" s="511"/>
      <c r="VO26" s="511"/>
      <c r="VP26" s="511"/>
      <c r="VQ26" s="511"/>
      <c r="VR26" s="511"/>
      <c r="VS26" s="511"/>
      <c r="VT26" s="511"/>
      <c r="VU26" s="511"/>
      <c r="VV26" s="511"/>
      <c r="VW26" s="511"/>
      <c r="VX26" s="511"/>
      <c r="VY26" s="511"/>
      <c r="VZ26" s="511"/>
      <c r="WA26" s="511"/>
      <c r="WB26" s="511"/>
      <c r="WC26" s="511"/>
      <c r="WD26" s="511"/>
      <c r="WE26" s="511"/>
      <c r="WF26" s="511"/>
      <c r="WG26" s="511"/>
      <c r="WH26" s="511"/>
      <c r="WI26" s="511"/>
      <c r="WJ26" s="511"/>
      <c r="WK26" s="511"/>
      <c r="WL26" s="511"/>
      <c r="WM26" s="511"/>
      <c r="WN26" s="511"/>
      <c r="WO26" s="511"/>
      <c r="WP26" s="511"/>
      <c r="WQ26" s="511"/>
      <c r="WR26" s="511"/>
      <c r="WS26" s="511"/>
      <c r="WT26" s="511"/>
      <c r="WU26" s="511"/>
      <c r="WV26" s="511"/>
      <c r="WW26" s="511"/>
      <c r="WX26" s="511"/>
      <c r="WY26" s="511"/>
      <c r="WZ26" s="511"/>
      <c r="XA26" s="511"/>
      <c r="XB26" s="511"/>
      <c r="XC26" s="511"/>
      <c r="XD26" s="511"/>
      <c r="XE26" s="511"/>
      <c r="XF26" s="511"/>
      <c r="XG26" s="511"/>
      <c r="XH26" s="511"/>
      <c r="XI26" s="511"/>
      <c r="XJ26" s="511"/>
      <c r="XK26" s="511"/>
      <c r="XL26" s="511"/>
      <c r="XM26" s="511"/>
      <c r="XN26" s="511"/>
      <c r="XO26" s="511"/>
      <c r="XP26" s="511"/>
      <c r="XQ26" s="511" t="s">
        <v>204</v>
      </c>
      <c r="XR26" s="511" t="s">
        <v>205</v>
      </c>
      <c r="XS26" s="511" t="s">
        <v>802</v>
      </c>
      <c r="XT26" s="511" t="s">
        <v>801</v>
      </c>
      <c r="XU26" s="511" t="s">
        <v>1100</v>
      </c>
      <c r="XV26" s="511"/>
      <c r="XW26" s="511" t="s">
        <v>800</v>
      </c>
      <c r="XX26" s="511" t="s">
        <v>1102</v>
      </c>
      <c r="XY26" s="511" t="s">
        <v>1103</v>
      </c>
      <c r="XZ26" s="511" t="s">
        <v>1104</v>
      </c>
      <c r="YA26" s="511" t="s">
        <v>1101</v>
      </c>
      <c r="YB26" s="511" t="s">
        <v>1105</v>
      </c>
      <c r="YC26" s="511" t="s">
        <v>1689</v>
      </c>
      <c r="YD26" s="511" t="s">
        <v>1779</v>
      </c>
      <c r="YE26" s="511" t="s">
        <v>1107</v>
      </c>
      <c r="YF26" s="511" t="s">
        <v>1690</v>
      </c>
      <c r="YG26" s="511" t="s">
        <v>1691</v>
      </c>
      <c r="YH26" s="511"/>
      <c r="YI26" s="511"/>
      <c r="YJ26" s="511" t="s">
        <v>1692</v>
      </c>
      <c r="YK26" s="511"/>
      <c r="YL26" s="511" t="s">
        <v>807</v>
      </c>
      <c r="YM26" s="512"/>
      <c r="YN26" s="512"/>
      <c r="YO26" s="511"/>
      <c r="YP26" s="511"/>
      <c r="YQ26" s="511"/>
      <c r="YR26" s="511"/>
      <c r="YS26" s="511"/>
      <c r="YT26" s="512"/>
    </row>
    <row r="27" spans="1:670" s="26" customFormat="1" ht="12.1" customHeight="1" x14ac:dyDescent="0.25">
      <c r="A27" s="113" t="s">
        <v>1737</v>
      </c>
      <c r="B27" s="49" t="s">
        <v>13</v>
      </c>
      <c r="C27" s="49" t="s">
        <v>13</v>
      </c>
      <c r="D27" s="49" t="s">
        <v>13</v>
      </c>
      <c r="E27" s="49" t="s">
        <v>13</v>
      </c>
      <c r="F27" s="49" t="s">
        <v>59</v>
      </c>
      <c r="G27" s="49" t="s">
        <v>31</v>
      </c>
      <c r="H27" s="49" t="s">
        <v>13</v>
      </c>
      <c r="I27" s="49" t="s">
        <v>13</v>
      </c>
      <c r="J27" s="49" t="s">
        <v>13</v>
      </c>
      <c r="K27" s="49" t="s">
        <v>13</v>
      </c>
      <c r="L27" s="49"/>
      <c r="M27" s="49" t="s">
        <v>13</v>
      </c>
      <c r="N27" s="49" t="s">
        <v>13</v>
      </c>
      <c r="O27" s="49" t="s">
        <v>13</v>
      </c>
      <c r="P27" s="49" t="s">
        <v>13</v>
      </c>
      <c r="Q27" s="49" t="s">
        <v>13</v>
      </c>
      <c r="R27" s="49" t="s">
        <v>13</v>
      </c>
      <c r="S27" s="49" t="s">
        <v>13</v>
      </c>
      <c r="T27" s="49" t="s">
        <v>13</v>
      </c>
      <c r="U27" s="49" t="s">
        <v>13</v>
      </c>
      <c r="V27" s="49" t="s">
        <v>13</v>
      </c>
      <c r="W27" s="49" t="s">
        <v>13</v>
      </c>
      <c r="X27" s="49" t="s">
        <v>13</v>
      </c>
      <c r="Y27" s="49" t="s">
        <v>13</v>
      </c>
      <c r="Z27" s="49" t="s">
        <v>13</v>
      </c>
      <c r="AA27" s="49" t="s">
        <v>13</v>
      </c>
      <c r="AB27" s="49" t="s">
        <v>13</v>
      </c>
      <c r="AC27" s="49" t="s">
        <v>59</v>
      </c>
      <c r="AD27" s="49" t="s">
        <v>13</v>
      </c>
      <c r="AE27" s="49" t="s">
        <v>13</v>
      </c>
      <c r="AF27" s="49" t="s">
        <v>13</v>
      </c>
      <c r="AG27" s="49" t="s">
        <v>13</v>
      </c>
      <c r="AH27" s="49" t="s">
        <v>13</v>
      </c>
      <c r="AI27" s="49" t="s">
        <v>13</v>
      </c>
      <c r="AJ27" s="49" t="s">
        <v>13</v>
      </c>
      <c r="AK27" s="49" t="s">
        <v>13</v>
      </c>
      <c r="AL27" s="49" t="s">
        <v>13</v>
      </c>
      <c r="AM27" s="49" t="s">
        <v>13</v>
      </c>
      <c r="AN27" s="49" t="s">
        <v>13</v>
      </c>
      <c r="AO27" s="49" t="s">
        <v>13</v>
      </c>
      <c r="AP27" s="49" t="s">
        <v>13</v>
      </c>
      <c r="AQ27" s="49" t="s">
        <v>13</v>
      </c>
      <c r="AR27" s="49" t="s">
        <v>13</v>
      </c>
      <c r="AS27" s="49" t="s">
        <v>13</v>
      </c>
      <c r="AT27" s="49" t="s">
        <v>13</v>
      </c>
      <c r="AU27" s="49"/>
      <c r="AV27" s="49"/>
      <c r="AW27" s="49"/>
      <c r="AX27" s="49"/>
      <c r="AY27" s="49"/>
      <c r="AZ27" s="49"/>
      <c r="BA27" s="49"/>
      <c r="BB27" s="49"/>
      <c r="BC27" s="49"/>
      <c r="BD27" s="49"/>
      <c r="BE27" s="49"/>
      <c r="BF27" s="49"/>
      <c r="BG27" s="49"/>
      <c r="BH27" s="49"/>
      <c r="BI27" s="49" t="s">
        <v>13</v>
      </c>
      <c r="BJ27" s="49" t="s">
        <v>13</v>
      </c>
      <c r="BK27" s="49" t="s">
        <v>13</v>
      </c>
      <c r="BL27" s="49" t="s">
        <v>13</v>
      </c>
      <c r="BM27" s="49" t="s">
        <v>13</v>
      </c>
      <c r="BN27" s="49" t="s">
        <v>13</v>
      </c>
      <c r="BO27" s="49" t="s">
        <v>13</v>
      </c>
      <c r="BP27" s="49" t="s">
        <v>13</v>
      </c>
      <c r="BQ27" s="49" t="s">
        <v>13</v>
      </c>
      <c r="BR27" s="49" t="s">
        <v>13</v>
      </c>
      <c r="BS27" s="49" t="s">
        <v>13</v>
      </c>
      <c r="BT27" s="49" t="s">
        <v>13</v>
      </c>
      <c r="BU27" s="49" t="s">
        <v>13</v>
      </c>
      <c r="BV27" s="49" t="s">
        <v>13</v>
      </c>
      <c r="BW27" s="49" t="s">
        <v>13</v>
      </c>
      <c r="BX27" s="49" t="s">
        <v>13</v>
      </c>
      <c r="BY27" s="49"/>
      <c r="BZ27" s="49" t="s">
        <v>13</v>
      </c>
      <c r="CA27" s="49" t="s">
        <v>59</v>
      </c>
      <c r="CB27" s="49" t="s">
        <v>59</v>
      </c>
      <c r="CC27" s="49" t="s">
        <v>59</v>
      </c>
      <c r="CD27" s="49" t="s">
        <v>59</v>
      </c>
      <c r="CE27" s="49" t="s">
        <v>59</v>
      </c>
      <c r="CF27" s="49" t="s">
        <v>13</v>
      </c>
      <c r="CG27" s="49" t="s">
        <v>13</v>
      </c>
      <c r="CH27" s="49" t="s">
        <v>13</v>
      </c>
      <c r="CI27" s="49" t="s">
        <v>59</v>
      </c>
      <c r="CJ27" s="49" t="s">
        <v>13</v>
      </c>
      <c r="CK27" s="49" t="s">
        <v>13</v>
      </c>
      <c r="CL27" s="49" t="s">
        <v>13</v>
      </c>
      <c r="CM27" s="49"/>
      <c r="CN27" s="49" t="s">
        <v>13</v>
      </c>
      <c r="CO27" s="49" t="s">
        <v>13</v>
      </c>
      <c r="CP27" s="49" t="s">
        <v>13</v>
      </c>
      <c r="CQ27" s="49" t="s">
        <v>13</v>
      </c>
      <c r="CR27" s="49" t="s">
        <v>59</v>
      </c>
      <c r="CS27" s="49" t="s">
        <v>13</v>
      </c>
      <c r="CT27" s="49" t="s">
        <v>13</v>
      </c>
      <c r="CU27" s="49" t="s">
        <v>13</v>
      </c>
      <c r="CV27" s="49" t="s">
        <v>13</v>
      </c>
      <c r="CW27" s="122" t="s">
        <v>59</v>
      </c>
      <c r="CX27" s="49" t="s">
        <v>13</v>
      </c>
      <c r="CY27" s="49" t="s">
        <v>13</v>
      </c>
      <c r="CZ27" s="49" t="s">
        <v>13</v>
      </c>
      <c r="DA27" s="122"/>
      <c r="DB27" s="122"/>
      <c r="DC27" s="122"/>
      <c r="DD27" s="122"/>
      <c r="DE27" s="49" t="s">
        <v>13</v>
      </c>
      <c r="DF27" s="49" t="s">
        <v>13</v>
      </c>
      <c r="DG27" s="49"/>
      <c r="DH27" s="49"/>
      <c r="DI27" s="49" t="s">
        <v>13</v>
      </c>
      <c r="DJ27" s="49" t="s">
        <v>59</v>
      </c>
      <c r="DK27" s="49" t="s">
        <v>59</v>
      </c>
      <c r="DL27" s="49" t="s">
        <v>13</v>
      </c>
      <c r="DM27" s="49" t="s">
        <v>13</v>
      </c>
      <c r="DN27" s="49" t="s">
        <v>13</v>
      </c>
      <c r="DO27" s="49" t="s">
        <v>13</v>
      </c>
      <c r="DP27" s="49" t="s">
        <v>13</v>
      </c>
      <c r="DQ27" s="49" t="s">
        <v>13</v>
      </c>
      <c r="DR27" s="49" t="s">
        <v>13</v>
      </c>
      <c r="DS27" s="49" t="s">
        <v>13</v>
      </c>
      <c r="DT27" s="49" t="s">
        <v>13</v>
      </c>
      <c r="DU27" s="49" t="s">
        <v>13</v>
      </c>
      <c r="DV27" s="49" t="s">
        <v>13</v>
      </c>
      <c r="DW27" s="49" t="s">
        <v>13</v>
      </c>
      <c r="DX27" s="49" t="s">
        <v>13</v>
      </c>
      <c r="DY27" s="49" t="s">
        <v>13</v>
      </c>
      <c r="DZ27" s="49" t="s">
        <v>13</v>
      </c>
      <c r="EA27" s="49" t="s">
        <v>13</v>
      </c>
      <c r="EB27" s="49" t="s">
        <v>13</v>
      </c>
      <c r="EC27" s="49" t="s">
        <v>13</v>
      </c>
      <c r="ED27" s="49" t="s">
        <v>13</v>
      </c>
      <c r="EE27" s="49" t="s">
        <v>13</v>
      </c>
      <c r="EF27" s="49" t="s">
        <v>13</v>
      </c>
      <c r="EG27" s="49" t="s">
        <v>13</v>
      </c>
      <c r="EH27" s="49" t="s">
        <v>59</v>
      </c>
      <c r="EI27" s="49" t="s">
        <v>59</v>
      </c>
      <c r="EJ27" s="49" t="s">
        <v>59</v>
      </c>
      <c r="EK27" s="49" t="s">
        <v>13</v>
      </c>
      <c r="EL27" s="49"/>
      <c r="EM27" s="49" t="s">
        <v>13</v>
      </c>
      <c r="EN27" s="49" t="s">
        <v>13</v>
      </c>
      <c r="EO27" s="49"/>
      <c r="EP27" s="49"/>
      <c r="EQ27" s="49"/>
      <c r="ER27" s="49"/>
      <c r="ES27" s="49"/>
      <c r="ET27" s="49"/>
      <c r="EU27" s="49" t="s">
        <v>13</v>
      </c>
      <c r="EV27" s="49"/>
      <c r="EW27" s="49" t="s">
        <v>13</v>
      </c>
      <c r="EX27" s="49" t="s">
        <v>59</v>
      </c>
      <c r="EY27" s="49" t="s">
        <v>59</v>
      </c>
      <c r="EZ27" s="49" t="s">
        <v>59</v>
      </c>
      <c r="FA27" s="49"/>
      <c r="FB27" s="49" t="s">
        <v>13</v>
      </c>
      <c r="FC27" s="49" t="s">
        <v>59</v>
      </c>
      <c r="FD27" s="49" t="s">
        <v>59</v>
      </c>
      <c r="FE27" s="49" t="s">
        <v>59</v>
      </c>
      <c r="FF27" s="49" t="s">
        <v>59</v>
      </c>
      <c r="FG27" s="94" t="s">
        <v>59</v>
      </c>
      <c r="FH27" s="94"/>
      <c r="FI27" s="94" t="s">
        <v>59</v>
      </c>
      <c r="FJ27" s="49" t="s">
        <v>20</v>
      </c>
      <c r="FK27" s="49"/>
      <c r="FL27" s="49" t="s">
        <v>20</v>
      </c>
      <c r="FM27" s="94"/>
      <c r="FN27" s="49" t="s">
        <v>59</v>
      </c>
      <c r="FO27" s="94" t="s">
        <v>13</v>
      </c>
      <c r="FP27" s="49"/>
      <c r="FQ27" s="49"/>
      <c r="FR27" s="49"/>
      <c r="FS27" s="49"/>
      <c r="FT27" s="49"/>
      <c r="FU27" s="49" t="s">
        <v>13</v>
      </c>
      <c r="FV27" s="49" t="s">
        <v>13</v>
      </c>
      <c r="FW27" s="49"/>
      <c r="FX27" s="94" t="s">
        <v>59</v>
      </c>
      <c r="FY27" s="94" t="s">
        <v>20</v>
      </c>
      <c r="FZ27" s="94"/>
      <c r="GA27" s="94" t="s">
        <v>20</v>
      </c>
      <c r="GB27" s="49" t="s">
        <v>20</v>
      </c>
      <c r="GC27" s="94"/>
      <c r="GD27" s="94"/>
      <c r="GE27" s="94" t="s">
        <v>20</v>
      </c>
      <c r="GF27" s="94"/>
      <c r="GG27" s="49" t="s">
        <v>20</v>
      </c>
      <c r="GH27" s="49" t="s">
        <v>20</v>
      </c>
      <c r="GI27" s="49" t="s">
        <v>59</v>
      </c>
      <c r="GJ27" s="49" t="s">
        <v>59</v>
      </c>
      <c r="GK27" s="49" t="s">
        <v>59</v>
      </c>
      <c r="GL27" s="465" t="s">
        <v>59</v>
      </c>
      <c r="GM27" s="465" t="s">
        <v>59</v>
      </c>
      <c r="GN27" s="49" t="s">
        <v>59</v>
      </c>
      <c r="GO27" s="49" t="s">
        <v>59</v>
      </c>
      <c r="GP27" s="49" t="s">
        <v>13</v>
      </c>
      <c r="GQ27" s="122" t="s">
        <v>13</v>
      </c>
      <c r="GR27" s="49" t="s">
        <v>59</v>
      </c>
      <c r="GS27" s="49"/>
      <c r="GT27" s="49" t="s">
        <v>59</v>
      </c>
      <c r="GU27" s="49" t="s">
        <v>59</v>
      </c>
      <c r="GV27" s="49" t="s">
        <v>59</v>
      </c>
      <c r="GW27" s="49" t="s">
        <v>59</v>
      </c>
      <c r="GX27" s="49" t="s">
        <v>59</v>
      </c>
      <c r="GY27" s="123" t="s">
        <v>59</v>
      </c>
      <c r="GZ27" s="49"/>
      <c r="HA27" s="49" t="s">
        <v>20</v>
      </c>
      <c r="HB27" s="49"/>
      <c r="HC27" s="49" t="s">
        <v>59</v>
      </c>
      <c r="HD27" s="49" t="s">
        <v>59</v>
      </c>
      <c r="HE27" s="49" t="s">
        <v>59</v>
      </c>
      <c r="HF27" s="49" t="s">
        <v>59</v>
      </c>
      <c r="HG27" s="49" t="s">
        <v>59</v>
      </c>
      <c r="HH27" s="123" t="s">
        <v>59</v>
      </c>
      <c r="HI27" s="123" t="s">
        <v>59</v>
      </c>
      <c r="HJ27" s="123" t="s">
        <v>59</v>
      </c>
      <c r="HK27" s="123" t="s">
        <v>59</v>
      </c>
      <c r="HL27" s="123" t="s">
        <v>59</v>
      </c>
      <c r="HM27" s="123" t="s">
        <v>59</v>
      </c>
      <c r="HN27" s="123" t="s">
        <v>59</v>
      </c>
      <c r="HO27" s="123" t="s">
        <v>59</v>
      </c>
      <c r="HP27" s="123" t="s">
        <v>59</v>
      </c>
      <c r="HQ27" s="123" t="s">
        <v>59</v>
      </c>
      <c r="HR27" s="123" t="s">
        <v>59</v>
      </c>
      <c r="HS27" s="94" t="s">
        <v>59</v>
      </c>
      <c r="HT27" s="49" t="s">
        <v>13</v>
      </c>
      <c r="HU27" s="123" t="s">
        <v>59</v>
      </c>
      <c r="HV27" s="49" t="s">
        <v>59</v>
      </c>
      <c r="HW27" s="123" t="s">
        <v>59</v>
      </c>
      <c r="HX27" s="49" t="s">
        <v>59</v>
      </c>
      <c r="HY27" s="123" t="s">
        <v>59</v>
      </c>
      <c r="HZ27" s="49" t="s">
        <v>59</v>
      </c>
      <c r="IA27" s="49" t="s">
        <v>59</v>
      </c>
      <c r="IB27" s="49" t="s">
        <v>59</v>
      </c>
      <c r="IC27" s="49" t="s">
        <v>59</v>
      </c>
      <c r="ID27" s="49" t="s">
        <v>59</v>
      </c>
      <c r="IE27" s="49" t="s">
        <v>59</v>
      </c>
      <c r="IF27" s="49" t="s">
        <v>59</v>
      </c>
      <c r="IG27" s="49" t="s">
        <v>59</v>
      </c>
      <c r="IH27" s="49" t="s">
        <v>59</v>
      </c>
      <c r="II27" s="49"/>
      <c r="IJ27" s="49"/>
      <c r="IK27" s="465" t="s">
        <v>59</v>
      </c>
      <c r="IL27" s="465" t="s">
        <v>59</v>
      </c>
      <c r="IM27" s="465" t="s">
        <v>59</v>
      </c>
      <c r="IN27" s="465" t="s">
        <v>59</v>
      </c>
      <c r="IO27" s="465" t="s">
        <v>59</v>
      </c>
      <c r="IP27" s="465" t="s">
        <v>59</v>
      </c>
      <c r="IQ27" s="465" t="s">
        <v>59</v>
      </c>
      <c r="IR27" s="465" t="s">
        <v>59</v>
      </c>
      <c r="IS27" s="465"/>
      <c r="IT27" s="465"/>
      <c r="IU27" s="465"/>
      <c r="IV27" s="465" t="s">
        <v>59</v>
      </c>
      <c r="IW27" s="465" t="s">
        <v>59</v>
      </c>
      <c r="IX27" s="465" t="s">
        <v>59</v>
      </c>
      <c r="IY27" s="465" t="s">
        <v>59</v>
      </c>
      <c r="IZ27" s="465" t="s">
        <v>59</v>
      </c>
      <c r="JA27" s="465" t="s">
        <v>59</v>
      </c>
      <c r="JB27" s="465" t="s">
        <v>59</v>
      </c>
      <c r="JC27" s="465" t="s">
        <v>59</v>
      </c>
      <c r="JD27" s="465" t="s">
        <v>59</v>
      </c>
      <c r="JE27" s="465" t="s">
        <v>59</v>
      </c>
      <c r="JF27" s="465" t="s">
        <v>59</v>
      </c>
      <c r="JG27" s="465" t="s">
        <v>59</v>
      </c>
      <c r="JH27" s="465" t="s">
        <v>59</v>
      </c>
      <c r="JI27" s="465" t="s">
        <v>59</v>
      </c>
      <c r="JJ27" s="465" t="s">
        <v>59</v>
      </c>
      <c r="JK27" s="465" t="s">
        <v>59</v>
      </c>
      <c r="JL27" s="49" t="s">
        <v>59</v>
      </c>
      <c r="JM27" s="465" t="s">
        <v>59</v>
      </c>
      <c r="JN27" s="465" t="s">
        <v>59</v>
      </c>
      <c r="JO27" s="465" t="s">
        <v>59</v>
      </c>
      <c r="JP27" s="465" t="s">
        <v>59</v>
      </c>
      <c r="JQ27" s="465" t="s">
        <v>59</v>
      </c>
      <c r="JR27" s="465" t="s">
        <v>59</v>
      </c>
      <c r="JS27" s="465" t="s">
        <v>59</v>
      </c>
      <c r="JT27" s="465" t="s">
        <v>59</v>
      </c>
      <c r="JU27" s="465" t="s">
        <v>59</v>
      </c>
      <c r="JV27" s="465" t="s">
        <v>59</v>
      </c>
      <c r="JW27" s="465" t="s">
        <v>59</v>
      </c>
      <c r="JX27" s="465" t="s">
        <v>59</v>
      </c>
      <c r="JY27" s="465" t="s">
        <v>59</v>
      </c>
      <c r="JZ27" s="465" t="s">
        <v>59</v>
      </c>
      <c r="KA27" s="465" t="s">
        <v>59</v>
      </c>
      <c r="KB27" s="465" t="s">
        <v>59</v>
      </c>
      <c r="KC27" s="465" t="s">
        <v>59</v>
      </c>
      <c r="KD27" s="465" t="s">
        <v>59</v>
      </c>
      <c r="KE27" s="49" t="s">
        <v>59</v>
      </c>
      <c r="KF27" s="49" t="s">
        <v>59</v>
      </c>
      <c r="KG27" s="49" t="s">
        <v>59</v>
      </c>
      <c r="KH27" s="49" t="s">
        <v>59</v>
      </c>
      <c r="KI27" s="49" t="s">
        <v>59</v>
      </c>
      <c r="KJ27" s="49" t="s">
        <v>59</v>
      </c>
      <c r="KK27" s="49" t="s">
        <v>59</v>
      </c>
      <c r="KL27" s="49" t="s">
        <v>59</v>
      </c>
      <c r="KM27" s="49" t="s">
        <v>59</v>
      </c>
      <c r="KN27" s="49" t="s">
        <v>59</v>
      </c>
      <c r="KO27" s="49" t="s">
        <v>59</v>
      </c>
      <c r="KP27" s="49" t="s">
        <v>59</v>
      </c>
      <c r="KQ27" s="49" t="s">
        <v>59</v>
      </c>
      <c r="KR27" s="49" t="s">
        <v>59</v>
      </c>
      <c r="KS27" s="49" t="s">
        <v>59</v>
      </c>
      <c r="KT27" s="49" t="s">
        <v>59</v>
      </c>
      <c r="KU27" s="49" t="s">
        <v>59</v>
      </c>
      <c r="KV27" s="49" t="s">
        <v>59</v>
      </c>
      <c r="KW27" s="49" t="s">
        <v>59</v>
      </c>
      <c r="KX27" s="49" t="s">
        <v>59</v>
      </c>
      <c r="KY27" s="49" t="s">
        <v>59</v>
      </c>
      <c r="KZ27" s="49" t="s">
        <v>59</v>
      </c>
      <c r="LA27" s="49" t="s">
        <v>59</v>
      </c>
      <c r="LB27" s="49" t="s">
        <v>59</v>
      </c>
      <c r="LC27" s="49" t="s">
        <v>59</v>
      </c>
      <c r="LD27" s="49" t="s">
        <v>59</v>
      </c>
      <c r="LE27" s="49" t="s">
        <v>59</v>
      </c>
      <c r="LF27" s="49" t="s">
        <v>59</v>
      </c>
      <c r="LG27" s="49" t="s">
        <v>59</v>
      </c>
      <c r="LH27" s="49" t="s">
        <v>59</v>
      </c>
      <c r="LI27" s="49" t="s">
        <v>59</v>
      </c>
      <c r="LJ27" s="49" t="s">
        <v>59</v>
      </c>
      <c r="LK27" s="49" t="s">
        <v>59</v>
      </c>
      <c r="LL27" s="49" t="s">
        <v>59</v>
      </c>
      <c r="LM27" s="49" t="s">
        <v>59</v>
      </c>
      <c r="LN27" s="101" t="s">
        <v>13</v>
      </c>
      <c r="LO27" s="49" t="s">
        <v>59</v>
      </c>
      <c r="LP27" s="49" t="s">
        <v>59</v>
      </c>
      <c r="LQ27" s="49" t="s">
        <v>59</v>
      </c>
      <c r="LR27" s="49" t="s">
        <v>59</v>
      </c>
      <c r="LS27" s="49" t="s">
        <v>59</v>
      </c>
      <c r="LT27" s="49" t="s">
        <v>59</v>
      </c>
      <c r="LU27" s="49" t="s">
        <v>59</v>
      </c>
      <c r="LV27" s="49" t="s">
        <v>59</v>
      </c>
      <c r="LW27" s="49" t="s">
        <v>59</v>
      </c>
      <c r="LX27" s="49" t="s">
        <v>59</v>
      </c>
      <c r="LY27" s="49" t="s">
        <v>59</v>
      </c>
      <c r="LZ27" s="49" t="s">
        <v>59</v>
      </c>
      <c r="MA27" s="49" t="s">
        <v>59</v>
      </c>
      <c r="MB27" s="49" t="s">
        <v>59</v>
      </c>
      <c r="MC27" s="49" t="s">
        <v>59</v>
      </c>
      <c r="MD27" s="49" t="s">
        <v>59</v>
      </c>
      <c r="ME27" s="49" t="s">
        <v>59</v>
      </c>
      <c r="MF27" s="49" t="s">
        <v>59</v>
      </c>
      <c r="MG27" s="49" t="s">
        <v>59</v>
      </c>
      <c r="MH27" s="49" t="s">
        <v>59</v>
      </c>
      <c r="MI27" s="49" t="s">
        <v>59</v>
      </c>
      <c r="MJ27" s="49" t="s">
        <v>59</v>
      </c>
      <c r="MK27" s="49" t="s">
        <v>59</v>
      </c>
      <c r="ML27" s="49" t="s">
        <v>59</v>
      </c>
      <c r="MM27" s="49" t="s">
        <v>59</v>
      </c>
      <c r="MN27" s="49" t="s">
        <v>59</v>
      </c>
      <c r="MO27" s="49" t="s">
        <v>59</v>
      </c>
      <c r="MP27" s="49" t="s">
        <v>59</v>
      </c>
      <c r="MQ27" s="49" t="s">
        <v>59</v>
      </c>
      <c r="MR27" s="49" t="s">
        <v>59</v>
      </c>
      <c r="MS27" s="49" t="s">
        <v>59</v>
      </c>
      <c r="MT27" s="49" t="s">
        <v>59</v>
      </c>
      <c r="MU27" s="49" t="s">
        <v>59</v>
      </c>
      <c r="MV27" s="49" t="s">
        <v>59</v>
      </c>
      <c r="MW27" s="49" t="s">
        <v>59</v>
      </c>
      <c r="MX27" s="49" t="s">
        <v>59</v>
      </c>
      <c r="MY27" s="49" t="s">
        <v>59</v>
      </c>
      <c r="MZ27" s="49" t="s">
        <v>59</v>
      </c>
      <c r="NA27" s="49" t="s">
        <v>59</v>
      </c>
      <c r="NB27" s="49"/>
      <c r="NC27" s="49"/>
      <c r="ND27" s="49"/>
      <c r="NE27" s="49"/>
      <c r="NF27" s="49" t="s">
        <v>13</v>
      </c>
      <c r="NG27" s="49" t="s">
        <v>59</v>
      </c>
      <c r="NH27" s="49" t="s">
        <v>13</v>
      </c>
      <c r="NI27" s="49" t="s">
        <v>59</v>
      </c>
      <c r="NJ27" s="49" t="s">
        <v>13</v>
      </c>
      <c r="NK27" s="49"/>
      <c r="NL27" s="49" t="s">
        <v>13</v>
      </c>
      <c r="NM27" s="49" t="s">
        <v>13</v>
      </c>
      <c r="NN27" s="49" t="s">
        <v>59</v>
      </c>
      <c r="NO27" s="49" t="s">
        <v>13</v>
      </c>
      <c r="NP27" s="49" t="s">
        <v>13</v>
      </c>
      <c r="NQ27" s="49" t="s">
        <v>59</v>
      </c>
      <c r="NR27" s="49" t="s">
        <v>59</v>
      </c>
      <c r="NS27" s="49" t="s">
        <v>59</v>
      </c>
      <c r="NT27" s="49" t="s">
        <v>59</v>
      </c>
      <c r="NU27" s="49" t="s">
        <v>59</v>
      </c>
      <c r="NV27" s="49" t="s">
        <v>59</v>
      </c>
      <c r="NW27" s="49" t="s">
        <v>59</v>
      </c>
      <c r="NX27" s="49" t="s">
        <v>59</v>
      </c>
      <c r="NY27" s="49" t="s">
        <v>59</v>
      </c>
      <c r="NZ27" s="49" t="s">
        <v>59</v>
      </c>
      <c r="OA27" s="49" t="s">
        <v>59</v>
      </c>
      <c r="OB27" s="49" t="s">
        <v>59</v>
      </c>
      <c r="OC27" s="49" t="s">
        <v>59</v>
      </c>
      <c r="OD27" s="49" t="s">
        <v>59</v>
      </c>
      <c r="OE27" s="49" t="s">
        <v>59</v>
      </c>
      <c r="OF27" s="49" t="s">
        <v>59</v>
      </c>
      <c r="OG27" s="49" t="s">
        <v>59</v>
      </c>
      <c r="OH27" s="49" t="s">
        <v>59</v>
      </c>
      <c r="OI27" s="49" t="s">
        <v>59</v>
      </c>
      <c r="OJ27" s="49" t="s">
        <v>59</v>
      </c>
      <c r="OK27" s="49" t="s">
        <v>59</v>
      </c>
      <c r="OL27" s="49" t="s">
        <v>59</v>
      </c>
      <c r="OM27" s="49" t="s">
        <v>59</v>
      </c>
      <c r="ON27" s="49" t="s">
        <v>59</v>
      </c>
      <c r="OO27" s="49" t="s">
        <v>59</v>
      </c>
      <c r="OP27" s="49" t="s">
        <v>59</v>
      </c>
      <c r="OQ27" s="49" t="s">
        <v>59</v>
      </c>
      <c r="OR27" s="49" t="s">
        <v>59</v>
      </c>
      <c r="OS27" s="49" t="s">
        <v>59</v>
      </c>
      <c r="OT27" s="49" t="s">
        <v>59</v>
      </c>
      <c r="OU27" s="49" t="s">
        <v>59</v>
      </c>
      <c r="OV27" s="49" t="s">
        <v>59</v>
      </c>
      <c r="OW27" s="49" t="s">
        <v>59</v>
      </c>
      <c r="OX27" s="49" t="s">
        <v>59</v>
      </c>
      <c r="OY27" s="49" t="s">
        <v>59</v>
      </c>
      <c r="OZ27" s="49" t="s">
        <v>59</v>
      </c>
      <c r="PA27" s="49" t="s">
        <v>59</v>
      </c>
      <c r="PB27" s="49" t="s">
        <v>59</v>
      </c>
      <c r="PC27" s="49" t="s">
        <v>59</v>
      </c>
      <c r="PD27" s="49" t="s">
        <v>59</v>
      </c>
      <c r="PE27" s="49" t="s">
        <v>59</v>
      </c>
      <c r="PF27" s="49" t="s">
        <v>59</v>
      </c>
      <c r="PG27" s="49" t="s">
        <v>59</v>
      </c>
      <c r="PH27" s="49" t="s">
        <v>59</v>
      </c>
      <c r="PI27" s="49" t="s">
        <v>59</v>
      </c>
      <c r="PJ27" s="49" t="s">
        <v>59</v>
      </c>
      <c r="PK27" s="49" t="s">
        <v>59</v>
      </c>
      <c r="PL27" s="49" t="s">
        <v>59</v>
      </c>
      <c r="PM27" s="49" t="s">
        <v>59</v>
      </c>
      <c r="PN27" s="49" t="s">
        <v>59</v>
      </c>
      <c r="PO27" s="49" t="s">
        <v>59</v>
      </c>
      <c r="PP27" s="49" t="s">
        <v>59</v>
      </c>
      <c r="PQ27" s="49" t="s">
        <v>59</v>
      </c>
      <c r="PR27" s="49" t="s">
        <v>59</v>
      </c>
      <c r="PS27" s="49" t="s">
        <v>59</v>
      </c>
      <c r="PT27" s="49" t="s">
        <v>59</v>
      </c>
      <c r="PU27" s="49" t="s">
        <v>59</v>
      </c>
      <c r="PV27" s="49" t="s">
        <v>59</v>
      </c>
      <c r="PW27" s="49" t="s">
        <v>59</v>
      </c>
      <c r="PX27" s="49"/>
      <c r="PY27" s="49" t="s">
        <v>59</v>
      </c>
      <c r="PZ27" s="49" t="s">
        <v>13</v>
      </c>
      <c r="QA27" s="49" t="s">
        <v>59</v>
      </c>
      <c r="QB27" s="49" t="s">
        <v>59</v>
      </c>
      <c r="QC27" s="49" t="s">
        <v>59</v>
      </c>
      <c r="QD27" s="49" t="s">
        <v>59</v>
      </c>
      <c r="QE27" s="49" t="s">
        <v>59</v>
      </c>
      <c r="QF27" s="49" t="s">
        <v>59</v>
      </c>
      <c r="QG27" s="49" t="s">
        <v>59</v>
      </c>
      <c r="QH27" s="49" t="s">
        <v>20</v>
      </c>
      <c r="QI27" s="49" t="s">
        <v>59</v>
      </c>
      <c r="QJ27" s="49" t="s">
        <v>59</v>
      </c>
      <c r="QK27" s="49" t="s">
        <v>59</v>
      </c>
      <c r="QL27" s="49" t="s">
        <v>59</v>
      </c>
      <c r="QM27" s="49" t="s">
        <v>59</v>
      </c>
      <c r="QN27" s="49" t="s">
        <v>59</v>
      </c>
      <c r="QO27" s="49" t="s">
        <v>59</v>
      </c>
      <c r="QP27" s="49" t="s">
        <v>59</v>
      </c>
      <c r="QQ27" s="49"/>
      <c r="QR27" s="49" t="s">
        <v>59</v>
      </c>
      <c r="QS27" s="49" t="s">
        <v>59</v>
      </c>
      <c r="QT27" s="49" t="s">
        <v>59</v>
      </c>
      <c r="QU27" s="49" t="s">
        <v>59</v>
      </c>
      <c r="QV27" s="49" t="s">
        <v>59</v>
      </c>
      <c r="QW27" s="49" t="s">
        <v>59</v>
      </c>
      <c r="QX27" s="49" t="s">
        <v>59</v>
      </c>
      <c r="QY27" s="49" t="s">
        <v>59</v>
      </c>
      <c r="QZ27" s="49" t="s">
        <v>59</v>
      </c>
      <c r="RA27" s="49" t="s">
        <v>59</v>
      </c>
      <c r="RB27" s="49" t="s">
        <v>59</v>
      </c>
      <c r="RC27" s="49" t="s">
        <v>59</v>
      </c>
      <c r="RD27" s="49" t="s">
        <v>59</v>
      </c>
      <c r="RE27" s="49" t="s">
        <v>59</v>
      </c>
      <c r="RF27" s="49" t="s">
        <v>59</v>
      </c>
      <c r="RG27" s="49" t="s">
        <v>59</v>
      </c>
      <c r="RH27" s="49" t="s">
        <v>59</v>
      </c>
      <c r="RI27" s="49" t="s">
        <v>59</v>
      </c>
      <c r="RJ27" s="49" t="s">
        <v>59</v>
      </c>
      <c r="RK27" s="49" t="s">
        <v>59</v>
      </c>
      <c r="RL27" s="49" t="s">
        <v>59</v>
      </c>
      <c r="RM27" s="49" t="s">
        <v>59</v>
      </c>
      <c r="RN27" s="49" t="s">
        <v>59</v>
      </c>
      <c r="RO27" s="49" t="s">
        <v>59</v>
      </c>
      <c r="RP27" s="49" t="s">
        <v>59</v>
      </c>
      <c r="RQ27" s="49" t="s">
        <v>59</v>
      </c>
      <c r="RR27" s="49" t="s">
        <v>59</v>
      </c>
      <c r="RS27" s="49" t="s">
        <v>59</v>
      </c>
      <c r="RT27" s="49" t="s">
        <v>59</v>
      </c>
      <c r="RU27" s="49" t="s">
        <v>59</v>
      </c>
      <c r="RV27" s="49" t="s">
        <v>59</v>
      </c>
      <c r="RW27" s="49" t="s">
        <v>59</v>
      </c>
      <c r="RX27" s="49" t="s">
        <v>13</v>
      </c>
      <c r="RY27" s="408" t="s">
        <v>13</v>
      </c>
      <c r="RZ27" s="49" t="s">
        <v>59</v>
      </c>
      <c r="SA27" s="49" t="s">
        <v>59</v>
      </c>
      <c r="SB27" s="49"/>
      <c r="SC27" s="49"/>
      <c r="SD27" s="49" t="s">
        <v>20</v>
      </c>
      <c r="SE27" s="49" t="s">
        <v>59</v>
      </c>
      <c r="SF27" s="49" t="s">
        <v>59</v>
      </c>
      <c r="SG27" s="49" t="s">
        <v>59</v>
      </c>
      <c r="SH27" s="49" t="s">
        <v>59</v>
      </c>
      <c r="SI27" s="49" t="s">
        <v>59</v>
      </c>
      <c r="SJ27" s="49" t="s">
        <v>59</v>
      </c>
      <c r="SK27" s="49" t="s">
        <v>59</v>
      </c>
      <c r="SL27" s="49" t="s">
        <v>59</v>
      </c>
      <c r="SM27" s="49" t="s">
        <v>59</v>
      </c>
      <c r="SN27" s="49" t="s">
        <v>59</v>
      </c>
      <c r="SO27" s="49" t="s">
        <v>20</v>
      </c>
      <c r="SP27" s="49" t="s">
        <v>59</v>
      </c>
      <c r="SQ27" s="49" t="s">
        <v>59</v>
      </c>
      <c r="SR27" s="49" t="s">
        <v>59</v>
      </c>
      <c r="SS27" s="49" t="s">
        <v>59</v>
      </c>
      <c r="ST27" s="49" t="s">
        <v>20</v>
      </c>
      <c r="SU27" s="49" t="s">
        <v>59</v>
      </c>
      <c r="SV27" s="49" t="s">
        <v>59</v>
      </c>
      <c r="SW27" s="49" t="s">
        <v>20</v>
      </c>
      <c r="SX27" s="49" t="s">
        <v>59</v>
      </c>
      <c r="SY27" s="49" t="s">
        <v>59</v>
      </c>
      <c r="SZ27" s="49" t="s">
        <v>20</v>
      </c>
      <c r="TA27" s="49" t="s">
        <v>59</v>
      </c>
      <c r="TB27" s="49" t="s">
        <v>59</v>
      </c>
      <c r="TC27" s="49" t="s">
        <v>59</v>
      </c>
      <c r="TD27" s="49" t="s">
        <v>59</v>
      </c>
      <c r="TE27" s="49" t="s">
        <v>59</v>
      </c>
      <c r="TF27" s="49"/>
      <c r="TG27" s="49"/>
      <c r="TH27" s="49"/>
      <c r="TI27" s="49"/>
      <c r="TJ27" s="49"/>
      <c r="TK27" s="49"/>
      <c r="TL27" s="49"/>
      <c r="TM27" s="49"/>
      <c r="TN27" s="93"/>
      <c r="TO27" s="93"/>
      <c r="TP27" s="93"/>
      <c r="TQ27" s="93"/>
      <c r="TR27" s="93"/>
      <c r="TS27" s="93"/>
      <c r="TT27" s="93"/>
      <c r="TU27" s="93"/>
      <c r="TV27" s="93"/>
      <c r="TW27" s="49"/>
      <c r="TX27" s="49"/>
      <c r="TY27" s="49"/>
      <c r="TZ27" s="72"/>
      <c r="UA27" s="72"/>
      <c r="UB27" s="72"/>
      <c r="UC27" s="72"/>
      <c r="UD27" s="49"/>
      <c r="UE27" s="49"/>
      <c r="UF27" s="49"/>
      <c r="UG27" s="49"/>
      <c r="UH27" s="49"/>
      <c r="UI27" s="49"/>
      <c r="UJ27" s="49"/>
      <c r="UK27" s="49"/>
      <c r="UL27" s="49"/>
      <c r="UM27" s="49"/>
      <c r="UN27" s="49"/>
      <c r="UO27" s="49"/>
      <c r="UP27" s="49"/>
      <c r="UQ27" s="49"/>
      <c r="UR27" s="49"/>
      <c r="US27" s="49"/>
      <c r="UT27" s="49"/>
      <c r="UU27" s="49"/>
      <c r="UV27" s="49"/>
      <c r="UW27" s="49"/>
      <c r="UX27" s="49"/>
      <c r="UY27" s="49"/>
      <c r="UZ27" s="49"/>
      <c r="VA27" s="49"/>
      <c r="VB27" s="49" t="s">
        <v>59</v>
      </c>
      <c r="VC27" s="49" t="s">
        <v>20</v>
      </c>
      <c r="VD27" s="49" t="s">
        <v>20</v>
      </c>
      <c r="VE27" s="49" t="s">
        <v>20</v>
      </c>
      <c r="VF27" s="49" t="s">
        <v>20</v>
      </c>
      <c r="VG27" s="49" t="s">
        <v>20</v>
      </c>
      <c r="VH27" s="49" t="s">
        <v>59</v>
      </c>
      <c r="VI27" s="49" t="s">
        <v>59</v>
      </c>
      <c r="VJ27" s="49" t="s">
        <v>59</v>
      </c>
      <c r="VK27" s="49" t="s">
        <v>59</v>
      </c>
      <c r="VL27" s="49" t="s">
        <v>59</v>
      </c>
      <c r="VM27" s="49" t="s">
        <v>59</v>
      </c>
      <c r="VN27" s="49" t="s">
        <v>59</v>
      </c>
      <c r="VO27" s="49" t="s">
        <v>59</v>
      </c>
      <c r="VP27" s="49" t="s">
        <v>59</v>
      </c>
      <c r="VQ27" s="49" t="s">
        <v>59</v>
      </c>
      <c r="VR27" s="49" t="s">
        <v>59</v>
      </c>
      <c r="VS27" s="49" t="s">
        <v>20</v>
      </c>
      <c r="VT27" s="49" t="s">
        <v>20</v>
      </c>
      <c r="VU27" s="49" t="s">
        <v>20</v>
      </c>
      <c r="VV27" s="49" t="s">
        <v>20</v>
      </c>
      <c r="VW27" s="49" t="s">
        <v>20</v>
      </c>
      <c r="VX27" s="49"/>
      <c r="VY27" s="49" t="s">
        <v>20</v>
      </c>
      <c r="VZ27" s="49"/>
      <c r="WA27" s="49"/>
      <c r="WB27" s="49"/>
      <c r="WC27" s="49"/>
      <c r="WD27" s="49"/>
      <c r="WE27" s="49"/>
      <c r="WF27" s="49"/>
      <c r="WG27" s="49"/>
      <c r="WH27" s="49"/>
      <c r="WI27" s="49"/>
      <c r="WJ27" s="49"/>
      <c r="WK27" s="49"/>
      <c r="WL27" s="49"/>
      <c r="WM27" s="49"/>
      <c r="WN27" s="49"/>
      <c r="WO27" s="49"/>
      <c r="WP27" s="49"/>
      <c r="WQ27" s="49"/>
      <c r="WR27" s="49"/>
      <c r="WS27" s="49"/>
      <c r="WT27" s="49"/>
      <c r="WU27" s="49"/>
      <c r="WV27" s="49"/>
      <c r="WW27" s="49"/>
      <c r="WX27" s="49"/>
      <c r="WY27" s="49"/>
      <c r="WZ27" s="49"/>
      <c r="XA27" s="49"/>
      <c r="XB27" s="49"/>
      <c r="XC27" s="49"/>
      <c r="XD27" s="49"/>
      <c r="XE27" s="49"/>
      <c r="XF27" s="49"/>
      <c r="XG27" s="49"/>
      <c r="XH27" s="49"/>
      <c r="XI27" s="49"/>
      <c r="XJ27" s="49"/>
      <c r="XK27" s="49"/>
      <c r="XL27" s="49"/>
      <c r="XM27" s="49"/>
      <c r="XN27" s="49"/>
      <c r="XO27" s="49"/>
      <c r="XP27" s="49"/>
      <c r="XQ27" s="49" t="s">
        <v>13</v>
      </c>
      <c r="XR27" s="49" t="s">
        <v>13</v>
      </c>
      <c r="XS27" s="49" t="s">
        <v>13</v>
      </c>
      <c r="XT27" s="49" t="s">
        <v>13</v>
      </c>
      <c r="XU27" s="49" t="s">
        <v>13</v>
      </c>
      <c r="XV27" s="49" t="s">
        <v>59</v>
      </c>
      <c r="XW27" s="49" t="s">
        <v>13</v>
      </c>
      <c r="XX27" s="49" t="s">
        <v>13</v>
      </c>
      <c r="XY27" s="49" t="s">
        <v>13</v>
      </c>
      <c r="XZ27" s="49" t="s">
        <v>13</v>
      </c>
      <c r="YA27" s="49" t="s">
        <v>13</v>
      </c>
      <c r="YB27" s="49" t="s">
        <v>13</v>
      </c>
      <c r="YC27" s="49" t="s">
        <v>20</v>
      </c>
      <c r="YD27" s="49" t="s">
        <v>20</v>
      </c>
      <c r="YE27" s="49" t="s">
        <v>13</v>
      </c>
      <c r="YF27" s="49" t="s">
        <v>20</v>
      </c>
      <c r="YG27" s="49" t="s">
        <v>20</v>
      </c>
      <c r="YH27" s="49"/>
      <c r="YI27" s="49"/>
      <c r="YJ27" s="49" t="s">
        <v>59</v>
      </c>
      <c r="YK27" s="49" t="s">
        <v>59</v>
      </c>
      <c r="YL27" s="49" t="s">
        <v>13</v>
      </c>
      <c r="YM27" s="122"/>
      <c r="YN27" s="122"/>
      <c r="YO27" s="49"/>
      <c r="YP27" s="49"/>
      <c r="YQ27" s="49"/>
      <c r="YR27" s="49"/>
      <c r="YS27" s="49"/>
      <c r="YT27" s="122"/>
    </row>
    <row r="28" spans="1:670" s="26" customFormat="1" ht="12.1" customHeight="1" x14ac:dyDescent="0.25">
      <c r="A28" s="533" t="s">
        <v>1738</v>
      </c>
      <c r="B28" s="534" t="s">
        <v>263</v>
      </c>
      <c r="C28" s="534" t="s">
        <v>1</v>
      </c>
      <c r="D28" s="534" t="s">
        <v>2</v>
      </c>
      <c r="E28" s="535" t="s">
        <v>3</v>
      </c>
      <c r="F28" s="535" t="s">
        <v>379</v>
      </c>
      <c r="G28" s="535" t="s">
        <v>122</v>
      </c>
      <c r="H28" s="535" t="s">
        <v>234</v>
      </c>
      <c r="I28" s="535" t="s">
        <v>77</v>
      </c>
      <c r="J28" s="536" t="s">
        <v>4</v>
      </c>
      <c r="K28" s="536" t="s">
        <v>5</v>
      </c>
      <c r="L28" s="536"/>
      <c r="M28" s="536" t="s">
        <v>71</v>
      </c>
      <c r="N28" s="536" t="s">
        <v>72</v>
      </c>
      <c r="O28" s="536" t="s">
        <v>73</v>
      </c>
      <c r="P28" s="536" t="s">
        <v>102</v>
      </c>
      <c r="Q28" s="536" t="s">
        <v>103</v>
      </c>
      <c r="R28" s="536" t="s">
        <v>104</v>
      </c>
      <c r="S28" s="536" t="s">
        <v>105</v>
      </c>
      <c r="T28" s="536" t="s">
        <v>110</v>
      </c>
      <c r="U28" s="536" t="s">
        <v>8</v>
      </c>
      <c r="V28" s="536" t="s">
        <v>9</v>
      </c>
      <c r="W28" s="536" t="s">
        <v>106</v>
      </c>
      <c r="X28" s="536" t="s">
        <v>21</v>
      </c>
      <c r="Y28" s="536" t="s">
        <v>254</v>
      </c>
      <c r="Z28" s="536" t="s">
        <v>6</v>
      </c>
      <c r="AA28" s="536" t="s">
        <v>7</v>
      </c>
      <c r="AB28" s="536" t="s">
        <v>107</v>
      </c>
      <c r="AC28" s="536" t="s">
        <v>19</v>
      </c>
      <c r="AD28" s="536" t="s">
        <v>22</v>
      </c>
      <c r="AE28" s="536" t="s">
        <v>1224</v>
      </c>
      <c r="AF28" s="536" t="s">
        <v>1225</v>
      </c>
      <c r="AG28" s="536" t="s">
        <v>23</v>
      </c>
      <c r="AH28" s="536" t="s">
        <v>117</v>
      </c>
      <c r="AI28" s="536" t="s">
        <v>867</v>
      </c>
      <c r="AJ28" s="536" t="s">
        <v>126</v>
      </c>
      <c r="AK28" s="536" t="s">
        <v>75</v>
      </c>
      <c r="AL28" s="536" t="s">
        <v>108</v>
      </c>
      <c r="AM28" s="536" t="s">
        <v>109</v>
      </c>
      <c r="AN28" s="536" t="s">
        <v>259</v>
      </c>
      <c r="AO28" s="536" t="s">
        <v>260</v>
      </c>
      <c r="AP28" s="536" t="s">
        <v>1022</v>
      </c>
      <c r="AQ28" s="536" t="s">
        <v>695</v>
      </c>
      <c r="AR28" s="536" t="s">
        <v>697</v>
      </c>
      <c r="AS28" s="536" t="s">
        <v>698</v>
      </c>
      <c r="AT28" s="536" t="s">
        <v>692</v>
      </c>
      <c r="AU28" s="536"/>
      <c r="AV28" s="536"/>
      <c r="AW28" s="536"/>
      <c r="AX28" s="536"/>
      <c r="AY28" s="536"/>
      <c r="AZ28" s="536"/>
      <c r="BA28" s="536"/>
      <c r="BB28" s="536"/>
      <c r="BC28" s="536"/>
      <c r="BD28" s="536"/>
      <c r="BE28" s="536"/>
      <c r="BF28" s="536"/>
      <c r="BG28" s="536"/>
      <c r="BH28" s="536"/>
      <c r="BI28" s="536" t="s">
        <v>1226</v>
      </c>
      <c r="BJ28" s="536" t="s">
        <v>1227</v>
      </c>
      <c r="BK28" s="536" t="s">
        <v>883</v>
      </c>
      <c r="BL28" s="536" t="s">
        <v>70</v>
      </c>
      <c r="BM28" s="536" t="s">
        <v>34</v>
      </c>
      <c r="BN28" s="536" t="s">
        <v>35</v>
      </c>
      <c r="BO28" s="536" t="s">
        <v>144</v>
      </c>
      <c r="BP28" s="536" t="s">
        <v>96</v>
      </c>
      <c r="BQ28" s="536" t="s">
        <v>41</v>
      </c>
      <c r="BR28" s="536" t="s">
        <v>127</v>
      </c>
      <c r="BS28" s="536" t="s">
        <v>142</v>
      </c>
      <c r="BT28" s="536" t="s">
        <v>95</v>
      </c>
      <c r="BU28" s="536" t="s">
        <v>39</v>
      </c>
      <c r="BV28" s="536" t="s">
        <v>143</v>
      </c>
      <c r="BW28" s="536" t="s">
        <v>36</v>
      </c>
      <c r="BX28" s="536" t="s">
        <v>37</v>
      </c>
      <c r="BY28" s="536"/>
      <c r="BZ28" s="536" t="s">
        <v>56</v>
      </c>
      <c r="CA28" s="536"/>
      <c r="CB28" s="536"/>
      <c r="CC28" s="536" t="s">
        <v>135</v>
      </c>
      <c r="CD28" s="536" t="s">
        <v>868</v>
      </c>
      <c r="CE28" s="536"/>
      <c r="CF28" s="536" t="s">
        <v>136</v>
      </c>
      <c r="CG28" s="536" t="s">
        <v>208</v>
      </c>
      <c r="CH28" s="536" t="s">
        <v>301</v>
      </c>
      <c r="CI28" s="536"/>
      <c r="CJ28" s="536" t="s">
        <v>1229</v>
      </c>
      <c r="CK28" s="536" t="s">
        <v>1230</v>
      </c>
      <c r="CL28" s="536" t="s">
        <v>1231</v>
      </c>
      <c r="CM28" s="536"/>
      <c r="CN28" s="536" t="s">
        <v>128</v>
      </c>
      <c r="CO28" s="536" t="s">
        <v>40</v>
      </c>
      <c r="CP28" s="536" t="s">
        <v>38</v>
      </c>
      <c r="CQ28" s="536" t="s">
        <v>93</v>
      </c>
      <c r="CR28" s="536"/>
      <c r="CS28" s="536" t="s">
        <v>679</v>
      </c>
      <c r="CT28" s="536" t="s">
        <v>1014</v>
      </c>
      <c r="CU28" s="536" t="s">
        <v>64</v>
      </c>
      <c r="CV28" s="536" t="s">
        <v>65</v>
      </c>
      <c r="CW28" s="537"/>
      <c r="CX28" s="536" t="s">
        <v>179</v>
      </c>
      <c r="CY28" s="536" t="s">
        <v>845</v>
      </c>
      <c r="CZ28" s="536" t="s">
        <v>192</v>
      </c>
      <c r="DA28" s="537"/>
      <c r="DB28" s="537"/>
      <c r="DC28" s="537"/>
      <c r="DD28" s="537"/>
      <c r="DE28" s="536" t="s">
        <v>46</v>
      </c>
      <c r="DF28" s="536" t="s">
        <v>42</v>
      </c>
      <c r="DG28" s="536"/>
      <c r="DH28" s="536"/>
      <c r="DI28" s="536" t="s">
        <v>1232</v>
      </c>
      <c r="DJ28" s="536"/>
      <c r="DK28" s="536"/>
      <c r="DL28" s="536" t="s">
        <v>44</v>
      </c>
      <c r="DM28" s="536" t="s">
        <v>63</v>
      </c>
      <c r="DN28" s="536" t="s">
        <v>113</v>
      </c>
      <c r="DO28" s="536" t="s">
        <v>268</v>
      </c>
      <c r="DP28" s="536" t="s">
        <v>101</v>
      </c>
      <c r="DQ28" s="536" t="s">
        <v>269</v>
      </c>
      <c r="DR28" s="536" t="s">
        <v>590</v>
      </c>
      <c r="DS28" s="536" t="s">
        <v>599</v>
      </c>
      <c r="DT28" s="536" t="s">
        <v>24</v>
      </c>
      <c r="DU28" s="536" t="s">
        <v>26</v>
      </c>
      <c r="DV28" s="536" t="s">
        <v>28</v>
      </c>
      <c r="DW28" s="536" t="s">
        <v>25</v>
      </c>
      <c r="DX28" s="536" t="s">
        <v>27</v>
      </c>
      <c r="DY28" s="536" t="s">
        <v>29</v>
      </c>
      <c r="DZ28" s="536" t="s">
        <v>488</v>
      </c>
      <c r="EA28" s="536" t="s">
        <v>598</v>
      </c>
      <c r="EB28" s="536" t="s">
        <v>489</v>
      </c>
      <c r="EC28" s="536" t="s">
        <v>506</v>
      </c>
      <c r="ED28" s="536" t="s">
        <v>507</v>
      </c>
      <c r="EE28" s="536" t="s">
        <v>508</v>
      </c>
      <c r="EF28" s="536" t="s">
        <v>681</v>
      </c>
      <c r="EG28" s="536" t="s">
        <v>682</v>
      </c>
      <c r="EH28" s="536" t="s">
        <v>30</v>
      </c>
      <c r="EI28" s="536" t="s">
        <v>32</v>
      </c>
      <c r="EJ28" s="536" t="s">
        <v>33</v>
      </c>
      <c r="EK28" s="536" t="s">
        <v>270</v>
      </c>
      <c r="EL28" s="536"/>
      <c r="EM28" s="536" t="s">
        <v>271</v>
      </c>
      <c r="EN28" s="536" t="s">
        <v>277</v>
      </c>
      <c r="EO28" s="536"/>
      <c r="EP28" s="536"/>
      <c r="EQ28" s="536"/>
      <c r="ER28" s="536"/>
      <c r="ES28" s="536"/>
      <c r="ET28" s="536"/>
      <c r="EU28" s="536" t="s">
        <v>1055</v>
      </c>
      <c r="EV28" s="536"/>
      <c r="EW28" s="536" t="s">
        <v>1070</v>
      </c>
      <c r="EX28" s="536"/>
      <c r="EY28" s="536"/>
      <c r="EZ28" s="536"/>
      <c r="FA28" s="536"/>
      <c r="FB28" s="536" t="s">
        <v>284</v>
      </c>
      <c r="FC28" s="536"/>
      <c r="FD28" s="536"/>
      <c r="FE28" s="536"/>
      <c r="FF28" s="536"/>
      <c r="FG28" s="536" t="s">
        <v>1681</v>
      </c>
      <c r="FH28" s="538"/>
      <c r="FI28" s="538"/>
      <c r="FJ28" s="538" t="s">
        <v>1739</v>
      </c>
      <c r="FK28" s="536"/>
      <c r="FL28" s="536" t="s">
        <v>1740</v>
      </c>
      <c r="FM28" s="538"/>
      <c r="FN28" s="536"/>
      <c r="FO28" s="538" t="s">
        <v>866</v>
      </c>
      <c r="FP28" s="536"/>
      <c r="FQ28" s="536"/>
      <c r="FR28" s="536"/>
      <c r="FS28" s="536"/>
      <c r="FT28" s="536"/>
      <c r="FU28" s="536" t="s">
        <v>257</v>
      </c>
      <c r="FV28" s="536" t="s">
        <v>194</v>
      </c>
      <c r="FW28" s="536"/>
      <c r="FX28" s="538"/>
      <c r="FY28" s="538" t="s">
        <v>1782</v>
      </c>
      <c r="FZ28" s="538"/>
      <c r="GA28" s="538" t="s">
        <v>1784</v>
      </c>
      <c r="GB28" s="538" t="s">
        <v>1741</v>
      </c>
      <c r="GC28" s="538"/>
      <c r="GD28" s="538"/>
      <c r="GE28" s="538" t="s">
        <v>1742</v>
      </c>
      <c r="GF28" s="538"/>
      <c r="GG28" s="536" t="s">
        <v>1743</v>
      </c>
      <c r="GH28" s="536" t="s">
        <v>1744</v>
      </c>
      <c r="GI28" s="536"/>
      <c r="GJ28" s="536"/>
      <c r="GK28" s="536"/>
      <c r="GL28" s="539"/>
      <c r="GM28" s="539"/>
      <c r="GN28" s="540"/>
      <c r="GO28" s="540"/>
      <c r="GP28" s="540" t="s">
        <v>227</v>
      </c>
      <c r="GQ28" s="537" t="s">
        <v>1247</v>
      </c>
      <c r="GR28" s="536" t="s">
        <v>2316</v>
      </c>
      <c r="GS28" s="536"/>
      <c r="GT28" s="536"/>
      <c r="GU28" s="536"/>
      <c r="GV28" s="536"/>
      <c r="GW28" s="536"/>
      <c r="GX28" s="536"/>
      <c r="GY28" s="541"/>
      <c r="GZ28" s="536"/>
      <c r="HA28" s="536" t="s">
        <v>1250</v>
      </c>
      <c r="HB28" s="536"/>
      <c r="HC28" s="536"/>
      <c r="HD28" s="536"/>
      <c r="HE28" s="536"/>
      <c r="HF28" s="536"/>
      <c r="HG28" s="536"/>
      <c r="HH28" s="542"/>
      <c r="HI28" s="542"/>
      <c r="HJ28" s="542"/>
      <c r="HK28" s="542"/>
      <c r="HL28" s="542"/>
      <c r="HM28" s="542"/>
      <c r="HN28" s="542"/>
      <c r="HO28" s="542"/>
      <c r="HP28" s="542"/>
      <c r="HQ28" s="542"/>
      <c r="HR28" s="541"/>
      <c r="HS28" s="538"/>
      <c r="HT28" s="536" t="s">
        <v>182</v>
      </c>
      <c r="HU28" s="541"/>
      <c r="HV28" s="536"/>
      <c r="HW28" s="541"/>
      <c r="HX28" s="536"/>
      <c r="HY28" s="541"/>
      <c r="HZ28" s="536"/>
      <c r="IA28" s="536"/>
      <c r="IB28" s="536"/>
      <c r="IC28" s="536"/>
      <c r="ID28" s="536"/>
      <c r="IE28" s="536"/>
      <c r="IF28" s="536"/>
      <c r="IG28" s="536" t="s">
        <v>325</v>
      </c>
      <c r="IH28" s="537"/>
      <c r="II28" s="537"/>
      <c r="IJ28" s="537"/>
      <c r="IK28" s="536"/>
      <c r="IL28" s="536"/>
      <c r="IM28" s="536"/>
      <c r="IN28" s="536"/>
      <c r="IO28" s="536"/>
      <c r="IP28" s="536"/>
      <c r="IQ28" s="536"/>
      <c r="IR28" s="536"/>
      <c r="IS28" s="536"/>
      <c r="IT28" s="536"/>
      <c r="IU28" s="536"/>
      <c r="IV28" s="536"/>
      <c r="IW28" s="536"/>
      <c r="IX28" s="536"/>
      <c r="IY28" s="536"/>
      <c r="IZ28" s="536"/>
      <c r="JA28" s="536"/>
      <c r="JB28" s="536"/>
      <c r="JC28" s="536"/>
      <c r="JD28" s="536"/>
      <c r="JE28" s="536"/>
      <c r="JF28" s="536"/>
      <c r="JG28" s="536"/>
      <c r="JH28" s="536"/>
      <c r="JI28" s="536"/>
      <c r="JJ28" s="536"/>
      <c r="JK28" s="536"/>
      <c r="JL28" s="536"/>
      <c r="JM28" s="536"/>
      <c r="JN28" s="539"/>
      <c r="JO28" s="539"/>
      <c r="JP28" s="536"/>
      <c r="JQ28" s="536"/>
      <c r="JR28" s="536"/>
      <c r="JS28" s="536"/>
      <c r="JT28" s="536"/>
      <c r="JU28" s="536"/>
      <c r="JV28" s="536"/>
      <c r="JW28" s="536"/>
      <c r="JX28" s="536"/>
      <c r="JY28" s="536"/>
      <c r="JZ28" s="536"/>
      <c r="KA28" s="536"/>
      <c r="KB28" s="536"/>
      <c r="KC28" s="536"/>
      <c r="KD28" s="536"/>
      <c r="KE28" s="536"/>
      <c r="KF28" s="536"/>
      <c r="KG28" s="536"/>
      <c r="KH28" s="536"/>
      <c r="KI28" s="536"/>
      <c r="KJ28" s="536"/>
      <c r="KK28" s="536"/>
      <c r="KL28" s="536"/>
      <c r="KM28" s="536"/>
      <c r="KN28" s="536"/>
      <c r="KO28" s="536"/>
      <c r="KP28" s="536"/>
      <c r="KQ28" s="536"/>
      <c r="KR28" s="536"/>
      <c r="KS28" s="536"/>
      <c r="KT28" s="536"/>
      <c r="KU28" s="536"/>
      <c r="KV28" s="536"/>
      <c r="KW28" s="536"/>
      <c r="KX28" s="536"/>
      <c r="KY28" s="536"/>
      <c r="KZ28" s="536"/>
      <c r="LA28" s="536"/>
      <c r="LB28" s="536"/>
      <c r="LC28" s="536"/>
      <c r="LD28" s="536"/>
      <c r="LE28" s="536"/>
      <c r="LF28" s="536"/>
      <c r="LG28" s="536"/>
      <c r="LH28" s="536"/>
      <c r="LI28" s="536"/>
      <c r="LJ28" s="536"/>
      <c r="LK28" s="536"/>
      <c r="LL28" s="536"/>
      <c r="LM28" s="536"/>
      <c r="LN28" s="543" t="s">
        <v>330</v>
      </c>
      <c r="LO28" s="536"/>
      <c r="LP28" s="536"/>
      <c r="LQ28" s="536"/>
      <c r="LR28" s="536"/>
      <c r="LS28" s="536"/>
      <c r="LT28" s="536"/>
      <c r="LU28" s="536"/>
      <c r="LV28" s="536"/>
      <c r="LW28" s="536"/>
      <c r="LX28" s="536"/>
      <c r="LY28" s="536"/>
      <c r="LZ28" s="536"/>
      <c r="MA28" s="536"/>
      <c r="MB28" s="536"/>
      <c r="MC28" s="536"/>
      <c r="MD28" s="536"/>
      <c r="ME28" s="536"/>
      <c r="MF28" s="536"/>
      <c r="MG28" s="536"/>
      <c r="MH28" s="536"/>
      <c r="MI28" s="536"/>
      <c r="MJ28" s="536"/>
      <c r="MK28" s="536"/>
      <c r="ML28" s="536"/>
      <c r="MM28" s="536"/>
      <c r="MN28" s="536"/>
      <c r="MO28" s="536"/>
      <c r="MP28" s="536"/>
      <c r="MQ28" s="536"/>
      <c r="MR28" s="536"/>
      <c r="MS28" s="536"/>
      <c r="MT28" s="536"/>
      <c r="MU28" s="536"/>
      <c r="MV28" s="536"/>
      <c r="MW28" s="536"/>
      <c r="MX28" s="536"/>
      <c r="MY28" s="536"/>
      <c r="MZ28" s="536"/>
      <c r="NA28" s="536"/>
      <c r="NB28" s="536"/>
      <c r="NC28" s="536"/>
      <c r="ND28" s="536"/>
      <c r="NE28" s="536"/>
      <c r="NF28" s="536" t="s">
        <v>94</v>
      </c>
      <c r="NG28" s="536"/>
      <c r="NH28" s="536" t="s">
        <v>734</v>
      </c>
      <c r="NI28" s="536"/>
      <c r="NJ28" s="536" t="s">
        <v>91</v>
      </c>
      <c r="NK28" s="536"/>
      <c r="NL28" s="536" t="s">
        <v>1685</v>
      </c>
      <c r="NM28" s="536" t="s">
        <v>742</v>
      </c>
      <c r="NN28" s="536"/>
      <c r="NO28" s="536" t="s">
        <v>743</v>
      </c>
      <c r="NP28" s="536" t="s">
        <v>92</v>
      </c>
      <c r="NQ28" s="536"/>
      <c r="NR28" s="536"/>
      <c r="NS28" s="536"/>
      <c r="NT28" s="536"/>
      <c r="NU28" s="536"/>
      <c r="NV28" s="536"/>
      <c r="NW28" s="536"/>
      <c r="NX28" s="536"/>
      <c r="NY28" s="536"/>
      <c r="NZ28" s="536"/>
      <c r="OA28" s="536"/>
      <c r="OB28" s="536"/>
      <c r="OC28" s="536"/>
      <c r="OD28" s="536"/>
      <c r="OE28" s="536"/>
      <c r="OF28" s="536"/>
      <c r="OG28" s="536"/>
      <c r="OH28" s="536"/>
      <c r="OI28" s="536"/>
      <c r="OJ28" s="536"/>
      <c r="OK28" s="536"/>
      <c r="OL28" s="536"/>
      <c r="OM28" s="536"/>
      <c r="ON28" s="536"/>
      <c r="OO28" s="536"/>
      <c r="OP28" s="536"/>
      <c r="OQ28" s="536"/>
      <c r="OR28" s="536"/>
      <c r="OS28" s="536"/>
      <c r="OT28" s="536"/>
      <c r="OU28" s="536"/>
      <c r="OV28" s="536"/>
      <c r="OW28" s="536"/>
      <c r="OX28" s="536"/>
      <c r="OY28" s="536"/>
      <c r="OZ28" s="536"/>
      <c r="PA28" s="536"/>
      <c r="PB28" s="536"/>
      <c r="PC28" s="536"/>
      <c r="PD28" s="536"/>
      <c r="PE28" s="536"/>
      <c r="PF28" s="536"/>
      <c r="PG28" s="536"/>
      <c r="PH28" s="536"/>
      <c r="PI28" s="536"/>
      <c r="PJ28" s="536"/>
      <c r="PK28" s="536"/>
      <c r="PL28" s="536"/>
      <c r="PM28" s="536"/>
      <c r="PN28" s="536"/>
      <c r="PO28" s="536"/>
      <c r="PP28" s="536"/>
      <c r="PQ28" s="536"/>
      <c r="PR28" s="536"/>
      <c r="PS28" s="536"/>
      <c r="PT28" s="536"/>
      <c r="PU28" s="536"/>
      <c r="PV28" s="536"/>
      <c r="PW28" s="536"/>
      <c r="PX28" s="536"/>
      <c r="PY28" s="536"/>
      <c r="PZ28" s="536" t="s">
        <v>1686</v>
      </c>
      <c r="QA28" s="536"/>
      <c r="QB28" s="536"/>
      <c r="QC28" s="536"/>
      <c r="QD28" s="536"/>
      <c r="QE28" s="536"/>
      <c r="QF28" s="536"/>
      <c r="QG28" s="536"/>
      <c r="QH28" s="536" t="s">
        <v>1687</v>
      </c>
      <c r="QI28" s="536"/>
      <c r="QJ28" s="536"/>
      <c r="QK28" s="536"/>
      <c r="QL28" s="536"/>
      <c r="QM28" s="536"/>
      <c r="QN28" s="536"/>
      <c r="QO28" s="536"/>
      <c r="QP28" s="536"/>
      <c r="QQ28" s="536"/>
      <c r="QR28" s="536"/>
      <c r="QS28" s="536"/>
      <c r="QT28" s="536"/>
      <c r="QU28" s="536"/>
      <c r="QV28" s="536"/>
      <c r="QW28" s="536"/>
      <c r="QX28" s="536"/>
      <c r="QY28" s="536"/>
      <c r="QZ28" s="536"/>
      <c r="RA28" s="536"/>
      <c r="RB28" s="536"/>
      <c r="RC28" s="536"/>
      <c r="RD28" s="536"/>
      <c r="RE28" s="536"/>
      <c r="RF28" s="536"/>
      <c r="RG28" s="536"/>
      <c r="RH28" s="536"/>
      <c r="RI28" s="536"/>
      <c r="RJ28" s="536"/>
      <c r="RK28" s="536"/>
      <c r="RL28" s="536"/>
      <c r="RM28" s="536"/>
      <c r="RN28" s="536"/>
      <c r="RO28" s="536"/>
      <c r="RP28" s="536"/>
      <c r="RQ28" s="536"/>
      <c r="RR28" s="536"/>
      <c r="RS28" s="536"/>
      <c r="RT28" s="536"/>
      <c r="RU28" s="536"/>
      <c r="RV28" s="536"/>
      <c r="RW28" s="536"/>
      <c r="RX28" s="536" t="s">
        <v>1262</v>
      </c>
      <c r="RY28" s="544" t="s">
        <v>1074</v>
      </c>
      <c r="RZ28" s="536"/>
      <c r="SA28" s="536"/>
      <c r="SB28" s="536"/>
      <c r="SC28" s="536"/>
      <c r="SD28" s="536" t="s">
        <v>556</v>
      </c>
      <c r="SE28" s="536"/>
      <c r="SF28" s="536"/>
      <c r="SG28" s="536"/>
      <c r="SH28" s="536"/>
      <c r="SI28" s="536"/>
      <c r="SJ28" s="536"/>
      <c r="SK28" s="536"/>
      <c r="SL28" s="536"/>
      <c r="SM28" s="536"/>
      <c r="SN28" s="536"/>
      <c r="SO28" s="536" t="s">
        <v>1688</v>
      </c>
      <c r="SP28" s="536"/>
      <c r="SQ28" s="536"/>
      <c r="SR28" s="536"/>
      <c r="SS28" s="536"/>
      <c r="ST28" s="536" t="s">
        <v>1754</v>
      </c>
      <c r="SU28" s="536"/>
      <c r="SV28" s="536"/>
      <c r="SW28" s="536" t="s">
        <v>1815</v>
      </c>
      <c r="SX28" s="536"/>
      <c r="SY28" s="536"/>
      <c r="SZ28" s="536" t="s">
        <v>1814</v>
      </c>
      <c r="TA28" s="536"/>
      <c r="TB28" s="536"/>
      <c r="TC28" s="536"/>
      <c r="TD28" s="536"/>
      <c r="TE28" s="536"/>
      <c r="TF28" s="536"/>
      <c r="TG28" s="536"/>
      <c r="TH28" s="536"/>
      <c r="TI28" s="536"/>
      <c r="TJ28" s="536"/>
      <c r="TK28" s="536"/>
      <c r="TL28" s="536"/>
      <c r="TM28" s="536"/>
      <c r="TN28" s="536"/>
      <c r="TO28" s="536"/>
      <c r="TP28" s="536"/>
      <c r="TQ28" s="540"/>
      <c r="TR28" s="540"/>
      <c r="TS28" s="540"/>
      <c r="TT28" s="540"/>
      <c r="TU28" s="540"/>
      <c r="TV28" s="540"/>
      <c r="TW28" s="536"/>
      <c r="TX28" s="536"/>
      <c r="TY28" s="536"/>
      <c r="TZ28" s="536"/>
      <c r="UA28" s="536"/>
      <c r="UB28" s="536"/>
      <c r="UC28" s="536"/>
      <c r="UD28" s="536"/>
      <c r="UE28" s="536"/>
      <c r="UF28" s="536"/>
      <c r="UG28" s="536"/>
      <c r="UH28" s="536"/>
      <c r="UI28" s="536"/>
      <c r="UJ28" s="536"/>
      <c r="UK28" s="536"/>
      <c r="UL28" s="536"/>
      <c r="UM28" s="536"/>
      <c r="UN28" s="536"/>
      <c r="UO28" s="536"/>
      <c r="UP28" s="536"/>
      <c r="UQ28" s="536"/>
      <c r="UR28" s="536"/>
      <c r="US28" s="536"/>
      <c r="UT28" s="536"/>
      <c r="UU28" s="536"/>
      <c r="UV28" s="536"/>
      <c r="UW28" s="536"/>
      <c r="UX28" s="536"/>
      <c r="UY28" s="536"/>
      <c r="UZ28" s="536"/>
      <c r="VA28" s="536"/>
      <c r="VB28" s="536" t="s">
        <v>452</v>
      </c>
      <c r="VC28" s="536" t="s">
        <v>1745</v>
      </c>
      <c r="VD28" s="536" t="s">
        <v>1746</v>
      </c>
      <c r="VE28" s="536" t="s">
        <v>1747</v>
      </c>
      <c r="VF28" s="536" t="s">
        <v>1748</v>
      </c>
      <c r="VG28" s="536" t="s">
        <v>1749</v>
      </c>
      <c r="VH28" s="536"/>
      <c r="VI28" s="536"/>
      <c r="VJ28" s="536"/>
      <c r="VK28" s="536"/>
      <c r="VL28" s="536"/>
      <c r="VM28" s="536"/>
      <c r="VN28" s="536"/>
      <c r="VO28" s="536"/>
      <c r="VP28" s="536"/>
      <c r="VQ28" s="536"/>
      <c r="VR28" s="536"/>
      <c r="VS28" s="536" t="s">
        <v>1750</v>
      </c>
      <c r="VT28" s="536" t="s">
        <v>1751</v>
      </c>
      <c r="VU28" s="536" t="s">
        <v>1752</v>
      </c>
      <c r="VV28" s="536" t="s">
        <v>1753</v>
      </c>
      <c r="VW28" s="536" t="s">
        <v>1755</v>
      </c>
      <c r="VX28" s="536"/>
      <c r="VY28" s="536" t="s">
        <v>1756</v>
      </c>
      <c r="VZ28" s="536"/>
      <c r="WA28" s="536"/>
      <c r="WB28" s="536"/>
      <c r="WC28" s="536"/>
      <c r="WD28" s="536"/>
      <c r="WE28" s="536"/>
      <c r="WF28" s="536"/>
      <c r="WG28" s="536"/>
      <c r="WH28" s="536"/>
      <c r="WI28" s="536"/>
      <c r="WJ28" s="536"/>
      <c r="WK28" s="536"/>
      <c r="WL28" s="536"/>
      <c r="WM28" s="536"/>
      <c r="WN28" s="536"/>
      <c r="WO28" s="536"/>
      <c r="WP28" s="536"/>
      <c r="WQ28" s="536"/>
      <c r="WR28" s="536"/>
      <c r="WS28" s="536"/>
      <c r="WT28" s="536"/>
      <c r="WU28" s="536"/>
      <c r="WV28" s="536"/>
      <c r="WW28" s="536"/>
      <c r="WX28" s="536"/>
      <c r="WY28" s="536"/>
      <c r="WZ28" s="536"/>
      <c r="XA28" s="536"/>
      <c r="XB28" s="536"/>
      <c r="XC28" s="536"/>
      <c r="XD28" s="536"/>
      <c r="XE28" s="536"/>
      <c r="XF28" s="536"/>
      <c r="XG28" s="536"/>
      <c r="XH28" s="536"/>
      <c r="XI28" s="536"/>
      <c r="XJ28" s="536"/>
      <c r="XK28" s="536"/>
      <c r="XL28" s="536"/>
      <c r="XM28" s="536"/>
      <c r="XN28" s="536"/>
      <c r="XO28" s="536"/>
      <c r="XP28" s="536"/>
      <c r="XQ28" s="536" t="s">
        <v>204</v>
      </c>
      <c r="XR28" s="536" t="s">
        <v>205</v>
      </c>
      <c r="XS28" s="536" t="s">
        <v>802</v>
      </c>
      <c r="XT28" s="536" t="s">
        <v>801</v>
      </c>
      <c r="XU28" s="536" t="s">
        <v>1100</v>
      </c>
      <c r="XV28" s="536"/>
      <c r="XW28" s="536" t="s">
        <v>800</v>
      </c>
      <c r="XX28" s="536" t="s">
        <v>1102</v>
      </c>
      <c r="XY28" s="536" t="s">
        <v>1103</v>
      </c>
      <c r="XZ28" s="536" t="s">
        <v>1104</v>
      </c>
      <c r="YA28" s="536" t="s">
        <v>1101</v>
      </c>
      <c r="YB28" s="536" t="s">
        <v>1105</v>
      </c>
      <c r="YC28" s="536" t="s">
        <v>1757</v>
      </c>
      <c r="YD28" s="536" t="s">
        <v>1780</v>
      </c>
      <c r="YE28" s="536" t="s">
        <v>1107</v>
      </c>
      <c r="YF28" s="536" t="s">
        <v>1758</v>
      </c>
      <c r="YG28" s="536" t="s">
        <v>1759</v>
      </c>
      <c r="YH28" s="536"/>
      <c r="YI28" s="536"/>
      <c r="YJ28" s="536"/>
      <c r="YK28" s="536"/>
      <c r="YL28" s="536" t="s">
        <v>807</v>
      </c>
      <c r="YM28" s="537"/>
      <c r="YN28" s="537"/>
      <c r="YO28" s="536"/>
      <c r="YP28" s="536"/>
      <c r="YQ28" s="536"/>
      <c r="YR28" s="536"/>
      <c r="YS28" s="536"/>
      <c r="YT28" s="537"/>
    </row>
    <row r="29" spans="1:670" s="94" customFormat="1" x14ac:dyDescent="0.2">
      <c r="A29" s="113" t="s">
        <v>372</v>
      </c>
      <c r="B29" s="49" t="s">
        <v>13</v>
      </c>
      <c r="C29" s="49" t="s">
        <v>13</v>
      </c>
      <c r="D29" s="49" t="s">
        <v>13</v>
      </c>
      <c r="E29" s="49" t="s">
        <v>13</v>
      </c>
      <c r="F29" s="49" t="s">
        <v>59</v>
      </c>
      <c r="G29" s="49" t="s">
        <v>31</v>
      </c>
      <c r="H29" s="49" t="s">
        <v>13</v>
      </c>
      <c r="I29" s="49" t="s">
        <v>13</v>
      </c>
      <c r="J29" s="49" t="s">
        <v>13</v>
      </c>
      <c r="K29" s="49" t="s">
        <v>13</v>
      </c>
      <c r="L29" s="49"/>
      <c r="M29" s="49" t="s">
        <v>13</v>
      </c>
      <c r="N29" s="49" t="s">
        <v>13</v>
      </c>
      <c r="O29" s="49" t="s">
        <v>13</v>
      </c>
      <c r="P29" s="49" t="s">
        <v>13</v>
      </c>
      <c r="Q29" s="49" t="s">
        <v>13</v>
      </c>
      <c r="R29" s="49" t="s">
        <v>13</v>
      </c>
      <c r="S29" s="49" t="s">
        <v>13</v>
      </c>
      <c r="T29" s="49" t="s">
        <v>13</v>
      </c>
      <c r="U29" s="49" t="s">
        <v>13</v>
      </c>
      <c r="V29" s="49" t="s">
        <v>13</v>
      </c>
      <c r="W29" s="49" t="s">
        <v>13</v>
      </c>
      <c r="X29" s="49" t="s">
        <v>13</v>
      </c>
      <c r="Y29" s="49" t="s">
        <v>13</v>
      </c>
      <c r="Z29" s="49" t="s">
        <v>13</v>
      </c>
      <c r="AA29" s="49" t="s">
        <v>13</v>
      </c>
      <c r="AB29" s="49" t="s">
        <v>13</v>
      </c>
      <c r="AC29" s="49" t="s">
        <v>59</v>
      </c>
      <c r="AD29" s="49" t="s">
        <v>13</v>
      </c>
      <c r="AE29" s="49" t="s">
        <v>13</v>
      </c>
      <c r="AF29" s="49" t="s">
        <v>13</v>
      </c>
      <c r="AG29" s="49" t="s">
        <v>13</v>
      </c>
      <c r="AH29" s="49" t="s">
        <v>13</v>
      </c>
      <c r="AI29" s="49" t="s">
        <v>13</v>
      </c>
      <c r="AJ29" s="49" t="s">
        <v>13</v>
      </c>
      <c r="AK29" s="49" t="s">
        <v>13</v>
      </c>
      <c r="AL29" s="49" t="s">
        <v>13</v>
      </c>
      <c r="AM29" s="49" t="s">
        <v>13</v>
      </c>
      <c r="AN29" s="49" t="s">
        <v>13</v>
      </c>
      <c r="AO29" s="49" t="s">
        <v>13</v>
      </c>
      <c r="AP29" s="49" t="s">
        <v>13</v>
      </c>
      <c r="AQ29" s="49" t="s">
        <v>13</v>
      </c>
      <c r="AR29" s="49" t="s">
        <v>13</v>
      </c>
      <c r="AS29" s="49" t="s">
        <v>13</v>
      </c>
      <c r="AT29" s="49" t="s">
        <v>13</v>
      </c>
      <c r="AU29" s="49"/>
      <c r="AV29" s="49"/>
      <c r="AW29" s="49"/>
      <c r="AX29" s="49"/>
      <c r="AY29" s="49"/>
      <c r="AZ29" s="49"/>
      <c r="BA29" s="49"/>
      <c r="BB29" s="49"/>
      <c r="BC29" s="49"/>
      <c r="BD29" s="49"/>
      <c r="BE29" s="49"/>
      <c r="BF29" s="49"/>
      <c r="BG29" s="49"/>
      <c r="BH29" s="49"/>
      <c r="BI29" s="49" t="s">
        <v>13</v>
      </c>
      <c r="BJ29" s="49" t="s">
        <v>13</v>
      </c>
      <c r="BK29" s="49" t="s">
        <v>13</v>
      </c>
      <c r="BL29" s="49" t="s">
        <v>13</v>
      </c>
      <c r="BM29" s="49" t="s">
        <v>13</v>
      </c>
      <c r="BN29" s="49" t="s">
        <v>13</v>
      </c>
      <c r="BO29" s="49" t="s">
        <v>13</v>
      </c>
      <c r="BP29" s="49" t="s">
        <v>13</v>
      </c>
      <c r="BQ29" s="49" t="s">
        <v>13</v>
      </c>
      <c r="BR29" s="49" t="s">
        <v>13</v>
      </c>
      <c r="BS29" s="49" t="s">
        <v>13</v>
      </c>
      <c r="BT29" s="49" t="s">
        <v>13</v>
      </c>
      <c r="BU29" s="49" t="s">
        <v>13</v>
      </c>
      <c r="BV29" s="49" t="s">
        <v>13</v>
      </c>
      <c r="BW29" s="49" t="s">
        <v>13</v>
      </c>
      <c r="BX29" s="49" t="s">
        <v>13</v>
      </c>
      <c r="BY29" s="49" t="s">
        <v>20</v>
      </c>
      <c r="BZ29" s="49" t="s">
        <v>13</v>
      </c>
      <c r="CA29" s="49" t="s">
        <v>59</v>
      </c>
      <c r="CB29" s="49" t="s">
        <v>59</v>
      </c>
      <c r="CC29" s="49" t="s">
        <v>13</v>
      </c>
      <c r="CD29" s="49" t="s">
        <v>13</v>
      </c>
      <c r="CE29" s="49" t="s">
        <v>59</v>
      </c>
      <c r="CF29" s="49" t="s">
        <v>59</v>
      </c>
      <c r="CG29" s="49" t="s">
        <v>13</v>
      </c>
      <c r="CH29" s="49" t="s">
        <v>13</v>
      </c>
      <c r="CI29" s="49" t="s">
        <v>59</v>
      </c>
      <c r="CJ29" s="49" t="s">
        <v>13</v>
      </c>
      <c r="CK29" s="49" t="s">
        <v>13</v>
      </c>
      <c r="CL29" s="49" t="s">
        <v>13</v>
      </c>
      <c r="CM29" s="49"/>
      <c r="CN29" s="49" t="s">
        <v>13</v>
      </c>
      <c r="CO29" s="49" t="s">
        <v>13</v>
      </c>
      <c r="CP29" s="49" t="s">
        <v>13</v>
      </c>
      <c r="CQ29" s="49" t="s">
        <v>13</v>
      </c>
      <c r="CR29" s="49" t="s">
        <v>59</v>
      </c>
      <c r="CS29" s="49" t="s">
        <v>13</v>
      </c>
      <c r="CT29" s="49" t="s">
        <v>13</v>
      </c>
      <c r="CU29" s="49" t="s">
        <v>13</v>
      </c>
      <c r="CV29" s="49" t="s">
        <v>13</v>
      </c>
      <c r="CW29" s="122" t="s">
        <v>13</v>
      </c>
      <c r="CX29" s="49" t="s">
        <v>13</v>
      </c>
      <c r="CY29" s="49" t="s">
        <v>13</v>
      </c>
      <c r="CZ29" s="49" t="s">
        <v>13</v>
      </c>
      <c r="DA29" s="122"/>
      <c r="DB29" s="122"/>
      <c r="DC29" s="122"/>
      <c r="DD29" s="122"/>
      <c r="DE29" s="49" t="s">
        <v>13</v>
      </c>
      <c r="DF29" s="49" t="s">
        <v>13</v>
      </c>
      <c r="DG29" s="49" t="s">
        <v>13</v>
      </c>
      <c r="DH29" s="49"/>
      <c r="DI29" s="49" t="s">
        <v>13</v>
      </c>
      <c r="DJ29" s="49" t="s">
        <v>20</v>
      </c>
      <c r="DK29" s="49" t="s">
        <v>20</v>
      </c>
      <c r="DL29" s="49" t="s">
        <v>13</v>
      </c>
      <c r="DM29" s="49" t="s">
        <v>13</v>
      </c>
      <c r="DN29" s="49" t="s">
        <v>13</v>
      </c>
      <c r="DO29" s="49" t="s">
        <v>13</v>
      </c>
      <c r="DP29" s="49" t="s">
        <v>13</v>
      </c>
      <c r="DQ29" s="49" t="s">
        <v>13</v>
      </c>
      <c r="DR29" s="49" t="s">
        <v>13</v>
      </c>
      <c r="DS29" s="49" t="s">
        <v>13</v>
      </c>
      <c r="DT29" s="49" t="s">
        <v>13</v>
      </c>
      <c r="DU29" s="49" t="s">
        <v>13</v>
      </c>
      <c r="DV29" s="49" t="s">
        <v>13</v>
      </c>
      <c r="DW29" s="49" t="s">
        <v>13</v>
      </c>
      <c r="DX29" s="49" t="s">
        <v>13</v>
      </c>
      <c r="DY29" s="49" t="s">
        <v>13</v>
      </c>
      <c r="DZ29" s="49" t="s">
        <v>13</v>
      </c>
      <c r="EA29" s="49" t="s">
        <v>13</v>
      </c>
      <c r="EB29" s="49" t="s">
        <v>13</v>
      </c>
      <c r="EC29" s="49" t="s">
        <v>13</v>
      </c>
      <c r="ED29" s="49" t="s">
        <v>13</v>
      </c>
      <c r="EE29" s="49" t="s">
        <v>13</v>
      </c>
      <c r="EF29" s="93" t="s">
        <v>13</v>
      </c>
      <c r="EG29" s="93" t="s">
        <v>13</v>
      </c>
      <c r="EH29" s="93" t="s">
        <v>59</v>
      </c>
      <c r="EI29" s="93" t="s">
        <v>59</v>
      </c>
      <c r="EJ29" s="93" t="s">
        <v>59</v>
      </c>
      <c r="EK29" s="93" t="s">
        <v>13</v>
      </c>
      <c r="EL29" s="93" t="s">
        <v>59</v>
      </c>
      <c r="EM29" s="93" t="s">
        <v>13</v>
      </c>
      <c r="EN29" s="93" t="s">
        <v>13</v>
      </c>
      <c r="EO29" s="93"/>
      <c r="EP29" s="93"/>
      <c r="EQ29" s="49"/>
      <c r="ER29" s="49"/>
      <c r="ES29" s="49"/>
      <c r="ET29" s="49"/>
      <c r="EU29" s="49" t="s">
        <v>13</v>
      </c>
      <c r="EV29" s="49" t="s">
        <v>13</v>
      </c>
      <c r="EW29" s="49" t="s">
        <v>13</v>
      </c>
      <c r="EX29" s="49" t="s">
        <v>59</v>
      </c>
      <c r="EY29" s="49" t="s">
        <v>59</v>
      </c>
      <c r="EZ29" s="49" t="s">
        <v>59</v>
      </c>
      <c r="FA29" s="49" t="s">
        <v>13</v>
      </c>
      <c r="FB29" s="49" t="s">
        <v>13</v>
      </c>
      <c r="FC29" s="49" t="s">
        <v>13</v>
      </c>
      <c r="FD29" s="49" t="s">
        <v>59</v>
      </c>
      <c r="FE29" s="49" t="s">
        <v>59</v>
      </c>
      <c r="FF29" s="49" t="s">
        <v>59</v>
      </c>
      <c r="FG29" s="49" t="s">
        <v>59</v>
      </c>
      <c r="FH29" s="49" t="s">
        <v>13</v>
      </c>
      <c r="FI29" s="49" t="s">
        <v>59</v>
      </c>
      <c r="FJ29" s="49" t="s">
        <v>59</v>
      </c>
      <c r="FK29" s="49" t="s">
        <v>13</v>
      </c>
      <c r="FL29" s="49" t="s">
        <v>59</v>
      </c>
      <c r="FM29" s="49" t="s">
        <v>13</v>
      </c>
      <c r="FN29" s="49" t="s">
        <v>59</v>
      </c>
      <c r="FO29" s="49" t="s">
        <v>13</v>
      </c>
      <c r="FP29" s="49"/>
      <c r="FQ29" s="49"/>
      <c r="FR29" s="49"/>
      <c r="FS29" s="49"/>
      <c r="FT29" s="49"/>
      <c r="FU29" s="49" t="s">
        <v>13</v>
      </c>
      <c r="FV29" s="49" t="s">
        <v>13</v>
      </c>
      <c r="FW29" s="49" t="s">
        <v>13</v>
      </c>
      <c r="FX29" s="94" t="s">
        <v>59</v>
      </c>
      <c r="FY29" s="94" t="s">
        <v>59</v>
      </c>
      <c r="FZ29" s="49" t="s">
        <v>13</v>
      </c>
      <c r="GA29" s="94" t="s">
        <v>59</v>
      </c>
      <c r="GB29" s="94" t="s">
        <v>59</v>
      </c>
      <c r="GC29" s="49" t="s">
        <v>13</v>
      </c>
      <c r="GD29" s="49" t="s">
        <v>13</v>
      </c>
      <c r="GE29" s="94" t="s">
        <v>59</v>
      </c>
      <c r="GF29" s="49" t="s">
        <v>13</v>
      </c>
      <c r="GG29" s="94" t="s">
        <v>59</v>
      </c>
      <c r="GH29" s="94" t="s">
        <v>59</v>
      </c>
      <c r="GI29" s="49" t="s">
        <v>59</v>
      </c>
      <c r="GJ29" s="49" t="s">
        <v>59</v>
      </c>
      <c r="GK29" s="49" t="s">
        <v>59</v>
      </c>
      <c r="GL29" s="465" t="s">
        <v>59</v>
      </c>
      <c r="GM29" s="465" t="s">
        <v>59</v>
      </c>
      <c r="GN29" s="49" t="s">
        <v>59</v>
      </c>
      <c r="GO29" s="49" t="s">
        <v>59</v>
      </c>
      <c r="GP29" s="49" t="s">
        <v>13</v>
      </c>
      <c r="GQ29" s="122" t="s">
        <v>13</v>
      </c>
      <c r="GR29" s="49" t="s">
        <v>59</v>
      </c>
      <c r="GS29" s="49"/>
      <c r="GT29" s="49" t="s">
        <v>59</v>
      </c>
      <c r="GU29" s="49" t="s">
        <v>59</v>
      </c>
      <c r="GV29" s="49" t="s">
        <v>59</v>
      </c>
      <c r="GW29" s="49" t="s">
        <v>20</v>
      </c>
      <c r="GX29" s="49" t="s">
        <v>20</v>
      </c>
      <c r="GY29" s="122" t="s">
        <v>59</v>
      </c>
      <c r="GZ29" s="49" t="s">
        <v>13</v>
      </c>
      <c r="HA29" s="49" t="s">
        <v>59</v>
      </c>
      <c r="HB29" s="49"/>
      <c r="HC29" s="49" t="s">
        <v>20</v>
      </c>
      <c r="HD29" s="49" t="s">
        <v>59</v>
      </c>
      <c r="HE29" s="49" t="s">
        <v>59</v>
      </c>
      <c r="HF29" s="49" t="s">
        <v>59</v>
      </c>
      <c r="HG29" s="49" t="s">
        <v>59</v>
      </c>
      <c r="HH29" s="122" t="s">
        <v>59</v>
      </c>
      <c r="HI29" s="122" t="s">
        <v>59</v>
      </c>
      <c r="HJ29" s="122" t="s">
        <v>59</v>
      </c>
      <c r="HK29" s="122" t="s">
        <v>59</v>
      </c>
      <c r="HL29" s="122" t="s">
        <v>59</v>
      </c>
      <c r="HM29" s="122" t="s">
        <v>59</v>
      </c>
      <c r="HN29" s="122" t="s">
        <v>59</v>
      </c>
      <c r="HO29" s="122" t="s">
        <v>59</v>
      </c>
      <c r="HP29" s="122" t="s">
        <v>59</v>
      </c>
      <c r="HQ29" s="122" t="s">
        <v>59</v>
      </c>
      <c r="HR29" s="122" t="s">
        <v>59</v>
      </c>
      <c r="HS29" s="49" t="s">
        <v>59</v>
      </c>
      <c r="HT29" s="49" t="s">
        <v>13</v>
      </c>
      <c r="HU29" s="122" t="s">
        <v>59</v>
      </c>
      <c r="HV29" s="49" t="s">
        <v>59</v>
      </c>
      <c r="HW29" s="122" t="s">
        <v>59</v>
      </c>
      <c r="HX29" s="49" t="s">
        <v>59</v>
      </c>
      <c r="HY29" s="122" t="s">
        <v>59</v>
      </c>
      <c r="HZ29" s="49" t="s">
        <v>59</v>
      </c>
      <c r="IA29" s="49" t="s">
        <v>59</v>
      </c>
      <c r="IB29" s="49" t="s">
        <v>59</v>
      </c>
      <c r="IC29" s="49" t="s">
        <v>59</v>
      </c>
      <c r="ID29" s="49" t="s">
        <v>59</v>
      </c>
      <c r="IE29" s="49" t="s">
        <v>59</v>
      </c>
      <c r="IF29" s="49" t="s">
        <v>59</v>
      </c>
      <c r="IG29" s="49" t="s">
        <v>59</v>
      </c>
      <c r="IH29" s="122" t="s">
        <v>59</v>
      </c>
      <c r="II29" s="122"/>
      <c r="IJ29" s="122"/>
      <c r="IK29" s="465" t="s">
        <v>59</v>
      </c>
      <c r="IL29" s="465" t="s">
        <v>59</v>
      </c>
      <c r="IM29" s="465" t="s">
        <v>59</v>
      </c>
      <c r="IN29" s="465" t="s">
        <v>59</v>
      </c>
      <c r="IO29" s="465" t="s">
        <v>59</v>
      </c>
      <c r="IP29" s="465" t="s">
        <v>59</v>
      </c>
      <c r="IQ29" s="465" t="s">
        <v>59</v>
      </c>
      <c r="IR29" s="465" t="s">
        <v>59</v>
      </c>
      <c r="IS29" s="465"/>
      <c r="IT29" s="465"/>
      <c r="IU29" s="465"/>
      <c r="IV29" s="465" t="s">
        <v>59</v>
      </c>
      <c r="IW29" s="465" t="s">
        <v>59</v>
      </c>
      <c r="IX29" s="465" t="s">
        <v>59</v>
      </c>
      <c r="IY29" s="465" t="s">
        <v>59</v>
      </c>
      <c r="IZ29" s="465" t="s">
        <v>59</v>
      </c>
      <c r="JA29" s="465" t="s">
        <v>59</v>
      </c>
      <c r="JB29" s="465" t="s">
        <v>59</v>
      </c>
      <c r="JC29" s="465" t="s">
        <v>59</v>
      </c>
      <c r="JD29" s="465" t="s">
        <v>59</v>
      </c>
      <c r="JE29" s="465" t="s">
        <v>59</v>
      </c>
      <c r="JF29" s="465" t="s">
        <v>59</v>
      </c>
      <c r="JG29" s="465" t="s">
        <v>59</v>
      </c>
      <c r="JH29" s="465" t="s">
        <v>59</v>
      </c>
      <c r="JI29" s="465" t="s">
        <v>59</v>
      </c>
      <c r="JJ29" s="465" t="s">
        <v>59</v>
      </c>
      <c r="JK29" s="465" t="s">
        <v>59</v>
      </c>
      <c r="JL29" s="49" t="s">
        <v>59</v>
      </c>
      <c r="JM29" s="465" t="s">
        <v>59</v>
      </c>
      <c r="JN29" s="465" t="s">
        <v>59</v>
      </c>
      <c r="JO29" s="465" t="s">
        <v>59</v>
      </c>
      <c r="JP29" s="465" t="s">
        <v>59</v>
      </c>
      <c r="JQ29" s="465" t="s">
        <v>59</v>
      </c>
      <c r="JR29" s="465" t="s">
        <v>59</v>
      </c>
      <c r="JS29" s="465" t="s">
        <v>59</v>
      </c>
      <c r="JT29" s="465" t="s">
        <v>59</v>
      </c>
      <c r="JU29" s="465" t="s">
        <v>59</v>
      </c>
      <c r="JV29" s="465" t="s">
        <v>59</v>
      </c>
      <c r="JW29" s="465" t="s">
        <v>59</v>
      </c>
      <c r="JX29" s="465" t="s">
        <v>59</v>
      </c>
      <c r="JY29" s="465" t="s">
        <v>59</v>
      </c>
      <c r="JZ29" s="465" t="s">
        <v>59</v>
      </c>
      <c r="KA29" s="465" t="s">
        <v>59</v>
      </c>
      <c r="KB29" s="465" t="s">
        <v>59</v>
      </c>
      <c r="KC29" s="465" t="s">
        <v>59</v>
      </c>
      <c r="KD29" s="465" t="s">
        <v>59</v>
      </c>
      <c r="KE29" s="49" t="s">
        <v>59</v>
      </c>
      <c r="KF29" s="49" t="s">
        <v>59</v>
      </c>
      <c r="KG29" s="49" t="s">
        <v>59</v>
      </c>
      <c r="KH29" s="49" t="s">
        <v>59</v>
      </c>
      <c r="KI29" s="49" t="s">
        <v>59</v>
      </c>
      <c r="KJ29" s="49" t="s">
        <v>59</v>
      </c>
      <c r="KK29" s="49" t="s">
        <v>59</v>
      </c>
      <c r="KL29" s="49" t="s">
        <v>59</v>
      </c>
      <c r="KM29" s="49" t="s">
        <v>59</v>
      </c>
      <c r="KN29" s="49" t="s">
        <v>59</v>
      </c>
      <c r="KO29" s="49" t="s">
        <v>59</v>
      </c>
      <c r="KP29" s="49" t="s">
        <v>59</v>
      </c>
      <c r="KQ29" s="49" t="s">
        <v>59</v>
      </c>
      <c r="KR29" s="49" t="s">
        <v>59</v>
      </c>
      <c r="KS29" s="49" t="s">
        <v>59</v>
      </c>
      <c r="KT29" s="49" t="s">
        <v>59</v>
      </c>
      <c r="KU29" s="49" t="s">
        <v>59</v>
      </c>
      <c r="KV29" s="49" t="s">
        <v>59</v>
      </c>
      <c r="KW29" s="49" t="s">
        <v>59</v>
      </c>
      <c r="KX29" s="49" t="s">
        <v>59</v>
      </c>
      <c r="KY29" s="49" t="s">
        <v>59</v>
      </c>
      <c r="KZ29" s="49" t="s">
        <v>59</v>
      </c>
      <c r="LA29" s="49" t="s">
        <v>59</v>
      </c>
      <c r="LB29" s="49" t="s">
        <v>59</v>
      </c>
      <c r="LC29" s="49" t="s">
        <v>59</v>
      </c>
      <c r="LD29" s="49" t="s">
        <v>59</v>
      </c>
      <c r="LE29" s="49" t="s">
        <v>59</v>
      </c>
      <c r="LF29" s="49" t="s">
        <v>59</v>
      </c>
      <c r="LG29" s="49" t="s">
        <v>59</v>
      </c>
      <c r="LH29" s="49" t="s">
        <v>59</v>
      </c>
      <c r="LI29" s="49" t="s">
        <v>59</v>
      </c>
      <c r="LJ29" s="49" t="s">
        <v>59</v>
      </c>
      <c r="LK29" s="49" t="s">
        <v>59</v>
      </c>
      <c r="LL29" s="49" t="s">
        <v>59</v>
      </c>
      <c r="LM29" s="49" t="s">
        <v>59</v>
      </c>
      <c r="LN29" s="101" t="s">
        <v>13</v>
      </c>
      <c r="LO29" s="49" t="s">
        <v>59</v>
      </c>
      <c r="LP29" s="49" t="s">
        <v>59</v>
      </c>
      <c r="LQ29" s="49" t="s">
        <v>59</v>
      </c>
      <c r="LR29" s="49" t="s">
        <v>59</v>
      </c>
      <c r="LS29" s="49" t="s">
        <v>59</v>
      </c>
      <c r="LT29" s="49" t="s">
        <v>59</v>
      </c>
      <c r="LU29" s="49" t="s">
        <v>59</v>
      </c>
      <c r="LV29" s="49" t="s">
        <v>59</v>
      </c>
      <c r="LW29" s="49" t="s">
        <v>59</v>
      </c>
      <c r="LX29" s="49" t="s">
        <v>59</v>
      </c>
      <c r="LY29" s="49" t="s">
        <v>59</v>
      </c>
      <c r="LZ29" s="49" t="s">
        <v>59</v>
      </c>
      <c r="MA29" s="49" t="s">
        <v>59</v>
      </c>
      <c r="MB29" s="49" t="s">
        <v>59</v>
      </c>
      <c r="MC29" s="49" t="s">
        <v>59</v>
      </c>
      <c r="MD29" s="49" t="s">
        <v>59</v>
      </c>
      <c r="ME29" s="49" t="s">
        <v>59</v>
      </c>
      <c r="MF29" s="49" t="s">
        <v>59</v>
      </c>
      <c r="MG29" s="49" t="s">
        <v>59</v>
      </c>
      <c r="MH29" s="49" t="s">
        <v>59</v>
      </c>
      <c r="MI29" s="49" t="s">
        <v>59</v>
      </c>
      <c r="MJ29" s="49" t="s">
        <v>59</v>
      </c>
      <c r="MK29" s="49" t="s">
        <v>59</v>
      </c>
      <c r="ML29" s="49" t="s">
        <v>59</v>
      </c>
      <c r="MM29" s="49" t="s">
        <v>59</v>
      </c>
      <c r="MN29" s="49" t="s">
        <v>59</v>
      </c>
      <c r="MO29" s="49" t="s">
        <v>59</v>
      </c>
      <c r="MP29" s="49" t="s">
        <v>59</v>
      </c>
      <c r="MQ29" s="49" t="s">
        <v>59</v>
      </c>
      <c r="MR29" s="49" t="s">
        <v>59</v>
      </c>
      <c r="MS29" s="49" t="s">
        <v>59</v>
      </c>
      <c r="MT29" s="49" t="s">
        <v>59</v>
      </c>
      <c r="MU29" s="49" t="s">
        <v>59</v>
      </c>
      <c r="MV29" s="49" t="s">
        <v>59</v>
      </c>
      <c r="MW29" s="49" t="s">
        <v>59</v>
      </c>
      <c r="MX29" s="49" t="s">
        <v>59</v>
      </c>
      <c r="MY29" s="49" t="s">
        <v>59</v>
      </c>
      <c r="MZ29" s="49" t="s">
        <v>59</v>
      </c>
      <c r="NA29" s="49" t="s">
        <v>59</v>
      </c>
      <c r="NB29" s="49"/>
      <c r="NC29" s="49"/>
      <c r="ND29" s="49"/>
      <c r="NE29" s="49"/>
      <c r="NF29" s="49" t="s">
        <v>13</v>
      </c>
      <c r="NG29" s="49" t="s">
        <v>59</v>
      </c>
      <c r="NH29" s="49" t="s">
        <v>13</v>
      </c>
      <c r="NI29" s="49" t="s">
        <v>59</v>
      </c>
      <c r="NJ29" s="49" t="s">
        <v>13</v>
      </c>
      <c r="NK29" s="49"/>
      <c r="NL29" s="49" t="s">
        <v>13</v>
      </c>
      <c r="NM29" s="49" t="s">
        <v>13</v>
      </c>
      <c r="NN29" s="49" t="s">
        <v>59</v>
      </c>
      <c r="NO29" s="49" t="s">
        <v>13</v>
      </c>
      <c r="NP29" s="49" t="s">
        <v>13</v>
      </c>
      <c r="NQ29" s="49" t="s">
        <v>59</v>
      </c>
      <c r="NR29" s="49" t="s">
        <v>59</v>
      </c>
      <c r="NS29" s="49" t="s">
        <v>59</v>
      </c>
      <c r="NT29" s="49" t="s">
        <v>59</v>
      </c>
      <c r="NU29" s="49" t="s">
        <v>59</v>
      </c>
      <c r="NV29" s="49" t="s">
        <v>59</v>
      </c>
      <c r="NW29" s="49" t="s">
        <v>59</v>
      </c>
      <c r="NX29" s="49" t="s">
        <v>59</v>
      </c>
      <c r="NY29" s="49" t="s">
        <v>59</v>
      </c>
      <c r="NZ29" s="49" t="s">
        <v>59</v>
      </c>
      <c r="OA29" s="49" t="s">
        <v>59</v>
      </c>
      <c r="OB29" s="49" t="s">
        <v>59</v>
      </c>
      <c r="OC29" s="49" t="s">
        <v>59</v>
      </c>
      <c r="OD29" s="49" t="s">
        <v>59</v>
      </c>
      <c r="OE29" s="49" t="s">
        <v>59</v>
      </c>
      <c r="OF29" s="49" t="s">
        <v>59</v>
      </c>
      <c r="OG29" s="49" t="s">
        <v>59</v>
      </c>
      <c r="OH29" s="49" t="s">
        <v>59</v>
      </c>
      <c r="OI29" s="49" t="s">
        <v>59</v>
      </c>
      <c r="OJ29" s="49" t="s">
        <v>59</v>
      </c>
      <c r="OK29" s="49" t="s">
        <v>59</v>
      </c>
      <c r="OL29" s="49" t="s">
        <v>59</v>
      </c>
      <c r="OM29" s="49" t="s">
        <v>59</v>
      </c>
      <c r="ON29" s="49" t="s">
        <v>59</v>
      </c>
      <c r="OO29" s="49" t="s">
        <v>59</v>
      </c>
      <c r="OP29" s="49" t="s">
        <v>59</v>
      </c>
      <c r="OQ29" s="49" t="s">
        <v>59</v>
      </c>
      <c r="OR29" s="49" t="s">
        <v>59</v>
      </c>
      <c r="OS29" s="49" t="s">
        <v>59</v>
      </c>
      <c r="OT29" s="49" t="s">
        <v>59</v>
      </c>
      <c r="OU29" s="49" t="s">
        <v>59</v>
      </c>
      <c r="OV29" s="49" t="s">
        <v>59</v>
      </c>
      <c r="OW29" s="49" t="s">
        <v>59</v>
      </c>
      <c r="OX29" s="49" t="s">
        <v>59</v>
      </c>
      <c r="OY29" s="49" t="s">
        <v>59</v>
      </c>
      <c r="OZ29" s="49" t="s">
        <v>59</v>
      </c>
      <c r="PA29" s="49" t="s">
        <v>59</v>
      </c>
      <c r="PB29" s="49" t="s">
        <v>59</v>
      </c>
      <c r="PC29" s="49" t="s">
        <v>59</v>
      </c>
      <c r="PD29" s="49" t="s">
        <v>59</v>
      </c>
      <c r="PE29" s="49" t="s">
        <v>59</v>
      </c>
      <c r="PF29" s="49" t="s">
        <v>59</v>
      </c>
      <c r="PG29" s="49" t="s">
        <v>59</v>
      </c>
      <c r="PH29" s="49" t="s">
        <v>59</v>
      </c>
      <c r="PI29" s="49" t="s">
        <v>59</v>
      </c>
      <c r="PJ29" s="49" t="s">
        <v>59</v>
      </c>
      <c r="PK29" s="49" t="s">
        <v>59</v>
      </c>
      <c r="PL29" s="49" t="s">
        <v>59</v>
      </c>
      <c r="PM29" s="49" t="s">
        <v>59</v>
      </c>
      <c r="PN29" s="49" t="s">
        <v>59</v>
      </c>
      <c r="PO29" s="49" t="s">
        <v>59</v>
      </c>
      <c r="PP29" s="49" t="s">
        <v>59</v>
      </c>
      <c r="PQ29" s="49" t="s">
        <v>59</v>
      </c>
      <c r="PR29" s="49" t="s">
        <v>59</v>
      </c>
      <c r="PS29" s="49" t="s">
        <v>59</v>
      </c>
      <c r="PT29" s="49" t="s">
        <v>59</v>
      </c>
      <c r="PU29" s="49" t="s">
        <v>59</v>
      </c>
      <c r="PV29" s="49" t="s">
        <v>59</v>
      </c>
      <c r="PW29" s="49" t="s">
        <v>59</v>
      </c>
      <c r="PX29" s="49"/>
      <c r="PY29" s="49" t="s">
        <v>59</v>
      </c>
      <c r="PZ29" s="49" t="s">
        <v>13</v>
      </c>
      <c r="QA29" s="49" t="s">
        <v>59</v>
      </c>
      <c r="QB29" s="49" t="s">
        <v>59</v>
      </c>
      <c r="QC29" s="49" t="s">
        <v>59</v>
      </c>
      <c r="QD29" s="49" t="s">
        <v>59</v>
      </c>
      <c r="QE29" s="49" t="s">
        <v>59</v>
      </c>
      <c r="QF29" s="49" t="s">
        <v>59</v>
      </c>
      <c r="QG29" s="49" t="s">
        <v>59</v>
      </c>
      <c r="QH29" s="49" t="s">
        <v>20</v>
      </c>
      <c r="QI29" s="49" t="s">
        <v>59</v>
      </c>
      <c r="QJ29" s="49" t="s">
        <v>59</v>
      </c>
      <c r="QK29" s="49" t="s">
        <v>59</v>
      </c>
      <c r="QL29" s="49" t="s">
        <v>59</v>
      </c>
      <c r="QM29" s="49" t="s">
        <v>59</v>
      </c>
      <c r="QN29" s="49" t="s">
        <v>59</v>
      </c>
      <c r="QO29" s="49" t="s">
        <v>59</v>
      </c>
      <c r="QP29" s="49" t="s">
        <v>59</v>
      </c>
      <c r="QQ29" s="49" t="s">
        <v>59</v>
      </c>
      <c r="QR29" s="49" t="s">
        <v>59</v>
      </c>
      <c r="QS29" s="49" t="s">
        <v>59</v>
      </c>
      <c r="QT29" s="49" t="s">
        <v>59</v>
      </c>
      <c r="QU29" s="49" t="s">
        <v>59</v>
      </c>
      <c r="QV29" s="49" t="s">
        <v>59</v>
      </c>
      <c r="QW29" s="49" t="s">
        <v>59</v>
      </c>
      <c r="QX29" s="49" t="s">
        <v>59</v>
      </c>
      <c r="QY29" s="49" t="s">
        <v>59</v>
      </c>
      <c r="QZ29" s="49" t="s">
        <v>59</v>
      </c>
      <c r="RA29" s="49" t="s">
        <v>59</v>
      </c>
      <c r="RB29" s="49" t="s">
        <v>59</v>
      </c>
      <c r="RC29" s="49" t="s">
        <v>59</v>
      </c>
      <c r="RD29" s="49" t="s">
        <v>59</v>
      </c>
      <c r="RE29" s="49" t="s">
        <v>59</v>
      </c>
      <c r="RF29" s="49" t="s">
        <v>59</v>
      </c>
      <c r="RG29" s="49" t="s">
        <v>59</v>
      </c>
      <c r="RH29" s="49" t="s">
        <v>59</v>
      </c>
      <c r="RI29" s="49" t="s">
        <v>59</v>
      </c>
      <c r="RJ29" s="49" t="s">
        <v>59</v>
      </c>
      <c r="RK29" s="49" t="s">
        <v>59</v>
      </c>
      <c r="RL29" s="49" t="s">
        <v>59</v>
      </c>
      <c r="RM29" s="49" t="s">
        <v>59</v>
      </c>
      <c r="RN29" s="49" t="s">
        <v>59</v>
      </c>
      <c r="RO29" s="49" t="s">
        <v>59</v>
      </c>
      <c r="RP29" s="49" t="s">
        <v>59</v>
      </c>
      <c r="RQ29" s="49" t="s">
        <v>59</v>
      </c>
      <c r="RR29" s="49" t="s">
        <v>59</v>
      </c>
      <c r="RS29" s="49" t="s">
        <v>59</v>
      </c>
      <c r="RT29" s="49" t="s">
        <v>59</v>
      </c>
      <c r="RU29" s="49" t="s">
        <v>59</v>
      </c>
      <c r="RV29" s="49" t="s">
        <v>59</v>
      </c>
      <c r="RW29" s="49" t="s">
        <v>59</v>
      </c>
      <c r="RX29" s="49" t="s">
        <v>13</v>
      </c>
      <c r="RY29" s="408" t="s">
        <v>13</v>
      </c>
      <c r="RZ29" s="49" t="s">
        <v>59</v>
      </c>
      <c r="SA29" s="49" t="s">
        <v>59</v>
      </c>
      <c r="SB29" s="49"/>
      <c r="SC29" s="49"/>
      <c r="SD29" s="49" t="s">
        <v>59</v>
      </c>
      <c r="SE29" s="49" t="s">
        <v>59</v>
      </c>
      <c r="SF29" s="49" t="s">
        <v>59</v>
      </c>
      <c r="SG29" s="49" t="s">
        <v>59</v>
      </c>
      <c r="SH29" s="49" t="s">
        <v>59</v>
      </c>
      <c r="SI29" s="49" t="s">
        <v>59</v>
      </c>
      <c r="SJ29" s="49" t="s">
        <v>59</v>
      </c>
      <c r="SK29" s="49" t="s">
        <v>59</v>
      </c>
      <c r="SL29" s="49" t="s">
        <v>59</v>
      </c>
      <c r="SM29" s="49" t="s">
        <v>59</v>
      </c>
      <c r="SN29" s="49" t="s">
        <v>59</v>
      </c>
      <c r="SO29" s="49" t="s">
        <v>59</v>
      </c>
      <c r="SP29" s="49" t="s">
        <v>59</v>
      </c>
      <c r="SQ29" s="49" t="s">
        <v>59</v>
      </c>
      <c r="SR29" s="49" t="s">
        <v>59</v>
      </c>
      <c r="SS29" s="49" t="s">
        <v>59</v>
      </c>
      <c r="ST29" s="49" t="s">
        <v>59</v>
      </c>
      <c r="SU29" s="49" t="s">
        <v>59</v>
      </c>
      <c r="SV29" s="49" t="s">
        <v>59</v>
      </c>
      <c r="SW29" s="49" t="s">
        <v>59</v>
      </c>
      <c r="SX29" s="49" t="s">
        <v>59</v>
      </c>
      <c r="SY29" s="49" t="s">
        <v>59</v>
      </c>
      <c r="SZ29" s="49" t="s">
        <v>59</v>
      </c>
      <c r="TA29" s="49" t="s">
        <v>59</v>
      </c>
      <c r="TB29" s="49" t="s">
        <v>59</v>
      </c>
      <c r="TC29" s="49" t="s">
        <v>59</v>
      </c>
      <c r="TD29" s="49" t="s">
        <v>59</v>
      </c>
      <c r="TE29" s="49" t="s">
        <v>59</v>
      </c>
      <c r="TF29" s="49"/>
      <c r="TG29" s="49" t="s">
        <v>59</v>
      </c>
      <c r="TH29" s="49" t="s">
        <v>59</v>
      </c>
      <c r="TI29" s="49"/>
      <c r="TJ29" s="49"/>
      <c r="TK29" s="49"/>
      <c r="TL29" s="49"/>
      <c r="TM29" s="49"/>
      <c r="TN29" s="93"/>
      <c r="TO29" s="93"/>
      <c r="TP29" s="93"/>
      <c r="TQ29" s="93"/>
      <c r="TR29" s="93"/>
      <c r="TS29" s="93"/>
      <c r="TT29" s="93"/>
      <c r="TU29" s="93"/>
      <c r="TV29" s="93"/>
      <c r="TW29" s="49"/>
      <c r="TX29" s="49"/>
      <c r="TY29" s="49"/>
      <c r="TZ29" s="72"/>
      <c r="UA29" s="72"/>
      <c r="UB29" s="72"/>
      <c r="UC29" s="72"/>
      <c r="UD29" s="49"/>
      <c r="UE29" s="49"/>
      <c r="UF29" s="49"/>
      <c r="UG29" s="49"/>
      <c r="UH29" s="49"/>
      <c r="UI29" s="49"/>
      <c r="UJ29" s="49"/>
      <c r="UK29" s="49"/>
      <c r="UL29" s="49"/>
      <c r="UM29" s="49"/>
      <c r="UN29" s="49"/>
      <c r="UO29" s="49"/>
      <c r="UP29" s="49"/>
      <c r="UQ29" s="49"/>
      <c r="UR29" s="49"/>
      <c r="US29" s="49"/>
      <c r="UT29" s="49"/>
      <c r="UU29" s="49"/>
      <c r="UV29" s="49"/>
      <c r="UW29" s="49"/>
      <c r="UX29" s="49"/>
      <c r="UY29" s="49"/>
      <c r="UZ29" s="49"/>
      <c r="VA29" s="49"/>
      <c r="VB29" s="49" t="s">
        <v>20</v>
      </c>
      <c r="VC29" s="49" t="s">
        <v>20</v>
      </c>
      <c r="VD29" s="49" t="s">
        <v>20</v>
      </c>
      <c r="VE29" s="49" t="s">
        <v>20</v>
      </c>
      <c r="VF29" s="49" t="s">
        <v>20</v>
      </c>
      <c r="VG29" s="49" t="s">
        <v>20</v>
      </c>
      <c r="VH29" s="49" t="s">
        <v>59</v>
      </c>
      <c r="VI29" s="49" t="s">
        <v>59</v>
      </c>
      <c r="VJ29" s="49" t="s">
        <v>59</v>
      </c>
      <c r="VK29" s="49" t="s">
        <v>59</v>
      </c>
      <c r="VL29" s="49" t="s">
        <v>59</v>
      </c>
      <c r="VM29" s="49" t="s">
        <v>59</v>
      </c>
      <c r="VN29" s="49" t="s">
        <v>59</v>
      </c>
      <c r="VO29" s="49" t="s">
        <v>59</v>
      </c>
      <c r="VP29" s="49" t="s">
        <v>59</v>
      </c>
      <c r="VQ29" s="49" t="s">
        <v>59</v>
      </c>
      <c r="VR29" s="49" t="s">
        <v>59</v>
      </c>
      <c r="VS29" s="49" t="s">
        <v>59</v>
      </c>
      <c r="VT29" s="49" t="s">
        <v>59</v>
      </c>
      <c r="VU29" s="49" t="s">
        <v>59</v>
      </c>
      <c r="VV29" s="49" t="s">
        <v>59</v>
      </c>
      <c r="VW29" s="49"/>
      <c r="VX29" s="49"/>
      <c r="VY29" s="49"/>
      <c r="VZ29" s="49"/>
      <c r="WA29" s="49"/>
      <c r="WB29" s="49"/>
      <c r="WC29" s="49"/>
      <c r="WD29" s="49"/>
      <c r="WE29" s="49"/>
      <c r="WF29" s="49"/>
      <c r="WG29" s="49"/>
      <c r="WH29" s="49"/>
      <c r="WI29" s="49"/>
      <c r="WJ29" s="49"/>
      <c r="WK29" s="49"/>
      <c r="WL29" s="49"/>
      <c r="WM29" s="49"/>
      <c r="WN29" s="49"/>
      <c r="WO29" s="49"/>
      <c r="WP29" s="49"/>
      <c r="WQ29" s="49"/>
      <c r="WR29" s="49"/>
      <c r="WS29" s="49"/>
      <c r="WT29" s="49"/>
      <c r="WU29" s="49"/>
      <c r="WV29" s="49"/>
      <c r="WW29" s="49"/>
      <c r="WX29" s="49"/>
      <c r="WY29" s="49"/>
      <c r="WZ29" s="49"/>
      <c r="XA29" s="49"/>
      <c r="XB29" s="49"/>
      <c r="XC29" s="49"/>
      <c r="XD29" s="49"/>
      <c r="XE29" s="49"/>
      <c r="XF29" s="49"/>
      <c r="XG29" s="49"/>
      <c r="XH29" s="49"/>
      <c r="XI29" s="49"/>
      <c r="XJ29" s="49"/>
      <c r="XK29" s="49"/>
      <c r="XL29" s="49"/>
      <c r="XM29" s="49"/>
      <c r="XN29" s="49"/>
      <c r="XO29" s="49"/>
      <c r="XP29" s="49"/>
      <c r="XQ29" s="49" t="s">
        <v>13</v>
      </c>
      <c r="XR29" s="49" t="s">
        <v>13</v>
      </c>
      <c r="XS29" s="49" t="s">
        <v>13</v>
      </c>
      <c r="XT29" s="49" t="s">
        <v>13</v>
      </c>
      <c r="XU29" s="49" t="s">
        <v>13</v>
      </c>
      <c r="XV29" s="49" t="s">
        <v>59</v>
      </c>
      <c r="XW29" s="49" t="s">
        <v>13</v>
      </c>
      <c r="XX29" s="49" t="s">
        <v>13</v>
      </c>
      <c r="XY29" s="49" t="s">
        <v>13</v>
      </c>
      <c r="XZ29" s="49" t="s">
        <v>13</v>
      </c>
      <c r="YA29" s="49" t="s">
        <v>13</v>
      </c>
      <c r="YB29" s="49" t="s">
        <v>13</v>
      </c>
      <c r="YC29" s="49" t="s">
        <v>59</v>
      </c>
      <c r="YD29" s="49" t="s">
        <v>59</v>
      </c>
      <c r="YE29" s="49" t="s">
        <v>59</v>
      </c>
      <c r="YF29" s="49" t="s">
        <v>59</v>
      </c>
      <c r="YG29" s="49" t="s">
        <v>59</v>
      </c>
      <c r="YH29" s="49"/>
      <c r="YI29" s="49"/>
      <c r="YJ29" s="49" t="s">
        <v>59</v>
      </c>
      <c r="YK29" s="49" t="s">
        <v>59</v>
      </c>
      <c r="YL29" s="49" t="s">
        <v>13</v>
      </c>
      <c r="YM29" s="122"/>
      <c r="YN29" s="122"/>
      <c r="YO29" s="49"/>
      <c r="YP29" s="49"/>
      <c r="YQ29" s="49"/>
      <c r="YR29" s="49"/>
      <c r="YS29" s="49"/>
      <c r="YT29" s="122"/>
    </row>
    <row r="30" spans="1:670" s="26" customFormat="1" ht="12.1" customHeight="1" x14ac:dyDescent="0.25">
      <c r="A30" s="226" t="s">
        <v>371</v>
      </c>
      <c r="B30" s="227" t="s">
        <v>263</v>
      </c>
      <c r="C30" s="227" t="s">
        <v>1</v>
      </c>
      <c r="D30" s="227" t="s">
        <v>2</v>
      </c>
      <c r="E30" s="228" t="s">
        <v>3</v>
      </c>
      <c r="F30" s="228" t="s">
        <v>379</v>
      </c>
      <c r="G30" s="228" t="s">
        <v>122</v>
      </c>
      <c r="H30" s="228" t="s">
        <v>234</v>
      </c>
      <c r="I30" s="228" t="s">
        <v>77</v>
      </c>
      <c r="J30" s="229" t="s">
        <v>4</v>
      </c>
      <c r="K30" s="229" t="s">
        <v>5</v>
      </c>
      <c r="L30" s="229"/>
      <c r="M30" s="229" t="s">
        <v>71</v>
      </c>
      <c r="N30" s="229" t="s">
        <v>72</v>
      </c>
      <c r="O30" s="229" t="s">
        <v>73</v>
      </c>
      <c r="P30" s="229" t="s">
        <v>102</v>
      </c>
      <c r="Q30" s="229" t="s">
        <v>103</v>
      </c>
      <c r="R30" s="229" t="s">
        <v>104</v>
      </c>
      <c r="S30" s="229" t="s">
        <v>105</v>
      </c>
      <c r="T30" s="229" t="s">
        <v>110</v>
      </c>
      <c r="U30" s="229" t="s">
        <v>8</v>
      </c>
      <c r="V30" s="229" t="s">
        <v>9</v>
      </c>
      <c r="W30" s="229" t="s">
        <v>106</v>
      </c>
      <c r="X30" s="229" t="s">
        <v>21</v>
      </c>
      <c r="Y30" s="229" t="s">
        <v>254</v>
      </c>
      <c r="Z30" s="229" t="s">
        <v>6</v>
      </c>
      <c r="AA30" s="229" t="s">
        <v>7</v>
      </c>
      <c r="AB30" s="229" t="s">
        <v>107</v>
      </c>
      <c r="AC30" s="229" t="s">
        <v>19</v>
      </c>
      <c r="AD30" s="229" t="s">
        <v>22</v>
      </c>
      <c r="AE30" s="229" t="s">
        <v>1224</v>
      </c>
      <c r="AF30" s="229" t="s">
        <v>1225</v>
      </c>
      <c r="AG30" s="229" t="s">
        <v>23</v>
      </c>
      <c r="AH30" s="229" t="s">
        <v>117</v>
      </c>
      <c r="AI30" s="229" t="s">
        <v>867</v>
      </c>
      <c r="AJ30" s="229" t="s">
        <v>126</v>
      </c>
      <c r="AK30" s="229" t="s">
        <v>75</v>
      </c>
      <c r="AL30" s="229" t="s">
        <v>108</v>
      </c>
      <c r="AM30" s="229" t="s">
        <v>109</v>
      </c>
      <c r="AN30" s="229" t="s">
        <v>259</v>
      </c>
      <c r="AO30" s="229" t="s">
        <v>260</v>
      </c>
      <c r="AP30" s="229" t="s">
        <v>1022</v>
      </c>
      <c r="AQ30" s="229" t="s">
        <v>695</v>
      </c>
      <c r="AR30" s="229" t="s">
        <v>697</v>
      </c>
      <c r="AS30" s="229" t="s">
        <v>698</v>
      </c>
      <c r="AT30" s="229" t="s">
        <v>692</v>
      </c>
      <c r="AU30" s="229"/>
      <c r="AV30" s="229"/>
      <c r="AW30" s="229"/>
      <c r="AX30" s="229"/>
      <c r="AY30" s="229"/>
      <c r="AZ30" s="229"/>
      <c r="BA30" s="229"/>
      <c r="BB30" s="229"/>
      <c r="BC30" s="229"/>
      <c r="BD30" s="229"/>
      <c r="BE30" s="229"/>
      <c r="BF30" s="229"/>
      <c r="BG30" s="229"/>
      <c r="BH30" s="229"/>
      <c r="BI30" s="229" t="s">
        <v>1226</v>
      </c>
      <c r="BJ30" s="229" t="s">
        <v>1227</v>
      </c>
      <c r="BK30" s="229" t="s">
        <v>883</v>
      </c>
      <c r="BL30" s="229" t="s">
        <v>70</v>
      </c>
      <c r="BM30" s="229" t="s">
        <v>34</v>
      </c>
      <c r="BN30" s="229" t="s">
        <v>35</v>
      </c>
      <c r="BO30" s="229" t="s">
        <v>144</v>
      </c>
      <c r="BP30" s="229" t="s">
        <v>96</v>
      </c>
      <c r="BQ30" s="229" t="s">
        <v>41</v>
      </c>
      <c r="BR30" s="229" t="s">
        <v>127</v>
      </c>
      <c r="BS30" s="229" t="s">
        <v>142</v>
      </c>
      <c r="BT30" s="229" t="s">
        <v>95</v>
      </c>
      <c r="BU30" s="229" t="s">
        <v>39</v>
      </c>
      <c r="BV30" s="229" t="s">
        <v>143</v>
      </c>
      <c r="BW30" s="229" t="s">
        <v>36</v>
      </c>
      <c r="BX30" s="229" t="s">
        <v>37</v>
      </c>
      <c r="BY30" s="229" t="s">
        <v>2746</v>
      </c>
      <c r="BZ30" s="229" t="s">
        <v>56</v>
      </c>
      <c r="CA30" s="229"/>
      <c r="CB30" s="229"/>
      <c r="CC30" s="229" t="s">
        <v>135</v>
      </c>
      <c r="CD30" s="229" t="s">
        <v>868</v>
      </c>
      <c r="CE30" s="229"/>
      <c r="CF30" s="229"/>
      <c r="CG30" s="229" t="s">
        <v>208</v>
      </c>
      <c r="CH30" s="229" t="s">
        <v>301</v>
      </c>
      <c r="CI30" s="229"/>
      <c r="CJ30" s="229" t="s">
        <v>1229</v>
      </c>
      <c r="CK30" s="229" t="s">
        <v>1230</v>
      </c>
      <c r="CL30" s="229" t="s">
        <v>1231</v>
      </c>
      <c r="CM30" s="229"/>
      <c r="CN30" s="229" t="s">
        <v>128</v>
      </c>
      <c r="CO30" s="229" t="s">
        <v>40</v>
      </c>
      <c r="CP30" s="229" t="s">
        <v>38</v>
      </c>
      <c r="CQ30" s="229" t="s">
        <v>93</v>
      </c>
      <c r="CR30" s="229"/>
      <c r="CS30" s="229" t="s">
        <v>679</v>
      </c>
      <c r="CT30" s="229" t="s">
        <v>1014</v>
      </c>
      <c r="CU30" s="229" t="s">
        <v>64</v>
      </c>
      <c r="CV30" s="229" t="s">
        <v>65</v>
      </c>
      <c r="CW30" s="231" t="s">
        <v>1232</v>
      </c>
      <c r="CX30" s="229" t="s">
        <v>179</v>
      </c>
      <c r="CY30" s="229" t="s">
        <v>845</v>
      </c>
      <c r="CZ30" s="229" t="s">
        <v>192</v>
      </c>
      <c r="DA30" s="231"/>
      <c r="DB30" s="231"/>
      <c r="DC30" s="231"/>
      <c r="DD30" s="231"/>
      <c r="DE30" s="229" t="s">
        <v>46</v>
      </c>
      <c r="DF30" s="229" t="s">
        <v>42</v>
      </c>
      <c r="DG30" s="229" t="s">
        <v>1719</v>
      </c>
      <c r="DH30" s="229"/>
      <c r="DI30" s="229" t="s">
        <v>136</v>
      </c>
      <c r="DJ30" s="229" t="s">
        <v>275</v>
      </c>
      <c r="DK30" s="229" t="s">
        <v>66</v>
      </c>
      <c r="DL30" s="229" t="s">
        <v>44</v>
      </c>
      <c r="DM30" s="229" t="s">
        <v>63</v>
      </c>
      <c r="DN30" s="229" t="s">
        <v>113</v>
      </c>
      <c r="DO30" s="229" t="s">
        <v>268</v>
      </c>
      <c r="DP30" s="229" t="s">
        <v>101</v>
      </c>
      <c r="DQ30" s="229" t="s">
        <v>269</v>
      </c>
      <c r="DR30" s="229" t="s">
        <v>590</v>
      </c>
      <c r="DS30" s="229" t="s">
        <v>599</v>
      </c>
      <c r="DT30" s="229" t="s">
        <v>24</v>
      </c>
      <c r="DU30" s="229" t="s">
        <v>26</v>
      </c>
      <c r="DV30" s="229" t="s">
        <v>28</v>
      </c>
      <c r="DW30" s="229" t="s">
        <v>25</v>
      </c>
      <c r="DX30" s="229" t="s">
        <v>27</v>
      </c>
      <c r="DY30" s="229" t="s">
        <v>29</v>
      </c>
      <c r="DZ30" s="229" t="s">
        <v>488</v>
      </c>
      <c r="EA30" s="229" t="s">
        <v>598</v>
      </c>
      <c r="EB30" s="229" t="s">
        <v>489</v>
      </c>
      <c r="EC30" s="229" t="s">
        <v>506</v>
      </c>
      <c r="ED30" s="229" t="s">
        <v>507</v>
      </c>
      <c r="EE30" s="229" t="s">
        <v>508</v>
      </c>
      <c r="EF30" s="229" t="s">
        <v>681</v>
      </c>
      <c r="EG30" s="229" t="s">
        <v>682</v>
      </c>
      <c r="EH30" s="229" t="s">
        <v>30</v>
      </c>
      <c r="EI30" s="229" t="s">
        <v>32</v>
      </c>
      <c r="EJ30" s="229" t="s">
        <v>33</v>
      </c>
      <c r="EK30" s="229" t="s">
        <v>270</v>
      </c>
      <c r="EL30" s="229"/>
      <c r="EM30" s="229" t="s">
        <v>271</v>
      </c>
      <c r="EN30" s="229" t="s">
        <v>277</v>
      </c>
      <c r="EO30" s="229"/>
      <c r="EP30" s="229"/>
      <c r="EQ30" s="229"/>
      <c r="ER30" s="229"/>
      <c r="ES30" s="229"/>
      <c r="ET30" s="229"/>
      <c r="EU30" s="229" t="s">
        <v>1055</v>
      </c>
      <c r="EV30" s="229" t="s">
        <v>815</v>
      </c>
      <c r="EW30" s="229" t="s">
        <v>1070</v>
      </c>
      <c r="EX30" s="229"/>
      <c r="EY30" s="229"/>
      <c r="EZ30" s="229"/>
      <c r="FA30" s="229" t="s">
        <v>814</v>
      </c>
      <c r="FB30" s="229" t="s">
        <v>284</v>
      </c>
      <c r="FC30" s="229" t="s">
        <v>216</v>
      </c>
      <c r="FD30" s="229"/>
      <c r="FE30" s="229"/>
      <c r="FF30" s="229"/>
      <c r="FG30" s="229"/>
      <c r="FH30" s="229" t="s">
        <v>816</v>
      </c>
      <c r="FI30" s="229"/>
      <c r="FJ30" s="229"/>
      <c r="FK30" s="229" t="s">
        <v>817</v>
      </c>
      <c r="FL30" s="229"/>
      <c r="FM30" s="229" t="s">
        <v>818</v>
      </c>
      <c r="FN30" s="229"/>
      <c r="FO30" s="229" t="s">
        <v>866</v>
      </c>
      <c r="FP30" s="229"/>
      <c r="FQ30" s="229"/>
      <c r="FR30" s="229"/>
      <c r="FS30" s="229"/>
      <c r="FT30" s="229"/>
      <c r="FU30" s="229" t="s">
        <v>257</v>
      </c>
      <c r="FV30" s="229" t="s">
        <v>194</v>
      </c>
      <c r="FW30" s="229" t="s">
        <v>819</v>
      </c>
      <c r="FX30" s="229"/>
      <c r="FY30" s="229"/>
      <c r="FZ30" s="229" t="s">
        <v>820</v>
      </c>
      <c r="GA30" s="229"/>
      <c r="GB30" s="229"/>
      <c r="GC30" s="229" t="s">
        <v>821</v>
      </c>
      <c r="GD30" s="229" t="s">
        <v>822</v>
      </c>
      <c r="GE30" s="229"/>
      <c r="GF30" s="229" t="s">
        <v>823</v>
      </c>
      <c r="GG30" s="229"/>
      <c r="GH30" s="229"/>
      <c r="GI30" s="229"/>
      <c r="GJ30" s="229"/>
      <c r="GK30" s="229"/>
      <c r="GL30" s="497"/>
      <c r="GM30" s="497"/>
      <c r="GN30" s="232"/>
      <c r="GO30" s="232"/>
      <c r="GP30" s="235" t="s">
        <v>227</v>
      </c>
      <c r="GQ30" s="231" t="s">
        <v>1247</v>
      </c>
      <c r="GR30" s="229" t="s">
        <v>2316</v>
      </c>
      <c r="GS30" s="229"/>
      <c r="GT30" s="229"/>
      <c r="GU30" s="229"/>
      <c r="GV30" s="229"/>
      <c r="GW30" s="229" t="s">
        <v>493</v>
      </c>
      <c r="GX30" s="229" t="s">
        <v>627</v>
      </c>
      <c r="GY30" s="498"/>
      <c r="GZ30" s="229" t="s">
        <v>289</v>
      </c>
      <c r="HA30" s="229"/>
      <c r="HB30" s="229"/>
      <c r="HC30" s="229" t="s">
        <v>510</v>
      </c>
      <c r="HD30" s="229"/>
      <c r="HE30" s="229"/>
      <c r="HF30" s="229"/>
      <c r="HG30" s="229"/>
      <c r="HH30" s="231"/>
      <c r="HI30" s="231"/>
      <c r="HJ30" s="229"/>
      <c r="HK30" s="231"/>
      <c r="HL30" s="231"/>
      <c r="HM30" s="231"/>
      <c r="HN30" s="229"/>
      <c r="HO30" s="229"/>
      <c r="HP30" s="231"/>
      <c r="HQ30" s="231"/>
      <c r="HR30" s="498"/>
      <c r="HS30" s="229"/>
      <c r="HT30" s="229" t="s">
        <v>182</v>
      </c>
      <c r="HU30" s="498"/>
      <c r="HV30" s="229"/>
      <c r="HW30" s="498"/>
      <c r="HX30" s="229"/>
      <c r="HY30" s="498"/>
      <c r="HZ30" s="229"/>
      <c r="IA30" s="229" t="s">
        <v>497</v>
      </c>
      <c r="IB30" s="229" t="s">
        <v>505</v>
      </c>
      <c r="IC30" s="229"/>
      <c r="ID30" s="229"/>
      <c r="IE30" s="229"/>
      <c r="IF30" s="229" t="s">
        <v>501</v>
      </c>
      <c r="IG30" s="229" t="s">
        <v>325</v>
      </c>
      <c r="IH30" s="231"/>
      <c r="II30" s="231"/>
      <c r="IJ30" s="231"/>
      <c r="IK30" s="230"/>
      <c r="IL30" s="230"/>
      <c r="IM30" s="230"/>
      <c r="IN30" s="230"/>
      <c r="IO30" s="230"/>
      <c r="IP30" s="230"/>
      <c r="IQ30" s="230"/>
      <c r="IR30" s="230"/>
      <c r="IS30" s="230"/>
      <c r="IT30" s="230"/>
      <c r="IU30" s="230"/>
      <c r="IV30" s="230"/>
      <c r="IW30" s="230"/>
      <c r="IX30" s="230"/>
      <c r="IY30" s="230"/>
      <c r="IZ30" s="230"/>
      <c r="JA30" s="230"/>
      <c r="JB30" s="230"/>
      <c r="JC30" s="230"/>
      <c r="JD30" s="230"/>
      <c r="JE30" s="230"/>
      <c r="JF30" s="230"/>
      <c r="JG30" s="230"/>
      <c r="JH30" s="230"/>
      <c r="JI30" s="230"/>
      <c r="JJ30" s="230"/>
      <c r="JK30" s="230"/>
      <c r="JL30" s="230"/>
      <c r="JM30" s="230"/>
      <c r="JN30" s="497"/>
      <c r="JO30" s="497"/>
      <c r="JP30" s="230"/>
      <c r="JQ30" s="230"/>
      <c r="JR30" s="230"/>
      <c r="JS30" s="230"/>
      <c r="JT30" s="230"/>
      <c r="JU30" s="230"/>
      <c r="JV30" s="230"/>
      <c r="JW30" s="230"/>
      <c r="JX30" s="230"/>
      <c r="JY30" s="230"/>
      <c r="JZ30" s="230"/>
      <c r="KA30" s="230"/>
      <c r="KB30" s="230"/>
      <c r="KC30" s="230"/>
      <c r="KD30" s="230"/>
      <c r="KE30" s="230"/>
      <c r="KF30" s="230"/>
      <c r="KG30" s="230"/>
      <c r="KH30" s="230"/>
      <c r="KI30" s="230"/>
      <c r="KJ30" s="230"/>
      <c r="KK30" s="230"/>
      <c r="KL30" s="230"/>
      <c r="KM30" s="230"/>
      <c r="KN30" s="230"/>
      <c r="KO30" s="230"/>
      <c r="KP30" s="230"/>
      <c r="KQ30" s="230"/>
      <c r="KR30" s="230"/>
      <c r="KS30" s="230"/>
      <c r="KT30" s="230"/>
      <c r="KU30" s="230"/>
      <c r="KV30" s="230"/>
      <c r="KW30" s="230"/>
      <c r="KX30" s="230"/>
      <c r="KY30" s="230"/>
      <c r="KZ30" s="230"/>
      <c r="LA30" s="230"/>
      <c r="LB30" s="230"/>
      <c r="LC30" s="230"/>
      <c r="LD30" s="230"/>
      <c r="LE30" s="230"/>
      <c r="LF30" s="230"/>
      <c r="LG30" s="230"/>
      <c r="LH30" s="230"/>
      <c r="LI30" s="230"/>
      <c r="LJ30" s="230"/>
      <c r="LK30" s="230"/>
      <c r="LL30" s="230"/>
      <c r="LM30" s="230"/>
      <c r="LN30" s="233" t="s">
        <v>330</v>
      </c>
      <c r="LO30" s="230"/>
      <c r="LP30" s="230"/>
      <c r="LQ30" s="230"/>
      <c r="LR30" s="230"/>
      <c r="LS30" s="230"/>
      <c r="LT30" s="230"/>
      <c r="LU30" s="230"/>
      <c r="LV30" s="229"/>
      <c r="LW30" s="229"/>
      <c r="LX30" s="229"/>
      <c r="LY30" s="229"/>
      <c r="LZ30" s="229"/>
      <c r="MA30" s="229"/>
      <c r="MB30" s="229"/>
      <c r="MC30" s="229"/>
      <c r="MD30" s="229"/>
      <c r="ME30" s="229"/>
      <c r="MF30" s="229"/>
      <c r="MG30" s="229"/>
      <c r="MH30" s="229"/>
      <c r="MI30" s="229"/>
      <c r="MJ30" s="229"/>
      <c r="MK30" s="229"/>
      <c r="ML30" s="229"/>
      <c r="MM30" s="229"/>
      <c r="MN30" s="229"/>
      <c r="MO30" s="229"/>
      <c r="MP30" s="229"/>
      <c r="MQ30" s="229"/>
      <c r="MR30" s="229"/>
      <c r="MS30" s="229"/>
      <c r="MT30" s="229"/>
      <c r="MU30" s="229"/>
      <c r="MV30" s="229"/>
      <c r="MW30" s="229"/>
      <c r="MX30" s="229"/>
      <c r="MY30" s="229"/>
      <c r="MZ30" s="229"/>
      <c r="NA30" s="229"/>
      <c r="NB30" s="229"/>
      <c r="NC30" s="229"/>
      <c r="ND30" s="229"/>
      <c r="NE30" s="229"/>
      <c r="NF30" s="229" t="s">
        <v>94</v>
      </c>
      <c r="NG30" s="229"/>
      <c r="NH30" s="229" t="s">
        <v>734</v>
      </c>
      <c r="NI30" s="229"/>
      <c r="NJ30" s="229" t="s">
        <v>91</v>
      </c>
      <c r="NK30" s="229"/>
      <c r="NL30" s="229" t="s">
        <v>1685</v>
      </c>
      <c r="NM30" s="229" t="s">
        <v>742</v>
      </c>
      <c r="NN30" s="229"/>
      <c r="NO30" s="229" t="s">
        <v>743</v>
      </c>
      <c r="NP30" s="229" t="s">
        <v>92</v>
      </c>
      <c r="NQ30" s="229"/>
      <c r="NR30" s="229"/>
      <c r="NS30" s="229"/>
      <c r="NT30" s="229"/>
      <c r="NU30" s="229"/>
      <c r="NV30" s="229"/>
      <c r="NW30" s="229"/>
      <c r="NX30" s="229"/>
      <c r="NY30" s="229"/>
      <c r="NZ30" s="229"/>
      <c r="OA30" s="229"/>
      <c r="OB30" s="229"/>
      <c r="OC30" s="229"/>
      <c r="OD30" s="229"/>
      <c r="OE30" s="229"/>
      <c r="OF30" s="229"/>
      <c r="OG30" s="229"/>
      <c r="OH30" s="229"/>
      <c r="OI30" s="229"/>
      <c r="OJ30" s="229"/>
      <c r="OK30" s="229"/>
      <c r="OL30" s="229"/>
      <c r="OM30" s="229"/>
      <c r="ON30" s="229"/>
      <c r="OO30" s="229"/>
      <c r="OP30" s="229"/>
      <c r="OQ30" s="229"/>
      <c r="OR30" s="229"/>
      <c r="OS30" s="229"/>
      <c r="OT30" s="229"/>
      <c r="OU30" s="229"/>
      <c r="OV30" s="229"/>
      <c r="OW30" s="229"/>
      <c r="OX30" s="229"/>
      <c r="OY30" s="229"/>
      <c r="OZ30" s="229"/>
      <c r="PA30" s="229"/>
      <c r="PB30" s="229"/>
      <c r="PC30" s="229"/>
      <c r="PD30" s="229"/>
      <c r="PE30" s="229"/>
      <c r="PF30" s="229"/>
      <c r="PG30" s="229"/>
      <c r="PH30" s="229"/>
      <c r="PI30" s="229"/>
      <c r="PJ30" s="229"/>
      <c r="PK30" s="229"/>
      <c r="PL30" s="229"/>
      <c r="PM30" s="229"/>
      <c r="PN30" s="229"/>
      <c r="PO30" s="229"/>
      <c r="PP30" s="229"/>
      <c r="PQ30" s="229"/>
      <c r="PR30" s="229"/>
      <c r="PS30" s="229"/>
      <c r="PT30" s="229"/>
      <c r="PU30" s="229"/>
      <c r="PV30" s="229"/>
      <c r="PW30" s="229"/>
      <c r="PX30" s="229"/>
      <c r="PY30" s="229"/>
      <c r="PZ30" s="229" t="s">
        <v>1686</v>
      </c>
      <c r="QA30" s="229"/>
      <c r="QB30" s="229"/>
      <c r="QC30" s="229"/>
      <c r="QD30" s="229"/>
      <c r="QE30" s="229"/>
      <c r="QF30" s="229"/>
      <c r="QG30" s="229"/>
      <c r="QH30" s="229" t="s">
        <v>468</v>
      </c>
      <c r="QI30" s="229"/>
      <c r="QJ30" s="229"/>
      <c r="QK30" s="229"/>
      <c r="QL30" s="229"/>
      <c r="QM30" s="229"/>
      <c r="QN30" s="229"/>
      <c r="QO30" s="229"/>
      <c r="QP30" s="229"/>
      <c r="QQ30" s="229"/>
      <c r="QR30" s="229"/>
      <c r="QS30" s="229"/>
      <c r="QT30" s="229"/>
      <c r="QU30" s="229"/>
      <c r="QV30" s="229"/>
      <c r="QW30" s="229"/>
      <c r="QX30" s="229"/>
      <c r="QY30" s="229"/>
      <c r="QZ30" s="229"/>
      <c r="RA30" s="229"/>
      <c r="RB30" s="229"/>
      <c r="RC30" s="229"/>
      <c r="RD30" s="229"/>
      <c r="RE30" s="229"/>
      <c r="RF30" s="229"/>
      <c r="RG30" s="229"/>
      <c r="RH30" s="229"/>
      <c r="RI30" s="229"/>
      <c r="RJ30" s="229"/>
      <c r="RK30" s="229"/>
      <c r="RL30" s="229"/>
      <c r="RM30" s="229"/>
      <c r="RN30" s="229"/>
      <c r="RO30" s="229"/>
      <c r="RP30" s="229"/>
      <c r="RQ30" s="229"/>
      <c r="RR30" s="229"/>
      <c r="RS30" s="229"/>
      <c r="RT30" s="229"/>
      <c r="RU30" s="229"/>
      <c r="RV30" s="229"/>
      <c r="RW30" s="229"/>
      <c r="RX30" s="229" t="s">
        <v>1262</v>
      </c>
      <c r="RY30" s="499" t="s">
        <v>1074</v>
      </c>
      <c r="RZ30" s="229"/>
      <c r="SA30" s="229"/>
      <c r="SB30" s="229"/>
      <c r="SC30" s="229"/>
      <c r="SD30" s="229"/>
      <c r="SE30" s="229"/>
      <c r="SF30" s="229"/>
      <c r="SG30" s="229"/>
      <c r="SH30" s="229"/>
      <c r="SI30" s="229"/>
      <c r="SJ30" s="229"/>
      <c r="SK30" s="229"/>
      <c r="SL30" s="229"/>
      <c r="SM30" s="229"/>
      <c r="SN30" s="229"/>
      <c r="SO30" s="229"/>
      <c r="SP30" s="229"/>
      <c r="SQ30" s="229"/>
      <c r="SR30" s="229"/>
      <c r="SS30" s="229"/>
      <c r="ST30" s="229"/>
      <c r="SU30" s="229"/>
      <c r="SV30" s="229"/>
      <c r="SW30" s="229"/>
      <c r="SX30" s="229"/>
      <c r="SY30" s="229"/>
      <c r="SZ30" s="229"/>
      <c r="TA30" s="229"/>
      <c r="TB30" s="229"/>
      <c r="TC30" s="229"/>
      <c r="TD30" s="229"/>
      <c r="TE30" s="229"/>
      <c r="TF30" s="229"/>
      <c r="TG30" s="229"/>
      <c r="TH30" s="229"/>
      <c r="TI30" s="229"/>
      <c r="TJ30" s="229"/>
      <c r="TK30" s="229"/>
      <c r="TL30" s="229"/>
      <c r="TM30" s="229"/>
      <c r="TN30" s="229"/>
      <c r="TO30" s="229"/>
      <c r="TP30" s="229"/>
      <c r="TQ30" s="235"/>
      <c r="TR30" s="235"/>
      <c r="TS30" s="235"/>
      <c r="TT30" s="235"/>
      <c r="TU30" s="235"/>
      <c r="TV30" s="235"/>
      <c r="TW30" s="229"/>
      <c r="TX30" s="229"/>
      <c r="TY30" s="229"/>
      <c r="TZ30" s="229"/>
      <c r="UA30" s="229"/>
      <c r="UB30" s="229"/>
      <c r="UC30" s="229"/>
      <c r="UD30" s="229"/>
      <c r="UE30" s="229"/>
      <c r="UF30" s="229"/>
      <c r="UG30" s="229"/>
      <c r="UH30" s="229"/>
      <c r="UI30" s="229"/>
      <c r="UJ30" s="229"/>
      <c r="UK30" s="229"/>
      <c r="UL30" s="229"/>
      <c r="UM30" s="229"/>
      <c r="UN30" s="229"/>
      <c r="UO30" s="229"/>
      <c r="UP30" s="229"/>
      <c r="UQ30" s="229"/>
      <c r="UR30" s="229"/>
      <c r="US30" s="229"/>
      <c r="UT30" s="229"/>
      <c r="UU30" s="229"/>
      <c r="UV30" s="229"/>
      <c r="UW30" s="229"/>
      <c r="UX30" s="229"/>
      <c r="UY30" s="229"/>
      <c r="UZ30" s="229"/>
      <c r="VA30" s="229"/>
      <c r="VB30" s="229" t="s">
        <v>452</v>
      </c>
      <c r="VC30" s="229" t="s">
        <v>116</v>
      </c>
      <c r="VD30" s="229" t="s">
        <v>83</v>
      </c>
      <c r="VE30" s="229" t="s">
        <v>84</v>
      </c>
      <c r="VF30" s="229" t="s">
        <v>85</v>
      </c>
      <c r="VG30" s="229" t="s">
        <v>86</v>
      </c>
      <c r="VH30" s="229"/>
      <c r="VI30" s="229"/>
      <c r="VJ30" s="229"/>
      <c r="VK30" s="229"/>
      <c r="VL30" s="229"/>
      <c r="VM30" s="229"/>
      <c r="VN30" s="229"/>
      <c r="VO30" s="229"/>
      <c r="VP30" s="229"/>
      <c r="VQ30" s="229"/>
      <c r="VR30" s="229"/>
      <c r="VS30" s="229"/>
      <c r="VT30" s="229"/>
      <c r="VU30" s="229"/>
      <c r="VV30" s="229"/>
      <c r="VW30" s="229"/>
      <c r="VX30" s="229"/>
      <c r="VY30" s="229"/>
      <c r="VZ30" s="229"/>
      <c r="WA30" s="229"/>
      <c r="WB30" s="229"/>
      <c r="WC30" s="229"/>
      <c r="WD30" s="229"/>
      <c r="WE30" s="229"/>
      <c r="WF30" s="229"/>
      <c r="WG30" s="229"/>
      <c r="WH30" s="229"/>
      <c r="WI30" s="229"/>
      <c r="WJ30" s="229"/>
      <c r="WK30" s="229"/>
      <c r="WL30" s="229"/>
      <c r="WM30" s="229"/>
      <c r="WN30" s="229"/>
      <c r="WO30" s="229"/>
      <c r="WP30" s="229"/>
      <c r="WQ30" s="229"/>
      <c r="WR30" s="229"/>
      <c r="WS30" s="229"/>
      <c r="WT30" s="229"/>
      <c r="WU30" s="229"/>
      <c r="WV30" s="229"/>
      <c r="WW30" s="229"/>
      <c r="WX30" s="229"/>
      <c r="WY30" s="229"/>
      <c r="WZ30" s="229"/>
      <c r="XA30" s="229"/>
      <c r="XB30" s="229"/>
      <c r="XC30" s="229"/>
      <c r="XD30" s="229"/>
      <c r="XE30" s="229"/>
      <c r="XF30" s="229"/>
      <c r="XG30" s="229"/>
      <c r="XH30" s="229"/>
      <c r="XI30" s="229"/>
      <c r="XJ30" s="229"/>
      <c r="XK30" s="229"/>
      <c r="XL30" s="229"/>
      <c r="XM30" s="229"/>
      <c r="XN30" s="229"/>
      <c r="XO30" s="229"/>
      <c r="XP30" s="229"/>
      <c r="XQ30" s="229" t="s">
        <v>204</v>
      </c>
      <c r="XR30" s="229" t="s">
        <v>205</v>
      </c>
      <c r="XS30" s="229" t="s">
        <v>802</v>
      </c>
      <c r="XT30" s="229" t="s">
        <v>801</v>
      </c>
      <c r="XU30" s="229" t="s">
        <v>1100</v>
      </c>
      <c r="XV30" s="229"/>
      <c r="XW30" s="229" t="s">
        <v>800</v>
      </c>
      <c r="XX30" s="229" t="s">
        <v>1102</v>
      </c>
      <c r="XY30" s="229" t="s">
        <v>1103</v>
      </c>
      <c r="XZ30" s="229" t="s">
        <v>1104</v>
      </c>
      <c r="YA30" s="229" t="s">
        <v>1101</v>
      </c>
      <c r="YB30" s="229" t="s">
        <v>1105</v>
      </c>
      <c r="YC30" s="229"/>
      <c r="YD30" s="229" t="s">
        <v>1106</v>
      </c>
      <c r="YE30" s="229" t="s">
        <v>1107</v>
      </c>
      <c r="YF30" s="229"/>
      <c r="YG30" s="229"/>
      <c r="YH30" s="229"/>
      <c r="YI30" s="229"/>
      <c r="YJ30" s="229"/>
      <c r="YK30" s="229"/>
      <c r="YL30" s="229" t="s">
        <v>807</v>
      </c>
      <c r="YM30" s="231"/>
      <c r="YN30" s="231"/>
      <c r="YO30" s="229"/>
      <c r="YP30" s="229"/>
      <c r="YQ30" s="229"/>
      <c r="YR30" s="229"/>
      <c r="YS30" s="229"/>
      <c r="YT30" s="231"/>
    </row>
    <row r="31" spans="1:670" s="94" customFormat="1" x14ac:dyDescent="0.2">
      <c r="A31" s="113" t="s">
        <v>369</v>
      </c>
      <c r="B31" s="49" t="s">
        <v>13</v>
      </c>
      <c r="C31" s="49" t="s">
        <v>13</v>
      </c>
      <c r="D31" s="49" t="s">
        <v>13</v>
      </c>
      <c r="E31" s="49" t="s">
        <v>13</v>
      </c>
      <c r="F31" s="49" t="s">
        <v>59</v>
      </c>
      <c r="G31" s="49" t="s">
        <v>31</v>
      </c>
      <c r="H31" s="49" t="s">
        <v>13</v>
      </c>
      <c r="I31" s="49" t="s">
        <v>13</v>
      </c>
      <c r="J31" s="49" t="s">
        <v>13</v>
      </c>
      <c r="K31" s="49" t="s">
        <v>13</v>
      </c>
      <c r="L31" s="49"/>
      <c r="M31" s="49" t="s">
        <v>13</v>
      </c>
      <c r="N31" s="49" t="s">
        <v>13</v>
      </c>
      <c r="O31" s="49" t="s">
        <v>13</v>
      </c>
      <c r="P31" s="49" t="s">
        <v>13</v>
      </c>
      <c r="Q31" s="49" t="s">
        <v>13</v>
      </c>
      <c r="R31" s="49" t="s">
        <v>13</v>
      </c>
      <c r="S31" s="49" t="s">
        <v>13</v>
      </c>
      <c r="T31" s="49" t="s">
        <v>13</v>
      </c>
      <c r="U31" s="49" t="s">
        <v>13</v>
      </c>
      <c r="V31" s="49" t="s">
        <v>13</v>
      </c>
      <c r="W31" s="49" t="s">
        <v>13</v>
      </c>
      <c r="X31" s="49" t="s">
        <v>13</v>
      </c>
      <c r="Y31" s="49" t="s">
        <v>13</v>
      </c>
      <c r="Z31" s="49" t="s">
        <v>13</v>
      </c>
      <c r="AA31" s="49" t="s">
        <v>13</v>
      </c>
      <c r="AB31" s="49" t="s">
        <v>13</v>
      </c>
      <c r="AC31" s="49" t="s">
        <v>59</v>
      </c>
      <c r="AD31" s="49" t="s">
        <v>13</v>
      </c>
      <c r="AE31" s="49" t="s">
        <v>13</v>
      </c>
      <c r="AF31" s="49" t="s">
        <v>13</v>
      </c>
      <c r="AG31" s="49" t="s">
        <v>13</v>
      </c>
      <c r="AH31" s="49" t="s">
        <v>13</v>
      </c>
      <c r="AI31" s="49" t="s">
        <v>13</v>
      </c>
      <c r="AJ31" s="49" t="s">
        <v>13</v>
      </c>
      <c r="AK31" s="49" t="s">
        <v>13</v>
      </c>
      <c r="AL31" s="49" t="s">
        <v>13</v>
      </c>
      <c r="AM31" s="49" t="s">
        <v>13</v>
      </c>
      <c r="AN31" s="49" t="s">
        <v>13</v>
      </c>
      <c r="AO31" s="49" t="s">
        <v>13</v>
      </c>
      <c r="AP31" s="49" t="s">
        <v>13</v>
      </c>
      <c r="AQ31" s="49" t="s">
        <v>13</v>
      </c>
      <c r="AR31" s="49" t="s">
        <v>13</v>
      </c>
      <c r="AS31" s="49" t="s">
        <v>13</v>
      </c>
      <c r="AT31" s="49" t="s">
        <v>13</v>
      </c>
      <c r="AU31" s="49"/>
      <c r="AV31" s="49"/>
      <c r="AW31" s="49"/>
      <c r="AX31" s="49"/>
      <c r="AY31" s="49"/>
      <c r="AZ31" s="49"/>
      <c r="BA31" s="49"/>
      <c r="BB31" s="49"/>
      <c r="BC31" s="49"/>
      <c r="BD31" s="49"/>
      <c r="BE31" s="49"/>
      <c r="BF31" s="49"/>
      <c r="BG31" s="49"/>
      <c r="BH31" s="49"/>
      <c r="BI31" s="49" t="s">
        <v>13</v>
      </c>
      <c r="BJ31" s="49" t="s">
        <v>13</v>
      </c>
      <c r="BK31" s="49" t="s">
        <v>13</v>
      </c>
      <c r="BL31" s="49" t="s">
        <v>13</v>
      </c>
      <c r="BM31" s="49" t="s">
        <v>13</v>
      </c>
      <c r="BN31" s="49" t="s">
        <v>13</v>
      </c>
      <c r="BO31" s="49" t="s">
        <v>13</v>
      </c>
      <c r="BP31" s="49" t="s">
        <v>13</v>
      </c>
      <c r="BQ31" s="49" t="s">
        <v>13</v>
      </c>
      <c r="BR31" s="49" t="s">
        <v>13</v>
      </c>
      <c r="BS31" s="49" t="s">
        <v>13</v>
      </c>
      <c r="BT31" s="49" t="s">
        <v>13</v>
      </c>
      <c r="BU31" s="49" t="s">
        <v>13</v>
      </c>
      <c r="BV31" s="49" t="s">
        <v>13</v>
      </c>
      <c r="BW31" s="49" t="s">
        <v>13</v>
      </c>
      <c r="BX31" s="49" t="s">
        <v>13</v>
      </c>
      <c r="BY31" s="49" t="s">
        <v>20</v>
      </c>
      <c r="BZ31" s="49" t="s">
        <v>13</v>
      </c>
      <c r="CA31" s="49" t="s">
        <v>59</v>
      </c>
      <c r="CB31" s="49" t="s">
        <v>59</v>
      </c>
      <c r="CC31" s="49" t="s">
        <v>13</v>
      </c>
      <c r="CD31" s="49" t="s">
        <v>13</v>
      </c>
      <c r="CE31" s="49" t="s">
        <v>59</v>
      </c>
      <c r="CF31" s="49" t="s">
        <v>59</v>
      </c>
      <c r="CG31" s="49" t="s">
        <v>13</v>
      </c>
      <c r="CH31" s="49" t="s">
        <v>13</v>
      </c>
      <c r="CI31" s="49" t="s">
        <v>59</v>
      </c>
      <c r="CJ31" s="49" t="s">
        <v>13</v>
      </c>
      <c r="CK31" s="49" t="s">
        <v>13</v>
      </c>
      <c r="CL31" s="49" t="s">
        <v>13</v>
      </c>
      <c r="CM31" s="49"/>
      <c r="CN31" s="49" t="s">
        <v>13</v>
      </c>
      <c r="CO31" s="49" t="s">
        <v>13</v>
      </c>
      <c r="CP31" s="49" t="s">
        <v>13</v>
      </c>
      <c r="CQ31" s="49" t="s">
        <v>13</v>
      </c>
      <c r="CR31" s="49" t="s">
        <v>59</v>
      </c>
      <c r="CS31" s="49" t="s">
        <v>13</v>
      </c>
      <c r="CT31" s="49" t="s">
        <v>13</v>
      </c>
      <c r="CU31" s="49" t="s">
        <v>13</v>
      </c>
      <c r="CV31" s="49" t="s">
        <v>13</v>
      </c>
      <c r="CW31" s="122" t="s">
        <v>13</v>
      </c>
      <c r="CX31" s="49" t="s">
        <v>13</v>
      </c>
      <c r="CY31" s="49" t="s">
        <v>13</v>
      </c>
      <c r="CZ31" s="49" t="s">
        <v>13</v>
      </c>
      <c r="DA31" s="122"/>
      <c r="DB31" s="122"/>
      <c r="DC31" s="122"/>
      <c r="DD31" s="122"/>
      <c r="DE31" s="49" t="s">
        <v>13</v>
      </c>
      <c r="DF31" s="49" t="s">
        <v>13</v>
      </c>
      <c r="DG31" s="49" t="s">
        <v>13</v>
      </c>
      <c r="DH31" s="49"/>
      <c r="DI31" s="49" t="s">
        <v>13</v>
      </c>
      <c r="DJ31" s="49" t="s">
        <v>20</v>
      </c>
      <c r="DK31" s="49" t="s">
        <v>20</v>
      </c>
      <c r="DL31" s="49" t="s">
        <v>13</v>
      </c>
      <c r="DM31" s="49" t="s">
        <v>13</v>
      </c>
      <c r="DN31" s="49" t="s">
        <v>13</v>
      </c>
      <c r="DO31" s="49" t="s">
        <v>13</v>
      </c>
      <c r="DP31" s="49" t="s">
        <v>13</v>
      </c>
      <c r="DQ31" s="49" t="s">
        <v>13</v>
      </c>
      <c r="DR31" s="49" t="s">
        <v>13</v>
      </c>
      <c r="DS31" s="49" t="s">
        <v>13</v>
      </c>
      <c r="DT31" s="49" t="s">
        <v>13</v>
      </c>
      <c r="DU31" s="49" t="s">
        <v>13</v>
      </c>
      <c r="DV31" s="49" t="s">
        <v>13</v>
      </c>
      <c r="DW31" s="49" t="s">
        <v>13</v>
      </c>
      <c r="DX31" s="49" t="s">
        <v>13</v>
      </c>
      <c r="DY31" s="49" t="s">
        <v>13</v>
      </c>
      <c r="DZ31" s="49" t="s">
        <v>13</v>
      </c>
      <c r="EA31" s="49" t="s">
        <v>13</v>
      </c>
      <c r="EB31" s="49" t="s">
        <v>13</v>
      </c>
      <c r="EC31" s="49" t="s">
        <v>13</v>
      </c>
      <c r="ED31" s="49" t="s">
        <v>13</v>
      </c>
      <c r="EE31" s="49" t="s">
        <v>13</v>
      </c>
      <c r="EF31" s="49" t="s">
        <v>13</v>
      </c>
      <c r="EG31" s="49" t="s">
        <v>13</v>
      </c>
      <c r="EH31" s="49" t="s">
        <v>59</v>
      </c>
      <c r="EI31" s="49" t="s">
        <v>59</v>
      </c>
      <c r="EJ31" s="49" t="s">
        <v>59</v>
      </c>
      <c r="EK31" s="49" t="s">
        <v>13</v>
      </c>
      <c r="EL31" s="49" t="s">
        <v>59</v>
      </c>
      <c r="EM31" s="49" t="s">
        <v>13</v>
      </c>
      <c r="EN31" s="49" t="s">
        <v>13</v>
      </c>
      <c r="EO31" s="49"/>
      <c r="EP31" s="49"/>
      <c r="EQ31" s="49"/>
      <c r="ER31" s="49"/>
      <c r="ES31" s="49"/>
      <c r="ET31" s="49"/>
      <c r="EU31" s="49" t="s">
        <v>13</v>
      </c>
      <c r="EV31" s="49" t="s">
        <v>13</v>
      </c>
      <c r="EW31" s="49" t="s">
        <v>13</v>
      </c>
      <c r="EX31" s="49" t="s">
        <v>59</v>
      </c>
      <c r="EY31" s="49" t="s">
        <v>20</v>
      </c>
      <c r="EZ31" s="49" t="s">
        <v>20</v>
      </c>
      <c r="FA31" s="49" t="s">
        <v>13</v>
      </c>
      <c r="FB31" s="49" t="s">
        <v>13</v>
      </c>
      <c r="FC31" s="49" t="s">
        <v>13</v>
      </c>
      <c r="FD31" s="49" t="s">
        <v>20</v>
      </c>
      <c r="FE31" s="49" t="s">
        <v>20</v>
      </c>
      <c r="FF31" s="49" t="s">
        <v>20</v>
      </c>
      <c r="FG31" s="49" t="s">
        <v>20</v>
      </c>
      <c r="FH31" s="49" t="s">
        <v>13</v>
      </c>
      <c r="FI31" s="49" t="s">
        <v>20</v>
      </c>
      <c r="FJ31" s="49" t="s">
        <v>20</v>
      </c>
      <c r="FK31" s="49" t="s">
        <v>13</v>
      </c>
      <c r="FL31" s="49" t="s">
        <v>20</v>
      </c>
      <c r="FM31" s="49" t="s">
        <v>13</v>
      </c>
      <c r="FN31" s="49" t="s">
        <v>59</v>
      </c>
      <c r="FO31" s="49" t="s">
        <v>13</v>
      </c>
      <c r="FP31" s="49"/>
      <c r="FQ31" s="49"/>
      <c r="FR31" s="49"/>
      <c r="FS31" s="49"/>
      <c r="FT31" s="49"/>
      <c r="FU31" s="49" t="s">
        <v>13</v>
      </c>
      <c r="FV31" s="49" t="s">
        <v>13</v>
      </c>
      <c r="FW31" s="49" t="s">
        <v>13</v>
      </c>
      <c r="FX31" s="49" t="s">
        <v>20</v>
      </c>
      <c r="FY31" s="49" t="s">
        <v>20</v>
      </c>
      <c r="FZ31" s="49" t="s">
        <v>13</v>
      </c>
      <c r="GA31" s="49" t="s">
        <v>20</v>
      </c>
      <c r="GB31" s="49" t="s">
        <v>20</v>
      </c>
      <c r="GC31" s="49" t="s">
        <v>13</v>
      </c>
      <c r="GD31" s="49" t="s">
        <v>13</v>
      </c>
      <c r="GE31" s="49" t="s">
        <v>20</v>
      </c>
      <c r="GF31" s="49" t="s">
        <v>13</v>
      </c>
      <c r="GG31" s="49" t="s">
        <v>20</v>
      </c>
      <c r="GH31" s="49" t="s">
        <v>20</v>
      </c>
      <c r="GI31" s="49" t="s">
        <v>20</v>
      </c>
      <c r="GJ31" s="49" t="s">
        <v>20</v>
      </c>
      <c r="GK31" s="49" t="s">
        <v>20</v>
      </c>
      <c r="GL31" s="465" t="s">
        <v>20</v>
      </c>
      <c r="GM31" s="465" t="s">
        <v>20</v>
      </c>
      <c r="GN31" s="49" t="s">
        <v>59</v>
      </c>
      <c r="GO31" s="465" t="s">
        <v>20</v>
      </c>
      <c r="GP31" s="122" t="s">
        <v>13</v>
      </c>
      <c r="GQ31" s="122" t="s">
        <v>13</v>
      </c>
      <c r="GR31" s="49" t="s">
        <v>59</v>
      </c>
      <c r="GS31" s="49"/>
      <c r="GT31" s="49" t="s">
        <v>20</v>
      </c>
      <c r="GU31" s="49" t="s">
        <v>20</v>
      </c>
      <c r="GV31" s="49" t="s">
        <v>20</v>
      </c>
      <c r="GW31" s="49" t="s">
        <v>20</v>
      </c>
      <c r="GX31" s="49" t="s">
        <v>20</v>
      </c>
      <c r="GY31" s="122" t="s">
        <v>59</v>
      </c>
      <c r="GZ31" s="49" t="s">
        <v>13</v>
      </c>
      <c r="HA31" s="49" t="s">
        <v>20</v>
      </c>
      <c r="HB31" s="49"/>
      <c r="HC31" s="49" t="s">
        <v>20</v>
      </c>
      <c r="HD31" s="49" t="s">
        <v>20</v>
      </c>
      <c r="HE31" s="49" t="s">
        <v>20</v>
      </c>
      <c r="HF31" s="49" t="s">
        <v>59</v>
      </c>
      <c r="HG31" s="49" t="s">
        <v>59</v>
      </c>
      <c r="HH31" s="122" t="s">
        <v>20</v>
      </c>
      <c r="HI31" s="122" t="s">
        <v>59</v>
      </c>
      <c r="HJ31" s="49" t="s">
        <v>20</v>
      </c>
      <c r="HK31" s="122" t="s">
        <v>20</v>
      </c>
      <c r="HL31" s="122" t="s">
        <v>20</v>
      </c>
      <c r="HM31" s="122" t="s">
        <v>59</v>
      </c>
      <c r="HN31" s="49" t="s">
        <v>20</v>
      </c>
      <c r="HO31" s="94" t="s">
        <v>59</v>
      </c>
      <c r="HP31" s="122" t="s">
        <v>20</v>
      </c>
      <c r="HQ31" s="122" t="s">
        <v>59</v>
      </c>
      <c r="HR31" s="122" t="s">
        <v>59</v>
      </c>
      <c r="HS31" s="49" t="s">
        <v>20</v>
      </c>
      <c r="HT31" s="49" t="s">
        <v>13</v>
      </c>
      <c r="HU31" s="122" t="s">
        <v>59</v>
      </c>
      <c r="HV31" s="49" t="s">
        <v>20</v>
      </c>
      <c r="HW31" s="122" t="s">
        <v>59</v>
      </c>
      <c r="HX31" s="49" t="s">
        <v>20</v>
      </c>
      <c r="HY31" s="122" t="s">
        <v>59</v>
      </c>
      <c r="HZ31" s="49" t="s">
        <v>20</v>
      </c>
      <c r="IA31" s="49" t="s">
        <v>20</v>
      </c>
      <c r="IB31" s="49" t="s">
        <v>20</v>
      </c>
      <c r="IC31" s="49" t="s">
        <v>59</v>
      </c>
      <c r="ID31" s="49" t="s">
        <v>59</v>
      </c>
      <c r="IE31" s="49" t="s">
        <v>59</v>
      </c>
      <c r="IF31" s="49" t="s">
        <v>20</v>
      </c>
      <c r="IG31" s="49" t="s">
        <v>20</v>
      </c>
      <c r="IH31" s="49" t="s">
        <v>20</v>
      </c>
      <c r="II31" s="49" t="s">
        <v>20</v>
      </c>
      <c r="IJ31" s="49"/>
      <c r="IK31" s="465" t="s">
        <v>59</v>
      </c>
      <c r="IL31" s="465" t="s">
        <v>59</v>
      </c>
      <c r="IM31" s="465" t="s">
        <v>59</v>
      </c>
      <c r="IN31" s="465" t="s">
        <v>59</v>
      </c>
      <c r="IO31" s="465" t="s">
        <v>59</v>
      </c>
      <c r="IP31" s="465" t="s">
        <v>59</v>
      </c>
      <c r="IQ31" s="465" t="s">
        <v>59</v>
      </c>
      <c r="IR31" s="465" t="s">
        <v>59</v>
      </c>
      <c r="IS31" s="465"/>
      <c r="IT31" s="465"/>
      <c r="IU31" s="465"/>
      <c r="IV31" s="465" t="s">
        <v>59</v>
      </c>
      <c r="IW31" s="465" t="s">
        <v>59</v>
      </c>
      <c r="IX31" s="465" t="s">
        <v>59</v>
      </c>
      <c r="IY31" s="465" t="s">
        <v>59</v>
      </c>
      <c r="IZ31" s="465" t="s">
        <v>59</v>
      </c>
      <c r="JA31" s="465" t="s">
        <v>59</v>
      </c>
      <c r="JB31" s="465" t="s">
        <v>59</v>
      </c>
      <c r="JC31" s="465" t="s">
        <v>59</v>
      </c>
      <c r="JD31" s="465" t="s">
        <v>59</v>
      </c>
      <c r="JE31" s="465" t="s">
        <v>59</v>
      </c>
      <c r="JF31" s="465" t="s">
        <v>59</v>
      </c>
      <c r="JG31" s="465" t="s">
        <v>59</v>
      </c>
      <c r="JH31" s="465" t="s">
        <v>59</v>
      </c>
      <c r="JI31" s="465" t="s">
        <v>59</v>
      </c>
      <c r="JJ31" s="465" t="s">
        <v>59</v>
      </c>
      <c r="JK31" s="465" t="s">
        <v>59</v>
      </c>
      <c r="JL31" s="49" t="s">
        <v>59</v>
      </c>
      <c r="JM31" s="465" t="s">
        <v>59</v>
      </c>
      <c r="JN31" s="465" t="s">
        <v>59</v>
      </c>
      <c r="JO31" s="465" t="s">
        <v>59</v>
      </c>
      <c r="JP31" s="465" t="s">
        <v>59</v>
      </c>
      <c r="JQ31" s="465" t="s">
        <v>59</v>
      </c>
      <c r="JR31" s="465" t="s">
        <v>59</v>
      </c>
      <c r="JS31" s="465" t="s">
        <v>59</v>
      </c>
      <c r="JT31" s="465" t="s">
        <v>59</v>
      </c>
      <c r="JU31" s="465" t="s">
        <v>59</v>
      </c>
      <c r="JV31" s="465" t="s">
        <v>59</v>
      </c>
      <c r="JW31" s="465" t="s">
        <v>59</v>
      </c>
      <c r="JX31" s="465" t="s">
        <v>59</v>
      </c>
      <c r="JY31" s="465" t="s">
        <v>59</v>
      </c>
      <c r="JZ31" s="465" t="s">
        <v>59</v>
      </c>
      <c r="KA31" s="465" t="s">
        <v>59</v>
      </c>
      <c r="KB31" s="465" t="s">
        <v>59</v>
      </c>
      <c r="KC31" s="465" t="s">
        <v>59</v>
      </c>
      <c r="KD31" s="465" t="s">
        <v>59</v>
      </c>
      <c r="KE31" s="465" t="s">
        <v>59</v>
      </c>
      <c r="KF31" s="465" t="s">
        <v>59</v>
      </c>
      <c r="KG31" s="465" t="s">
        <v>59</v>
      </c>
      <c r="KH31" s="465" t="s">
        <v>59</v>
      </c>
      <c r="KI31" s="465" t="s">
        <v>59</v>
      </c>
      <c r="KJ31" s="465" t="s">
        <v>59</v>
      </c>
      <c r="KK31" s="465" t="s">
        <v>59</v>
      </c>
      <c r="KL31" s="465" t="s">
        <v>59</v>
      </c>
      <c r="KM31" s="465" t="s">
        <v>59</v>
      </c>
      <c r="KN31" s="49" t="s">
        <v>59</v>
      </c>
      <c r="KO31" s="49" t="s">
        <v>59</v>
      </c>
      <c r="KP31" s="49" t="s">
        <v>59</v>
      </c>
      <c r="KQ31" s="465" t="s">
        <v>59</v>
      </c>
      <c r="KR31" s="465" t="s">
        <v>59</v>
      </c>
      <c r="KS31" s="465" t="s">
        <v>59</v>
      </c>
      <c r="KT31" s="465" t="s">
        <v>59</v>
      </c>
      <c r="KU31" s="465" t="s">
        <v>59</v>
      </c>
      <c r="KV31" s="465" t="s">
        <v>59</v>
      </c>
      <c r="KW31" s="465" t="s">
        <v>59</v>
      </c>
      <c r="KX31" s="465" t="s">
        <v>59</v>
      </c>
      <c r="KY31" s="465" t="s">
        <v>59</v>
      </c>
      <c r="KZ31" s="465" t="s">
        <v>59</v>
      </c>
      <c r="LA31" s="465" t="s">
        <v>59</v>
      </c>
      <c r="LB31" s="465" t="s">
        <v>59</v>
      </c>
      <c r="LC31" s="465" t="s">
        <v>59</v>
      </c>
      <c r="LD31" s="465" t="s">
        <v>59</v>
      </c>
      <c r="LE31" s="465" t="s">
        <v>59</v>
      </c>
      <c r="LF31" s="465" t="s">
        <v>59</v>
      </c>
      <c r="LG31" s="465" t="s">
        <v>59</v>
      </c>
      <c r="LH31" s="465" t="s">
        <v>59</v>
      </c>
      <c r="LI31" s="465" t="s">
        <v>59</v>
      </c>
      <c r="LJ31" s="465" t="s">
        <v>59</v>
      </c>
      <c r="LK31" s="465" t="s">
        <v>59</v>
      </c>
      <c r="LL31" s="465" t="s">
        <v>59</v>
      </c>
      <c r="LM31" s="465" t="s">
        <v>59</v>
      </c>
      <c r="LN31" s="101" t="s">
        <v>13</v>
      </c>
      <c r="LO31" s="49" t="s">
        <v>59</v>
      </c>
      <c r="LP31" s="49" t="s">
        <v>59</v>
      </c>
      <c r="LQ31" s="49" t="s">
        <v>59</v>
      </c>
      <c r="LR31" s="49" t="s">
        <v>59</v>
      </c>
      <c r="LS31" s="49" t="s">
        <v>59</v>
      </c>
      <c r="LT31" s="49" t="s">
        <v>59</v>
      </c>
      <c r="LU31" s="49" t="s">
        <v>59</v>
      </c>
      <c r="LV31" s="49" t="s">
        <v>59</v>
      </c>
      <c r="LW31" s="49" t="s">
        <v>59</v>
      </c>
      <c r="LX31" s="49" t="s">
        <v>59</v>
      </c>
      <c r="LY31" s="49" t="s">
        <v>59</v>
      </c>
      <c r="LZ31" s="49" t="s">
        <v>59</v>
      </c>
      <c r="MA31" s="49" t="s">
        <v>59</v>
      </c>
      <c r="MB31" s="49" t="s">
        <v>59</v>
      </c>
      <c r="MC31" s="49" t="s">
        <v>59</v>
      </c>
      <c r="MD31" s="49" t="s">
        <v>59</v>
      </c>
      <c r="ME31" s="49" t="s">
        <v>59</v>
      </c>
      <c r="MF31" s="49" t="s">
        <v>59</v>
      </c>
      <c r="MG31" s="49" t="s">
        <v>59</v>
      </c>
      <c r="MH31" s="49" t="s">
        <v>59</v>
      </c>
      <c r="MI31" s="49" t="s">
        <v>59</v>
      </c>
      <c r="MJ31" s="49" t="s">
        <v>59</v>
      </c>
      <c r="MK31" s="49" t="s">
        <v>59</v>
      </c>
      <c r="ML31" s="49" t="s">
        <v>59</v>
      </c>
      <c r="MM31" s="49" t="s">
        <v>20</v>
      </c>
      <c r="MN31" s="49" t="s">
        <v>20</v>
      </c>
      <c r="MO31" s="49" t="s">
        <v>59</v>
      </c>
      <c r="MP31" s="49" t="s">
        <v>20</v>
      </c>
      <c r="MQ31" s="49" t="s">
        <v>59</v>
      </c>
      <c r="MR31" s="49" t="s">
        <v>59</v>
      </c>
      <c r="MS31" s="49" t="s">
        <v>20</v>
      </c>
      <c r="MT31" s="49" t="s">
        <v>59</v>
      </c>
      <c r="MU31" s="49" t="s">
        <v>59</v>
      </c>
      <c r="MV31" s="49" t="s">
        <v>59</v>
      </c>
      <c r="MW31" s="49" t="s">
        <v>20</v>
      </c>
      <c r="MX31" s="49" t="s">
        <v>59</v>
      </c>
      <c r="MY31" s="49" t="s">
        <v>59</v>
      </c>
      <c r="MZ31" s="49" t="s">
        <v>59</v>
      </c>
      <c r="NA31" s="49" t="s">
        <v>59</v>
      </c>
      <c r="NB31" s="49"/>
      <c r="NC31" s="49"/>
      <c r="ND31" s="49"/>
      <c r="NE31" s="49"/>
      <c r="NF31" s="49" t="s">
        <v>13</v>
      </c>
      <c r="NG31" s="49" t="s">
        <v>59</v>
      </c>
      <c r="NH31" s="49" t="s">
        <v>13</v>
      </c>
      <c r="NI31" s="49" t="s">
        <v>59</v>
      </c>
      <c r="NJ31" s="49" t="s">
        <v>13</v>
      </c>
      <c r="NK31" s="49"/>
      <c r="NL31" s="49" t="s">
        <v>13</v>
      </c>
      <c r="NM31" s="49" t="s">
        <v>13</v>
      </c>
      <c r="NN31" s="49" t="s">
        <v>59</v>
      </c>
      <c r="NO31" s="49" t="s">
        <v>13</v>
      </c>
      <c r="NP31" s="49" t="s">
        <v>13</v>
      </c>
      <c r="NQ31" s="49" t="s">
        <v>59</v>
      </c>
      <c r="NR31" s="49" t="s">
        <v>59</v>
      </c>
      <c r="NS31" s="49" t="s">
        <v>59</v>
      </c>
      <c r="NT31" s="49" t="s">
        <v>59</v>
      </c>
      <c r="NU31" s="49" t="s">
        <v>59</v>
      </c>
      <c r="NV31" s="49" t="s">
        <v>59</v>
      </c>
      <c r="NW31" s="49" t="s">
        <v>59</v>
      </c>
      <c r="NX31" s="49" t="s">
        <v>59</v>
      </c>
      <c r="NY31" s="49" t="s">
        <v>59</v>
      </c>
      <c r="NZ31" s="49" t="s">
        <v>59</v>
      </c>
      <c r="OA31" s="49" t="s">
        <v>59</v>
      </c>
      <c r="OB31" s="49" t="s">
        <v>59</v>
      </c>
      <c r="OC31" s="49" t="s">
        <v>59</v>
      </c>
      <c r="OD31" s="49" t="s">
        <v>59</v>
      </c>
      <c r="OE31" s="49" t="s">
        <v>59</v>
      </c>
      <c r="OF31" s="49" t="s">
        <v>59</v>
      </c>
      <c r="OG31" s="49" t="s">
        <v>59</v>
      </c>
      <c r="OH31" s="49" t="s">
        <v>59</v>
      </c>
      <c r="OI31" s="49" t="s">
        <v>59</v>
      </c>
      <c r="OJ31" s="49" t="s">
        <v>59</v>
      </c>
      <c r="OK31" s="49" t="s">
        <v>59</v>
      </c>
      <c r="OL31" s="49" t="s">
        <v>59</v>
      </c>
      <c r="OM31" s="49" t="s">
        <v>59</v>
      </c>
      <c r="ON31" s="49" t="s">
        <v>59</v>
      </c>
      <c r="OO31" s="49" t="s">
        <v>59</v>
      </c>
      <c r="OP31" s="49" t="s">
        <v>59</v>
      </c>
      <c r="OQ31" s="49" t="s">
        <v>59</v>
      </c>
      <c r="OR31" s="49" t="s">
        <v>59</v>
      </c>
      <c r="OS31" s="49" t="s">
        <v>59</v>
      </c>
      <c r="OT31" s="49" t="s">
        <v>59</v>
      </c>
      <c r="OU31" s="49" t="s">
        <v>59</v>
      </c>
      <c r="OV31" s="49" t="s">
        <v>59</v>
      </c>
      <c r="OW31" s="49" t="s">
        <v>59</v>
      </c>
      <c r="OX31" s="49" t="s">
        <v>59</v>
      </c>
      <c r="OY31" s="49" t="s">
        <v>59</v>
      </c>
      <c r="OZ31" s="49" t="s">
        <v>59</v>
      </c>
      <c r="PA31" s="49" t="s">
        <v>59</v>
      </c>
      <c r="PB31" s="49" t="s">
        <v>59</v>
      </c>
      <c r="PC31" s="49" t="s">
        <v>59</v>
      </c>
      <c r="PD31" s="49" t="s">
        <v>59</v>
      </c>
      <c r="PE31" s="49" t="s">
        <v>59</v>
      </c>
      <c r="PF31" s="49" t="s">
        <v>59</v>
      </c>
      <c r="PG31" s="49" t="s">
        <v>59</v>
      </c>
      <c r="PH31" s="49" t="s">
        <v>59</v>
      </c>
      <c r="PI31" s="49" t="s">
        <v>59</v>
      </c>
      <c r="PJ31" s="49" t="s">
        <v>59</v>
      </c>
      <c r="PK31" s="49" t="s">
        <v>59</v>
      </c>
      <c r="PL31" s="49" t="s">
        <v>59</v>
      </c>
      <c r="PM31" s="49" t="s">
        <v>59</v>
      </c>
      <c r="PN31" s="49" t="s">
        <v>59</v>
      </c>
      <c r="PO31" s="49" t="s">
        <v>59</v>
      </c>
      <c r="PP31" s="49" t="s">
        <v>59</v>
      </c>
      <c r="PQ31" s="49" t="s">
        <v>59</v>
      </c>
      <c r="PR31" s="49" t="s">
        <v>59</v>
      </c>
      <c r="PS31" s="49" t="s">
        <v>59</v>
      </c>
      <c r="PT31" s="49" t="s">
        <v>59</v>
      </c>
      <c r="PU31" s="49" t="s">
        <v>59</v>
      </c>
      <c r="PV31" s="49" t="s">
        <v>59</v>
      </c>
      <c r="PW31" s="49" t="s">
        <v>59</v>
      </c>
      <c r="PX31" s="49"/>
      <c r="PY31" s="49" t="s">
        <v>59</v>
      </c>
      <c r="PZ31" s="49" t="s">
        <v>13</v>
      </c>
      <c r="QA31" s="49" t="s">
        <v>59</v>
      </c>
      <c r="QB31" s="49" t="s">
        <v>59</v>
      </c>
      <c r="QC31" s="49" t="s">
        <v>59</v>
      </c>
      <c r="QD31" s="49" t="s">
        <v>59</v>
      </c>
      <c r="QE31" s="49" t="s">
        <v>59</v>
      </c>
      <c r="QF31" s="49" t="s">
        <v>59</v>
      </c>
      <c r="QG31" s="49" t="s">
        <v>59</v>
      </c>
      <c r="QH31" s="49" t="s">
        <v>20</v>
      </c>
      <c r="QI31" s="49" t="s">
        <v>59</v>
      </c>
      <c r="QJ31" s="49" t="s">
        <v>59</v>
      </c>
      <c r="QK31" s="49" t="s">
        <v>59</v>
      </c>
      <c r="QL31" s="49" t="s">
        <v>59</v>
      </c>
      <c r="QM31" s="49" t="s">
        <v>59</v>
      </c>
      <c r="QN31" s="49" t="s">
        <v>59</v>
      </c>
      <c r="QO31" s="49" t="s">
        <v>59</v>
      </c>
      <c r="QP31" s="49" t="s">
        <v>59</v>
      </c>
      <c r="QQ31" s="49" t="s">
        <v>59</v>
      </c>
      <c r="QR31" s="49" t="s">
        <v>59</v>
      </c>
      <c r="QS31" s="49" t="s">
        <v>59</v>
      </c>
      <c r="QT31" s="49" t="s">
        <v>59</v>
      </c>
      <c r="QU31" s="49" t="s">
        <v>59</v>
      </c>
      <c r="QV31" s="49" t="s">
        <v>59</v>
      </c>
      <c r="QW31" s="49" t="s">
        <v>59</v>
      </c>
      <c r="QX31" s="49" t="s">
        <v>59</v>
      </c>
      <c r="QY31" s="49" t="s">
        <v>59</v>
      </c>
      <c r="QZ31" s="49" t="s">
        <v>59</v>
      </c>
      <c r="RA31" s="49" t="s">
        <v>59</v>
      </c>
      <c r="RB31" s="49" t="s">
        <v>59</v>
      </c>
      <c r="RC31" s="49" t="s">
        <v>59</v>
      </c>
      <c r="RD31" s="49" t="s">
        <v>59</v>
      </c>
      <c r="RE31" s="49" t="s">
        <v>59</v>
      </c>
      <c r="RF31" s="49" t="s">
        <v>59</v>
      </c>
      <c r="RG31" s="49" t="s">
        <v>59</v>
      </c>
      <c r="RH31" s="49" t="s">
        <v>59</v>
      </c>
      <c r="RI31" s="49" t="s">
        <v>59</v>
      </c>
      <c r="RJ31" s="49" t="s">
        <v>59</v>
      </c>
      <c r="RK31" s="49" t="s">
        <v>59</v>
      </c>
      <c r="RL31" s="49" t="s">
        <v>59</v>
      </c>
      <c r="RM31" s="49" t="s">
        <v>59</v>
      </c>
      <c r="RN31" s="49" t="s">
        <v>59</v>
      </c>
      <c r="RO31" s="49" t="s">
        <v>59</v>
      </c>
      <c r="RP31" s="49" t="s">
        <v>59</v>
      </c>
      <c r="RQ31" s="49" t="s">
        <v>59</v>
      </c>
      <c r="RR31" s="49" t="s">
        <v>59</v>
      </c>
      <c r="RS31" s="49" t="s">
        <v>59</v>
      </c>
      <c r="RT31" s="49" t="s">
        <v>59</v>
      </c>
      <c r="RU31" s="49" t="s">
        <v>59</v>
      </c>
      <c r="RV31" s="49" t="s">
        <v>59</v>
      </c>
      <c r="RW31" s="49" t="s">
        <v>59</v>
      </c>
      <c r="RX31" s="49" t="s">
        <v>13</v>
      </c>
      <c r="RY31" s="408" t="s">
        <v>13</v>
      </c>
      <c r="RZ31" s="49" t="s">
        <v>59</v>
      </c>
      <c r="SA31" s="49" t="s">
        <v>59</v>
      </c>
      <c r="SB31" s="49"/>
      <c r="SC31" s="49"/>
      <c r="SD31" s="49" t="s">
        <v>20</v>
      </c>
      <c r="SE31" s="49" t="s">
        <v>59</v>
      </c>
      <c r="SF31" s="49" t="s">
        <v>59</v>
      </c>
      <c r="SG31" s="49" t="s">
        <v>59</v>
      </c>
      <c r="SH31" s="49" t="s">
        <v>59</v>
      </c>
      <c r="SI31" s="49" t="s">
        <v>59</v>
      </c>
      <c r="SJ31" s="49" t="s">
        <v>20</v>
      </c>
      <c r="SK31" s="49" t="s">
        <v>20</v>
      </c>
      <c r="SL31" s="49" t="s">
        <v>59</v>
      </c>
      <c r="SM31" s="49" t="s">
        <v>59</v>
      </c>
      <c r="SN31" s="49" t="s">
        <v>59</v>
      </c>
      <c r="SO31" s="49" t="s">
        <v>20</v>
      </c>
      <c r="SP31" s="49" t="s">
        <v>59</v>
      </c>
      <c r="SQ31" s="49" t="s">
        <v>59</v>
      </c>
      <c r="SR31" s="49" t="s">
        <v>59</v>
      </c>
      <c r="SS31" s="49" t="s">
        <v>59</v>
      </c>
      <c r="ST31" s="49" t="s">
        <v>20</v>
      </c>
      <c r="SU31" s="49" t="s">
        <v>20</v>
      </c>
      <c r="SV31" s="49" t="s">
        <v>59</v>
      </c>
      <c r="SW31" s="49" t="s">
        <v>59</v>
      </c>
      <c r="SX31" s="49" t="s">
        <v>59</v>
      </c>
      <c r="SY31" s="49" t="s">
        <v>59</v>
      </c>
      <c r="SZ31" s="49" t="s">
        <v>20</v>
      </c>
      <c r="TA31" s="49" t="s">
        <v>59</v>
      </c>
      <c r="TB31" s="49" t="s">
        <v>59</v>
      </c>
      <c r="TC31" s="49" t="s">
        <v>59</v>
      </c>
      <c r="TD31" s="49" t="s">
        <v>59</v>
      </c>
      <c r="TE31" s="49" t="s">
        <v>59</v>
      </c>
      <c r="TF31" s="49"/>
      <c r="TG31" s="49" t="s">
        <v>59</v>
      </c>
      <c r="TH31" s="49" t="s">
        <v>13</v>
      </c>
      <c r="TI31" s="49"/>
      <c r="TJ31" s="49"/>
      <c r="TK31" s="49"/>
      <c r="TL31" s="49"/>
      <c r="TM31" s="49"/>
      <c r="TN31" s="93"/>
      <c r="TO31" s="93"/>
      <c r="TP31" s="93"/>
      <c r="TQ31" s="93"/>
      <c r="TR31" s="93"/>
      <c r="TS31" s="93"/>
      <c r="TT31" s="93"/>
      <c r="TU31" s="93"/>
      <c r="TV31" s="93"/>
      <c r="TW31" s="49"/>
      <c r="TX31" s="49"/>
      <c r="TY31" s="49"/>
      <c r="TZ31" s="72"/>
      <c r="UA31" s="72"/>
      <c r="UB31" s="72"/>
      <c r="UC31" s="72"/>
      <c r="UD31" s="49"/>
      <c r="UE31" s="49"/>
      <c r="UF31" s="49"/>
      <c r="UG31" s="49"/>
      <c r="UH31" s="49"/>
      <c r="UI31" s="49"/>
      <c r="UJ31" s="49"/>
      <c r="UK31" s="49"/>
      <c r="UL31" s="49"/>
      <c r="UM31" s="49"/>
      <c r="UN31" s="49"/>
      <c r="UO31" s="49"/>
      <c r="UP31" s="49"/>
      <c r="UQ31" s="49"/>
      <c r="UR31" s="49"/>
      <c r="US31" s="49"/>
      <c r="UT31" s="49"/>
      <c r="UU31" s="49"/>
      <c r="UV31" s="49"/>
      <c r="UW31" s="49"/>
      <c r="UX31" s="49"/>
      <c r="UY31" s="49"/>
      <c r="UZ31" s="49"/>
      <c r="VA31" s="49"/>
      <c r="VB31" s="49" t="s">
        <v>20</v>
      </c>
      <c r="VC31" s="49" t="s">
        <v>13</v>
      </c>
      <c r="VD31" s="49" t="s">
        <v>13</v>
      </c>
      <c r="VE31" s="49" t="s">
        <v>13</v>
      </c>
      <c r="VF31" s="49" t="s">
        <v>13</v>
      </c>
      <c r="VG31" s="49" t="s">
        <v>13</v>
      </c>
      <c r="VH31" s="49" t="s">
        <v>59</v>
      </c>
      <c r="VI31" s="49" t="s">
        <v>59</v>
      </c>
      <c r="VJ31" s="49" t="s">
        <v>59</v>
      </c>
      <c r="VK31" s="49" t="s">
        <v>59</v>
      </c>
      <c r="VL31" s="49" t="s">
        <v>59</v>
      </c>
      <c r="VM31" s="49" t="s">
        <v>59</v>
      </c>
      <c r="VN31" s="49" t="s">
        <v>59</v>
      </c>
      <c r="VO31" s="49" t="s">
        <v>59</v>
      </c>
      <c r="VP31" s="49" t="s">
        <v>59</v>
      </c>
      <c r="VQ31" s="49" t="s">
        <v>59</v>
      </c>
      <c r="VR31" s="49" t="s">
        <v>59</v>
      </c>
      <c r="VS31" s="49" t="s">
        <v>20</v>
      </c>
      <c r="VT31" s="49" t="s">
        <v>20</v>
      </c>
      <c r="VU31" s="49" t="s">
        <v>20</v>
      </c>
      <c r="VV31" s="49" t="s">
        <v>20</v>
      </c>
      <c r="VW31" s="49" t="s">
        <v>20</v>
      </c>
      <c r="VX31" s="49" t="s">
        <v>59</v>
      </c>
      <c r="VY31" s="49" t="s">
        <v>20</v>
      </c>
      <c r="VZ31" s="49"/>
      <c r="WA31" s="49" t="s">
        <v>13</v>
      </c>
      <c r="WB31" s="49" t="s">
        <v>20</v>
      </c>
      <c r="WC31" s="49" t="s">
        <v>20</v>
      </c>
      <c r="WD31" s="49" t="s">
        <v>20</v>
      </c>
      <c r="WE31" s="49" t="s">
        <v>59</v>
      </c>
      <c r="WF31" s="49" t="s">
        <v>20</v>
      </c>
      <c r="WG31" s="49" t="s">
        <v>59</v>
      </c>
      <c r="WH31" s="49" t="s">
        <v>20</v>
      </c>
      <c r="WI31" s="49" t="s">
        <v>59</v>
      </c>
      <c r="WJ31" s="49" t="s">
        <v>20</v>
      </c>
      <c r="WK31" s="49" t="s">
        <v>20</v>
      </c>
      <c r="WL31" s="101" t="s">
        <v>59</v>
      </c>
      <c r="WM31" s="49" t="s">
        <v>20</v>
      </c>
      <c r="WN31" s="49" t="s">
        <v>20</v>
      </c>
      <c r="WO31" s="49" t="s">
        <v>20</v>
      </c>
      <c r="WP31" s="49" t="s">
        <v>20</v>
      </c>
      <c r="WQ31" s="49" t="s">
        <v>59</v>
      </c>
      <c r="WR31" s="49" t="s">
        <v>20</v>
      </c>
      <c r="WS31" s="49" t="s">
        <v>13</v>
      </c>
      <c r="WT31" s="49" t="s">
        <v>59</v>
      </c>
      <c r="WU31" s="49" t="s">
        <v>59</v>
      </c>
      <c r="WV31" s="49" t="s">
        <v>59</v>
      </c>
      <c r="WW31" s="49" t="s">
        <v>59</v>
      </c>
      <c r="WX31" s="49" t="s">
        <v>59</v>
      </c>
      <c r="WY31" s="49" t="s">
        <v>59</v>
      </c>
      <c r="WZ31" s="49" t="s">
        <v>59</v>
      </c>
      <c r="XA31" s="49" t="s">
        <v>59</v>
      </c>
      <c r="XB31" s="49" t="s">
        <v>59</v>
      </c>
      <c r="XC31" s="49" t="s">
        <v>13</v>
      </c>
      <c r="XD31" s="49" t="s">
        <v>20</v>
      </c>
      <c r="XE31" s="49" t="s">
        <v>13</v>
      </c>
      <c r="XF31" s="49"/>
      <c r="XG31" s="49"/>
      <c r="XH31" s="49"/>
      <c r="XI31" s="49"/>
      <c r="XJ31" s="49"/>
      <c r="XK31" s="49"/>
      <c r="XL31" s="49"/>
      <c r="XM31" s="49"/>
      <c r="XN31" s="49"/>
      <c r="XO31" s="49"/>
      <c r="XP31" s="49" t="s">
        <v>13</v>
      </c>
      <c r="XQ31" s="49" t="s">
        <v>20</v>
      </c>
      <c r="XR31" s="49" t="s">
        <v>20</v>
      </c>
      <c r="XS31" s="49" t="s">
        <v>13</v>
      </c>
      <c r="XT31" s="49" t="s">
        <v>13</v>
      </c>
      <c r="XU31" s="49" t="s">
        <v>13</v>
      </c>
      <c r="XV31" s="49" t="s">
        <v>59</v>
      </c>
      <c r="XW31" s="49" t="s">
        <v>13</v>
      </c>
      <c r="XX31" s="49" t="s">
        <v>13</v>
      </c>
      <c r="XY31" s="49" t="s">
        <v>13</v>
      </c>
      <c r="XZ31" s="49" t="s">
        <v>13</v>
      </c>
      <c r="YA31" s="49" t="s">
        <v>13</v>
      </c>
      <c r="YB31" s="49" t="s">
        <v>13</v>
      </c>
      <c r="YC31" s="49" t="s">
        <v>20</v>
      </c>
      <c r="YD31" s="49" t="s">
        <v>59</v>
      </c>
      <c r="YE31" s="49" t="s">
        <v>59</v>
      </c>
      <c r="YF31" s="49" t="s">
        <v>20</v>
      </c>
      <c r="YG31" s="49" t="s">
        <v>20</v>
      </c>
      <c r="YH31" s="49" t="s">
        <v>59</v>
      </c>
      <c r="YI31" s="49" t="s">
        <v>59</v>
      </c>
      <c r="YJ31" s="49" t="s">
        <v>20</v>
      </c>
      <c r="YK31" s="49" t="s">
        <v>59</v>
      </c>
      <c r="YL31" s="49" t="s">
        <v>13</v>
      </c>
      <c r="YM31" s="122"/>
      <c r="YN31" s="122"/>
      <c r="YO31" s="49"/>
      <c r="YP31" s="49"/>
      <c r="YQ31" s="49"/>
      <c r="YR31" s="49"/>
      <c r="YS31" s="49" t="s">
        <v>59</v>
      </c>
      <c r="YT31" s="122" t="s">
        <v>59</v>
      </c>
    </row>
    <row r="32" spans="1:670" s="26" customFormat="1" ht="12.1" customHeight="1" x14ac:dyDescent="0.25">
      <c r="A32" s="236" t="s">
        <v>370</v>
      </c>
      <c r="B32" s="237" t="s">
        <v>263</v>
      </c>
      <c r="C32" s="237" t="s">
        <v>1</v>
      </c>
      <c r="D32" s="237" t="s">
        <v>2</v>
      </c>
      <c r="E32" s="238" t="s">
        <v>3</v>
      </c>
      <c r="F32" s="238" t="s">
        <v>379</v>
      </c>
      <c r="G32" s="238" t="s">
        <v>122</v>
      </c>
      <c r="H32" s="238" t="s">
        <v>234</v>
      </c>
      <c r="I32" s="238" t="s">
        <v>77</v>
      </c>
      <c r="J32" s="239" t="s">
        <v>4</v>
      </c>
      <c r="K32" s="239" t="s">
        <v>5</v>
      </c>
      <c r="L32" s="239"/>
      <c r="M32" s="239" t="s">
        <v>71</v>
      </c>
      <c r="N32" s="239" t="s">
        <v>72</v>
      </c>
      <c r="O32" s="239" t="s">
        <v>73</v>
      </c>
      <c r="P32" s="239" t="s">
        <v>102</v>
      </c>
      <c r="Q32" s="239" t="s">
        <v>103</v>
      </c>
      <c r="R32" s="239" t="s">
        <v>104</v>
      </c>
      <c r="S32" s="239" t="s">
        <v>105</v>
      </c>
      <c r="T32" s="239" t="s">
        <v>110</v>
      </c>
      <c r="U32" s="239" t="s">
        <v>8</v>
      </c>
      <c r="V32" s="239" t="s">
        <v>9</v>
      </c>
      <c r="W32" s="239" t="s">
        <v>106</v>
      </c>
      <c r="X32" s="239" t="s">
        <v>21</v>
      </c>
      <c r="Y32" s="239" t="s">
        <v>254</v>
      </c>
      <c r="Z32" s="239" t="s">
        <v>6</v>
      </c>
      <c r="AA32" s="239" t="s">
        <v>7</v>
      </c>
      <c r="AB32" s="239" t="s">
        <v>107</v>
      </c>
      <c r="AC32" s="239" t="s">
        <v>19</v>
      </c>
      <c r="AD32" s="239" t="s">
        <v>22</v>
      </c>
      <c r="AE32" s="239" t="s">
        <v>1224</v>
      </c>
      <c r="AF32" s="239" t="s">
        <v>1225</v>
      </c>
      <c r="AG32" s="239" t="s">
        <v>23</v>
      </c>
      <c r="AH32" s="239" t="s">
        <v>117</v>
      </c>
      <c r="AI32" s="239" t="s">
        <v>867</v>
      </c>
      <c r="AJ32" s="239" t="s">
        <v>126</v>
      </c>
      <c r="AK32" s="239" t="s">
        <v>75</v>
      </c>
      <c r="AL32" s="239" t="s">
        <v>108</v>
      </c>
      <c r="AM32" s="239" t="s">
        <v>109</v>
      </c>
      <c r="AN32" s="239" t="s">
        <v>259</v>
      </c>
      <c r="AO32" s="239" t="s">
        <v>260</v>
      </c>
      <c r="AP32" s="239" t="s">
        <v>1022</v>
      </c>
      <c r="AQ32" s="239" t="s">
        <v>695</v>
      </c>
      <c r="AR32" s="239" t="s">
        <v>697</v>
      </c>
      <c r="AS32" s="239" t="s">
        <v>698</v>
      </c>
      <c r="AT32" s="239" t="s">
        <v>692</v>
      </c>
      <c r="AU32" s="239"/>
      <c r="AV32" s="239"/>
      <c r="AW32" s="239"/>
      <c r="AX32" s="239"/>
      <c r="AY32" s="239"/>
      <c r="AZ32" s="239"/>
      <c r="BA32" s="239"/>
      <c r="BB32" s="239"/>
      <c r="BC32" s="239"/>
      <c r="BD32" s="239"/>
      <c r="BE32" s="239"/>
      <c r="BF32" s="239"/>
      <c r="BG32" s="239"/>
      <c r="BH32" s="239"/>
      <c r="BI32" s="239" t="s">
        <v>1226</v>
      </c>
      <c r="BJ32" s="239" t="s">
        <v>1227</v>
      </c>
      <c r="BK32" s="239" t="s">
        <v>883</v>
      </c>
      <c r="BL32" s="239" t="s">
        <v>70</v>
      </c>
      <c r="BM32" s="239" t="s">
        <v>34</v>
      </c>
      <c r="BN32" s="239" t="s">
        <v>35</v>
      </c>
      <c r="BO32" s="239" t="s">
        <v>144</v>
      </c>
      <c r="BP32" s="239" t="s">
        <v>96</v>
      </c>
      <c r="BQ32" s="239" t="s">
        <v>41</v>
      </c>
      <c r="BR32" s="239" t="s">
        <v>127</v>
      </c>
      <c r="BS32" s="239" t="s">
        <v>142</v>
      </c>
      <c r="BT32" s="239" t="s">
        <v>95</v>
      </c>
      <c r="BU32" s="239" t="s">
        <v>39</v>
      </c>
      <c r="BV32" s="239" t="s">
        <v>143</v>
      </c>
      <c r="BW32" s="239" t="s">
        <v>36</v>
      </c>
      <c r="BX32" s="239" t="s">
        <v>37</v>
      </c>
      <c r="BY32" s="239" t="s">
        <v>2746</v>
      </c>
      <c r="BZ32" s="239" t="s">
        <v>56</v>
      </c>
      <c r="CA32" s="239"/>
      <c r="CB32" s="239"/>
      <c r="CC32" s="239" t="s">
        <v>135</v>
      </c>
      <c r="CD32" s="239" t="s">
        <v>868</v>
      </c>
      <c r="CE32" s="239"/>
      <c r="CF32" s="239"/>
      <c r="CG32" s="239" t="s">
        <v>208</v>
      </c>
      <c r="CH32" s="239" t="s">
        <v>301</v>
      </c>
      <c r="CI32" s="239"/>
      <c r="CJ32" s="239" t="s">
        <v>1229</v>
      </c>
      <c r="CK32" s="239" t="s">
        <v>1230</v>
      </c>
      <c r="CL32" s="239" t="s">
        <v>1231</v>
      </c>
      <c r="CM32" s="239"/>
      <c r="CN32" s="239" t="s">
        <v>128</v>
      </c>
      <c r="CO32" s="239" t="s">
        <v>40</v>
      </c>
      <c r="CP32" s="239" t="s">
        <v>38</v>
      </c>
      <c r="CQ32" s="239" t="s">
        <v>93</v>
      </c>
      <c r="CR32" s="239"/>
      <c r="CS32" s="239" t="s">
        <v>679</v>
      </c>
      <c r="CT32" s="239" t="s">
        <v>1014</v>
      </c>
      <c r="CU32" s="239" t="s">
        <v>64</v>
      </c>
      <c r="CV32" s="239" t="s">
        <v>65</v>
      </c>
      <c r="CW32" s="240" t="s">
        <v>1232</v>
      </c>
      <c r="CX32" s="239" t="s">
        <v>179</v>
      </c>
      <c r="CY32" s="239" t="s">
        <v>845</v>
      </c>
      <c r="CZ32" s="239" t="s">
        <v>192</v>
      </c>
      <c r="DA32" s="240"/>
      <c r="DB32" s="240"/>
      <c r="DC32" s="240"/>
      <c r="DD32" s="240"/>
      <c r="DE32" s="239" t="s">
        <v>46</v>
      </c>
      <c r="DF32" s="239" t="s">
        <v>42</v>
      </c>
      <c r="DG32" s="239" t="s">
        <v>1719</v>
      </c>
      <c r="DH32" s="239"/>
      <c r="DI32" s="239" t="s">
        <v>136</v>
      </c>
      <c r="DJ32" s="239" t="s">
        <v>275</v>
      </c>
      <c r="DK32" s="239" t="s">
        <v>66</v>
      </c>
      <c r="DL32" s="239" t="s">
        <v>44</v>
      </c>
      <c r="DM32" s="239" t="s">
        <v>63</v>
      </c>
      <c r="DN32" s="239" t="s">
        <v>113</v>
      </c>
      <c r="DO32" s="239" t="s">
        <v>268</v>
      </c>
      <c r="DP32" s="239" t="s">
        <v>101</v>
      </c>
      <c r="DQ32" s="239" t="s">
        <v>269</v>
      </c>
      <c r="DR32" s="239" t="s">
        <v>590</v>
      </c>
      <c r="DS32" s="239" t="s">
        <v>599</v>
      </c>
      <c r="DT32" s="239" t="s">
        <v>24</v>
      </c>
      <c r="DU32" s="239" t="s">
        <v>26</v>
      </c>
      <c r="DV32" s="239" t="s">
        <v>28</v>
      </c>
      <c r="DW32" s="239" t="s">
        <v>25</v>
      </c>
      <c r="DX32" s="239" t="s">
        <v>27</v>
      </c>
      <c r="DY32" s="239" t="s">
        <v>29</v>
      </c>
      <c r="DZ32" s="239" t="s">
        <v>488</v>
      </c>
      <c r="EA32" s="239" t="s">
        <v>598</v>
      </c>
      <c r="EB32" s="239" t="s">
        <v>489</v>
      </c>
      <c r="EC32" s="239" t="s">
        <v>506</v>
      </c>
      <c r="ED32" s="239" t="s">
        <v>507</v>
      </c>
      <c r="EE32" s="239" t="s">
        <v>508</v>
      </c>
      <c r="EF32" s="239" t="s">
        <v>681</v>
      </c>
      <c r="EG32" s="239" t="s">
        <v>682</v>
      </c>
      <c r="EH32" s="239" t="s">
        <v>30</v>
      </c>
      <c r="EI32" s="239" t="s">
        <v>32</v>
      </c>
      <c r="EJ32" s="239" t="s">
        <v>33</v>
      </c>
      <c r="EK32" s="239" t="s">
        <v>270</v>
      </c>
      <c r="EL32" s="239"/>
      <c r="EM32" s="239" t="s">
        <v>271</v>
      </c>
      <c r="EN32" s="239" t="s">
        <v>277</v>
      </c>
      <c r="EO32" s="239"/>
      <c r="EP32" s="239"/>
      <c r="EQ32" s="239"/>
      <c r="ER32" s="239"/>
      <c r="ES32" s="239"/>
      <c r="ET32" s="239"/>
      <c r="EU32" s="239" t="s">
        <v>1055</v>
      </c>
      <c r="EV32" s="239" t="s">
        <v>815</v>
      </c>
      <c r="EW32" s="239" t="s">
        <v>1070</v>
      </c>
      <c r="EX32" s="239"/>
      <c r="EY32" s="239" t="s">
        <v>281</v>
      </c>
      <c r="EZ32" s="239" t="s">
        <v>282</v>
      </c>
      <c r="FA32" s="239" t="s">
        <v>814</v>
      </c>
      <c r="FB32" s="239" t="s">
        <v>284</v>
      </c>
      <c r="FC32" s="239" t="s">
        <v>216</v>
      </c>
      <c r="FD32" s="239" t="s">
        <v>283</v>
      </c>
      <c r="FE32" s="239" t="s">
        <v>230</v>
      </c>
      <c r="FF32" s="239" t="s">
        <v>328</v>
      </c>
      <c r="FG32" s="239" t="s">
        <v>436</v>
      </c>
      <c r="FH32" s="239" t="s">
        <v>816</v>
      </c>
      <c r="FI32" s="239" t="s">
        <v>394</v>
      </c>
      <c r="FJ32" s="239" t="s">
        <v>327</v>
      </c>
      <c r="FK32" s="239" t="s">
        <v>817</v>
      </c>
      <c r="FL32" s="239" t="s">
        <v>402</v>
      </c>
      <c r="FM32" s="239" t="s">
        <v>818</v>
      </c>
      <c r="FN32" s="239"/>
      <c r="FO32" s="239" t="s">
        <v>866</v>
      </c>
      <c r="FP32" s="239"/>
      <c r="FQ32" s="239"/>
      <c r="FR32" s="239"/>
      <c r="FS32" s="239"/>
      <c r="FT32" s="239"/>
      <c r="FU32" s="239" t="s">
        <v>257</v>
      </c>
      <c r="FV32" s="239" t="s">
        <v>194</v>
      </c>
      <c r="FW32" s="239" t="s">
        <v>819</v>
      </c>
      <c r="FX32" s="239" t="s">
        <v>407</v>
      </c>
      <c r="FY32" s="239" t="s">
        <v>413</v>
      </c>
      <c r="FZ32" s="239" t="s">
        <v>820</v>
      </c>
      <c r="GA32" s="239" t="s">
        <v>417</v>
      </c>
      <c r="GB32" s="239" t="s">
        <v>421</v>
      </c>
      <c r="GC32" s="239" t="s">
        <v>821</v>
      </c>
      <c r="GD32" s="239" t="s">
        <v>822</v>
      </c>
      <c r="GE32" s="239" t="s">
        <v>425</v>
      </c>
      <c r="GF32" s="239" t="s">
        <v>823</v>
      </c>
      <c r="GG32" s="239" t="s">
        <v>420</v>
      </c>
      <c r="GH32" s="239" t="s">
        <v>398</v>
      </c>
      <c r="GI32" s="239" t="s">
        <v>1196</v>
      </c>
      <c r="GJ32" s="239" t="s">
        <v>1197</v>
      </c>
      <c r="GK32" s="239" t="s">
        <v>1198</v>
      </c>
      <c r="GL32" s="239" t="s">
        <v>1199</v>
      </c>
      <c r="GM32" s="410" t="s">
        <v>1760</v>
      </c>
      <c r="GN32" s="246"/>
      <c r="GO32" s="246" t="s">
        <v>1761</v>
      </c>
      <c r="GP32" s="246" t="s">
        <v>227</v>
      </c>
      <c r="GQ32" s="240" t="s">
        <v>1247</v>
      </c>
      <c r="GR32" s="239" t="s">
        <v>2316</v>
      </c>
      <c r="GS32" s="239"/>
      <c r="GT32" s="239" t="s">
        <v>1248</v>
      </c>
      <c r="GU32" s="239" t="s">
        <v>1249</v>
      </c>
      <c r="GV32" s="239" t="s">
        <v>1762</v>
      </c>
      <c r="GW32" s="239" t="s">
        <v>493</v>
      </c>
      <c r="GX32" s="239" t="s">
        <v>627</v>
      </c>
      <c r="GY32" s="240"/>
      <c r="GZ32" s="239" t="s">
        <v>289</v>
      </c>
      <c r="HA32" s="239" t="s">
        <v>1250</v>
      </c>
      <c r="HB32" s="239"/>
      <c r="HC32" s="239" t="s">
        <v>510</v>
      </c>
      <c r="HD32" s="239" t="s">
        <v>1251</v>
      </c>
      <c r="HE32" s="239" t="s">
        <v>1252</v>
      </c>
      <c r="HF32" s="239"/>
      <c r="HG32" s="239"/>
      <c r="HH32" s="240" t="s">
        <v>514</v>
      </c>
      <c r="HI32" s="240"/>
      <c r="HJ32" s="239" t="s">
        <v>515</v>
      </c>
      <c r="HK32" s="240" t="s">
        <v>516</v>
      </c>
      <c r="HL32" s="240" t="s">
        <v>518</v>
      </c>
      <c r="HM32" s="240"/>
      <c r="HN32" s="239" t="s">
        <v>522</v>
      </c>
      <c r="HO32" s="239"/>
      <c r="HP32" s="240" t="s">
        <v>526</v>
      </c>
      <c r="HQ32" s="240"/>
      <c r="HR32" s="240"/>
      <c r="HS32" s="239" t="s">
        <v>528</v>
      </c>
      <c r="HT32" s="239" t="s">
        <v>182</v>
      </c>
      <c r="HU32" s="240"/>
      <c r="HV32" s="239" t="s">
        <v>532</v>
      </c>
      <c r="HW32" s="240"/>
      <c r="HX32" s="239" t="s">
        <v>533</v>
      </c>
      <c r="HY32" s="240"/>
      <c r="HZ32" s="239" t="s">
        <v>534</v>
      </c>
      <c r="IA32" s="239" t="s">
        <v>497</v>
      </c>
      <c r="IB32" s="239" t="s">
        <v>505</v>
      </c>
      <c r="IC32" s="239"/>
      <c r="ID32" s="239"/>
      <c r="IE32" s="239"/>
      <c r="IF32" s="239" t="s">
        <v>501</v>
      </c>
      <c r="IG32" s="239" t="s">
        <v>1253</v>
      </c>
      <c r="IH32" s="240" t="s">
        <v>1254</v>
      </c>
      <c r="II32" s="240" t="s">
        <v>1255</v>
      </c>
      <c r="IJ32" s="240"/>
      <c r="IK32" s="239"/>
      <c r="IL32" s="239"/>
      <c r="IM32" s="239"/>
      <c r="IN32" s="239"/>
      <c r="IO32" s="239"/>
      <c r="IP32" s="239"/>
      <c r="IQ32" s="239"/>
      <c r="IR32" s="239"/>
      <c r="IS32" s="239"/>
      <c r="IT32" s="239"/>
      <c r="IU32" s="239"/>
      <c r="IV32" s="239"/>
      <c r="IW32" s="239"/>
      <c r="IX32" s="239"/>
      <c r="IY32" s="239"/>
      <c r="IZ32" s="239"/>
      <c r="JA32" s="239"/>
      <c r="JB32" s="239"/>
      <c r="JC32" s="239"/>
      <c r="JD32" s="239"/>
      <c r="JE32" s="239"/>
      <c r="JF32" s="239"/>
      <c r="JG32" s="239"/>
      <c r="JH32" s="239"/>
      <c r="JI32" s="239"/>
      <c r="JJ32" s="239"/>
      <c r="JK32" s="239"/>
      <c r="JL32" s="239"/>
      <c r="JM32" s="239"/>
      <c r="JN32" s="410"/>
      <c r="JO32" s="410"/>
      <c r="JP32" s="239"/>
      <c r="JQ32" s="239"/>
      <c r="JR32" s="239"/>
      <c r="JS32" s="239"/>
      <c r="JT32" s="239"/>
      <c r="JU32" s="239"/>
      <c r="JV32" s="239"/>
      <c r="JW32" s="239"/>
      <c r="JX32" s="239"/>
      <c r="JY32" s="239"/>
      <c r="JZ32" s="239"/>
      <c r="KA32" s="239"/>
      <c r="KB32" s="239"/>
      <c r="KC32" s="239"/>
      <c r="KD32" s="239"/>
      <c r="KE32" s="239"/>
      <c r="KF32" s="239"/>
      <c r="KG32" s="239"/>
      <c r="KH32" s="239"/>
      <c r="KI32" s="239"/>
      <c r="KJ32" s="239"/>
      <c r="KK32" s="239"/>
      <c r="KL32" s="239"/>
      <c r="KM32" s="239"/>
      <c r="KN32" s="239"/>
      <c r="KO32" s="239"/>
      <c r="KP32" s="239"/>
      <c r="KQ32" s="239"/>
      <c r="KR32" s="239"/>
      <c r="KS32" s="239"/>
      <c r="KT32" s="239"/>
      <c r="KU32" s="239"/>
      <c r="KV32" s="239"/>
      <c r="KW32" s="239"/>
      <c r="KX32" s="239"/>
      <c r="KY32" s="239"/>
      <c r="KZ32" s="239"/>
      <c r="LA32" s="239"/>
      <c r="LB32" s="239"/>
      <c r="LC32" s="239"/>
      <c r="LD32" s="239"/>
      <c r="LE32" s="239"/>
      <c r="LF32" s="239"/>
      <c r="LG32" s="239"/>
      <c r="LH32" s="239"/>
      <c r="LI32" s="239"/>
      <c r="LJ32" s="239"/>
      <c r="LK32" s="239"/>
      <c r="LL32" s="239"/>
      <c r="LM32" s="239"/>
      <c r="LN32" s="243" t="s">
        <v>330</v>
      </c>
      <c r="LO32" s="239"/>
      <c r="LP32" s="239"/>
      <c r="LQ32" s="239"/>
      <c r="LR32" s="239"/>
      <c r="LS32" s="239"/>
      <c r="LT32" s="239"/>
      <c r="LU32" s="239"/>
      <c r="LV32" s="239"/>
      <c r="LW32" s="239"/>
      <c r="LX32" s="239"/>
      <c r="LY32" s="239"/>
      <c r="LZ32" s="239"/>
      <c r="MA32" s="239"/>
      <c r="MB32" s="239"/>
      <c r="MC32" s="239"/>
      <c r="MD32" s="239"/>
      <c r="ME32" s="239"/>
      <c r="MF32" s="239"/>
      <c r="MG32" s="239"/>
      <c r="MH32" s="239"/>
      <c r="MI32" s="239"/>
      <c r="MJ32" s="239"/>
      <c r="MK32" s="239"/>
      <c r="ML32" s="239"/>
      <c r="MM32" s="239" t="s">
        <v>1256</v>
      </c>
      <c r="MN32" s="239" t="s">
        <v>1257</v>
      </c>
      <c r="MO32" s="239"/>
      <c r="MP32" s="239" t="s">
        <v>1258</v>
      </c>
      <c r="MQ32" s="239"/>
      <c r="MR32" s="239"/>
      <c r="MS32" s="239" t="s">
        <v>1259</v>
      </c>
      <c r="MT32" s="239"/>
      <c r="MU32" s="239"/>
      <c r="MV32" s="239"/>
      <c r="MW32" s="239" t="s">
        <v>1261</v>
      </c>
      <c r="MX32" s="239"/>
      <c r="MY32" s="239"/>
      <c r="MZ32" s="239"/>
      <c r="NA32" s="239"/>
      <c r="NB32" s="239"/>
      <c r="NC32" s="239"/>
      <c r="ND32" s="239"/>
      <c r="NE32" s="239"/>
      <c r="NF32" s="239" t="s">
        <v>94</v>
      </c>
      <c r="NG32" s="239"/>
      <c r="NH32" s="239" t="s">
        <v>734</v>
      </c>
      <c r="NI32" s="239"/>
      <c r="NJ32" s="239" t="s">
        <v>91</v>
      </c>
      <c r="NK32" s="239"/>
      <c r="NL32" s="239" t="s">
        <v>1685</v>
      </c>
      <c r="NM32" s="239" t="s">
        <v>742</v>
      </c>
      <c r="NN32" s="239"/>
      <c r="NO32" s="239" t="s">
        <v>743</v>
      </c>
      <c r="NP32" s="239" t="s">
        <v>92</v>
      </c>
      <c r="NQ32" s="239"/>
      <c r="NR32" s="239"/>
      <c r="NS32" s="239"/>
      <c r="NT32" s="239"/>
      <c r="NU32" s="239"/>
      <c r="NV32" s="239"/>
      <c r="NW32" s="239"/>
      <c r="NX32" s="239"/>
      <c r="NY32" s="239"/>
      <c r="NZ32" s="239"/>
      <c r="OA32" s="239"/>
      <c r="OB32" s="239"/>
      <c r="OC32" s="239"/>
      <c r="OD32" s="239"/>
      <c r="OE32" s="239"/>
      <c r="OF32" s="239"/>
      <c r="OG32" s="239"/>
      <c r="OH32" s="239"/>
      <c r="OI32" s="239"/>
      <c r="OJ32" s="239"/>
      <c r="OK32" s="239"/>
      <c r="OL32" s="239"/>
      <c r="OM32" s="239"/>
      <c r="ON32" s="239"/>
      <c r="OO32" s="239"/>
      <c r="OP32" s="239"/>
      <c r="OQ32" s="239"/>
      <c r="OR32" s="239"/>
      <c r="OS32" s="239"/>
      <c r="OT32" s="239"/>
      <c r="OU32" s="239"/>
      <c r="OV32" s="239"/>
      <c r="OW32" s="239"/>
      <c r="OX32" s="239"/>
      <c r="OY32" s="239"/>
      <c r="OZ32" s="239"/>
      <c r="PA32" s="239"/>
      <c r="PB32" s="239"/>
      <c r="PC32" s="239"/>
      <c r="PD32" s="239"/>
      <c r="PE32" s="239"/>
      <c r="PF32" s="239"/>
      <c r="PG32" s="239"/>
      <c r="PH32" s="239"/>
      <c r="PI32" s="239"/>
      <c r="PJ32" s="239"/>
      <c r="PK32" s="239"/>
      <c r="PL32" s="239"/>
      <c r="PM32" s="239"/>
      <c r="PN32" s="239"/>
      <c r="PO32" s="239"/>
      <c r="PP32" s="239"/>
      <c r="PQ32" s="239"/>
      <c r="PR32" s="239"/>
      <c r="PS32" s="239"/>
      <c r="PT32" s="239"/>
      <c r="PU32" s="239"/>
      <c r="PV32" s="239"/>
      <c r="PW32" s="239"/>
      <c r="PX32" s="239"/>
      <c r="PY32" s="239"/>
      <c r="PZ32" s="239" t="s">
        <v>1686</v>
      </c>
      <c r="QA32" s="239"/>
      <c r="QB32" s="239"/>
      <c r="QC32" s="239"/>
      <c r="QD32" s="239"/>
      <c r="QE32" s="239"/>
      <c r="QF32" s="239"/>
      <c r="QG32" s="239"/>
      <c r="QH32" s="239" t="s">
        <v>468</v>
      </c>
      <c r="QI32" s="239"/>
      <c r="QJ32" s="239"/>
      <c r="QK32" s="239"/>
      <c r="QL32" s="239"/>
      <c r="QM32" s="239"/>
      <c r="QN32" s="239"/>
      <c r="QO32" s="239"/>
      <c r="QP32" s="239"/>
      <c r="QQ32" s="239"/>
      <c r="QR32" s="239"/>
      <c r="QS32" s="239"/>
      <c r="QT32" s="239"/>
      <c r="QU32" s="239"/>
      <c r="QV32" s="239"/>
      <c r="QW32" s="239"/>
      <c r="QX32" s="239"/>
      <c r="QY32" s="239"/>
      <c r="QZ32" s="239"/>
      <c r="RA32" s="239"/>
      <c r="RB32" s="239"/>
      <c r="RC32" s="239"/>
      <c r="RD32" s="239"/>
      <c r="RE32" s="239"/>
      <c r="RF32" s="239"/>
      <c r="RG32" s="239"/>
      <c r="RH32" s="239"/>
      <c r="RI32" s="239"/>
      <c r="RJ32" s="239"/>
      <c r="RK32" s="239"/>
      <c r="RL32" s="239"/>
      <c r="RM32" s="239"/>
      <c r="RN32" s="239"/>
      <c r="RO32" s="239"/>
      <c r="RP32" s="239"/>
      <c r="RQ32" s="239"/>
      <c r="RR32" s="239"/>
      <c r="RS32" s="239"/>
      <c r="RT32" s="239"/>
      <c r="RU32" s="239"/>
      <c r="RV32" s="239"/>
      <c r="RW32" s="239"/>
      <c r="RX32" s="239" t="s">
        <v>1262</v>
      </c>
      <c r="RY32" s="412" t="s">
        <v>1074</v>
      </c>
      <c r="RZ32" s="239"/>
      <c r="SA32" s="239"/>
      <c r="SB32" s="239"/>
      <c r="SC32" s="239"/>
      <c r="SD32" s="239" t="s">
        <v>557</v>
      </c>
      <c r="SE32" s="239"/>
      <c r="SF32" s="239"/>
      <c r="SG32" s="239"/>
      <c r="SH32" s="239"/>
      <c r="SI32" s="239"/>
      <c r="SJ32" s="239" t="s">
        <v>559</v>
      </c>
      <c r="SK32" s="239" t="s">
        <v>561</v>
      </c>
      <c r="SL32" s="239"/>
      <c r="SM32" s="239"/>
      <c r="SN32" s="239"/>
      <c r="SO32" s="239" t="s">
        <v>61</v>
      </c>
      <c r="SP32" s="239"/>
      <c r="SQ32" s="239"/>
      <c r="SR32" s="239"/>
      <c r="SS32" s="239"/>
      <c r="ST32" s="239" t="s">
        <v>125</v>
      </c>
      <c r="SU32" s="239" t="s">
        <v>578</v>
      </c>
      <c r="SV32" s="239"/>
      <c r="SW32" s="239"/>
      <c r="SX32" s="239"/>
      <c r="SY32" s="239"/>
      <c r="SZ32" s="239" t="s">
        <v>473</v>
      </c>
      <c r="TA32" s="239"/>
      <c r="TB32" s="239"/>
      <c r="TC32" s="239"/>
      <c r="TD32" s="239"/>
      <c r="TE32" s="239"/>
      <c r="TF32" s="239"/>
      <c r="TG32" s="239"/>
      <c r="TH32" s="239" t="s">
        <v>351</v>
      </c>
      <c r="TI32" s="239"/>
      <c r="TJ32" s="239"/>
      <c r="TK32" s="239"/>
      <c r="TL32" s="239"/>
      <c r="TM32" s="239"/>
      <c r="TN32" s="239"/>
      <c r="TO32" s="239"/>
      <c r="TP32" s="239"/>
      <c r="TQ32" s="245"/>
      <c r="TR32" s="245"/>
      <c r="TS32" s="245"/>
      <c r="TT32" s="245"/>
      <c r="TU32" s="245"/>
      <c r="TV32" s="245"/>
      <c r="TW32" s="239"/>
      <c r="TX32" s="239"/>
      <c r="TY32" s="239"/>
      <c r="TZ32" s="239"/>
      <c r="UA32" s="239"/>
      <c r="UB32" s="239"/>
      <c r="UC32" s="239"/>
      <c r="UD32" s="239"/>
      <c r="UE32" s="239"/>
      <c r="UF32" s="239"/>
      <c r="UG32" s="239"/>
      <c r="UH32" s="239"/>
      <c r="UI32" s="239"/>
      <c r="UJ32" s="239"/>
      <c r="UK32" s="239"/>
      <c r="UL32" s="239"/>
      <c r="UM32" s="239"/>
      <c r="UN32" s="239"/>
      <c r="UO32" s="239"/>
      <c r="UP32" s="239"/>
      <c r="UQ32" s="239"/>
      <c r="UR32" s="239"/>
      <c r="US32" s="239"/>
      <c r="UT32" s="239"/>
      <c r="UU32" s="239"/>
      <c r="UV32" s="239"/>
      <c r="UW32" s="239"/>
      <c r="UX32" s="239"/>
      <c r="UY32" s="239"/>
      <c r="UZ32" s="239"/>
      <c r="VA32" s="239"/>
      <c r="VB32" s="239" t="s">
        <v>452</v>
      </c>
      <c r="VC32" s="239" t="s">
        <v>116</v>
      </c>
      <c r="VD32" s="239" t="s">
        <v>83</v>
      </c>
      <c r="VE32" s="239" t="s">
        <v>84</v>
      </c>
      <c r="VF32" s="239" t="s">
        <v>85</v>
      </c>
      <c r="VG32" s="239" t="s">
        <v>86</v>
      </c>
      <c r="VH32" s="239"/>
      <c r="VI32" s="239"/>
      <c r="VJ32" s="239"/>
      <c r="VK32" s="239"/>
      <c r="VL32" s="239"/>
      <c r="VM32" s="239"/>
      <c r="VN32" s="239"/>
      <c r="VO32" s="239"/>
      <c r="VP32" s="239"/>
      <c r="VQ32" s="239"/>
      <c r="VR32" s="239"/>
      <c r="VS32" s="239" t="s">
        <v>87</v>
      </c>
      <c r="VT32" s="239" t="s">
        <v>88</v>
      </c>
      <c r="VU32" s="239" t="s">
        <v>89</v>
      </c>
      <c r="VV32" s="239" t="s">
        <v>90</v>
      </c>
      <c r="VW32" s="239" t="s">
        <v>583</v>
      </c>
      <c r="VX32" s="239" t="s">
        <v>358</v>
      </c>
      <c r="VY32" s="239" t="s">
        <v>112</v>
      </c>
      <c r="VZ32" s="239"/>
      <c r="WA32" s="239" t="s">
        <v>1755</v>
      </c>
      <c r="WB32" s="239" t="s">
        <v>582</v>
      </c>
      <c r="WC32" s="239" t="s">
        <v>584</v>
      </c>
      <c r="WD32" s="239" t="s">
        <v>577</v>
      </c>
      <c r="WE32" s="239"/>
      <c r="WF32" s="239" t="s">
        <v>300</v>
      </c>
      <c r="WG32" s="239"/>
      <c r="WH32" s="239" t="s">
        <v>703</v>
      </c>
      <c r="WI32" s="239"/>
      <c r="WJ32" s="239" t="s">
        <v>704</v>
      </c>
      <c r="WK32" s="239" t="s">
        <v>298</v>
      </c>
      <c r="WL32" s="243"/>
      <c r="WM32" s="239" t="s">
        <v>296</v>
      </c>
      <c r="WN32" s="239" t="s">
        <v>297</v>
      </c>
      <c r="WO32" s="239" t="s">
        <v>299</v>
      </c>
      <c r="WP32" s="239" t="s">
        <v>1799</v>
      </c>
      <c r="WQ32" s="239"/>
      <c r="WR32" s="239" t="s">
        <v>1121</v>
      </c>
      <c r="WS32" s="239" t="s">
        <v>1733</v>
      </c>
      <c r="WT32" s="239"/>
      <c r="WU32" s="239"/>
      <c r="WV32" s="239"/>
      <c r="WW32" s="239"/>
      <c r="WX32" s="239"/>
      <c r="WY32" s="239"/>
      <c r="WZ32" s="239"/>
      <c r="XA32" s="239"/>
      <c r="XB32" s="239"/>
      <c r="XC32" s="239" t="s">
        <v>2794</v>
      </c>
      <c r="XD32" s="239" t="s">
        <v>114</v>
      </c>
      <c r="XE32" s="239" t="s">
        <v>1734</v>
      </c>
      <c r="XF32" s="239"/>
      <c r="XG32" s="239"/>
      <c r="XH32" s="239"/>
      <c r="XI32" s="239"/>
      <c r="XJ32" s="239"/>
      <c r="XK32" s="239"/>
      <c r="XL32" s="239"/>
      <c r="XM32" s="239"/>
      <c r="XN32" s="239"/>
      <c r="XO32" s="239"/>
      <c r="XP32" s="239" t="s">
        <v>1777</v>
      </c>
      <c r="XQ32" s="239" t="s">
        <v>204</v>
      </c>
      <c r="XR32" s="239" t="s">
        <v>205</v>
      </c>
      <c r="XS32" s="239" t="s">
        <v>802</v>
      </c>
      <c r="XT32" s="239" t="s">
        <v>801</v>
      </c>
      <c r="XU32" s="239" t="s">
        <v>1100</v>
      </c>
      <c r="XV32" s="239"/>
      <c r="XW32" s="239" t="s">
        <v>800</v>
      </c>
      <c r="XX32" s="239" t="s">
        <v>1102</v>
      </c>
      <c r="XY32" s="239" t="s">
        <v>1103</v>
      </c>
      <c r="XZ32" s="239" t="s">
        <v>1104</v>
      </c>
      <c r="YA32" s="239" t="s">
        <v>1101</v>
      </c>
      <c r="YB32" s="239" t="s">
        <v>1105</v>
      </c>
      <c r="YC32" s="239" t="s">
        <v>1264</v>
      </c>
      <c r="YD32" s="239" t="s">
        <v>1106</v>
      </c>
      <c r="YE32" s="239" t="s">
        <v>1107</v>
      </c>
      <c r="YF32" s="239" t="s">
        <v>1265</v>
      </c>
      <c r="YG32" s="239" t="s">
        <v>1266</v>
      </c>
      <c r="YH32" s="239"/>
      <c r="YI32" s="239"/>
      <c r="YJ32" s="239" t="s">
        <v>1267</v>
      </c>
      <c r="YK32" s="239"/>
      <c r="YL32" s="239" t="s">
        <v>807</v>
      </c>
      <c r="YM32" s="240"/>
      <c r="YN32" s="240"/>
      <c r="YO32" s="239"/>
      <c r="YP32" s="239"/>
      <c r="YQ32" s="239"/>
      <c r="YR32" s="239"/>
      <c r="YS32" s="239"/>
      <c r="YT32" s="240"/>
    </row>
    <row r="33" spans="1:670" s="13" customFormat="1" ht="13.6" x14ac:dyDescent="0.25">
      <c r="A33" s="16"/>
      <c r="B33" s="16"/>
      <c r="C33" s="16"/>
      <c r="D33" s="16"/>
      <c r="E33" s="16"/>
      <c r="F33" s="3"/>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28"/>
      <c r="BP33" s="16"/>
      <c r="BQ33" s="16"/>
      <c r="BR33" s="16"/>
      <c r="BS33" s="16"/>
      <c r="BT33" s="16"/>
      <c r="BU33" s="16"/>
      <c r="BV33" s="16"/>
      <c r="BW33" s="16"/>
      <c r="BX33" s="16"/>
      <c r="BY33" s="16"/>
      <c r="BZ33" s="16"/>
      <c r="CA33" s="16"/>
      <c r="CB33" s="16"/>
      <c r="CC33" s="28"/>
      <c r="CD33" s="16"/>
      <c r="CE33" s="16"/>
      <c r="CF33" s="28"/>
      <c r="CG33" s="28"/>
      <c r="CH33" s="28"/>
      <c r="CI33" s="16"/>
      <c r="CJ33" s="16"/>
      <c r="CK33" s="16"/>
      <c r="CL33" s="16"/>
      <c r="CM33" s="16"/>
      <c r="CN33" s="28"/>
      <c r="CO33" s="16"/>
      <c r="CP33" s="16"/>
      <c r="CQ33" s="17"/>
      <c r="CR33" s="17"/>
      <c r="CS33" s="17"/>
      <c r="CT33" s="17"/>
      <c r="CU33" s="17"/>
      <c r="CV33" s="17"/>
      <c r="CW33" s="124"/>
      <c r="CX33" s="16"/>
      <c r="CY33" s="16"/>
      <c r="CZ33" s="16"/>
      <c r="DA33" s="124"/>
      <c r="DB33" s="124"/>
      <c r="DC33" s="124"/>
      <c r="DD33" s="124"/>
      <c r="DE33" s="16"/>
      <c r="DF33" s="16"/>
      <c r="DG33" s="16"/>
      <c r="DH33" s="16"/>
      <c r="DI33" s="16"/>
      <c r="DJ33" s="16"/>
      <c r="DK33" s="16"/>
      <c r="DL33" s="16"/>
      <c r="DM33" s="16"/>
      <c r="DN33" s="16"/>
      <c r="DO33" s="16"/>
      <c r="DP33" s="16"/>
      <c r="DQ33" s="16"/>
      <c r="DR33" s="28"/>
      <c r="DS33" s="16"/>
      <c r="DZ33" s="16"/>
      <c r="EA33" s="16"/>
      <c r="EB33" s="16"/>
      <c r="EC33" s="16"/>
      <c r="ED33" s="16"/>
      <c r="EE33" s="16"/>
      <c r="EF33" s="16"/>
      <c r="EG33" s="16"/>
      <c r="EH33" s="16"/>
      <c r="EI33" s="16"/>
      <c r="EJ33" s="16"/>
      <c r="EK33" s="16"/>
      <c r="EL33" s="16"/>
      <c r="EM33" s="16"/>
      <c r="EN33" s="16"/>
      <c r="EO33" s="16"/>
      <c r="EP33" s="16"/>
      <c r="EQ33" s="16"/>
      <c r="ER33" s="16"/>
      <c r="ES33" s="16"/>
      <c r="ET33" s="16"/>
      <c r="EU33" s="16"/>
      <c r="EV33" s="16"/>
      <c r="EW33" s="16"/>
      <c r="EX33" s="16"/>
      <c r="EY33" s="17"/>
      <c r="EZ33" s="17"/>
      <c r="FA33" s="17"/>
      <c r="FB33" s="17"/>
      <c r="FC33" s="17"/>
      <c r="FD33" s="17"/>
      <c r="FE33" s="17"/>
      <c r="FF33" s="17"/>
      <c r="FG33" s="16"/>
      <c r="FH33" s="16"/>
      <c r="FI33" s="16"/>
      <c r="FJ33" s="16"/>
      <c r="FK33" s="16"/>
      <c r="FL33" s="16"/>
      <c r="FM33" s="16"/>
      <c r="FN33" s="16"/>
      <c r="FO33" s="16"/>
      <c r="FP33" s="16"/>
      <c r="FQ33" s="16"/>
      <c r="FR33" s="16"/>
      <c r="FS33" s="16"/>
      <c r="FT33" s="16"/>
      <c r="FU33" s="16"/>
      <c r="FV33" s="16"/>
      <c r="FW33" s="16"/>
      <c r="FX33" s="16"/>
      <c r="FY33" s="16"/>
      <c r="FZ33" s="16"/>
      <c r="GA33" s="16"/>
      <c r="GB33" s="16"/>
      <c r="GC33" s="16"/>
      <c r="GD33" s="16"/>
      <c r="GE33" s="16"/>
      <c r="GF33" s="16"/>
      <c r="GG33" s="16"/>
      <c r="GH33" s="16"/>
      <c r="GI33" s="16"/>
      <c r="GJ33" s="16"/>
      <c r="GK33" s="16"/>
      <c r="GL33" s="545"/>
      <c r="GM33" s="545"/>
      <c r="GN33"/>
      <c r="GO33"/>
      <c r="GP33"/>
      <c r="GQ33" s="124"/>
      <c r="GR33" s="17"/>
      <c r="GS33" s="17"/>
      <c r="GT33" s="17"/>
      <c r="GU33" s="17"/>
      <c r="GV33" s="17"/>
      <c r="GW33" s="17"/>
      <c r="GX33" s="16"/>
      <c r="GY33" s="124"/>
      <c r="GZ33" s="16"/>
      <c r="HA33" s="17"/>
      <c r="HB33" s="17"/>
      <c r="HC33" s="17"/>
      <c r="HD33" s="17"/>
      <c r="HE33" s="17"/>
      <c r="HF33" s="17"/>
      <c r="HG33" s="17"/>
      <c r="HH33" s="124"/>
      <c r="HI33" s="124"/>
      <c r="HJ33" s="16"/>
      <c r="HK33" s="124"/>
      <c r="HL33" s="124"/>
      <c r="HM33" s="124"/>
      <c r="HN33" s="16"/>
      <c r="HO33" s="16"/>
      <c r="HP33" s="124"/>
      <c r="HQ33" s="124"/>
      <c r="HR33" s="124"/>
      <c r="HS33" s="16"/>
      <c r="HT33" s="17"/>
      <c r="HU33" s="124"/>
      <c r="HV33" s="16"/>
      <c r="HW33" s="124"/>
      <c r="HX33" s="16"/>
      <c r="HY33" s="124"/>
      <c r="HZ33" s="16"/>
      <c r="IA33" s="16"/>
      <c r="IB33" s="16"/>
      <c r="IC33" s="16"/>
      <c r="ID33" s="16"/>
      <c r="IE33" s="16"/>
      <c r="IF33" s="16"/>
      <c r="IG33" s="16"/>
      <c r="IH33" s="124"/>
      <c r="II33" s="124"/>
      <c r="IJ33" s="124"/>
      <c r="IK33" s="16"/>
      <c r="IL33" s="16"/>
      <c r="IM33" s="16"/>
      <c r="IN33" s="16"/>
      <c r="IO33" s="16"/>
      <c r="IP33" s="16"/>
      <c r="IQ33" s="16"/>
      <c r="IR33" s="16"/>
      <c r="IS33" s="16"/>
      <c r="IT33" s="16"/>
      <c r="IU33" s="16"/>
      <c r="IV33" s="16"/>
      <c r="IW33" s="16"/>
      <c r="IX33" s="16"/>
      <c r="IY33" s="16"/>
      <c r="IZ33" s="16"/>
      <c r="JA33" s="16"/>
      <c r="JB33" s="16"/>
      <c r="JC33" s="16"/>
      <c r="JD33" s="16"/>
      <c r="JE33" s="16"/>
      <c r="JF33" s="16"/>
      <c r="JG33" s="16"/>
      <c r="JH33" s="16"/>
      <c r="JI33" s="16"/>
      <c r="JJ33" s="16"/>
      <c r="JK33" s="16"/>
      <c r="JL33" s="501"/>
      <c r="JM33" s="16"/>
      <c r="JN33" s="545"/>
      <c r="JO33" s="545"/>
      <c r="JP33" s="16"/>
      <c r="JQ33" s="16"/>
      <c r="JR33" s="16"/>
      <c r="JS33" s="16"/>
      <c r="JT33" s="16"/>
      <c r="JU33" s="16"/>
      <c r="JV33" s="16"/>
      <c r="JW33" s="16"/>
      <c r="JX33" s="16"/>
      <c r="JY33" s="16"/>
      <c r="JZ33" s="16"/>
      <c r="KA33" s="16"/>
      <c r="KB33" s="16"/>
      <c r="KC33" s="16"/>
      <c r="KD33" s="16"/>
      <c r="KE33" s="16"/>
      <c r="KF33" s="16"/>
      <c r="KG33" s="16"/>
      <c r="KH33" s="16"/>
      <c r="KI33" s="6"/>
      <c r="KJ33" s="6"/>
      <c r="KK33" s="6"/>
      <c r="KL33" s="6"/>
      <c r="KM33" s="6"/>
      <c r="KN33" s="6"/>
      <c r="KO33" s="6"/>
      <c r="KP33" s="6"/>
      <c r="KQ33" s="16"/>
      <c r="KR33" s="16"/>
      <c r="KS33" s="16"/>
      <c r="KT33" s="16"/>
      <c r="KU33" s="16"/>
      <c r="KV33" s="16"/>
      <c r="KW33" s="16"/>
      <c r="KX33" s="16"/>
      <c r="KY33" s="16"/>
      <c r="KZ33" s="16"/>
      <c r="LA33" s="16"/>
      <c r="LB33" s="16"/>
      <c r="LC33" s="16"/>
      <c r="LD33" s="16"/>
      <c r="LE33" s="16"/>
      <c r="LF33" s="16"/>
      <c r="LG33" s="16"/>
      <c r="LH33" s="16"/>
      <c r="LI33" s="16"/>
      <c r="LJ33" s="16"/>
      <c r="LK33" s="16"/>
      <c r="LL33" s="16"/>
      <c r="LM33" s="16"/>
      <c r="LN33" s="100"/>
      <c r="LO33" s="16"/>
      <c r="LP33" s="16"/>
      <c r="LQ33" s="16"/>
      <c r="LR33" s="16"/>
      <c r="LS33" s="16"/>
      <c r="LT33" s="16"/>
      <c r="LU33" s="463"/>
      <c r="LV33" s="16"/>
      <c r="LW33" s="16"/>
      <c r="LX33" s="16"/>
      <c r="LY33" s="16"/>
      <c r="LZ33" s="16"/>
      <c r="MA33" s="16"/>
      <c r="MB33" s="16"/>
      <c r="MC33" s="16"/>
      <c r="MD33" s="16"/>
      <c r="ME33" s="16"/>
      <c r="MF33" s="16"/>
      <c r="MG33" s="16"/>
      <c r="MH33" s="16"/>
      <c r="MI33" s="16"/>
      <c r="MJ33" s="16"/>
      <c r="MK33" s="16"/>
      <c r="ML33" s="16"/>
      <c r="MM33" s="16"/>
      <c r="MN33" s="16"/>
      <c r="MO33" s="16"/>
      <c r="MP33" s="16"/>
      <c r="MQ33" s="16"/>
      <c r="MR33" s="16"/>
      <c r="MS33" s="16"/>
      <c r="MT33" s="16"/>
      <c r="MU33" s="16"/>
      <c r="MV33" s="16"/>
      <c r="MW33" s="16"/>
      <c r="MX33" s="16"/>
      <c r="MY33" s="16"/>
      <c r="MZ33" s="16"/>
      <c r="NA33" s="16"/>
      <c r="NB33" s="16"/>
      <c r="NC33" s="16"/>
      <c r="ND33" s="16"/>
      <c r="NE33" s="16"/>
      <c r="NF33" s="16"/>
      <c r="NG33" s="16"/>
      <c r="NH33" s="16"/>
      <c r="NI33" s="16"/>
      <c r="NJ33" s="16"/>
      <c r="NK33" s="16"/>
      <c r="NL33" s="16"/>
      <c r="NM33" s="16"/>
      <c r="NN33" s="16"/>
      <c r="NO33" s="16"/>
      <c r="NP33" s="16"/>
      <c r="NQ33" s="16"/>
      <c r="NR33" s="16"/>
      <c r="NS33" s="16"/>
      <c r="NT33" s="16"/>
      <c r="NU33" s="16"/>
      <c r="NV33" s="16"/>
      <c r="NW33" s="16"/>
      <c r="NX33" s="16"/>
      <c r="NY33" s="16"/>
      <c r="NZ33" s="16"/>
      <c r="OA33" s="16"/>
      <c r="OB33" s="16"/>
      <c r="OC33" s="16"/>
      <c r="OD33" s="16"/>
      <c r="OE33" s="16"/>
      <c r="OF33" s="16"/>
      <c r="OG33" s="16"/>
      <c r="OH33" s="16"/>
      <c r="OI33" s="16"/>
      <c r="OJ33" s="16"/>
      <c r="OK33" s="16"/>
      <c r="OL33" s="16"/>
      <c r="OM33" s="16"/>
      <c r="ON33" s="16"/>
      <c r="OO33" s="16"/>
      <c r="OP33" s="16"/>
      <c r="OQ33" s="16"/>
      <c r="OR33" s="16"/>
      <c r="OS33" s="16"/>
      <c r="OT33" s="16"/>
      <c r="OU33" s="16"/>
      <c r="OV33" s="16"/>
      <c r="OW33" s="16"/>
      <c r="OX33" s="16"/>
      <c r="OY33" s="16"/>
      <c r="OZ33" s="16"/>
      <c r="PA33" s="16"/>
      <c r="PB33" s="16"/>
      <c r="PC33" s="16"/>
      <c r="PD33" s="16"/>
      <c r="PE33" s="16"/>
      <c r="PF33" s="16"/>
      <c r="PG33" s="16"/>
      <c r="PH33" s="16"/>
      <c r="PI33" s="16"/>
      <c r="PJ33" s="16"/>
      <c r="PK33" s="16"/>
      <c r="PL33" s="16"/>
      <c r="PM33" s="16"/>
      <c r="PN33" s="16"/>
      <c r="PO33" s="16"/>
      <c r="PP33" s="16"/>
      <c r="PQ33" s="16"/>
      <c r="PR33" s="16"/>
      <c r="PS33" s="16"/>
      <c r="PT33" s="16"/>
      <c r="PU33" s="16"/>
      <c r="PV33" s="16"/>
      <c r="PW33" s="16"/>
      <c r="PX33" s="16"/>
      <c r="PY33" s="16"/>
      <c r="PZ33" s="16"/>
      <c r="QA33" s="16"/>
      <c r="QB33" s="16"/>
      <c r="QC33" s="16"/>
      <c r="QD33" s="16"/>
      <c r="QE33" s="16"/>
      <c r="QF33" s="16"/>
      <c r="QG33" s="16"/>
      <c r="QH33" s="16"/>
      <c r="QI33" s="16"/>
      <c r="QJ33" s="16"/>
      <c r="QK33" s="16"/>
      <c r="QL33" s="16"/>
      <c r="QM33" s="16"/>
      <c r="QN33" s="16"/>
      <c r="QO33" s="16"/>
      <c r="QP33" s="16"/>
      <c r="QQ33" s="16"/>
      <c r="QR33" s="16"/>
      <c r="QS33" s="16"/>
      <c r="QT33" s="16"/>
      <c r="QU33" s="16"/>
      <c r="QV33" s="16"/>
      <c r="QW33" s="16"/>
      <c r="QX33" s="16"/>
      <c r="QY33" s="16"/>
      <c r="QZ33" s="16"/>
      <c r="RA33" s="16"/>
      <c r="RB33" s="16"/>
      <c r="RC33" s="16"/>
      <c r="RD33" s="16"/>
      <c r="RE33" s="16"/>
      <c r="RF33" s="16"/>
      <c r="RG33" s="16"/>
      <c r="RH33" s="16"/>
      <c r="RI33" s="16"/>
      <c r="RJ33" s="16"/>
      <c r="RK33" s="16"/>
      <c r="RL33" s="16"/>
      <c r="RM33" s="16"/>
      <c r="RN33" s="16"/>
      <c r="RO33" s="16"/>
      <c r="RP33" s="16"/>
      <c r="RQ33" s="16"/>
      <c r="RR33" s="16"/>
      <c r="RS33" s="16"/>
      <c r="RT33" s="16"/>
      <c r="RU33" s="16"/>
      <c r="RV33" s="16"/>
      <c r="RW33" s="16"/>
      <c r="RX33" s="16"/>
      <c r="RY33" s="546"/>
      <c r="RZ33" s="16"/>
      <c r="SA33" s="16"/>
      <c r="SB33" s="16"/>
      <c r="SC33" s="16"/>
      <c r="SD33" s="16"/>
      <c r="SE33" s="16"/>
      <c r="SF33" s="16"/>
      <c r="SG33" s="16"/>
      <c r="SH33" s="16"/>
      <c r="SI33" s="16"/>
      <c r="SJ33" s="16"/>
      <c r="SK33" s="16"/>
      <c r="SL33" s="16"/>
      <c r="SM33" s="16"/>
      <c r="SN33" s="16"/>
      <c r="SO33" s="16"/>
      <c r="SP33" s="16"/>
      <c r="SQ33" s="16"/>
      <c r="SR33" s="16"/>
      <c r="SS33" s="16"/>
      <c r="ST33" s="16"/>
      <c r="SU33" s="16"/>
      <c r="SV33" s="16"/>
      <c r="SW33" s="16"/>
      <c r="SX33" s="16"/>
      <c r="SY33" s="16"/>
      <c r="SZ33" s="16"/>
      <c r="TA33" s="16"/>
      <c r="TB33" s="16"/>
      <c r="TC33" s="16"/>
      <c r="TD33" s="16"/>
      <c r="TE33" s="16"/>
      <c r="TF33" s="16"/>
      <c r="TG33" s="16"/>
      <c r="TH33" s="16"/>
      <c r="TI33" s="16"/>
      <c r="TJ33" s="16"/>
      <c r="TK33" s="16"/>
      <c r="TL33" s="16"/>
      <c r="TM33" s="16"/>
      <c r="TN33" s="16"/>
      <c r="TO33" s="16"/>
      <c r="TP33" s="16"/>
      <c r="TQ33" s="17"/>
      <c r="TR33" s="17"/>
      <c r="TS33" s="17"/>
      <c r="TT33" s="17"/>
      <c r="TU33" s="17"/>
      <c r="TV33" s="17"/>
      <c r="TW33" s="16"/>
      <c r="TX33" s="72"/>
      <c r="TY33" s="72"/>
      <c r="TZ33" s="16"/>
      <c r="UA33" s="16"/>
      <c r="UB33" s="16"/>
      <c r="UC33" s="16"/>
      <c r="UD33" s="72"/>
      <c r="UE33" s="16"/>
      <c r="UF33" s="16"/>
      <c r="UG33" s="16"/>
      <c r="UH33" s="16"/>
      <c r="UI33" s="16"/>
      <c r="UJ33" s="16"/>
      <c r="UK33" s="16"/>
      <c r="UL33" s="16"/>
      <c r="UM33" s="16"/>
      <c r="UN33" s="16"/>
      <c r="UO33" s="16"/>
      <c r="UP33" s="16"/>
      <c r="UQ33" s="16"/>
      <c r="UR33" s="16"/>
      <c r="US33" s="16"/>
      <c r="UT33" s="7"/>
      <c r="UU33" s="7"/>
      <c r="UV33" s="27"/>
      <c r="UW33" s="16"/>
      <c r="UX33" s="16"/>
      <c r="UY33" s="16"/>
      <c r="UZ33" s="16"/>
      <c r="VA33" s="16"/>
      <c r="VB33" s="16"/>
      <c r="VC33" s="16"/>
      <c r="VD33" s="16"/>
      <c r="VE33" s="16"/>
      <c r="VF33" s="16"/>
      <c r="VG33" s="16"/>
      <c r="VH33" s="16"/>
      <c r="VI33" s="16"/>
      <c r="VJ33" s="16"/>
      <c r="VK33" s="16"/>
      <c r="VL33" s="16"/>
      <c r="VM33" s="16"/>
      <c r="VN33" s="16"/>
      <c r="VO33" s="16"/>
      <c r="VP33" s="16"/>
      <c r="VQ33" s="16"/>
      <c r="VR33" s="16"/>
      <c r="VS33" s="16"/>
      <c r="VT33" s="16"/>
      <c r="VU33" s="16"/>
      <c r="VV33" s="16"/>
      <c r="VW33" s="16"/>
      <c r="VX33" s="16"/>
      <c r="VY33" s="16"/>
      <c r="VZ33" s="16"/>
      <c r="WA33" s="16"/>
      <c r="WB33" s="16"/>
      <c r="WC33" s="16"/>
      <c r="WD33" s="16"/>
      <c r="WE33" s="16"/>
      <c r="WF33" s="16"/>
      <c r="WG33" s="16"/>
      <c r="WH33" s="16"/>
      <c r="WI33" s="16"/>
      <c r="WJ33" s="16"/>
      <c r="WK33" s="16"/>
      <c r="WL33" s="16"/>
      <c r="WM33" s="16"/>
      <c r="WN33" s="16"/>
      <c r="WO33" s="16"/>
      <c r="WP33" s="16"/>
      <c r="WQ33" s="16"/>
      <c r="WR33" s="16"/>
      <c r="WS33" s="16"/>
      <c r="WT33" s="16"/>
      <c r="WU33" s="16"/>
      <c r="WV33" s="16"/>
      <c r="WW33" s="16"/>
      <c r="WX33" s="16"/>
      <c r="WY33" s="16"/>
      <c r="WZ33" s="16"/>
      <c r="XA33" s="16"/>
      <c r="XB33" s="16"/>
      <c r="XC33" s="16"/>
      <c r="XD33" s="16"/>
      <c r="XE33" s="16"/>
      <c r="XF33" s="16"/>
      <c r="XG33" s="16"/>
      <c r="XH33" s="16"/>
      <c r="XI33" s="16"/>
      <c r="XJ33" s="16"/>
      <c r="XK33" s="16"/>
      <c r="XL33" s="16"/>
      <c r="XM33" s="16"/>
      <c r="XN33" s="16"/>
      <c r="XO33" s="16"/>
      <c r="XP33" s="16"/>
      <c r="XQ33" s="16"/>
      <c r="XR33" s="16"/>
      <c r="XS33" s="16"/>
      <c r="XT33" s="16"/>
      <c r="XU33" s="16"/>
      <c r="XV33" s="16"/>
      <c r="XW33" s="16"/>
      <c r="XX33" s="16"/>
      <c r="XY33" s="16"/>
      <c r="XZ33" s="16"/>
      <c r="YA33" s="16"/>
      <c r="YB33" s="16"/>
      <c r="YC33" s="16"/>
      <c r="YD33" s="16"/>
      <c r="YE33" s="16"/>
      <c r="YF33" s="16"/>
      <c r="YG33" s="16"/>
      <c r="YH33" s="16"/>
      <c r="YI33" s="16"/>
      <c r="YJ33" s="16"/>
      <c r="YK33" s="16"/>
      <c r="YL33" s="16"/>
      <c r="YM33" s="124"/>
      <c r="YN33" s="124"/>
      <c r="YO33" s="16"/>
      <c r="YP33" s="16"/>
      <c r="YQ33" s="16"/>
      <c r="YR33" s="16"/>
      <c r="YS33" s="16"/>
      <c r="YT33" s="124"/>
    </row>
    <row r="34" spans="1:670" s="94" customFormat="1" x14ac:dyDescent="0.2">
      <c r="A34" s="7" t="s">
        <v>12</v>
      </c>
      <c r="B34" s="49" t="s">
        <v>13</v>
      </c>
      <c r="C34" s="49" t="s">
        <v>13</v>
      </c>
      <c r="D34" s="49" t="s">
        <v>13</v>
      </c>
      <c r="E34" s="49" t="s">
        <v>13</v>
      </c>
      <c r="F34" s="49" t="s">
        <v>59</v>
      </c>
      <c r="G34" s="49" t="s">
        <v>31</v>
      </c>
      <c r="H34" s="49" t="s">
        <v>13</v>
      </c>
      <c r="I34" s="49" t="s">
        <v>13</v>
      </c>
      <c r="J34" s="49" t="s">
        <v>13</v>
      </c>
      <c r="K34" s="49" t="s">
        <v>13</v>
      </c>
      <c r="L34" s="49"/>
      <c r="M34" s="49" t="s">
        <v>13</v>
      </c>
      <c r="N34" s="49" t="s">
        <v>13</v>
      </c>
      <c r="O34" s="49" t="s">
        <v>13</v>
      </c>
      <c r="P34" s="49" t="s">
        <v>13</v>
      </c>
      <c r="Q34" s="49" t="s">
        <v>13</v>
      </c>
      <c r="R34" s="49" t="s">
        <v>13</v>
      </c>
      <c r="S34" s="49" t="s">
        <v>13</v>
      </c>
      <c r="T34" s="49" t="s">
        <v>13</v>
      </c>
      <c r="U34" s="49" t="s">
        <v>13</v>
      </c>
      <c r="V34" s="49" t="s">
        <v>13</v>
      </c>
      <c r="W34" s="49" t="s">
        <v>13</v>
      </c>
      <c r="X34" s="49" t="s">
        <v>13</v>
      </c>
      <c r="Y34" s="49" t="s">
        <v>13</v>
      </c>
      <c r="Z34" s="49" t="s">
        <v>13</v>
      </c>
      <c r="AA34" s="49" t="s">
        <v>13</v>
      </c>
      <c r="AB34" s="49" t="s">
        <v>13</v>
      </c>
      <c r="AC34" s="49" t="s">
        <v>59</v>
      </c>
      <c r="AD34" s="49" t="s">
        <v>13</v>
      </c>
      <c r="AE34" s="49" t="s">
        <v>13</v>
      </c>
      <c r="AF34" s="49" t="s">
        <v>13</v>
      </c>
      <c r="AG34" s="49" t="s">
        <v>13</v>
      </c>
      <c r="AH34" s="49" t="s">
        <v>13</v>
      </c>
      <c r="AI34" s="49" t="s">
        <v>13</v>
      </c>
      <c r="AJ34" s="49" t="s">
        <v>13</v>
      </c>
      <c r="AK34" s="49" t="s">
        <v>13</v>
      </c>
      <c r="AL34" s="49" t="s">
        <v>13</v>
      </c>
      <c r="AM34" s="49" t="s">
        <v>13</v>
      </c>
      <c r="AN34" s="49" t="s">
        <v>13</v>
      </c>
      <c r="AO34" s="49" t="s">
        <v>13</v>
      </c>
      <c r="AP34" s="49" t="s">
        <v>13</v>
      </c>
      <c r="AQ34" s="49" t="s">
        <v>13</v>
      </c>
      <c r="AR34" s="49" t="s">
        <v>13</v>
      </c>
      <c r="AS34" s="49" t="s">
        <v>13</v>
      </c>
      <c r="AT34" s="49" t="s">
        <v>13</v>
      </c>
      <c r="AU34" s="49"/>
      <c r="AV34" s="49"/>
      <c r="AW34" s="49"/>
      <c r="AX34" s="49"/>
      <c r="AY34" s="49"/>
      <c r="AZ34" s="49"/>
      <c r="BA34" s="49"/>
      <c r="BB34" s="49"/>
      <c r="BC34" s="49"/>
      <c r="BD34" s="49"/>
      <c r="BE34" s="49"/>
      <c r="BF34" s="49"/>
      <c r="BG34" s="49"/>
      <c r="BH34" s="49"/>
      <c r="BI34" s="49" t="s">
        <v>13</v>
      </c>
      <c r="BJ34" s="49" t="s">
        <v>13</v>
      </c>
      <c r="BK34" s="49" t="s">
        <v>13</v>
      </c>
      <c r="BL34" s="49" t="s">
        <v>13</v>
      </c>
      <c r="BM34" s="49" t="s">
        <v>13</v>
      </c>
      <c r="BN34" s="49" t="s">
        <v>13</v>
      </c>
      <c r="BO34" s="49" t="s">
        <v>13</v>
      </c>
      <c r="BP34" s="49" t="s">
        <v>13</v>
      </c>
      <c r="BQ34" s="49" t="s">
        <v>13</v>
      </c>
      <c r="BR34" s="49" t="s">
        <v>13</v>
      </c>
      <c r="BS34" s="49" t="s">
        <v>13</v>
      </c>
      <c r="BT34" s="49" t="s">
        <v>13</v>
      </c>
      <c r="BU34" s="49" t="s">
        <v>13</v>
      </c>
      <c r="BV34" s="49" t="s">
        <v>13</v>
      </c>
      <c r="BW34" s="49" t="s">
        <v>13</v>
      </c>
      <c r="BX34" s="49" t="s">
        <v>13</v>
      </c>
      <c r="BY34" s="49" t="s">
        <v>20</v>
      </c>
      <c r="BZ34" s="49" t="s">
        <v>13</v>
      </c>
      <c r="CA34" s="49" t="s">
        <v>59</v>
      </c>
      <c r="CB34" s="49" t="s">
        <v>59</v>
      </c>
      <c r="CC34" s="49" t="s">
        <v>13</v>
      </c>
      <c r="CD34" s="49" t="s">
        <v>13</v>
      </c>
      <c r="CE34" s="49" t="s">
        <v>59</v>
      </c>
      <c r="CF34" s="49" t="s">
        <v>59</v>
      </c>
      <c r="CG34" s="49" t="s">
        <v>13</v>
      </c>
      <c r="CH34" s="49" t="s">
        <v>13</v>
      </c>
      <c r="CI34" s="49" t="s">
        <v>59</v>
      </c>
      <c r="CJ34" s="49" t="s">
        <v>13</v>
      </c>
      <c r="CK34" s="49" t="s">
        <v>13</v>
      </c>
      <c r="CL34" s="49" t="s">
        <v>13</v>
      </c>
      <c r="CM34" s="49"/>
      <c r="CN34" s="49" t="s">
        <v>13</v>
      </c>
      <c r="CO34" s="49" t="s">
        <v>13</v>
      </c>
      <c r="CP34" s="49" t="s">
        <v>13</v>
      </c>
      <c r="CQ34" s="49" t="s">
        <v>13</v>
      </c>
      <c r="CR34" s="49" t="s">
        <v>59</v>
      </c>
      <c r="CS34" s="49" t="s">
        <v>13</v>
      </c>
      <c r="CT34" s="49" t="s">
        <v>13</v>
      </c>
      <c r="CU34" s="49" t="s">
        <v>13</v>
      </c>
      <c r="CV34" s="49" t="s">
        <v>13</v>
      </c>
      <c r="CW34" s="122" t="s">
        <v>13</v>
      </c>
      <c r="CX34" s="49" t="s">
        <v>13</v>
      </c>
      <c r="CY34" s="49" t="s">
        <v>13</v>
      </c>
      <c r="CZ34" s="49" t="s">
        <v>13</v>
      </c>
      <c r="DA34" s="122"/>
      <c r="DB34" s="122"/>
      <c r="DC34" s="122"/>
      <c r="DD34" s="122"/>
      <c r="DE34" s="49" t="s">
        <v>13</v>
      </c>
      <c r="DF34" s="49" t="s">
        <v>13</v>
      </c>
      <c r="DG34" s="49" t="s">
        <v>13</v>
      </c>
      <c r="DH34" s="49"/>
      <c r="DI34" s="49" t="s">
        <v>13</v>
      </c>
      <c r="DJ34" s="49" t="s">
        <v>20</v>
      </c>
      <c r="DK34" s="49" t="s">
        <v>20</v>
      </c>
      <c r="DL34" s="49" t="s">
        <v>13</v>
      </c>
      <c r="DM34" s="49" t="s">
        <v>13</v>
      </c>
      <c r="DN34" s="49" t="s">
        <v>13</v>
      </c>
      <c r="DO34" s="49" t="s">
        <v>13</v>
      </c>
      <c r="DP34" s="49" t="s">
        <v>13</v>
      </c>
      <c r="DQ34" s="49" t="s">
        <v>13</v>
      </c>
      <c r="DR34" s="49" t="s">
        <v>13</v>
      </c>
      <c r="DS34" s="49" t="s">
        <v>13</v>
      </c>
      <c r="DT34" s="49" t="s">
        <v>13</v>
      </c>
      <c r="DU34" s="49" t="s">
        <v>13</v>
      </c>
      <c r="DV34" s="49" t="s">
        <v>13</v>
      </c>
      <c r="DW34" s="49" t="s">
        <v>13</v>
      </c>
      <c r="DX34" s="49" t="s">
        <v>13</v>
      </c>
      <c r="DY34" s="49" t="s">
        <v>13</v>
      </c>
      <c r="DZ34" s="49" t="s">
        <v>13</v>
      </c>
      <c r="EA34" s="49" t="s">
        <v>13</v>
      </c>
      <c r="EB34" s="49" t="s">
        <v>13</v>
      </c>
      <c r="EC34" s="49" t="s">
        <v>13</v>
      </c>
      <c r="ED34" s="49" t="s">
        <v>13</v>
      </c>
      <c r="EE34" s="49" t="s">
        <v>13</v>
      </c>
      <c r="EF34" s="49" t="s">
        <v>13</v>
      </c>
      <c r="EG34" s="49" t="s">
        <v>13</v>
      </c>
      <c r="EH34" s="49" t="s">
        <v>59</v>
      </c>
      <c r="EI34" s="49" t="s">
        <v>59</v>
      </c>
      <c r="EJ34" s="49" t="s">
        <v>59</v>
      </c>
      <c r="EK34" s="49" t="s">
        <v>13</v>
      </c>
      <c r="EL34" s="49" t="s">
        <v>59</v>
      </c>
      <c r="EM34" s="49" t="s">
        <v>13</v>
      </c>
      <c r="EN34" s="49" t="s">
        <v>13</v>
      </c>
      <c r="EO34" s="49"/>
      <c r="EP34" s="49"/>
      <c r="EQ34" s="49"/>
      <c r="ER34" s="49"/>
      <c r="ES34" s="49"/>
      <c r="ET34" s="49"/>
      <c r="EU34" s="49" t="s">
        <v>13</v>
      </c>
      <c r="EV34" s="49" t="s">
        <v>13</v>
      </c>
      <c r="EW34" s="49" t="s">
        <v>13</v>
      </c>
      <c r="EX34" s="49" t="s">
        <v>59</v>
      </c>
      <c r="EY34" s="49" t="s">
        <v>20</v>
      </c>
      <c r="EZ34" s="49" t="s">
        <v>20</v>
      </c>
      <c r="FA34" s="49" t="s">
        <v>13</v>
      </c>
      <c r="FB34" s="49" t="s">
        <v>13</v>
      </c>
      <c r="FC34" s="49" t="s">
        <v>13</v>
      </c>
      <c r="FD34" s="49" t="s">
        <v>20</v>
      </c>
      <c r="FE34" s="49" t="s">
        <v>20</v>
      </c>
      <c r="FF34" s="49" t="s">
        <v>20</v>
      </c>
      <c r="FG34" s="49" t="s">
        <v>20</v>
      </c>
      <c r="FH34" s="49" t="s">
        <v>13</v>
      </c>
      <c r="FI34" s="49" t="s">
        <v>20</v>
      </c>
      <c r="FJ34" s="49" t="s">
        <v>20</v>
      </c>
      <c r="FK34" s="49" t="s">
        <v>13</v>
      </c>
      <c r="FL34" s="49" t="s">
        <v>20</v>
      </c>
      <c r="FM34" s="49" t="s">
        <v>13</v>
      </c>
      <c r="FN34" s="49" t="s">
        <v>59</v>
      </c>
      <c r="FO34" s="49" t="s">
        <v>13</v>
      </c>
      <c r="FP34" s="49"/>
      <c r="FQ34" s="49"/>
      <c r="FR34" s="49"/>
      <c r="FS34" s="49"/>
      <c r="FT34" s="49"/>
      <c r="FU34" s="49" t="s">
        <v>13</v>
      </c>
      <c r="FV34" s="49" t="s">
        <v>13</v>
      </c>
      <c r="FW34" s="49" t="s">
        <v>13</v>
      </c>
      <c r="FX34" s="49" t="s">
        <v>20</v>
      </c>
      <c r="FY34" s="49" t="s">
        <v>20</v>
      </c>
      <c r="FZ34" s="49" t="s">
        <v>13</v>
      </c>
      <c r="GA34" s="49" t="s">
        <v>20</v>
      </c>
      <c r="GB34" s="49" t="s">
        <v>20</v>
      </c>
      <c r="GC34" s="49" t="s">
        <v>13</v>
      </c>
      <c r="GD34" s="49" t="s">
        <v>13</v>
      </c>
      <c r="GE34" s="49" t="s">
        <v>20</v>
      </c>
      <c r="GF34" s="49" t="s">
        <v>13</v>
      </c>
      <c r="GG34" s="49" t="s">
        <v>20</v>
      </c>
      <c r="GH34" s="49" t="s">
        <v>20</v>
      </c>
      <c r="GI34" s="49" t="s">
        <v>20</v>
      </c>
      <c r="GJ34" s="49" t="s">
        <v>20</v>
      </c>
      <c r="GK34" s="49" t="s">
        <v>20</v>
      </c>
      <c r="GL34" s="465" t="s">
        <v>20</v>
      </c>
      <c r="GM34" s="465" t="s">
        <v>20</v>
      </c>
      <c r="GN34" s="49" t="s">
        <v>59</v>
      </c>
      <c r="GO34" s="465" t="s">
        <v>20</v>
      </c>
      <c r="GP34" s="122" t="s">
        <v>13</v>
      </c>
      <c r="GQ34" s="122" t="s">
        <v>13</v>
      </c>
      <c r="GR34" s="49" t="s">
        <v>59</v>
      </c>
      <c r="GS34" s="49"/>
      <c r="GT34" s="49" t="s">
        <v>20</v>
      </c>
      <c r="GU34" s="49" t="s">
        <v>20</v>
      </c>
      <c r="GV34" s="49" t="s">
        <v>20</v>
      </c>
      <c r="GW34" s="49" t="s">
        <v>20</v>
      </c>
      <c r="GX34" s="49" t="s">
        <v>20</v>
      </c>
      <c r="GY34" s="122" t="s">
        <v>59</v>
      </c>
      <c r="GZ34" s="49" t="s">
        <v>13</v>
      </c>
      <c r="HA34" s="49" t="s">
        <v>20</v>
      </c>
      <c r="HB34" s="49"/>
      <c r="HC34" s="49" t="s">
        <v>20</v>
      </c>
      <c r="HD34" s="49" t="s">
        <v>20</v>
      </c>
      <c r="HE34" s="49" t="s">
        <v>20</v>
      </c>
      <c r="HF34" s="49" t="s">
        <v>59</v>
      </c>
      <c r="HG34" s="49" t="s">
        <v>59</v>
      </c>
      <c r="HH34" s="122" t="s">
        <v>20</v>
      </c>
      <c r="HI34" s="122" t="s">
        <v>59</v>
      </c>
      <c r="HJ34" s="49" t="s">
        <v>20</v>
      </c>
      <c r="HK34" s="122" t="s">
        <v>20</v>
      </c>
      <c r="HL34" s="122" t="s">
        <v>20</v>
      </c>
      <c r="HM34" s="122" t="s">
        <v>59</v>
      </c>
      <c r="HN34" s="49" t="s">
        <v>20</v>
      </c>
      <c r="HO34" s="94" t="s">
        <v>59</v>
      </c>
      <c r="HP34" s="122" t="s">
        <v>20</v>
      </c>
      <c r="HQ34" s="122" t="s">
        <v>59</v>
      </c>
      <c r="HR34" s="122" t="s">
        <v>59</v>
      </c>
      <c r="HS34" s="49" t="s">
        <v>20</v>
      </c>
      <c r="HT34" s="49" t="s">
        <v>13</v>
      </c>
      <c r="HU34" s="122" t="s">
        <v>59</v>
      </c>
      <c r="HV34" s="49" t="s">
        <v>20</v>
      </c>
      <c r="HW34" s="122" t="s">
        <v>59</v>
      </c>
      <c r="HX34" s="49" t="s">
        <v>20</v>
      </c>
      <c r="HY34" s="122" t="s">
        <v>59</v>
      </c>
      <c r="HZ34" s="49" t="s">
        <v>20</v>
      </c>
      <c r="IA34" s="49" t="s">
        <v>20</v>
      </c>
      <c r="IB34" s="49" t="s">
        <v>20</v>
      </c>
      <c r="IC34" s="49" t="s">
        <v>59</v>
      </c>
      <c r="ID34" s="49" t="s">
        <v>59</v>
      </c>
      <c r="IE34" s="49" t="s">
        <v>59</v>
      </c>
      <c r="IF34" s="49" t="s">
        <v>20</v>
      </c>
      <c r="IG34" s="49" t="s">
        <v>20</v>
      </c>
      <c r="IH34" s="49" t="s">
        <v>20</v>
      </c>
      <c r="II34" s="49" t="s">
        <v>20</v>
      </c>
      <c r="IJ34" s="49"/>
      <c r="IK34" s="465" t="s">
        <v>59</v>
      </c>
      <c r="IL34" s="465" t="s">
        <v>59</v>
      </c>
      <c r="IM34" s="465" t="s">
        <v>59</v>
      </c>
      <c r="IN34" s="465" t="s">
        <v>59</v>
      </c>
      <c r="IO34" s="465" t="s">
        <v>59</v>
      </c>
      <c r="IP34" s="465" t="s">
        <v>59</v>
      </c>
      <c r="IQ34" s="465" t="s">
        <v>59</v>
      </c>
      <c r="IR34" s="465" t="s">
        <v>59</v>
      </c>
      <c r="IS34" s="465"/>
      <c r="IT34" s="465"/>
      <c r="IU34" s="465"/>
      <c r="IV34" s="465" t="s">
        <v>59</v>
      </c>
      <c r="IW34" s="465" t="s">
        <v>59</v>
      </c>
      <c r="IX34" s="465" t="s">
        <v>59</v>
      </c>
      <c r="IY34" s="465" t="s">
        <v>59</v>
      </c>
      <c r="IZ34" s="465" t="s">
        <v>59</v>
      </c>
      <c r="JA34" s="465" t="s">
        <v>59</v>
      </c>
      <c r="JB34" s="465" t="s">
        <v>59</v>
      </c>
      <c r="JC34" s="465" t="s">
        <v>59</v>
      </c>
      <c r="JD34" s="465" t="s">
        <v>59</v>
      </c>
      <c r="JE34" s="465" t="s">
        <v>59</v>
      </c>
      <c r="JF34" s="465" t="s">
        <v>59</v>
      </c>
      <c r="JG34" s="465" t="s">
        <v>59</v>
      </c>
      <c r="JH34" s="465" t="s">
        <v>59</v>
      </c>
      <c r="JI34" s="465" t="s">
        <v>59</v>
      </c>
      <c r="JJ34" s="465" t="s">
        <v>59</v>
      </c>
      <c r="JK34" s="465" t="s">
        <v>59</v>
      </c>
      <c r="JL34" s="49" t="s">
        <v>59</v>
      </c>
      <c r="JM34" s="465" t="s">
        <v>59</v>
      </c>
      <c r="JN34" s="465" t="s">
        <v>59</v>
      </c>
      <c r="JO34" s="465" t="s">
        <v>59</v>
      </c>
      <c r="JP34" s="465" t="s">
        <v>59</v>
      </c>
      <c r="JQ34" s="465" t="s">
        <v>59</v>
      </c>
      <c r="JR34" s="465" t="s">
        <v>59</v>
      </c>
      <c r="JS34" s="465" t="s">
        <v>59</v>
      </c>
      <c r="JT34" s="465" t="s">
        <v>59</v>
      </c>
      <c r="JU34" s="465" t="s">
        <v>59</v>
      </c>
      <c r="JV34" s="465" t="s">
        <v>59</v>
      </c>
      <c r="JW34" s="465" t="s">
        <v>59</v>
      </c>
      <c r="JX34" s="465" t="s">
        <v>59</v>
      </c>
      <c r="JY34" s="465" t="s">
        <v>59</v>
      </c>
      <c r="JZ34" s="465" t="s">
        <v>59</v>
      </c>
      <c r="KA34" s="465" t="s">
        <v>59</v>
      </c>
      <c r="KB34" s="465" t="s">
        <v>59</v>
      </c>
      <c r="KC34" s="465" t="s">
        <v>59</v>
      </c>
      <c r="KD34" s="465" t="s">
        <v>59</v>
      </c>
      <c r="KE34" s="465" t="s">
        <v>59</v>
      </c>
      <c r="KF34" s="465" t="s">
        <v>59</v>
      </c>
      <c r="KG34" s="465" t="s">
        <v>59</v>
      </c>
      <c r="KH34" s="465" t="s">
        <v>59</v>
      </c>
      <c r="KI34" s="465" t="s">
        <v>59</v>
      </c>
      <c r="KJ34" s="465" t="s">
        <v>59</v>
      </c>
      <c r="KK34" s="465" t="s">
        <v>59</v>
      </c>
      <c r="KL34" s="465" t="s">
        <v>59</v>
      </c>
      <c r="KM34" s="465" t="s">
        <v>59</v>
      </c>
      <c r="KN34" s="49" t="s">
        <v>59</v>
      </c>
      <c r="KO34" s="49" t="s">
        <v>59</v>
      </c>
      <c r="KP34" s="49" t="s">
        <v>59</v>
      </c>
      <c r="KQ34" s="465" t="s">
        <v>59</v>
      </c>
      <c r="KR34" s="465" t="s">
        <v>59</v>
      </c>
      <c r="KS34" s="465" t="s">
        <v>59</v>
      </c>
      <c r="KT34" s="465" t="s">
        <v>59</v>
      </c>
      <c r="KU34" s="465" t="s">
        <v>59</v>
      </c>
      <c r="KV34" s="465" t="s">
        <v>59</v>
      </c>
      <c r="KW34" s="465" t="s">
        <v>59</v>
      </c>
      <c r="KX34" s="465" t="s">
        <v>59</v>
      </c>
      <c r="KY34" s="465" t="s">
        <v>59</v>
      </c>
      <c r="KZ34" s="465" t="s">
        <v>59</v>
      </c>
      <c r="LA34" s="465" t="s">
        <v>59</v>
      </c>
      <c r="LB34" s="465" t="s">
        <v>59</v>
      </c>
      <c r="LC34" s="465" t="s">
        <v>59</v>
      </c>
      <c r="LD34" s="465" t="s">
        <v>59</v>
      </c>
      <c r="LE34" s="465" t="s">
        <v>59</v>
      </c>
      <c r="LF34" s="465" t="s">
        <v>59</v>
      </c>
      <c r="LG34" s="465" t="s">
        <v>59</v>
      </c>
      <c r="LH34" s="465" t="s">
        <v>59</v>
      </c>
      <c r="LI34" s="465" t="s">
        <v>59</v>
      </c>
      <c r="LJ34" s="465" t="s">
        <v>59</v>
      </c>
      <c r="LK34" s="465" t="s">
        <v>59</v>
      </c>
      <c r="LL34" s="465" t="s">
        <v>59</v>
      </c>
      <c r="LM34" s="465" t="s">
        <v>59</v>
      </c>
      <c r="LN34" s="101" t="s">
        <v>13</v>
      </c>
      <c r="LO34" s="49" t="s">
        <v>59</v>
      </c>
      <c r="LP34" s="49" t="s">
        <v>59</v>
      </c>
      <c r="LQ34" s="49" t="s">
        <v>59</v>
      </c>
      <c r="LR34" s="49" t="s">
        <v>59</v>
      </c>
      <c r="LS34" s="49" t="s">
        <v>59</v>
      </c>
      <c r="LT34" s="49" t="s">
        <v>59</v>
      </c>
      <c r="LU34" s="49" t="s">
        <v>59</v>
      </c>
      <c r="LV34" s="49" t="s">
        <v>59</v>
      </c>
      <c r="LW34" s="49" t="s">
        <v>59</v>
      </c>
      <c r="LX34" s="49" t="s">
        <v>59</v>
      </c>
      <c r="LY34" s="49" t="s">
        <v>59</v>
      </c>
      <c r="LZ34" s="49" t="s">
        <v>59</v>
      </c>
      <c r="MA34" s="49" t="s">
        <v>59</v>
      </c>
      <c r="MB34" s="49" t="s">
        <v>59</v>
      </c>
      <c r="MC34" s="49" t="s">
        <v>59</v>
      </c>
      <c r="MD34" s="49" t="s">
        <v>59</v>
      </c>
      <c r="ME34" s="49" t="s">
        <v>59</v>
      </c>
      <c r="MF34" s="49" t="s">
        <v>59</v>
      </c>
      <c r="MG34" s="49" t="s">
        <v>59</v>
      </c>
      <c r="MH34" s="49" t="s">
        <v>59</v>
      </c>
      <c r="MI34" s="49" t="s">
        <v>59</v>
      </c>
      <c r="MJ34" s="49" t="s">
        <v>59</v>
      </c>
      <c r="MK34" s="49" t="s">
        <v>59</v>
      </c>
      <c r="ML34" s="49" t="s">
        <v>59</v>
      </c>
      <c r="MM34" s="49" t="s">
        <v>20</v>
      </c>
      <c r="MN34" s="49" t="s">
        <v>20</v>
      </c>
      <c r="MO34" s="49" t="s">
        <v>59</v>
      </c>
      <c r="MP34" s="49" t="s">
        <v>20</v>
      </c>
      <c r="MQ34" s="49" t="s">
        <v>59</v>
      </c>
      <c r="MR34" s="49" t="s">
        <v>59</v>
      </c>
      <c r="MS34" s="49" t="s">
        <v>20</v>
      </c>
      <c r="MT34" s="49" t="s">
        <v>59</v>
      </c>
      <c r="MU34" s="49" t="s">
        <v>59</v>
      </c>
      <c r="MV34" s="49" t="s">
        <v>59</v>
      </c>
      <c r="MW34" s="49" t="s">
        <v>20</v>
      </c>
      <c r="MX34" s="49" t="s">
        <v>59</v>
      </c>
      <c r="MY34" s="49" t="s">
        <v>59</v>
      </c>
      <c r="MZ34" s="49" t="s">
        <v>59</v>
      </c>
      <c r="NA34" s="49" t="s">
        <v>59</v>
      </c>
      <c r="NB34" s="49"/>
      <c r="NC34" s="49"/>
      <c r="ND34" s="49"/>
      <c r="NE34" s="49"/>
      <c r="NF34" s="49" t="s">
        <v>13</v>
      </c>
      <c r="NG34" s="49" t="s">
        <v>59</v>
      </c>
      <c r="NH34" s="49" t="s">
        <v>13</v>
      </c>
      <c r="NI34" s="49" t="s">
        <v>59</v>
      </c>
      <c r="NJ34" s="49" t="s">
        <v>13</v>
      </c>
      <c r="NK34" s="49"/>
      <c r="NL34" s="49" t="s">
        <v>13</v>
      </c>
      <c r="NM34" s="49" t="s">
        <v>13</v>
      </c>
      <c r="NN34" s="49" t="s">
        <v>59</v>
      </c>
      <c r="NO34" s="49" t="s">
        <v>13</v>
      </c>
      <c r="NP34" s="49" t="s">
        <v>13</v>
      </c>
      <c r="NQ34" s="49" t="s">
        <v>59</v>
      </c>
      <c r="NR34" s="49" t="s">
        <v>59</v>
      </c>
      <c r="NS34" s="49" t="s">
        <v>59</v>
      </c>
      <c r="NT34" s="49" t="s">
        <v>59</v>
      </c>
      <c r="NU34" s="49" t="s">
        <v>59</v>
      </c>
      <c r="NV34" s="49" t="s">
        <v>59</v>
      </c>
      <c r="NW34" s="49" t="s">
        <v>59</v>
      </c>
      <c r="NX34" s="49" t="s">
        <v>59</v>
      </c>
      <c r="NY34" s="49" t="s">
        <v>59</v>
      </c>
      <c r="NZ34" s="49" t="s">
        <v>59</v>
      </c>
      <c r="OA34" s="49" t="s">
        <v>59</v>
      </c>
      <c r="OB34" s="49" t="s">
        <v>59</v>
      </c>
      <c r="OC34" s="49" t="s">
        <v>59</v>
      </c>
      <c r="OD34" s="49" t="s">
        <v>59</v>
      </c>
      <c r="OE34" s="49" t="s">
        <v>59</v>
      </c>
      <c r="OF34" s="49" t="s">
        <v>59</v>
      </c>
      <c r="OG34" s="49" t="s">
        <v>59</v>
      </c>
      <c r="OH34" s="49" t="s">
        <v>59</v>
      </c>
      <c r="OI34" s="49" t="s">
        <v>59</v>
      </c>
      <c r="OJ34" s="49" t="s">
        <v>59</v>
      </c>
      <c r="OK34" s="49" t="s">
        <v>59</v>
      </c>
      <c r="OL34" s="49" t="s">
        <v>59</v>
      </c>
      <c r="OM34" s="49" t="s">
        <v>59</v>
      </c>
      <c r="ON34" s="49" t="s">
        <v>59</v>
      </c>
      <c r="OO34" s="49" t="s">
        <v>59</v>
      </c>
      <c r="OP34" s="49" t="s">
        <v>59</v>
      </c>
      <c r="OQ34" s="49" t="s">
        <v>59</v>
      </c>
      <c r="OR34" s="49" t="s">
        <v>59</v>
      </c>
      <c r="OS34" s="49" t="s">
        <v>59</v>
      </c>
      <c r="OT34" s="49" t="s">
        <v>59</v>
      </c>
      <c r="OU34" s="49" t="s">
        <v>59</v>
      </c>
      <c r="OV34" s="49" t="s">
        <v>59</v>
      </c>
      <c r="OW34" s="49" t="s">
        <v>59</v>
      </c>
      <c r="OX34" s="49" t="s">
        <v>59</v>
      </c>
      <c r="OY34" s="49" t="s">
        <v>59</v>
      </c>
      <c r="OZ34" s="49" t="s">
        <v>59</v>
      </c>
      <c r="PA34" s="49" t="s">
        <v>59</v>
      </c>
      <c r="PB34" s="49" t="s">
        <v>59</v>
      </c>
      <c r="PC34" s="49" t="s">
        <v>59</v>
      </c>
      <c r="PD34" s="49" t="s">
        <v>59</v>
      </c>
      <c r="PE34" s="49" t="s">
        <v>59</v>
      </c>
      <c r="PF34" s="49" t="s">
        <v>59</v>
      </c>
      <c r="PG34" s="49" t="s">
        <v>59</v>
      </c>
      <c r="PH34" s="49" t="s">
        <v>59</v>
      </c>
      <c r="PI34" s="49" t="s">
        <v>59</v>
      </c>
      <c r="PJ34" s="49" t="s">
        <v>59</v>
      </c>
      <c r="PK34" s="49" t="s">
        <v>59</v>
      </c>
      <c r="PL34" s="49" t="s">
        <v>59</v>
      </c>
      <c r="PM34" s="49" t="s">
        <v>59</v>
      </c>
      <c r="PN34" s="49" t="s">
        <v>59</v>
      </c>
      <c r="PO34" s="49" t="s">
        <v>59</v>
      </c>
      <c r="PP34" s="49" t="s">
        <v>59</v>
      </c>
      <c r="PQ34" s="49" t="s">
        <v>59</v>
      </c>
      <c r="PR34" s="49" t="s">
        <v>59</v>
      </c>
      <c r="PS34" s="49" t="s">
        <v>59</v>
      </c>
      <c r="PT34" s="49" t="s">
        <v>59</v>
      </c>
      <c r="PU34" s="49" t="s">
        <v>59</v>
      </c>
      <c r="PV34" s="49" t="s">
        <v>59</v>
      </c>
      <c r="PW34" s="49" t="s">
        <v>59</v>
      </c>
      <c r="PX34" s="49"/>
      <c r="PY34" s="49" t="s">
        <v>59</v>
      </c>
      <c r="PZ34" s="49" t="s">
        <v>13</v>
      </c>
      <c r="QA34" s="49" t="s">
        <v>59</v>
      </c>
      <c r="QB34" s="49" t="s">
        <v>59</v>
      </c>
      <c r="QC34" s="49" t="s">
        <v>59</v>
      </c>
      <c r="QD34" s="49" t="s">
        <v>59</v>
      </c>
      <c r="QE34" s="49" t="s">
        <v>59</v>
      </c>
      <c r="QF34" s="49" t="s">
        <v>59</v>
      </c>
      <c r="QG34" s="49" t="s">
        <v>59</v>
      </c>
      <c r="QH34" s="49" t="s">
        <v>20</v>
      </c>
      <c r="QI34" s="49" t="s">
        <v>59</v>
      </c>
      <c r="QJ34" s="49" t="s">
        <v>59</v>
      </c>
      <c r="QK34" s="49" t="s">
        <v>59</v>
      </c>
      <c r="QL34" s="49" t="s">
        <v>59</v>
      </c>
      <c r="QM34" s="49" t="s">
        <v>59</v>
      </c>
      <c r="QN34" s="49" t="s">
        <v>59</v>
      </c>
      <c r="QO34" s="49" t="s">
        <v>59</v>
      </c>
      <c r="QP34" s="49" t="s">
        <v>59</v>
      </c>
      <c r="QQ34" s="49" t="s">
        <v>59</v>
      </c>
      <c r="QR34" s="49" t="s">
        <v>59</v>
      </c>
      <c r="QS34" s="49" t="s">
        <v>59</v>
      </c>
      <c r="QT34" s="49" t="s">
        <v>59</v>
      </c>
      <c r="QU34" s="49" t="s">
        <v>59</v>
      </c>
      <c r="QV34" s="49" t="s">
        <v>59</v>
      </c>
      <c r="QW34" s="49" t="s">
        <v>59</v>
      </c>
      <c r="QX34" s="49" t="s">
        <v>59</v>
      </c>
      <c r="QY34" s="49" t="s">
        <v>59</v>
      </c>
      <c r="QZ34" s="49" t="s">
        <v>59</v>
      </c>
      <c r="RA34" s="49" t="s">
        <v>59</v>
      </c>
      <c r="RB34" s="49" t="s">
        <v>59</v>
      </c>
      <c r="RC34" s="49" t="s">
        <v>59</v>
      </c>
      <c r="RD34" s="49" t="s">
        <v>59</v>
      </c>
      <c r="RE34" s="49" t="s">
        <v>59</v>
      </c>
      <c r="RF34" s="49" t="s">
        <v>59</v>
      </c>
      <c r="RG34" s="49" t="s">
        <v>59</v>
      </c>
      <c r="RH34" s="49" t="s">
        <v>59</v>
      </c>
      <c r="RI34" s="49" t="s">
        <v>59</v>
      </c>
      <c r="RJ34" s="49" t="s">
        <v>59</v>
      </c>
      <c r="RK34" s="49" t="s">
        <v>59</v>
      </c>
      <c r="RL34" s="49" t="s">
        <v>59</v>
      </c>
      <c r="RM34" s="49" t="s">
        <v>59</v>
      </c>
      <c r="RN34" s="49" t="s">
        <v>59</v>
      </c>
      <c r="RO34" s="49" t="s">
        <v>59</v>
      </c>
      <c r="RP34" s="49" t="s">
        <v>59</v>
      </c>
      <c r="RQ34" s="49" t="s">
        <v>59</v>
      </c>
      <c r="RR34" s="49" t="s">
        <v>59</v>
      </c>
      <c r="RS34" s="49" t="s">
        <v>59</v>
      </c>
      <c r="RT34" s="49" t="s">
        <v>59</v>
      </c>
      <c r="RU34" s="49" t="s">
        <v>59</v>
      </c>
      <c r="RV34" s="49" t="s">
        <v>59</v>
      </c>
      <c r="RW34" s="49" t="s">
        <v>59</v>
      </c>
      <c r="RX34" s="49" t="s">
        <v>13</v>
      </c>
      <c r="RY34" s="408" t="s">
        <v>13</v>
      </c>
      <c r="RZ34" s="49" t="s">
        <v>59</v>
      </c>
      <c r="SA34" s="49" t="s">
        <v>59</v>
      </c>
      <c r="SB34" s="49"/>
      <c r="SC34" s="49"/>
      <c r="SD34" s="49" t="s">
        <v>20</v>
      </c>
      <c r="SE34" s="49" t="s">
        <v>59</v>
      </c>
      <c r="SF34" s="49" t="s">
        <v>59</v>
      </c>
      <c r="SG34" s="49" t="s">
        <v>59</v>
      </c>
      <c r="SH34" s="49" t="s">
        <v>59</v>
      </c>
      <c r="SI34" s="49" t="s">
        <v>59</v>
      </c>
      <c r="SJ34" s="49" t="s">
        <v>20</v>
      </c>
      <c r="SK34" s="49" t="s">
        <v>20</v>
      </c>
      <c r="SL34" s="49" t="s">
        <v>59</v>
      </c>
      <c r="SM34" s="49" t="s">
        <v>59</v>
      </c>
      <c r="SN34" s="49" t="s">
        <v>59</v>
      </c>
      <c r="SO34" s="49" t="s">
        <v>20</v>
      </c>
      <c r="SP34" s="49" t="s">
        <v>59</v>
      </c>
      <c r="SQ34" s="49" t="s">
        <v>59</v>
      </c>
      <c r="SR34" s="49" t="s">
        <v>59</v>
      </c>
      <c r="SS34" s="49" t="s">
        <v>59</v>
      </c>
      <c r="ST34" s="49" t="s">
        <v>20</v>
      </c>
      <c r="SU34" s="49" t="s">
        <v>20</v>
      </c>
      <c r="SV34" s="49" t="s">
        <v>59</v>
      </c>
      <c r="SW34" s="49" t="s">
        <v>59</v>
      </c>
      <c r="SX34" s="49" t="s">
        <v>59</v>
      </c>
      <c r="SY34" s="49" t="s">
        <v>59</v>
      </c>
      <c r="SZ34" s="49" t="s">
        <v>20</v>
      </c>
      <c r="TA34" s="49" t="s">
        <v>59</v>
      </c>
      <c r="TB34" s="49" t="s">
        <v>59</v>
      </c>
      <c r="TC34" s="49" t="s">
        <v>59</v>
      </c>
      <c r="TD34" s="49" t="s">
        <v>59</v>
      </c>
      <c r="TE34" s="49" t="s">
        <v>59</v>
      </c>
      <c r="TF34" s="49"/>
      <c r="TG34" s="49" t="s">
        <v>59</v>
      </c>
      <c r="TH34" s="49" t="s">
        <v>13</v>
      </c>
      <c r="TI34" s="49"/>
      <c r="TJ34" s="49"/>
      <c r="TK34" s="49"/>
      <c r="TL34" s="49"/>
      <c r="TM34" s="49"/>
      <c r="TN34" s="93"/>
      <c r="TO34" s="93"/>
      <c r="TP34" s="93"/>
      <c r="TQ34" s="93"/>
      <c r="TR34" s="93"/>
      <c r="TS34" s="93"/>
      <c r="TT34" s="93"/>
      <c r="TU34" s="93"/>
      <c r="TV34" s="93"/>
      <c r="TW34" s="49"/>
      <c r="TX34" s="49"/>
      <c r="TY34" s="49"/>
      <c r="TZ34" s="72"/>
      <c r="UA34" s="72"/>
      <c r="UB34" s="72"/>
      <c r="UC34" s="72"/>
      <c r="UD34" s="49"/>
      <c r="UE34" s="49"/>
      <c r="UF34" s="49"/>
      <c r="UG34" s="49"/>
      <c r="UH34" s="49"/>
      <c r="UI34" s="49"/>
      <c r="UJ34" s="49"/>
      <c r="UK34" s="49"/>
      <c r="UL34" s="49"/>
      <c r="UM34" s="49"/>
      <c r="UN34" s="49"/>
      <c r="UO34" s="49"/>
      <c r="UP34" s="49"/>
      <c r="UQ34" s="49"/>
      <c r="UR34" s="49"/>
      <c r="US34" s="49"/>
      <c r="UT34" s="49"/>
      <c r="UU34" s="49"/>
      <c r="UV34" s="49"/>
      <c r="UW34" s="49"/>
      <c r="UX34" s="49"/>
      <c r="UY34" s="49"/>
      <c r="UZ34" s="49"/>
      <c r="VA34" s="49"/>
      <c r="VB34" s="49" t="s">
        <v>20</v>
      </c>
      <c r="VC34" s="49" t="s">
        <v>13</v>
      </c>
      <c r="VD34" s="49" t="s">
        <v>13</v>
      </c>
      <c r="VE34" s="49" t="s">
        <v>13</v>
      </c>
      <c r="VF34" s="49" t="s">
        <v>13</v>
      </c>
      <c r="VG34" s="49" t="s">
        <v>13</v>
      </c>
      <c r="VH34" s="49" t="s">
        <v>59</v>
      </c>
      <c r="VI34" s="49" t="s">
        <v>59</v>
      </c>
      <c r="VJ34" s="49" t="s">
        <v>59</v>
      </c>
      <c r="VK34" s="49" t="s">
        <v>59</v>
      </c>
      <c r="VL34" s="49" t="s">
        <v>59</v>
      </c>
      <c r="VM34" s="49" t="s">
        <v>59</v>
      </c>
      <c r="VN34" s="49" t="s">
        <v>59</v>
      </c>
      <c r="VO34" s="49" t="s">
        <v>59</v>
      </c>
      <c r="VP34" s="49" t="s">
        <v>59</v>
      </c>
      <c r="VQ34" s="49" t="s">
        <v>59</v>
      </c>
      <c r="VR34" s="49" t="s">
        <v>59</v>
      </c>
      <c r="VS34" s="49" t="s">
        <v>20</v>
      </c>
      <c r="VT34" s="49" t="s">
        <v>20</v>
      </c>
      <c r="VU34" s="49" t="s">
        <v>20</v>
      </c>
      <c r="VV34" s="49" t="s">
        <v>20</v>
      </c>
      <c r="VW34" s="49" t="s">
        <v>20</v>
      </c>
      <c r="VX34" s="49" t="s">
        <v>59</v>
      </c>
      <c r="VY34" s="49" t="s">
        <v>20</v>
      </c>
      <c r="VZ34" s="49"/>
      <c r="WA34" s="49" t="s">
        <v>13</v>
      </c>
      <c r="WB34" s="49" t="s">
        <v>20</v>
      </c>
      <c r="WC34" s="49" t="s">
        <v>20</v>
      </c>
      <c r="WD34" s="49" t="s">
        <v>20</v>
      </c>
      <c r="WE34" s="49" t="s">
        <v>59</v>
      </c>
      <c r="WF34" s="49" t="s">
        <v>20</v>
      </c>
      <c r="WG34" s="49" t="s">
        <v>59</v>
      </c>
      <c r="WH34" s="49" t="s">
        <v>20</v>
      </c>
      <c r="WI34" s="49" t="s">
        <v>59</v>
      </c>
      <c r="WJ34" s="49" t="s">
        <v>20</v>
      </c>
      <c r="WK34" s="49" t="s">
        <v>20</v>
      </c>
      <c r="WL34" s="101" t="s">
        <v>59</v>
      </c>
      <c r="WM34" s="49" t="s">
        <v>20</v>
      </c>
      <c r="WN34" s="49" t="s">
        <v>20</v>
      </c>
      <c r="WO34" s="49" t="s">
        <v>20</v>
      </c>
      <c r="WP34" s="49" t="s">
        <v>20</v>
      </c>
      <c r="WQ34" s="49" t="s">
        <v>59</v>
      </c>
      <c r="WR34" s="49" t="s">
        <v>20</v>
      </c>
      <c r="WS34" s="49" t="s">
        <v>13</v>
      </c>
      <c r="WT34" s="49" t="s">
        <v>59</v>
      </c>
      <c r="WU34" s="49" t="s">
        <v>59</v>
      </c>
      <c r="WV34" s="49" t="s">
        <v>59</v>
      </c>
      <c r="WW34" s="49" t="s">
        <v>59</v>
      </c>
      <c r="WX34" s="49" t="s">
        <v>59</v>
      </c>
      <c r="WY34" s="49" t="s">
        <v>59</v>
      </c>
      <c r="WZ34" s="49" t="s">
        <v>59</v>
      </c>
      <c r="XA34" s="49" t="s">
        <v>59</v>
      </c>
      <c r="XB34" s="49" t="s">
        <v>59</v>
      </c>
      <c r="XC34" s="49" t="s">
        <v>13</v>
      </c>
      <c r="XD34" s="49" t="s">
        <v>20</v>
      </c>
      <c r="XE34" s="49" t="s">
        <v>13</v>
      </c>
      <c r="XF34" s="49"/>
      <c r="XG34" s="49"/>
      <c r="XH34" s="49"/>
      <c r="XI34" s="49"/>
      <c r="XJ34" s="49"/>
      <c r="XK34" s="49"/>
      <c r="XL34" s="49"/>
      <c r="XM34" s="49"/>
      <c r="XN34" s="49"/>
      <c r="XO34" s="49"/>
      <c r="XP34" s="49" t="s">
        <v>13</v>
      </c>
      <c r="XQ34" s="49" t="s">
        <v>20</v>
      </c>
      <c r="XR34" s="49" t="s">
        <v>20</v>
      </c>
      <c r="XS34" s="49" t="s">
        <v>13</v>
      </c>
      <c r="XT34" s="49" t="s">
        <v>13</v>
      </c>
      <c r="XU34" s="49" t="s">
        <v>13</v>
      </c>
      <c r="XV34" s="49" t="s">
        <v>59</v>
      </c>
      <c r="XW34" s="49" t="s">
        <v>13</v>
      </c>
      <c r="XX34" s="49" t="s">
        <v>13</v>
      </c>
      <c r="XY34" s="49" t="s">
        <v>13</v>
      </c>
      <c r="XZ34" s="49" t="s">
        <v>13</v>
      </c>
      <c r="YA34" s="49" t="s">
        <v>13</v>
      </c>
      <c r="YB34" s="49" t="s">
        <v>13</v>
      </c>
      <c r="YC34" s="49" t="s">
        <v>20</v>
      </c>
      <c r="YD34" s="49" t="s">
        <v>59</v>
      </c>
      <c r="YE34" s="49" t="s">
        <v>59</v>
      </c>
      <c r="YF34" s="49" t="s">
        <v>20</v>
      </c>
      <c r="YG34" s="49" t="s">
        <v>20</v>
      </c>
      <c r="YH34" s="49" t="s">
        <v>59</v>
      </c>
      <c r="YI34" s="49" t="s">
        <v>59</v>
      </c>
      <c r="YJ34" s="49" t="s">
        <v>20</v>
      </c>
      <c r="YK34" s="49" t="s">
        <v>59</v>
      </c>
      <c r="YL34" s="49" t="s">
        <v>13</v>
      </c>
      <c r="YM34" s="122"/>
      <c r="YN34" s="122"/>
      <c r="YO34" s="49"/>
      <c r="YP34" s="49"/>
      <c r="YQ34" s="49"/>
      <c r="YR34" s="49"/>
      <c r="YS34" s="49" t="s">
        <v>59</v>
      </c>
      <c r="YT34" s="122" t="s">
        <v>59</v>
      </c>
    </row>
    <row r="35" spans="1:670" s="26" customFormat="1" ht="12.1" customHeight="1" x14ac:dyDescent="0.25">
      <c r="A35" s="4" t="s">
        <v>14</v>
      </c>
      <c r="B35" s="237" t="s">
        <v>263</v>
      </c>
      <c r="C35" s="237" t="s">
        <v>1</v>
      </c>
      <c r="D35" s="237" t="s">
        <v>2</v>
      </c>
      <c r="E35" s="238" t="s">
        <v>3</v>
      </c>
      <c r="F35" s="238" t="s">
        <v>379</v>
      </c>
      <c r="G35" s="238" t="s">
        <v>122</v>
      </c>
      <c r="H35" s="238" t="s">
        <v>234</v>
      </c>
      <c r="I35" s="238" t="s">
        <v>77</v>
      </c>
      <c r="J35" s="239" t="s">
        <v>4</v>
      </c>
      <c r="K35" s="239" t="s">
        <v>5</v>
      </c>
      <c r="L35" s="239"/>
      <c r="M35" s="239" t="s">
        <v>71</v>
      </c>
      <c r="N35" s="239" t="s">
        <v>72</v>
      </c>
      <c r="O35" s="239" t="s">
        <v>73</v>
      </c>
      <c r="P35" s="239" t="s">
        <v>102</v>
      </c>
      <c r="Q35" s="239" t="s">
        <v>103</v>
      </c>
      <c r="R35" s="239" t="s">
        <v>104</v>
      </c>
      <c r="S35" s="239" t="s">
        <v>105</v>
      </c>
      <c r="T35" s="239" t="s">
        <v>110</v>
      </c>
      <c r="U35" s="239" t="s">
        <v>8</v>
      </c>
      <c r="V35" s="239" t="s">
        <v>9</v>
      </c>
      <c r="W35" s="239" t="s">
        <v>106</v>
      </c>
      <c r="X35" s="239" t="s">
        <v>21</v>
      </c>
      <c r="Y35" s="239" t="s">
        <v>254</v>
      </c>
      <c r="Z35" s="239" t="s">
        <v>6</v>
      </c>
      <c r="AA35" s="239" t="s">
        <v>7</v>
      </c>
      <c r="AB35" s="239" t="s">
        <v>107</v>
      </c>
      <c r="AC35" s="239" t="s">
        <v>19</v>
      </c>
      <c r="AD35" s="239" t="s">
        <v>22</v>
      </c>
      <c r="AE35" s="239" t="s">
        <v>1224</v>
      </c>
      <c r="AF35" s="239" t="s">
        <v>1225</v>
      </c>
      <c r="AG35" s="239" t="s">
        <v>23</v>
      </c>
      <c r="AH35" s="239" t="s">
        <v>117</v>
      </c>
      <c r="AI35" s="239" t="s">
        <v>867</v>
      </c>
      <c r="AJ35" s="239" t="s">
        <v>126</v>
      </c>
      <c r="AK35" s="239" t="s">
        <v>75</v>
      </c>
      <c r="AL35" s="239" t="s">
        <v>108</v>
      </c>
      <c r="AM35" s="239" t="s">
        <v>109</v>
      </c>
      <c r="AN35" s="239" t="s">
        <v>259</v>
      </c>
      <c r="AO35" s="239" t="s">
        <v>260</v>
      </c>
      <c r="AP35" s="239" t="s">
        <v>1022</v>
      </c>
      <c r="AQ35" s="239" t="s">
        <v>695</v>
      </c>
      <c r="AR35" s="239" t="s">
        <v>697</v>
      </c>
      <c r="AS35" s="239" t="s">
        <v>698</v>
      </c>
      <c r="AT35" s="239" t="s">
        <v>692</v>
      </c>
      <c r="AU35" s="239"/>
      <c r="AV35" s="239"/>
      <c r="AW35" s="239"/>
      <c r="AX35" s="239"/>
      <c r="AY35" s="239"/>
      <c r="AZ35" s="239"/>
      <c r="BA35" s="239"/>
      <c r="BB35" s="239"/>
      <c r="BC35" s="239"/>
      <c r="BD35" s="239"/>
      <c r="BE35" s="239"/>
      <c r="BF35" s="239"/>
      <c r="BG35" s="239"/>
      <c r="BH35" s="239"/>
      <c r="BI35" s="239" t="s">
        <v>1226</v>
      </c>
      <c r="BJ35" s="239" t="s">
        <v>1227</v>
      </c>
      <c r="BK35" s="239" t="s">
        <v>883</v>
      </c>
      <c r="BL35" s="239" t="s">
        <v>70</v>
      </c>
      <c r="BM35" s="239" t="s">
        <v>34</v>
      </c>
      <c r="BN35" s="239" t="s">
        <v>35</v>
      </c>
      <c r="BO35" s="239" t="s">
        <v>144</v>
      </c>
      <c r="BP35" s="239" t="s">
        <v>96</v>
      </c>
      <c r="BQ35" s="239" t="s">
        <v>41</v>
      </c>
      <c r="BR35" s="239" t="s">
        <v>127</v>
      </c>
      <c r="BS35" s="239" t="s">
        <v>142</v>
      </c>
      <c r="BT35" s="239" t="s">
        <v>95</v>
      </c>
      <c r="BU35" s="239" t="s">
        <v>39</v>
      </c>
      <c r="BV35" s="239" t="s">
        <v>143</v>
      </c>
      <c r="BW35" s="239" t="s">
        <v>36</v>
      </c>
      <c r="BX35" s="239" t="s">
        <v>37</v>
      </c>
      <c r="BY35" s="239" t="s">
        <v>2746</v>
      </c>
      <c r="BZ35" s="239" t="s">
        <v>56</v>
      </c>
      <c r="CA35" s="239"/>
      <c r="CB35" s="239"/>
      <c r="CC35" s="239" t="s">
        <v>135</v>
      </c>
      <c r="CD35" s="239" t="s">
        <v>868</v>
      </c>
      <c r="CE35" s="239"/>
      <c r="CF35" s="239"/>
      <c r="CG35" s="239" t="s">
        <v>208</v>
      </c>
      <c r="CH35" s="239" t="s">
        <v>301</v>
      </c>
      <c r="CI35" s="239"/>
      <c r="CJ35" s="239" t="s">
        <v>1229</v>
      </c>
      <c r="CK35" s="239" t="s">
        <v>1230</v>
      </c>
      <c r="CL35" s="239" t="s">
        <v>1231</v>
      </c>
      <c r="CM35" s="239"/>
      <c r="CN35" s="239" t="s">
        <v>128</v>
      </c>
      <c r="CO35" s="239" t="s">
        <v>40</v>
      </c>
      <c r="CP35" s="239" t="s">
        <v>38</v>
      </c>
      <c r="CQ35" s="239" t="s">
        <v>93</v>
      </c>
      <c r="CR35" s="239"/>
      <c r="CS35" s="239" t="s">
        <v>679</v>
      </c>
      <c r="CT35" s="239" t="s">
        <v>1014</v>
      </c>
      <c r="CU35" s="239" t="s">
        <v>64</v>
      </c>
      <c r="CV35" s="239" t="s">
        <v>65</v>
      </c>
      <c r="CW35" s="240" t="s">
        <v>1232</v>
      </c>
      <c r="CX35" s="239" t="s">
        <v>179</v>
      </c>
      <c r="CY35" s="239" t="s">
        <v>845</v>
      </c>
      <c r="CZ35" s="239" t="s">
        <v>192</v>
      </c>
      <c r="DA35" s="240"/>
      <c r="DB35" s="240"/>
      <c r="DC35" s="240"/>
      <c r="DD35" s="240"/>
      <c r="DE35" s="239" t="s">
        <v>46</v>
      </c>
      <c r="DF35" s="239" t="s">
        <v>42</v>
      </c>
      <c r="DG35" s="239" t="s">
        <v>1719</v>
      </c>
      <c r="DH35" s="239"/>
      <c r="DI35" s="239" t="s">
        <v>136</v>
      </c>
      <c r="DJ35" s="239" t="s">
        <v>275</v>
      </c>
      <c r="DK35" s="239" t="s">
        <v>66</v>
      </c>
      <c r="DL35" s="239" t="s">
        <v>44</v>
      </c>
      <c r="DM35" s="239" t="s">
        <v>63</v>
      </c>
      <c r="DN35" s="239" t="s">
        <v>113</v>
      </c>
      <c r="DO35" s="239" t="s">
        <v>268</v>
      </c>
      <c r="DP35" s="239" t="s">
        <v>101</v>
      </c>
      <c r="DQ35" s="239" t="s">
        <v>269</v>
      </c>
      <c r="DR35" s="239" t="s">
        <v>590</v>
      </c>
      <c r="DS35" s="239" t="s">
        <v>599</v>
      </c>
      <c r="DT35" s="239" t="s">
        <v>24</v>
      </c>
      <c r="DU35" s="239" t="s">
        <v>26</v>
      </c>
      <c r="DV35" s="239" t="s">
        <v>28</v>
      </c>
      <c r="DW35" s="239" t="s">
        <v>25</v>
      </c>
      <c r="DX35" s="239" t="s">
        <v>27</v>
      </c>
      <c r="DY35" s="239" t="s">
        <v>29</v>
      </c>
      <c r="DZ35" s="239" t="s">
        <v>488</v>
      </c>
      <c r="EA35" s="239" t="s">
        <v>598</v>
      </c>
      <c r="EB35" s="239" t="s">
        <v>489</v>
      </c>
      <c r="EC35" s="239" t="s">
        <v>506</v>
      </c>
      <c r="ED35" s="239" t="s">
        <v>507</v>
      </c>
      <c r="EE35" s="239" t="s">
        <v>508</v>
      </c>
      <c r="EF35" s="239" t="s">
        <v>681</v>
      </c>
      <c r="EG35" s="239" t="s">
        <v>682</v>
      </c>
      <c r="EH35" s="239" t="s">
        <v>30</v>
      </c>
      <c r="EI35" s="239" t="s">
        <v>32</v>
      </c>
      <c r="EJ35" s="239" t="s">
        <v>33</v>
      </c>
      <c r="EK35" s="239" t="s">
        <v>270</v>
      </c>
      <c r="EL35" s="239"/>
      <c r="EM35" s="239" t="s">
        <v>271</v>
      </c>
      <c r="EN35" s="239" t="s">
        <v>277</v>
      </c>
      <c r="EO35" s="239"/>
      <c r="EP35" s="239"/>
      <c r="EQ35" s="239"/>
      <c r="ER35" s="239"/>
      <c r="ES35" s="239"/>
      <c r="ET35" s="239"/>
      <c r="EU35" s="239" t="s">
        <v>1055</v>
      </c>
      <c r="EV35" s="239" t="s">
        <v>815</v>
      </c>
      <c r="EW35" s="239" t="s">
        <v>1070</v>
      </c>
      <c r="EX35" s="239"/>
      <c r="EY35" s="239" t="s">
        <v>281</v>
      </c>
      <c r="EZ35" s="239" t="s">
        <v>282</v>
      </c>
      <c r="FA35" s="239" t="s">
        <v>814</v>
      </c>
      <c r="FB35" s="239" t="s">
        <v>284</v>
      </c>
      <c r="FC35" s="239" t="s">
        <v>216</v>
      </c>
      <c r="FD35" s="239" t="s">
        <v>283</v>
      </c>
      <c r="FE35" s="239" t="s">
        <v>230</v>
      </c>
      <c r="FF35" s="239" t="s">
        <v>328</v>
      </c>
      <c r="FG35" s="239" t="s">
        <v>436</v>
      </c>
      <c r="FH35" s="239" t="s">
        <v>816</v>
      </c>
      <c r="FI35" s="239" t="s">
        <v>394</v>
      </c>
      <c r="FJ35" s="239" t="s">
        <v>327</v>
      </c>
      <c r="FK35" s="239" t="s">
        <v>817</v>
      </c>
      <c r="FL35" s="239" t="s">
        <v>402</v>
      </c>
      <c r="FM35" s="239" t="s">
        <v>818</v>
      </c>
      <c r="FN35" s="239"/>
      <c r="FO35" s="239" t="s">
        <v>866</v>
      </c>
      <c r="FP35" s="239"/>
      <c r="FQ35" s="239"/>
      <c r="FR35" s="239"/>
      <c r="FS35" s="239"/>
      <c r="FT35" s="239"/>
      <c r="FU35" s="239" t="s">
        <v>257</v>
      </c>
      <c r="FV35" s="239" t="s">
        <v>194</v>
      </c>
      <c r="FW35" s="239" t="s">
        <v>819</v>
      </c>
      <c r="FX35" s="239" t="s">
        <v>407</v>
      </c>
      <c r="FY35" s="239" t="s">
        <v>413</v>
      </c>
      <c r="FZ35" s="239" t="s">
        <v>820</v>
      </c>
      <c r="GA35" s="239" t="s">
        <v>417</v>
      </c>
      <c r="GB35" s="239" t="s">
        <v>421</v>
      </c>
      <c r="GC35" s="239" t="s">
        <v>821</v>
      </c>
      <c r="GD35" s="239" t="s">
        <v>822</v>
      </c>
      <c r="GE35" s="239" t="s">
        <v>425</v>
      </c>
      <c r="GF35" s="239" t="s">
        <v>823</v>
      </c>
      <c r="GG35" s="239" t="s">
        <v>420</v>
      </c>
      <c r="GH35" s="239" t="s">
        <v>398</v>
      </c>
      <c r="GI35" s="239" t="s">
        <v>1196</v>
      </c>
      <c r="GJ35" s="239" t="s">
        <v>1197</v>
      </c>
      <c r="GK35" s="239" t="s">
        <v>1198</v>
      </c>
      <c r="GL35" s="239" t="s">
        <v>1199</v>
      </c>
      <c r="GM35" s="410" t="s">
        <v>1760</v>
      </c>
      <c r="GN35" s="246"/>
      <c r="GO35" s="246" t="s">
        <v>1761</v>
      </c>
      <c r="GP35" s="246" t="s">
        <v>227</v>
      </c>
      <c r="GQ35" s="240" t="s">
        <v>1247</v>
      </c>
      <c r="GR35" s="239" t="s">
        <v>2316</v>
      </c>
      <c r="GS35" s="239"/>
      <c r="GT35" s="239" t="s">
        <v>1248</v>
      </c>
      <c r="GU35" s="239" t="s">
        <v>1249</v>
      </c>
      <c r="GV35" s="239" t="s">
        <v>1762</v>
      </c>
      <c r="GW35" s="239" t="s">
        <v>493</v>
      </c>
      <c r="GX35" s="239" t="s">
        <v>627</v>
      </c>
      <c r="GY35" s="240"/>
      <c r="GZ35" s="239" t="s">
        <v>289</v>
      </c>
      <c r="HA35" s="239" t="s">
        <v>1250</v>
      </c>
      <c r="HB35" s="239"/>
      <c r="HC35" s="239" t="s">
        <v>510</v>
      </c>
      <c r="HD35" s="239" t="s">
        <v>1251</v>
      </c>
      <c r="HE35" s="239" t="s">
        <v>1252</v>
      </c>
      <c r="HF35" s="239"/>
      <c r="HG35" s="239"/>
      <c r="HH35" s="240" t="s">
        <v>514</v>
      </c>
      <c r="HI35" s="240"/>
      <c r="HJ35" s="239" t="s">
        <v>515</v>
      </c>
      <c r="HK35" s="240" t="s">
        <v>516</v>
      </c>
      <c r="HL35" s="240" t="s">
        <v>518</v>
      </c>
      <c r="HM35" s="240"/>
      <c r="HN35" s="239" t="s">
        <v>522</v>
      </c>
      <c r="HO35" s="239"/>
      <c r="HP35" s="240" t="s">
        <v>526</v>
      </c>
      <c r="HQ35" s="240"/>
      <c r="HR35" s="240"/>
      <c r="HS35" s="239" t="s">
        <v>528</v>
      </c>
      <c r="HT35" s="239" t="s">
        <v>182</v>
      </c>
      <c r="HU35" s="240"/>
      <c r="HV35" s="239" t="s">
        <v>532</v>
      </c>
      <c r="HW35" s="240"/>
      <c r="HX35" s="239" t="s">
        <v>533</v>
      </c>
      <c r="HY35" s="240"/>
      <c r="HZ35" s="239" t="s">
        <v>534</v>
      </c>
      <c r="IA35" s="239" t="s">
        <v>497</v>
      </c>
      <c r="IB35" s="239" t="s">
        <v>505</v>
      </c>
      <c r="IC35" s="239"/>
      <c r="ID35" s="239"/>
      <c r="IE35" s="239"/>
      <c r="IF35" s="239" t="s">
        <v>501</v>
      </c>
      <c r="IG35" s="239" t="s">
        <v>1253</v>
      </c>
      <c r="IH35" s="240" t="s">
        <v>1254</v>
      </c>
      <c r="II35" s="240" t="s">
        <v>1255</v>
      </c>
      <c r="IJ35" s="240"/>
      <c r="IK35" s="239"/>
      <c r="IL35" s="239"/>
      <c r="IM35" s="239"/>
      <c r="IN35" s="239"/>
      <c r="IO35" s="239"/>
      <c r="IP35" s="239"/>
      <c r="IQ35" s="239"/>
      <c r="IR35" s="239"/>
      <c r="IS35" s="239"/>
      <c r="IT35" s="239"/>
      <c r="IU35" s="239"/>
      <c r="IV35" s="239"/>
      <c r="IW35" s="239"/>
      <c r="IX35" s="239"/>
      <c r="IY35" s="239"/>
      <c r="IZ35" s="239"/>
      <c r="JA35" s="239"/>
      <c r="JB35" s="239"/>
      <c r="JC35" s="239"/>
      <c r="JD35" s="239"/>
      <c r="JE35" s="239"/>
      <c r="JF35" s="239"/>
      <c r="JG35" s="239"/>
      <c r="JH35" s="239"/>
      <c r="JI35" s="239"/>
      <c r="JJ35" s="239"/>
      <c r="JK35" s="239"/>
      <c r="JL35" s="239"/>
      <c r="JM35" s="239"/>
      <c r="JN35" s="410"/>
      <c r="JO35" s="410"/>
      <c r="JP35" s="239"/>
      <c r="JQ35" s="239"/>
      <c r="JR35" s="239"/>
      <c r="JS35" s="239"/>
      <c r="JT35" s="239"/>
      <c r="JU35" s="239"/>
      <c r="JV35" s="239"/>
      <c r="JW35" s="239"/>
      <c r="JX35" s="239"/>
      <c r="JY35" s="239"/>
      <c r="JZ35" s="239"/>
      <c r="KA35" s="239"/>
      <c r="KB35" s="239"/>
      <c r="KC35" s="239"/>
      <c r="KD35" s="239"/>
      <c r="KE35" s="239"/>
      <c r="KF35" s="239"/>
      <c r="KG35" s="239"/>
      <c r="KH35" s="239"/>
      <c r="KI35" s="239"/>
      <c r="KJ35" s="239"/>
      <c r="KK35" s="239"/>
      <c r="KL35" s="239"/>
      <c r="KM35" s="239"/>
      <c r="KN35" s="239"/>
      <c r="KO35" s="239"/>
      <c r="KP35" s="239"/>
      <c r="KQ35" s="239"/>
      <c r="KR35" s="239"/>
      <c r="KS35" s="239"/>
      <c r="KT35" s="239"/>
      <c r="KU35" s="239"/>
      <c r="KV35" s="239"/>
      <c r="KW35" s="239"/>
      <c r="KX35" s="239"/>
      <c r="KY35" s="239"/>
      <c r="KZ35" s="239"/>
      <c r="LA35" s="239"/>
      <c r="LB35" s="239"/>
      <c r="LC35" s="239"/>
      <c r="LD35" s="239"/>
      <c r="LE35" s="239"/>
      <c r="LF35" s="239"/>
      <c r="LG35" s="239"/>
      <c r="LH35" s="239"/>
      <c r="LI35" s="239"/>
      <c r="LJ35" s="239"/>
      <c r="LK35" s="239"/>
      <c r="LL35" s="239"/>
      <c r="LM35" s="239"/>
      <c r="LN35" s="243" t="s">
        <v>330</v>
      </c>
      <c r="LO35" s="239"/>
      <c r="LP35" s="239"/>
      <c r="LQ35" s="239"/>
      <c r="LR35" s="239"/>
      <c r="LS35" s="239"/>
      <c r="LT35" s="239"/>
      <c r="LU35" s="239"/>
      <c r="LV35" s="239"/>
      <c r="LW35" s="239"/>
      <c r="LX35" s="239"/>
      <c r="LY35" s="239"/>
      <c r="LZ35" s="239"/>
      <c r="MA35" s="239"/>
      <c r="MB35" s="239"/>
      <c r="MC35" s="239"/>
      <c r="MD35" s="239"/>
      <c r="ME35" s="239"/>
      <c r="MF35" s="239"/>
      <c r="MG35" s="239"/>
      <c r="MH35" s="239"/>
      <c r="MI35" s="239"/>
      <c r="MJ35" s="239"/>
      <c r="MK35" s="239"/>
      <c r="ML35" s="239"/>
      <c r="MM35" s="239" t="s">
        <v>1256</v>
      </c>
      <c r="MN35" s="239" t="s">
        <v>1257</v>
      </c>
      <c r="MO35" s="239"/>
      <c r="MP35" s="239" t="s">
        <v>1258</v>
      </c>
      <c r="MQ35" s="239"/>
      <c r="MR35" s="239"/>
      <c r="MS35" s="239" t="s">
        <v>1259</v>
      </c>
      <c r="MT35" s="239"/>
      <c r="MU35" s="239"/>
      <c r="MV35" s="239"/>
      <c r="MW35" s="239" t="s">
        <v>1261</v>
      </c>
      <c r="MX35" s="239"/>
      <c r="MY35" s="239"/>
      <c r="MZ35" s="239"/>
      <c r="NA35" s="239"/>
      <c r="NB35" s="239"/>
      <c r="NC35" s="239"/>
      <c r="ND35" s="239"/>
      <c r="NE35" s="239"/>
      <c r="NF35" s="239" t="s">
        <v>94</v>
      </c>
      <c r="NG35" s="239"/>
      <c r="NH35" s="239" t="s">
        <v>734</v>
      </c>
      <c r="NI35" s="239"/>
      <c r="NJ35" s="239" t="s">
        <v>91</v>
      </c>
      <c r="NK35" s="239"/>
      <c r="NL35" s="239" t="s">
        <v>1685</v>
      </c>
      <c r="NM35" s="239" t="s">
        <v>742</v>
      </c>
      <c r="NN35" s="239"/>
      <c r="NO35" s="239" t="s">
        <v>743</v>
      </c>
      <c r="NP35" s="239" t="s">
        <v>92</v>
      </c>
      <c r="NQ35" s="239"/>
      <c r="NR35" s="239"/>
      <c r="NS35" s="239"/>
      <c r="NT35" s="239"/>
      <c r="NU35" s="239"/>
      <c r="NV35" s="239"/>
      <c r="NW35" s="239"/>
      <c r="NX35" s="239"/>
      <c r="NY35" s="239"/>
      <c r="NZ35" s="239"/>
      <c r="OA35" s="239"/>
      <c r="OB35" s="239"/>
      <c r="OC35" s="239"/>
      <c r="OD35" s="239"/>
      <c r="OE35" s="239"/>
      <c r="OF35" s="239"/>
      <c r="OG35" s="239"/>
      <c r="OH35" s="239"/>
      <c r="OI35" s="239"/>
      <c r="OJ35" s="239"/>
      <c r="OK35" s="239"/>
      <c r="OL35" s="239"/>
      <c r="OM35" s="239"/>
      <c r="ON35" s="239"/>
      <c r="OO35" s="239"/>
      <c r="OP35" s="239"/>
      <c r="OQ35" s="239"/>
      <c r="OR35" s="239"/>
      <c r="OS35" s="239"/>
      <c r="OT35" s="239"/>
      <c r="OU35" s="239"/>
      <c r="OV35" s="239"/>
      <c r="OW35" s="239"/>
      <c r="OX35" s="239"/>
      <c r="OY35" s="239"/>
      <c r="OZ35" s="239"/>
      <c r="PA35" s="239"/>
      <c r="PB35" s="239"/>
      <c r="PC35" s="239"/>
      <c r="PD35" s="239"/>
      <c r="PE35" s="239"/>
      <c r="PF35" s="239"/>
      <c r="PG35" s="239"/>
      <c r="PH35" s="239"/>
      <c r="PI35" s="239"/>
      <c r="PJ35" s="239"/>
      <c r="PK35" s="239"/>
      <c r="PL35" s="239"/>
      <c r="PM35" s="239"/>
      <c r="PN35" s="239"/>
      <c r="PO35" s="239"/>
      <c r="PP35" s="239"/>
      <c r="PQ35" s="239"/>
      <c r="PR35" s="239"/>
      <c r="PS35" s="239"/>
      <c r="PT35" s="239"/>
      <c r="PU35" s="239"/>
      <c r="PV35" s="239"/>
      <c r="PW35" s="239"/>
      <c r="PX35" s="239"/>
      <c r="PY35" s="239"/>
      <c r="PZ35" s="239" t="s">
        <v>1686</v>
      </c>
      <c r="QA35" s="239"/>
      <c r="QB35" s="239"/>
      <c r="QC35" s="239"/>
      <c r="QD35" s="239"/>
      <c r="QE35" s="239"/>
      <c r="QF35" s="239"/>
      <c r="QG35" s="239"/>
      <c r="QH35" s="239" t="s">
        <v>468</v>
      </c>
      <c r="QI35" s="239"/>
      <c r="QJ35" s="239"/>
      <c r="QK35" s="239"/>
      <c r="QL35" s="239"/>
      <c r="QM35" s="239"/>
      <c r="QN35" s="239"/>
      <c r="QO35" s="239"/>
      <c r="QP35" s="239"/>
      <c r="QQ35" s="239"/>
      <c r="QR35" s="239"/>
      <c r="QS35" s="239"/>
      <c r="QT35" s="239"/>
      <c r="QU35" s="239"/>
      <c r="QV35" s="239"/>
      <c r="QW35" s="239"/>
      <c r="QX35" s="239"/>
      <c r="QY35" s="239"/>
      <c r="QZ35" s="239"/>
      <c r="RA35" s="239"/>
      <c r="RB35" s="239"/>
      <c r="RC35" s="239"/>
      <c r="RD35" s="239"/>
      <c r="RE35" s="239"/>
      <c r="RF35" s="239"/>
      <c r="RG35" s="239"/>
      <c r="RH35" s="239"/>
      <c r="RI35" s="239"/>
      <c r="RJ35" s="239"/>
      <c r="RK35" s="239"/>
      <c r="RL35" s="239"/>
      <c r="RM35" s="239"/>
      <c r="RN35" s="239"/>
      <c r="RO35" s="239"/>
      <c r="RP35" s="239"/>
      <c r="RQ35" s="239"/>
      <c r="RR35" s="239"/>
      <c r="RS35" s="239"/>
      <c r="RT35" s="239"/>
      <c r="RU35" s="239"/>
      <c r="RV35" s="239"/>
      <c r="RW35" s="239"/>
      <c r="RX35" s="239" t="s">
        <v>1262</v>
      </c>
      <c r="RY35" s="412" t="s">
        <v>1074</v>
      </c>
      <c r="RZ35" s="239"/>
      <c r="SA35" s="239"/>
      <c r="SB35" s="239"/>
      <c r="SC35" s="239"/>
      <c r="SD35" s="239" t="s">
        <v>557</v>
      </c>
      <c r="SE35" s="239"/>
      <c r="SF35" s="239"/>
      <c r="SG35" s="239"/>
      <c r="SH35" s="239"/>
      <c r="SI35" s="239"/>
      <c r="SJ35" s="239" t="s">
        <v>559</v>
      </c>
      <c r="SK35" s="239" t="s">
        <v>561</v>
      </c>
      <c r="SL35" s="239"/>
      <c r="SM35" s="239"/>
      <c r="SN35" s="239"/>
      <c r="SO35" s="239" t="s">
        <v>61</v>
      </c>
      <c r="SP35" s="239"/>
      <c r="SQ35" s="239"/>
      <c r="SR35" s="239"/>
      <c r="SS35" s="239"/>
      <c r="ST35" s="239" t="s">
        <v>125</v>
      </c>
      <c r="SU35" s="239" t="s">
        <v>578</v>
      </c>
      <c r="SV35" s="239"/>
      <c r="SW35" s="239"/>
      <c r="SX35" s="239"/>
      <c r="SY35" s="239"/>
      <c r="SZ35" s="239" t="s">
        <v>473</v>
      </c>
      <c r="TA35" s="239"/>
      <c r="TB35" s="239"/>
      <c r="TC35" s="239"/>
      <c r="TD35" s="239"/>
      <c r="TE35" s="239"/>
      <c r="TF35" s="239"/>
      <c r="TG35" s="239"/>
      <c r="TH35" s="239" t="s">
        <v>351</v>
      </c>
      <c r="TI35" s="239"/>
      <c r="TJ35" s="239"/>
      <c r="TK35" s="239"/>
      <c r="TL35" s="239"/>
      <c r="TM35" s="239"/>
      <c r="TN35" s="239"/>
      <c r="TO35" s="239"/>
      <c r="TP35" s="239"/>
      <c r="TQ35" s="245"/>
      <c r="TR35" s="245"/>
      <c r="TS35" s="245"/>
      <c r="TT35" s="245"/>
      <c r="TU35" s="245"/>
      <c r="TV35" s="245"/>
      <c r="TW35" s="239"/>
      <c r="TX35" s="239"/>
      <c r="TY35" s="239"/>
      <c r="TZ35" s="239"/>
      <c r="UA35" s="239"/>
      <c r="UB35" s="239"/>
      <c r="UC35" s="239"/>
      <c r="UD35" s="239"/>
      <c r="UE35" s="239"/>
      <c r="UF35" s="239"/>
      <c r="UG35" s="239"/>
      <c r="UH35" s="239"/>
      <c r="UI35" s="239"/>
      <c r="UJ35" s="239"/>
      <c r="UK35" s="239"/>
      <c r="UL35" s="239"/>
      <c r="UM35" s="239"/>
      <c r="UN35" s="239"/>
      <c r="UO35" s="239"/>
      <c r="UP35" s="239"/>
      <c r="UQ35" s="239"/>
      <c r="UR35" s="239"/>
      <c r="US35" s="239"/>
      <c r="UT35" s="239"/>
      <c r="UU35" s="239"/>
      <c r="UV35" s="239"/>
      <c r="UW35" s="239"/>
      <c r="UX35" s="239"/>
      <c r="UY35" s="239"/>
      <c r="UZ35" s="239"/>
      <c r="VA35" s="239"/>
      <c r="VB35" s="239" t="s">
        <v>452</v>
      </c>
      <c r="VC35" s="239" t="s">
        <v>116</v>
      </c>
      <c r="VD35" s="239" t="s">
        <v>83</v>
      </c>
      <c r="VE35" s="239" t="s">
        <v>84</v>
      </c>
      <c r="VF35" s="239" t="s">
        <v>85</v>
      </c>
      <c r="VG35" s="239" t="s">
        <v>86</v>
      </c>
      <c r="VH35" s="239"/>
      <c r="VI35" s="239"/>
      <c r="VJ35" s="239"/>
      <c r="VK35" s="239"/>
      <c r="VL35" s="239"/>
      <c r="VM35" s="239"/>
      <c r="VN35" s="239"/>
      <c r="VO35" s="239"/>
      <c r="VP35" s="239"/>
      <c r="VQ35" s="239"/>
      <c r="VR35" s="239"/>
      <c r="VS35" s="239" t="s">
        <v>87</v>
      </c>
      <c r="VT35" s="239" t="s">
        <v>88</v>
      </c>
      <c r="VU35" s="239" t="s">
        <v>89</v>
      </c>
      <c r="VV35" s="239" t="s">
        <v>90</v>
      </c>
      <c r="VW35" s="239" t="s">
        <v>583</v>
      </c>
      <c r="VX35" s="239" t="s">
        <v>358</v>
      </c>
      <c r="VY35" s="239" t="s">
        <v>112</v>
      </c>
      <c r="VZ35" s="239"/>
      <c r="WA35" s="239" t="s">
        <v>1755</v>
      </c>
      <c r="WB35" s="239" t="s">
        <v>582</v>
      </c>
      <c r="WC35" s="239" t="s">
        <v>584</v>
      </c>
      <c r="WD35" s="239" t="s">
        <v>577</v>
      </c>
      <c r="WE35" s="239"/>
      <c r="WF35" s="239" t="s">
        <v>300</v>
      </c>
      <c r="WG35" s="239"/>
      <c r="WH35" s="239" t="s">
        <v>703</v>
      </c>
      <c r="WI35" s="239"/>
      <c r="WJ35" s="239" t="s">
        <v>704</v>
      </c>
      <c r="WK35" s="239" t="s">
        <v>298</v>
      </c>
      <c r="WL35" s="243"/>
      <c r="WM35" s="239" t="s">
        <v>296</v>
      </c>
      <c r="WN35" s="239" t="s">
        <v>297</v>
      </c>
      <c r="WO35" s="239" t="s">
        <v>299</v>
      </c>
      <c r="WP35" s="239" t="s">
        <v>1799</v>
      </c>
      <c r="WQ35" s="239"/>
      <c r="WR35" s="239" t="s">
        <v>1121</v>
      </c>
      <c r="WS35" s="239" t="s">
        <v>1733</v>
      </c>
      <c r="WT35" s="239"/>
      <c r="WU35" s="239"/>
      <c r="WV35" s="239"/>
      <c r="WW35" s="239"/>
      <c r="WX35" s="239"/>
      <c r="WY35" s="239"/>
      <c r="WZ35" s="239"/>
      <c r="XA35" s="239"/>
      <c r="XB35" s="239"/>
      <c r="XC35" s="239" t="s">
        <v>2794</v>
      </c>
      <c r="XD35" s="239" t="s">
        <v>114</v>
      </c>
      <c r="XE35" s="239" t="s">
        <v>1734</v>
      </c>
      <c r="XF35" s="239"/>
      <c r="XG35" s="239"/>
      <c r="XH35" s="239"/>
      <c r="XI35" s="239"/>
      <c r="XJ35" s="239"/>
      <c r="XK35" s="239"/>
      <c r="XL35" s="239"/>
      <c r="XM35" s="239"/>
      <c r="XN35" s="239"/>
      <c r="XO35" s="239"/>
      <c r="XP35" s="239" t="s">
        <v>1777</v>
      </c>
      <c r="XQ35" s="239" t="s">
        <v>204</v>
      </c>
      <c r="XR35" s="239" t="s">
        <v>205</v>
      </c>
      <c r="XS35" s="239" t="s">
        <v>802</v>
      </c>
      <c r="XT35" s="239" t="s">
        <v>801</v>
      </c>
      <c r="XU35" s="239" t="s">
        <v>1100</v>
      </c>
      <c r="XV35" s="239"/>
      <c r="XW35" s="239" t="s">
        <v>800</v>
      </c>
      <c r="XX35" s="239" t="s">
        <v>1102</v>
      </c>
      <c r="XY35" s="239" t="s">
        <v>1103</v>
      </c>
      <c r="XZ35" s="239" t="s">
        <v>1104</v>
      </c>
      <c r="YA35" s="239" t="s">
        <v>1101</v>
      </c>
      <c r="YB35" s="239" t="s">
        <v>1105</v>
      </c>
      <c r="YC35" s="239" t="s">
        <v>1264</v>
      </c>
      <c r="YD35" s="239" t="s">
        <v>1106</v>
      </c>
      <c r="YE35" s="239" t="s">
        <v>1107</v>
      </c>
      <c r="YF35" s="239" t="s">
        <v>1265</v>
      </c>
      <c r="YG35" s="239" t="s">
        <v>1266</v>
      </c>
      <c r="YH35" s="239"/>
      <c r="YI35" s="239"/>
      <c r="YJ35" s="239" t="s">
        <v>1267</v>
      </c>
      <c r="YK35" s="239"/>
      <c r="YL35" s="239" t="s">
        <v>807</v>
      </c>
      <c r="YM35" s="240"/>
      <c r="YN35" s="240"/>
      <c r="YO35" s="239"/>
      <c r="YP35" s="239"/>
      <c r="YQ35" s="239"/>
      <c r="YR35" s="239"/>
      <c r="YS35" s="239"/>
      <c r="YT35" s="240"/>
    </row>
    <row r="36" spans="1:670" x14ac:dyDescent="0.2">
      <c r="YM36"/>
      <c r="YN36"/>
      <c r="YT36"/>
    </row>
    <row r="37" spans="1:670" x14ac:dyDescent="0.2">
      <c r="YM37"/>
      <c r="YN37"/>
      <c r="YT37"/>
    </row>
    <row r="38" spans="1:670" x14ac:dyDescent="0.2">
      <c r="YM38"/>
      <c r="YN38"/>
      <c r="YT38"/>
    </row>
    <row r="39" spans="1:670" x14ac:dyDescent="0.2">
      <c r="YM39"/>
      <c r="YN39"/>
      <c r="YT39"/>
    </row>
    <row r="40" spans="1:670" x14ac:dyDescent="0.2">
      <c r="YM40"/>
      <c r="YN40"/>
      <c r="YT40"/>
    </row>
    <row r="41" spans="1:670" x14ac:dyDescent="0.2">
      <c r="YM41"/>
      <c r="YN41"/>
      <c r="YT41"/>
    </row>
    <row r="42" spans="1:670" x14ac:dyDescent="0.2">
      <c r="YM42"/>
      <c r="YN42"/>
      <c r="YT42"/>
    </row>
    <row r="43" spans="1:670" x14ac:dyDescent="0.2">
      <c r="YM43"/>
      <c r="YN43"/>
      <c r="YT43"/>
    </row>
    <row r="44" spans="1:670" x14ac:dyDescent="0.2">
      <c r="YM44"/>
      <c r="YN44"/>
      <c r="YT44"/>
    </row>
    <row r="45" spans="1:670" x14ac:dyDescent="0.2">
      <c r="YM45"/>
      <c r="YN45"/>
      <c r="YT45"/>
    </row>
    <row r="46" spans="1:670" x14ac:dyDescent="0.2">
      <c r="YM46"/>
      <c r="YN46"/>
      <c r="YT46"/>
    </row>
    <row r="47" spans="1:670" x14ac:dyDescent="0.2">
      <c r="YM47"/>
      <c r="YN47"/>
      <c r="YT47"/>
    </row>
    <row r="48" spans="1:670" x14ac:dyDescent="0.2">
      <c r="YM48"/>
      <c r="YN48"/>
      <c r="YT48"/>
    </row>
    <row r="49" customFormat="1" x14ac:dyDescent="0.2"/>
    <row r="50" customFormat="1" x14ac:dyDescent="0.2"/>
    <row r="51" customFormat="1" x14ac:dyDescent="0.2"/>
    <row r="52" customFormat="1" x14ac:dyDescent="0.2"/>
    <row r="53" customFormat="1" x14ac:dyDescent="0.2"/>
    <row r="54" customFormat="1" x14ac:dyDescent="0.2"/>
    <row r="55" customFormat="1" x14ac:dyDescent="0.2"/>
    <row r="56" customFormat="1" x14ac:dyDescent="0.2"/>
    <row r="57" customFormat="1" x14ac:dyDescent="0.2"/>
    <row r="58" customFormat="1" x14ac:dyDescent="0.2"/>
    <row r="59" customFormat="1" x14ac:dyDescent="0.2"/>
    <row r="60" customFormat="1" x14ac:dyDescent="0.2"/>
    <row r="61" customFormat="1" x14ac:dyDescent="0.2"/>
    <row r="62" customFormat="1" x14ac:dyDescent="0.2"/>
    <row r="63" customFormat="1" x14ac:dyDescent="0.2"/>
    <row r="64" customFormat="1" x14ac:dyDescent="0.2"/>
    <row r="65" customFormat="1" x14ac:dyDescent="0.2"/>
    <row r="66" customFormat="1" x14ac:dyDescent="0.2"/>
    <row r="67" customFormat="1" x14ac:dyDescent="0.2"/>
    <row r="68" customFormat="1" x14ac:dyDescent="0.2"/>
    <row r="69" customFormat="1" x14ac:dyDescent="0.2"/>
    <row r="70" customFormat="1" x14ac:dyDescent="0.2"/>
    <row r="71" customFormat="1" x14ac:dyDescent="0.2"/>
    <row r="72" customFormat="1" x14ac:dyDescent="0.2"/>
    <row r="73" customFormat="1" x14ac:dyDescent="0.2"/>
    <row r="74" customFormat="1" x14ac:dyDescent="0.2"/>
    <row r="75" customFormat="1" x14ac:dyDescent="0.2"/>
    <row r="76" customFormat="1" x14ac:dyDescent="0.2"/>
    <row r="77" customFormat="1" x14ac:dyDescent="0.2"/>
    <row r="78" customFormat="1" x14ac:dyDescent="0.2"/>
    <row r="79" customFormat="1" x14ac:dyDescent="0.2"/>
    <row r="80" customFormat="1" x14ac:dyDescent="0.2"/>
    <row r="81" customFormat="1" x14ac:dyDescent="0.2"/>
    <row r="82" customFormat="1" x14ac:dyDescent="0.2"/>
    <row r="83" customFormat="1" x14ac:dyDescent="0.2"/>
    <row r="84" customFormat="1" x14ac:dyDescent="0.2"/>
    <row r="85" customFormat="1" x14ac:dyDescent="0.2"/>
    <row r="86" customFormat="1" x14ac:dyDescent="0.2"/>
    <row r="87" customFormat="1" x14ac:dyDescent="0.2"/>
    <row r="88" customFormat="1" x14ac:dyDescent="0.2"/>
    <row r="89" customFormat="1" x14ac:dyDescent="0.2"/>
    <row r="90" customFormat="1" x14ac:dyDescent="0.2"/>
    <row r="91" customFormat="1" x14ac:dyDescent="0.2"/>
    <row r="92" customFormat="1" x14ac:dyDescent="0.2"/>
    <row r="93" customFormat="1" x14ac:dyDescent="0.2"/>
    <row r="94" customFormat="1" x14ac:dyDescent="0.2"/>
    <row r="95" customFormat="1" x14ac:dyDescent="0.2"/>
    <row r="96" customFormat="1" x14ac:dyDescent="0.2"/>
    <row r="97" customFormat="1" x14ac:dyDescent="0.2"/>
    <row r="98" customFormat="1" x14ac:dyDescent="0.2"/>
    <row r="99" customFormat="1" x14ac:dyDescent="0.2"/>
    <row r="100" customFormat="1" x14ac:dyDescent="0.2"/>
    <row r="101" customFormat="1" x14ac:dyDescent="0.2"/>
    <row r="102" customFormat="1" x14ac:dyDescent="0.2"/>
    <row r="103" customFormat="1" x14ac:dyDescent="0.2"/>
    <row r="104" customFormat="1" x14ac:dyDescent="0.2"/>
    <row r="105" customFormat="1" x14ac:dyDescent="0.2"/>
    <row r="106" customFormat="1" x14ac:dyDescent="0.2"/>
    <row r="107" customFormat="1" x14ac:dyDescent="0.2"/>
    <row r="108" customFormat="1" x14ac:dyDescent="0.2"/>
    <row r="109" customFormat="1" x14ac:dyDescent="0.2"/>
    <row r="110" customFormat="1" x14ac:dyDescent="0.2"/>
    <row r="111" customFormat="1" x14ac:dyDescent="0.2"/>
    <row r="112" customForma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row r="124" customFormat="1" x14ac:dyDescent="0.2"/>
    <row r="125" customFormat="1" x14ac:dyDescent="0.2"/>
    <row r="126" customFormat="1" x14ac:dyDescent="0.2"/>
    <row r="127" customFormat="1" x14ac:dyDescent="0.2"/>
    <row r="128" customFormat="1" x14ac:dyDescent="0.2"/>
    <row r="129" customFormat="1" x14ac:dyDescent="0.2"/>
    <row r="130" customFormat="1" x14ac:dyDescent="0.2"/>
    <row r="131" customFormat="1" x14ac:dyDescent="0.2"/>
    <row r="132" customFormat="1" x14ac:dyDescent="0.2"/>
    <row r="133" customFormat="1" x14ac:dyDescent="0.2"/>
    <row r="134" customFormat="1" x14ac:dyDescent="0.2"/>
    <row r="135" customFormat="1" x14ac:dyDescent="0.2"/>
    <row r="136" customFormat="1" x14ac:dyDescent="0.2"/>
    <row r="137" customFormat="1" x14ac:dyDescent="0.2"/>
    <row r="138" customFormat="1" x14ac:dyDescent="0.2"/>
    <row r="139" customFormat="1" x14ac:dyDescent="0.2"/>
    <row r="140" customFormat="1" x14ac:dyDescent="0.2"/>
    <row r="141" customFormat="1" x14ac:dyDescent="0.2"/>
    <row r="142" customFormat="1" x14ac:dyDescent="0.2"/>
    <row r="143" customFormat="1" x14ac:dyDescent="0.2"/>
    <row r="144" customFormat="1" x14ac:dyDescent="0.2"/>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row r="160" customFormat="1" x14ac:dyDescent="0.2"/>
    <row r="161" spans="1:16381" x14ac:dyDescent="0.2">
      <c r="YM161"/>
      <c r="YN161"/>
      <c r="YT161"/>
    </row>
    <row r="162" spans="1:16381" x14ac:dyDescent="0.2">
      <c r="YM162"/>
      <c r="YN162"/>
      <c r="YT162"/>
    </row>
    <row r="163" spans="1:16381" x14ac:dyDescent="0.2">
      <c r="YM163"/>
      <c r="YN163"/>
      <c r="YT163"/>
    </row>
    <row r="164" spans="1:16381" x14ac:dyDescent="0.2">
      <c r="YM164"/>
      <c r="YN164"/>
      <c r="YT164"/>
    </row>
    <row r="165" spans="1:16381" x14ac:dyDescent="0.2">
      <c r="YM165"/>
      <c r="YN165"/>
      <c r="YT165"/>
    </row>
    <row r="166" spans="1:16381" s="582" customFormat="1" x14ac:dyDescent="0.2">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c r="LT166"/>
      <c r="LU166"/>
      <c r="LV166"/>
      <c r="LW166"/>
      <c r="LX166"/>
      <c r="LY166"/>
      <c r="LZ166"/>
      <c r="MA166"/>
      <c r="MB166"/>
      <c r="MC166"/>
      <c r="MD166"/>
      <c r="ME166"/>
      <c r="MF166"/>
      <c r="MG166"/>
      <c r="MH166"/>
      <c r="MI166"/>
      <c r="MJ166"/>
      <c r="MK166"/>
      <c r="ML166"/>
      <c r="MM166"/>
      <c r="MN166"/>
      <c r="MO166"/>
      <c r="MP166"/>
      <c r="MQ166"/>
      <c r="MR166"/>
      <c r="MS166"/>
      <c r="MT166"/>
      <c r="MU166"/>
      <c r="MV166"/>
      <c r="MW166"/>
      <c r="MX166"/>
      <c r="MY166"/>
      <c r="MZ166"/>
      <c r="NA166"/>
      <c r="NB166"/>
      <c r="NC166"/>
      <c r="ND166"/>
      <c r="NE166"/>
      <c r="NF166"/>
      <c r="NG166"/>
      <c r="NH166"/>
      <c r="NI166"/>
      <c r="NJ166"/>
      <c r="NK166"/>
      <c r="NL166"/>
      <c r="NM166"/>
      <c r="NN166"/>
      <c r="NO166"/>
      <c r="NP166"/>
      <c r="NQ166"/>
      <c r="NR166"/>
      <c r="NS166"/>
      <c r="NT166"/>
      <c r="NU166"/>
      <c r="NV166"/>
      <c r="NW166"/>
      <c r="NX166"/>
      <c r="NY166"/>
      <c r="NZ166"/>
      <c r="OA166"/>
      <c r="OB166"/>
      <c r="OC166"/>
      <c r="OD166"/>
      <c r="OE166"/>
      <c r="OF166"/>
      <c r="OG166"/>
      <c r="OH166"/>
      <c r="OI166"/>
      <c r="OJ166"/>
      <c r="OK166"/>
      <c r="OL166"/>
      <c r="OM166"/>
      <c r="ON166"/>
      <c r="OO166"/>
      <c r="OP166"/>
      <c r="OQ166"/>
      <c r="OR166"/>
      <c r="OS166"/>
      <c r="OT166"/>
      <c r="OU166"/>
      <c r="OV166"/>
      <c r="OW166"/>
      <c r="OX166"/>
      <c r="OY166"/>
      <c r="OZ166"/>
      <c r="PA166"/>
      <c r="PB166"/>
      <c r="PC166"/>
      <c r="PD166"/>
      <c r="PE166"/>
      <c r="PF166"/>
      <c r="PG166"/>
      <c r="PH166"/>
      <c r="PI166"/>
      <c r="PJ166"/>
      <c r="PK166"/>
      <c r="PL166"/>
      <c r="PM166"/>
      <c r="PN166"/>
      <c r="PO166"/>
      <c r="PP166"/>
      <c r="PQ166"/>
      <c r="PR166"/>
      <c r="PS166"/>
      <c r="PT166"/>
      <c r="PU166"/>
      <c r="PV166"/>
      <c r="PW166"/>
      <c r="PX166"/>
      <c r="PY166"/>
      <c r="PZ166"/>
      <c r="QA166"/>
      <c r="QB166"/>
      <c r="QC166"/>
      <c r="QD166"/>
      <c r="QE166"/>
      <c r="QF166"/>
      <c r="QG166"/>
      <c r="QH166"/>
      <c r="QI166"/>
      <c r="QJ166"/>
      <c r="QK166"/>
      <c r="QL166"/>
      <c r="QM166"/>
      <c r="QN166"/>
      <c r="QO166"/>
      <c r="QP166"/>
      <c r="QQ166"/>
      <c r="QR166"/>
      <c r="QS166"/>
      <c r="QT166"/>
      <c r="QU166"/>
      <c r="QV166"/>
      <c r="QW166"/>
      <c r="QX166"/>
      <c r="QY166"/>
      <c r="QZ166"/>
      <c r="RA166"/>
      <c r="RB166"/>
      <c r="RC166"/>
      <c r="RD166"/>
      <c r="RE166"/>
      <c r="RF166"/>
      <c r="RG166"/>
      <c r="RH166"/>
      <c r="RI166"/>
      <c r="RJ166"/>
      <c r="RK166"/>
      <c r="RL166"/>
      <c r="RM166"/>
      <c r="RN166"/>
      <c r="RO166"/>
      <c r="RP166"/>
      <c r="RQ166"/>
      <c r="RR166"/>
      <c r="RS166"/>
      <c r="RT166"/>
      <c r="RU166"/>
      <c r="RV166"/>
      <c r="RW166"/>
      <c r="RX166"/>
      <c r="RY166"/>
      <c r="RZ166"/>
      <c r="SA166"/>
      <c r="SB166"/>
      <c r="SC166"/>
      <c r="SD166"/>
      <c r="SE166"/>
      <c r="SF166"/>
      <c r="SG166"/>
      <c r="SH166"/>
      <c r="SI166"/>
      <c r="SJ166"/>
      <c r="SK166"/>
      <c r="SL166"/>
      <c r="SM166"/>
      <c r="SN166"/>
      <c r="SO166"/>
      <c r="SP166"/>
      <c r="SQ166"/>
      <c r="SR166"/>
      <c r="SS166"/>
      <c r="ST166"/>
      <c r="SU166"/>
      <c r="SV166"/>
      <c r="SW166"/>
      <c r="SX166"/>
      <c r="SY166"/>
      <c r="SZ166"/>
      <c r="TA166"/>
      <c r="TB166"/>
      <c r="TC166"/>
      <c r="TD166"/>
      <c r="TE166"/>
      <c r="TF166"/>
      <c r="TG166"/>
      <c r="TH166"/>
      <c r="TI166"/>
      <c r="TJ166"/>
      <c r="TK166"/>
      <c r="TL166"/>
      <c r="TM166"/>
      <c r="TN166"/>
      <c r="TO166"/>
      <c r="TP166"/>
      <c r="TQ166"/>
      <c r="TR166"/>
      <c r="TS166"/>
      <c r="TT166"/>
      <c r="TU166"/>
      <c r="TV166"/>
      <c r="TW166"/>
      <c r="TX166"/>
      <c r="TY166"/>
      <c r="TZ166"/>
      <c r="UA166"/>
      <c r="UB166"/>
      <c r="UC166"/>
      <c r="UD166"/>
      <c r="UE166"/>
      <c r="UF166"/>
      <c r="UG166"/>
      <c r="UH166"/>
      <c r="UI166"/>
      <c r="UJ166"/>
      <c r="UK166"/>
      <c r="UL166"/>
      <c r="UM166"/>
      <c r="UN166"/>
      <c r="UO166"/>
      <c r="UP166"/>
      <c r="UQ166"/>
      <c r="UR166"/>
      <c r="US166"/>
      <c r="UT166"/>
      <c r="UU166"/>
      <c r="UV166"/>
      <c r="UW166"/>
      <c r="UX166"/>
      <c r="UY166"/>
      <c r="UZ166"/>
      <c r="VA166"/>
      <c r="VB166"/>
      <c r="VC166"/>
      <c r="VD166"/>
      <c r="VE166"/>
      <c r="VF166"/>
      <c r="VG166"/>
      <c r="VH166"/>
      <c r="VI166"/>
      <c r="VJ166"/>
      <c r="VK166"/>
      <c r="VL166"/>
      <c r="VM166"/>
      <c r="VN166"/>
      <c r="VO166"/>
      <c r="VP166"/>
      <c r="VQ166"/>
      <c r="VR166"/>
      <c r="VS166"/>
      <c r="VT166"/>
      <c r="VU166"/>
      <c r="VV166"/>
      <c r="VW166"/>
      <c r="VX166"/>
      <c r="VY166"/>
      <c r="VZ166"/>
      <c r="WA166"/>
      <c r="WB166"/>
      <c r="WC166"/>
      <c r="WD166"/>
      <c r="WE166"/>
      <c r="WF166"/>
      <c r="WG166"/>
      <c r="WH166"/>
      <c r="WI166"/>
      <c r="WJ166"/>
      <c r="WK166"/>
      <c r="WL166"/>
      <c r="WM166"/>
      <c r="WN166"/>
      <c r="WO166"/>
      <c r="WP166"/>
      <c r="WQ166"/>
      <c r="WR166"/>
      <c r="WS166"/>
      <c r="WT166"/>
      <c r="WU166"/>
      <c r="WV166"/>
      <c r="WW166"/>
      <c r="WX166"/>
      <c r="WY166"/>
      <c r="WZ166"/>
      <c r="XA166"/>
      <c r="XB166"/>
      <c r="XC166"/>
      <c r="XD166"/>
      <c r="XE166"/>
      <c r="XF166"/>
      <c r="XG166"/>
      <c r="XH166"/>
      <c r="XI166"/>
      <c r="XJ166"/>
      <c r="XK166"/>
      <c r="XL166"/>
      <c r="XM166"/>
      <c r="XN166"/>
      <c r="XO166"/>
      <c r="XP166"/>
      <c r="XQ166"/>
      <c r="XR166"/>
      <c r="XS166"/>
      <c r="XT166"/>
      <c r="XU166"/>
      <c r="XV166"/>
      <c r="XW166"/>
      <c r="XX166"/>
      <c r="XY166"/>
      <c r="XZ166"/>
      <c r="YA166"/>
      <c r="YB166"/>
      <c r="YC166"/>
      <c r="YD166"/>
      <c r="YE166"/>
      <c r="YF166"/>
      <c r="YG166"/>
      <c r="YH166"/>
      <c r="YI166"/>
      <c r="YJ166"/>
      <c r="YK166"/>
      <c r="YL166"/>
      <c r="YM166"/>
      <c r="YN166"/>
      <c r="YO166"/>
      <c r="YP166"/>
      <c r="YQ166"/>
      <c r="YR166"/>
      <c r="YS166"/>
      <c r="YT166"/>
      <c r="YU166"/>
      <c r="YV166"/>
      <c r="YW166"/>
      <c r="YX166"/>
      <c r="YY166"/>
      <c r="YZ166"/>
      <c r="ZA166"/>
      <c r="ZB166"/>
      <c r="ZC166"/>
      <c r="ZD166"/>
      <c r="ZE166"/>
      <c r="ZF166"/>
      <c r="ZG166"/>
      <c r="ZH166"/>
      <c r="ZI166"/>
      <c r="ZJ166"/>
      <c r="ZK166"/>
      <c r="ZL166"/>
      <c r="ZM166"/>
      <c r="ZN166"/>
      <c r="ZO166"/>
      <c r="ZP166"/>
      <c r="ZQ166"/>
      <c r="ZR166"/>
      <c r="ZS166"/>
      <c r="ZT166"/>
      <c r="ZU166"/>
      <c r="ZV166"/>
      <c r="ZW166"/>
      <c r="ZX166"/>
      <c r="ZY166"/>
      <c r="ZZ166"/>
      <c r="AAA166"/>
      <c r="AAB166"/>
      <c r="AAC166"/>
      <c r="AAD166"/>
      <c r="AAE166"/>
      <c r="AAF166"/>
      <c r="AAG166"/>
      <c r="AAH166"/>
      <c r="AAI166"/>
      <c r="AAJ166"/>
      <c r="AAK166"/>
      <c r="AAL166"/>
      <c r="AAM166"/>
      <c r="AAN166"/>
      <c r="AAO166"/>
      <c r="AAP166"/>
      <c r="AAQ166"/>
      <c r="AAR166"/>
      <c r="AAS166"/>
      <c r="AAT166"/>
      <c r="AAU166"/>
      <c r="AAV166"/>
      <c r="AAW166"/>
      <c r="AAX166"/>
      <c r="AAY166"/>
      <c r="AAZ166"/>
      <c r="ABA166"/>
      <c r="ABB166"/>
      <c r="ABC166"/>
      <c r="ABD166"/>
      <c r="ABE166"/>
      <c r="ABF166"/>
      <c r="ABG166"/>
      <c r="ABH166"/>
      <c r="ABI166"/>
      <c r="ABJ166"/>
      <c r="ABK166"/>
      <c r="ABL166"/>
      <c r="ABM166"/>
      <c r="ABN166"/>
      <c r="ABO166"/>
      <c r="ABP166"/>
      <c r="ABQ166"/>
      <c r="ABR166"/>
      <c r="ABS166"/>
      <c r="ABT166"/>
      <c r="ABU166"/>
      <c r="ABV166"/>
      <c r="ABW166"/>
      <c r="ABX166"/>
      <c r="ABY166"/>
      <c r="ABZ166"/>
      <c r="ACA166"/>
      <c r="ACB166"/>
      <c r="ACC166"/>
      <c r="ACD166"/>
      <c r="ACE166"/>
      <c r="ACF166"/>
      <c r="ACG166"/>
      <c r="ACH166"/>
      <c r="ACI166"/>
      <c r="ACJ166"/>
      <c r="ACK166"/>
      <c r="ACL166"/>
      <c r="ACM166"/>
      <c r="ACN166"/>
      <c r="ACO166"/>
      <c r="ACP166"/>
      <c r="ACQ166"/>
      <c r="ACR166"/>
      <c r="ACS166"/>
      <c r="ACT166"/>
      <c r="ACU166"/>
      <c r="ACV166"/>
      <c r="ACW166"/>
      <c r="ACX166"/>
      <c r="ACY166"/>
      <c r="ACZ166"/>
      <c r="ADA166"/>
      <c r="ADB166"/>
      <c r="ADC166"/>
      <c r="ADD166"/>
      <c r="ADE166"/>
      <c r="ADF166"/>
      <c r="ADG166"/>
      <c r="ADH166"/>
      <c r="ADI166"/>
      <c r="ADJ166"/>
      <c r="ADK166"/>
      <c r="ADL166"/>
      <c r="ADM166"/>
      <c r="ADN166"/>
      <c r="ADO166"/>
      <c r="ADP166"/>
      <c r="ADQ166"/>
      <c r="ADR166"/>
      <c r="ADS166"/>
      <c r="ADT166"/>
      <c r="ADU166"/>
      <c r="ADV166"/>
      <c r="ADW166"/>
      <c r="ADX166"/>
      <c r="ADY166"/>
      <c r="ADZ166"/>
      <c r="AEA166"/>
      <c r="AEB166"/>
      <c r="AEC166"/>
      <c r="AED166"/>
      <c r="AEE166"/>
      <c r="AEF166"/>
      <c r="AEG166"/>
      <c r="AEH166"/>
      <c r="AEI166"/>
      <c r="AEJ166"/>
      <c r="AEK166"/>
      <c r="AEL166"/>
      <c r="AEM166"/>
      <c r="AEN166"/>
      <c r="AEO166"/>
      <c r="AEP166"/>
      <c r="AEQ166"/>
      <c r="AER166"/>
      <c r="AES166"/>
      <c r="AET166"/>
      <c r="AEU166"/>
      <c r="AEV166"/>
      <c r="AEW166"/>
      <c r="AEX166"/>
      <c r="AEY166"/>
      <c r="AEZ166"/>
      <c r="AFA166"/>
      <c r="AFB166"/>
      <c r="AFC166"/>
      <c r="AFD166"/>
      <c r="AFE166"/>
      <c r="AFF166"/>
      <c r="AFG166"/>
      <c r="AFH166"/>
      <c r="AFI166"/>
      <c r="AFJ166"/>
      <c r="AFK166"/>
      <c r="AFL166"/>
      <c r="AFM166"/>
      <c r="AFN166"/>
      <c r="AFO166"/>
      <c r="AFP166"/>
      <c r="AFQ166"/>
      <c r="AFR166"/>
      <c r="AFS166"/>
      <c r="AFT166"/>
      <c r="AFU166"/>
      <c r="AFV166"/>
      <c r="AFW166"/>
      <c r="AFX166"/>
      <c r="AFY166"/>
      <c r="AFZ166"/>
      <c r="AGA166"/>
      <c r="AGB166"/>
      <c r="AGC166"/>
      <c r="AGD166"/>
      <c r="AGE166"/>
      <c r="AGF166"/>
      <c r="AGG166"/>
      <c r="AGH166"/>
      <c r="AGI166"/>
      <c r="AGJ166"/>
      <c r="AGK166"/>
      <c r="AGL166"/>
      <c r="AGM166"/>
      <c r="AGN166"/>
      <c r="AGO166"/>
      <c r="AGP166"/>
      <c r="AGQ166"/>
      <c r="AGR166"/>
      <c r="AGS166"/>
      <c r="AGT166"/>
      <c r="AGU166"/>
      <c r="AGV166"/>
      <c r="AGW166"/>
      <c r="AGX166"/>
      <c r="AGY166"/>
      <c r="AGZ166"/>
      <c r="AHA166"/>
      <c r="AHB166"/>
      <c r="AHC166"/>
      <c r="AHD166"/>
      <c r="AHE166"/>
      <c r="AHF166"/>
      <c r="AHG166"/>
      <c r="AHH166"/>
      <c r="AHI166"/>
      <c r="AHJ166"/>
      <c r="AHK166"/>
      <c r="AHL166"/>
      <c r="AHM166"/>
      <c r="AHN166"/>
      <c r="AHO166"/>
      <c r="AHP166"/>
      <c r="AHQ166"/>
      <c r="AHR166"/>
      <c r="AHS166"/>
      <c r="AHT166"/>
      <c r="AHU166"/>
      <c r="AHV166"/>
      <c r="AHW166"/>
      <c r="AHX166"/>
      <c r="AHY166"/>
      <c r="AHZ166"/>
      <c r="AIA166"/>
      <c r="AIB166"/>
      <c r="AIC166"/>
      <c r="AID166"/>
      <c r="AIE166"/>
      <c r="AIF166"/>
      <c r="AIG166"/>
      <c r="AIH166"/>
      <c r="AII166"/>
      <c r="AIJ166"/>
      <c r="AIK166"/>
      <c r="AIL166"/>
      <c r="AIM166"/>
      <c r="AIN166"/>
      <c r="AIO166"/>
      <c r="AIP166"/>
      <c r="AIQ166"/>
      <c r="AIR166"/>
      <c r="AIS166"/>
      <c r="AIT166"/>
      <c r="AIU166"/>
      <c r="AIV166"/>
      <c r="AIW166"/>
      <c r="AIX166"/>
      <c r="AIY166"/>
      <c r="AIZ166"/>
      <c r="AJA166"/>
      <c r="AJB166"/>
      <c r="AJC166"/>
      <c r="AJD166"/>
      <c r="AJE166"/>
      <c r="AJF166"/>
      <c r="AJG166"/>
      <c r="AJH166"/>
      <c r="AJI166"/>
      <c r="AJJ166"/>
      <c r="AJK166"/>
      <c r="AJL166"/>
      <c r="AJM166"/>
      <c r="AJN166"/>
      <c r="AJO166"/>
      <c r="AJP166"/>
      <c r="AJQ166"/>
      <c r="AJR166"/>
      <c r="AJS166"/>
      <c r="AJT166"/>
      <c r="AJU166"/>
      <c r="AJV166"/>
      <c r="AJW166"/>
      <c r="AJX166"/>
      <c r="AJY166"/>
      <c r="AJZ166"/>
      <c r="AKA166"/>
      <c r="AKB166"/>
      <c r="AKC166"/>
      <c r="AKD166"/>
      <c r="AKE166"/>
      <c r="AKF166"/>
      <c r="AKG166"/>
      <c r="AKH166"/>
      <c r="AKI166"/>
      <c r="AKJ166"/>
      <c r="AKK166"/>
      <c r="AKL166"/>
      <c r="AKM166"/>
      <c r="AKN166"/>
      <c r="AKO166"/>
      <c r="AKP166"/>
      <c r="AKQ166"/>
      <c r="AKR166"/>
      <c r="AKS166"/>
      <c r="AKT166"/>
      <c r="AKU166"/>
      <c r="AKV166"/>
      <c r="AKW166"/>
      <c r="AKX166"/>
      <c r="AKY166"/>
      <c r="AKZ166"/>
      <c r="ALA166"/>
      <c r="ALB166"/>
      <c r="ALC166"/>
      <c r="ALD166"/>
      <c r="ALE166"/>
      <c r="ALF166"/>
      <c r="ALG166"/>
      <c r="ALH166"/>
      <c r="ALI166"/>
      <c r="ALJ166"/>
      <c r="ALK166"/>
      <c r="ALL166"/>
      <c r="ALM166"/>
      <c r="ALN166"/>
      <c r="ALO166"/>
      <c r="ALP166"/>
      <c r="ALQ166"/>
      <c r="ALR166"/>
      <c r="ALS166"/>
      <c r="ALT166"/>
      <c r="ALU166"/>
      <c r="ALV166"/>
      <c r="ALW166"/>
      <c r="ALX166"/>
      <c r="ALY166"/>
      <c r="ALZ166"/>
      <c r="AMA166"/>
      <c r="AMB166"/>
      <c r="AMC166"/>
      <c r="AMD166"/>
      <c r="AME166"/>
      <c r="AMF166"/>
      <c r="AMG166"/>
      <c r="AMH166"/>
      <c r="AMI166"/>
      <c r="AMJ166"/>
      <c r="AMK166"/>
      <c r="AML166"/>
      <c r="AMM166"/>
      <c r="AMN166"/>
      <c r="AMO166"/>
      <c r="AMP166"/>
      <c r="AMQ166"/>
      <c r="AMR166"/>
      <c r="AMS166"/>
      <c r="AMT166"/>
      <c r="AMU166"/>
      <c r="AMV166"/>
      <c r="AMW166"/>
      <c r="AMX166"/>
      <c r="AMY166"/>
      <c r="AMZ166"/>
      <c r="ANA166"/>
      <c r="ANB166"/>
      <c r="ANC166"/>
      <c r="AND166"/>
      <c r="ANE166"/>
      <c r="ANF166"/>
      <c r="ANG166"/>
      <c r="ANH166"/>
      <c r="ANI166"/>
      <c r="ANJ166"/>
      <c r="ANK166"/>
      <c r="ANL166"/>
      <c r="ANM166"/>
      <c r="ANN166"/>
      <c r="ANO166"/>
      <c r="ANP166"/>
      <c r="ANQ166"/>
      <c r="ANR166"/>
      <c r="ANS166"/>
      <c r="ANT166"/>
      <c r="ANU166"/>
      <c r="ANV166"/>
      <c r="ANW166"/>
      <c r="ANX166"/>
      <c r="ANY166"/>
      <c r="ANZ166"/>
      <c r="AOA166"/>
      <c r="AOB166"/>
      <c r="AOC166"/>
      <c r="AOD166"/>
      <c r="AOE166"/>
      <c r="AOF166"/>
      <c r="AOG166"/>
      <c r="AOH166"/>
      <c r="AOI166"/>
      <c r="AOJ166"/>
      <c r="AOK166"/>
      <c r="AOL166"/>
      <c r="AOM166"/>
      <c r="AON166"/>
      <c r="AOO166"/>
      <c r="AOP166"/>
      <c r="AOQ166"/>
      <c r="AOR166"/>
      <c r="AOS166"/>
      <c r="AOT166"/>
      <c r="AOU166"/>
      <c r="AOV166"/>
      <c r="AOW166"/>
      <c r="AOX166"/>
      <c r="AOY166"/>
      <c r="AOZ166"/>
      <c r="APA166"/>
      <c r="APB166"/>
      <c r="APC166"/>
      <c r="APD166"/>
      <c r="APE166"/>
      <c r="APF166"/>
      <c r="APG166"/>
      <c r="APH166"/>
      <c r="API166"/>
      <c r="APJ166"/>
      <c r="APK166"/>
      <c r="APL166"/>
      <c r="APM166"/>
      <c r="APN166"/>
      <c r="APO166"/>
      <c r="APP166"/>
      <c r="APQ166"/>
      <c r="APR166"/>
      <c r="APS166"/>
      <c r="APT166"/>
      <c r="APU166"/>
      <c r="APV166"/>
      <c r="APW166"/>
      <c r="APX166"/>
      <c r="APY166"/>
      <c r="APZ166"/>
      <c r="AQA166"/>
      <c r="AQB166"/>
      <c r="AQC166"/>
      <c r="AQD166"/>
      <c r="AQE166"/>
      <c r="AQF166"/>
      <c r="AQG166"/>
      <c r="AQH166"/>
      <c r="AQI166"/>
      <c r="AQJ166"/>
      <c r="AQK166"/>
      <c r="AQL166"/>
      <c r="AQM166"/>
      <c r="AQN166"/>
      <c r="AQO166"/>
      <c r="AQP166"/>
      <c r="AQQ166"/>
      <c r="AQR166"/>
      <c r="AQS166"/>
      <c r="AQT166"/>
      <c r="AQU166"/>
      <c r="AQV166"/>
      <c r="AQW166"/>
      <c r="AQX166"/>
      <c r="AQY166"/>
      <c r="AQZ166"/>
      <c r="ARA166"/>
      <c r="ARB166"/>
      <c r="ARC166"/>
      <c r="ARD166"/>
      <c r="ARE166"/>
      <c r="ARF166"/>
      <c r="ARG166"/>
      <c r="ARH166"/>
      <c r="ARI166"/>
      <c r="ARJ166"/>
      <c r="ARK166"/>
      <c r="ARL166"/>
      <c r="ARM166"/>
      <c r="ARN166"/>
      <c r="ARO166"/>
      <c r="ARP166"/>
      <c r="ARQ166"/>
      <c r="ARR166"/>
      <c r="ARS166"/>
      <c r="ART166"/>
      <c r="ARU166"/>
      <c r="ARV166"/>
      <c r="ARW166"/>
      <c r="ARX166"/>
      <c r="ARY166"/>
      <c r="ARZ166"/>
      <c r="ASA166"/>
      <c r="ASB166"/>
      <c r="ASC166"/>
      <c r="ASD166"/>
      <c r="ASE166"/>
      <c r="ASF166"/>
      <c r="ASG166"/>
      <c r="ASH166"/>
      <c r="ASI166"/>
      <c r="ASJ166"/>
      <c r="ASK166"/>
      <c r="ASL166"/>
      <c r="ASM166"/>
      <c r="ASN166"/>
      <c r="ASO166"/>
      <c r="ASP166"/>
      <c r="ASQ166"/>
      <c r="ASR166"/>
      <c r="ASS166"/>
      <c r="AST166"/>
      <c r="ASU166"/>
      <c r="ASV166"/>
      <c r="ASW166"/>
      <c r="ASX166"/>
      <c r="ASY166"/>
      <c r="ASZ166"/>
      <c r="ATA166"/>
      <c r="ATB166"/>
      <c r="ATC166"/>
      <c r="ATD166"/>
      <c r="ATE166"/>
      <c r="ATF166"/>
      <c r="ATG166"/>
      <c r="ATH166"/>
      <c r="ATI166"/>
      <c r="ATJ166"/>
      <c r="ATK166"/>
      <c r="ATL166"/>
      <c r="ATM166"/>
      <c r="ATN166"/>
      <c r="ATO166"/>
      <c r="ATP166"/>
      <c r="ATQ166"/>
      <c r="ATR166"/>
      <c r="ATS166"/>
      <c r="ATT166"/>
      <c r="ATU166"/>
      <c r="ATV166"/>
      <c r="ATW166"/>
      <c r="ATX166"/>
      <c r="ATY166"/>
      <c r="ATZ166"/>
      <c r="AUA166"/>
      <c r="AUB166"/>
      <c r="AUC166"/>
      <c r="AUD166"/>
      <c r="AUE166"/>
      <c r="AUF166"/>
      <c r="AUG166"/>
      <c r="AUH166"/>
      <c r="AUI166"/>
      <c r="AUJ166"/>
      <c r="AUK166"/>
      <c r="AUL166"/>
      <c r="AUM166"/>
      <c r="AUN166"/>
      <c r="AUO166"/>
      <c r="AUP166"/>
      <c r="AUQ166"/>
      <c r="AUR166"/>
      <c r="AUS166"/>
      <c r="AUT166"/>
      <c r="AUU166"/>
      <c r="AUV166"/>
      <c r="AUW166"/>
      <c r="AUX166"/>
      <c r="AUY166"/>
      <c r="AUZ166"/>
      <c r="AVA166"/>
      <c r="AVB166"/>
      <c r="AVC166"/>
      <c r="AVD166"/>
      <c r="AVE166"/>
      <c r="AVF166"/>
      <c r="AVG166"/>
      <c r="AVH166"/>
      <c r="AVI166"/>
      <c r="AVJ166"/>
      <c r="AVK166"/>
      <c r="AVL166"/>
      <c r="AVM166"/>
      <c r="AVN166"/>
      <c r="AVO166"/>
      <c r="AVP166"/>
      <c r="AVQ166"/>
      <c r="AVR166"/>
      <c r="AVS166"/>
      <c r="AVT166"/>
      <c r="AVU166"/>
      <c r="AVV166"/>
      <c r="AVW166"/>
      <c r="AVX166"/>
      <c r="AVY166"/>
      <c r="AVZ166"/>
      <c r="AWA166"/>
      <c r="AWB166"/>
      <c r="AWC166"/>
      <c r="AWD166"/>
      <c r="AWE166"/>
      <c r="AWF166"/>
      <c r="AWG166"/>
      <c r="AWH166"/>
      <c r="AWI166"/>
      <c r="AWJ166"/>
      <c r="AWK166"/>
      <c r="AWL166"/>
      <c r="AWM166"/>
      <c r="AWN166"/>
      <c r="AWO166"/>
      <c r="AWP166"/>
      <c r="AWQ166"/>
      <c r="AWR166"/>
      <c r="AWS166"/>
      <c r="AWT166"/>
      <c r="AWU166"/>
      <c r="AWV166"/>
      <c r="AWW166"/>
      <c r="AWX166"/>
      <c r="AWY166"/>
      <c r="AWZ166"/>
      <c r="AXA166"/>
      <c r="AXB166"/>
      <c r="AXC166"/>
      <c r="AXD166"/>
      <c r="AXE166"/>
      <c r="AXF166"/>
      <c r="AXG166"/>
      <c r="AXH166"/>
      <c r="AXI166"/>
      <c r="AXJ166"/>
      <c r="AXK166"/>
      <c r="AXL166"/>
      <c r="AXM166"/>
      <c r="AXN166"/>
      <c r="AXO166"/>
      <c r="AXP166"/>
      <c r="AXQ166"/>
      <c r="AXR166"/>
      <c r="AXS166"/>
      <c r="AXT166"/>
      <c r="AXU166"/>
      <c r="AXV166"/>
      <c r="AXW166"/>
      <c r="AXX166"/>
      <c r="AXY166"/>
      <c r="AXZ166"/>
      <c r="AYA166"/>
      <c r="AYB166"/>
      <c r="AYC166"/>
      <c r="AYD166"/>
      <c r="AYE166"/>
      <c r="AYF166"/>
      <c r="AYG166"/>
      <c r="AYH166"/>
      <c r="AYI166"/>
      <c r="AYJ166"/>
      <c r="AYK166"/>
      <c r="AYL166"/>
      <c r="AYM166"/>
      <c r="AYN166"/>
      <c r="AYO166"/>
      <c r="AYP166"/>
      <c r="AYQ166"/>
      <c r="AYR166"/>
      <c r="AYS166"/>
      <c r="AYT166"/>
      <c r="AYU166"/>
      <c r="AYV166"/>
      <c r="AYW166"/>
      <c r="AYX166"/>
      <c r="AYY166"/>
      <c r="AYZ166"/>
      <c r="AZA166"/>
      <c r="AZB166"/>
      <c r="AZC166"/>
      <c r="AZD166"/>
      <c r="AZE166"/>
      <c r="AZF166"/>
      <c r="AZG166"/>
      <c r="AZH166"/>
      <c r="AZI166"/>
      <c r="AZJ166"/>
      <c r="AZK166"/>
      <c r="AZL166"/>
      <c r="AZM166"/>
      <c r="AZN166"/>
      <c r="AZO166"/>
      <c r="AZP166"/>
      <c r="AZQ166"/>
      <c r="AZR166"/>
      <c r="AZS166"/>
      <c r="AZT166"/>
      <c r="AZU166"/>
      <c r="AZV166"/>
      <c r="AZW166"/>
      <c r="AZX166"/>
      <c r="AZY166"/>
      <c r="AZZ166"/>
      <c r="BAA166"/>
      <c r="BAB166"/>
      <c r="BAC166"/>
      <c r="BAD166"/>
      <c r="BAE166"/>
      <c r="BAF166"/>
      <c r="BAG166"/>
      <c r="BAH166"/>
      <c r="BAI166"/>
      <c r="BAJ166"/>
      <c r="BAK166"/>
      <c r="BAL166"/>
      <c r="BAM166"/>
      <c r="BAN166"/>
      <c r="BAO166"/>
      <c r="BAP166"/>
      <c r="BAQ166"/>
      <c r="BAR166"/>
      <c r="BAS166"/>
      <c r="BAT166"/>
      <c r="BAU166"/>
      <c r="BAV166"/>
      <c r="BAW166"/>
      <c r="BAX166"/>
      <c r="BAY166"/>
      <c r="BAZ166"/>
      <c r="BBA166"/>
      <c r="BBB166"/>
      <c r="BBC166"/>
      <c r="BBD166"/>
      <c r="BBE166"/>
      <c r="BBF166"/>
      <c r="BBG166"/>
      <c r="BBH166"/>
      <c r="BBI166"/>
      <c r="BBJ166"/>
      <c r="BBK166"/>
      <c r="BBL166"/>
      <c r="BBM166"/>
      <c r="BBN166"/>
      <c r="BBO166"/>
      <c r="BBP166"/>
      <c r="BBQ166"/>
      <c r="BBR166"/>
      <c r="BBS166"/>
      <c r="BBT166"/>
      <c r="BBU166"/>
      <c r="BBV166"/>
      <c r="BBW166"/>
      <c r="BBX166"/>
      <c r="BBY166"/>
      <c r="BBZ166"/>
      <c r="BCA166"/>
      <c r="BCB166"/>
      <c r="BCC166"/>
      <c r="BCD166"/>
      <c r="BCE166"/>
      <c r="BCF166"/>
      <c r="BCG166"/>
      <c r="BCH166"/>
      <c r="BCI166"/>
      <c r="BCJ166"/>
      <c r="BCK166"/>
      <c r="BCL166"/>
      <c r="BCM166"/>
      <c r="BCN166"/>
      <c r="BCO166"/>
      <c r="BCP166"/>
      <c r="BCQ166"/>
      <c r="BCR166"/>
      <c r="BCS166"/>
      <c r="BCT166"/>
      <c r="BCU166"/>
      <c r="BCV166"/>
      <c r="BCW166"/>
      <c r="BCX166"/>
      <c r="BCY166"/>
      <c r="BCZ166"/>
      <c r="BDA166"/>
      <c r="BDB166"/>
      <c r="BDC166"/>
      <c r="BDD166"/>
      <c r="BDE166"/>
      <c r="BDF166"/>
      <c r="BDG166"/>
      <c r="BDH166"/>
      <c r="BDI166"/>
      <c r="BDJ166"/>
      <c r="BDK166"/>
      <c r="BDL166"/>
      <c r="BDM166"/>
      <c r="BDN166"/>
      <c r="BDO166"/>
      <c r="BDP166"/>
      <c r="BDQ166"/>
      <c r="BDR166"/>
      <c r="BDS166"/>
      <c r="BDT166"/>
      <c r="BDU166"/>
      <c r="BDV166"/>
      <c r="BDW166"/>
      <c r="BDX166"/>
      <c r="BDY166"/>
      <c r="BDZ166"/>
      <c r="BEA166"/>
      <c r="BEB166"/>
      <c r="BEC166"/>
      <c r="BED166"/>
      <c r="BEE166"/>
      <c r="BEF166"/>
      <c r="BEG166"/>
      <c r="BEH166"/>
      <c r="BEI166"/>
      <c r="BEJ166"/>
      <c r="BEK166"/>
      <c r="BEL166"/>
      <c r="BEM166"/>
      <c r="BEN166"/>
      <c r="BEO166"/>
      <c r="BEP166"/>
      <c r="BEQ166"/>
      <c r="BER166"/>
      <c r="BES166"/>
      <c r="BET166"/>
      <c r="BEU166"/>
      <c r="BEV166"/>
      <c r="BEW166"/>
      <c r="BEX166"/>
      <c r="BEY166"/>
      <c r="BEZ166"/>
      <c r="BFA166"/>
      <c r="BFB166"/>
      <c r="BFC166"/>
      <c r="BFD166"/>
      <c r="BFE166"/>
      <c r="BFF166"/>
      <c r="BFG166"/>
      <c r="BFH166"/>
      <c r="BFI166"/>
      <c r="BFJ166"/>
      <c r="BFK166"/>
      <c r="BFL166"/>
      <c r="BFM166"/>
      <c r="BFN166"/>
      <c r="BFO166"/>
      <c r="BFP166"/>
      <c r="BFQ166"/>
      <c r="BFR166"/>
      <c r="BFS166"/>
      <c r="BFT166"/>
      <c r="BFU166"/>
      <c r="BFV166"/>
      <c r="BFW166"/>
      <c r="BFX166"/>
      <c r="BFY166"/>
      <c r="BFZ166"/>
      <c r="BGA166"/>
      <c r="BGB166"/>
      <c r="BGC166"/>
      <c r="BGD166"/>
      <c r="BGE166"/>
      <c r="BGF166"/>
      <c r="BGG166"/>
      <c r="BGH166"/>
      <c r="BGI166"/>
      <c r="BGJ166"/>
      <c r="BGK166"/>
      <c r="BGL166"/>
      <c r="BGM166"/>
      <c r="BGN166"/>
      <c r="BGO166"/>
      <c r="BGP166"/>
      <c r="BGQ166"/>
      <c r="BGR166"/>
      <c r="BGS166"/>
      <c r="BGT166"/>
      <c r="BGU166"/>
      <c r="BGV166"/>
      <c r="BGW166"/>
      <c r="BGX166"/>
      <c r="BGY166"/>
      <c r="BGZ166"/>
      <c r="BHA166"/>
      <c r="BHB166"/>
      <c r="BHC166"/>
      <c r="BHD166"/>
      <c r="BHE166"/>
      <c r="BHF166"/>
      <c r="BHG166"/>
      <c r="BHH166"/>
      <c r="BHI166"/>
      <c r="BHJ166"/>
      <c r="BHK166"/>
      <c r="BHL166"/>
      <c r="BHM166"/>
      <c r="BHN166"/>
      <c r="BHO166"/>
      <c r="BHP166"/>
      <c r="BHQ166"/>
      <c r="BHR166"/>
      <c r="BHS166"/>
      <c r="BHT166"/>
      <c r="BHU166"/>
      <c r="BHV166"/>
      <c r="BHW166"/>
      <c r="BHX166"/>
      <c r="BHY166"/>
      <c r="BHZ166"/>
      <c r="BIA166"/>
      <c r="BIB166"/>
      <c r="BIC166"/>
      <c r="BID166"/>
      <c r="BIE166"/>
      <c r="BIF166"/>
      <c r="BIG166"/>
      <c r="BIH166"/>
      <c r="BII166"/>
      <c r="BIJ166"/>
      <c r="BIK166"/>
      <c r="BIL166"/>
      <c r="BIM166"/>
      <c r="BIN166"/>
      <c r="BIO166"/>
      <c r="BIP166"/>
      <c r="BIQ166"/>
      <c r="BIR166"/>
      <c r="BIS166"/>
      <c r="BIT166"/>
      <c r="BIU166"/>
      <c r="BIV166"/>
      <c r="BIW166"/>
      <c r="BIX166"/>
      <c r="BIY166"/>
      <c r="BIZ166"/>
      <c r="BJA166"/>
      <c r="BJB166"/>
      <c r="BJC166"/>
      <c r="BJD166"/>
      <c r="BJE166"/>
      <c r="BJF166"/>
      <c r="BJG166"/>
      <c r="BJH166"/>
      <c r="BJI166"/>
      <c r="BJJ166"/>
      <c r="BJK166"/>
      <c r="BJL166"/>
      <c r="BJM166"/>
      <c r="BJN166"/>
      <c r="BJO166"/>
      <c r="BJP166"/>
      <c r="BJQ166"/>
      <c r="BJR166"/>
      <c r="BJS166"/>
      <c r="BJT166"/>
      <c r="BJU166"/>
      <c r="BJV166"/>
      <c r="BJW166"/>
      <c r="BJX166"/>
      <c r="BJY166"/>
      <c r="BJZ166"/>
      <c r="BKA166"/>
      <c r="BKB166"/>
      <c r="BKC166"/>
      <c r="BKD166"/>
      <c r="BKE166"/>
      <c r="BKF166"/>
      <c r="BKG166"/>
      <c r="BKH166"/>
      <c r="BKI166"/>
      <c r="BKJ166"/>
      <c r="BKK166"/>
      <c r="BKL166"/>
      <c r="BKM166"/>
      <c r="BKN166"/>
      <c r="BKO166"/>
      <c r="BKP166"/>
      <c r="BKQ166"/>
      <c r="BKR166"/>
      <c r="BKS166"/>
      <c r="BKT166"/>
      <c r="BKU166"/>
      <c r="BKV166"/>
      <c r="BKW166"/>
      <c r="BKX166"/>
      <c r="BKY166"/>
      <c r="BKZ166"/>
      <c r="BLA166"/>
      <c r="BLB166"/>
      <c r="BLC166"/>
      <c r="BLD166"/>
      <c r="BLE166"/>
      <c r="BLF166"/>
      <c r="BLG166"/>
      <c r="BLH166"/>
      <c r="BLI166"/>
      <c r="BLJ166"/>
      <c r="BLK166"/>
      <c r="BLL166"/>
      <c r="BLM166"/>
      <c r="BLN166"/>
      <c r="BLO166"/>
      <c r="BLP166"/>
      <c r="BLQ166"/>
      <c r="BLR166"/>
      <c r="BLS166"/>
      <c r="BLT166"/>
      <c r="BLU166"/>
      <c r="BLV166"/>
      <c r="BLW166"/>
      <c r="BLX166"/>
      <c r="BLY166"/>
      <c r="BLZ166"/>
      <c r="BMA166"/>
      <c r="BMB166"/>
      <c r="BMC166"/>
      <c r="BMD166"/>
      <c r="BME166"/>
      <c r="BMF166"/>
      <c r="BMG166"/>
      <c r="BMH166"/>
      <c r="BMI166"/>
      <c r="BMJ166"/>
      <c r="BMK166"/>
      <c r="BML166"/>
      <c r="BMM166"/>
      <c r="BMN166"/>
      <c r="BMO166"/>
      <c r="BMP166"/>
      <c r="BMQ166"/>
      <c r="BMR166"/>
      <c r="BMS166"/>
      <c r="BMT166"/>
      <c r="BMU166"/>
      <c r="BMV166"/>
      <c r="BMW166"/>
      <c r="BMX166"/>
      <c r="BMY166"/>
      <c r="BMZ166"/>
      <c r="BNA166"/>
      <c r="BNB166"/>
      <c r="BNC166"/>
      <c r="BND166"/>
      <c r="BNE166"/>
      <c r="BNF166"/>
      <c r="BNG166"/>
      <c r="BNH166"/>
      <c r="BNI166"/>
      <c r="BNJ166"/>
      <c r="BNK166"/>
      <c r="BNL166"/>
      <c r="BNM166"/>
      <c r="BNN166"/>
      <c r="BNO166"/>
      <c r="BNP166"/>
      <c r="BNQ166"/>
      <c r="BNR166"/>
      <c r="BNS166"/>
      <c r="BNT166"/>
      <c r="BNU166"/>
      <c r="BNV166"/>
      <c r="BNW166"/>
      <c r="BNX166"/>
      <c r="BNY166"/>
      <c r="BNZ166"/>
      <c r="BOA166"/>
      <c r="BOB166"/>
      <c r="BOC166"/>
      <c r="BOD166"/>
      <c r="BOE166"/>
      <c r="BOF166"/>
      <c r="BOG166"/>
      <c r="BOH166"/>
      <c r="BOI166"/>
      <c r="BOJ166"/>
      <c r="BOK166"/>
      <c r="BOL166"/>
      <c r="BOM166"/>
      <c r="BON166"/>
      <c r="BOO166"/>
      <c r="BOP166"/>
      <c r="BOQ166"/>
      <c r="BOR166"/>
      <c r="BOS166"/>
      <c r="BOT166"/>
      <c r="BOU166"/>
      <c r="BOV166"/>
      <c r="BOW166"/>
      <c r="BOX166"/>
      <c r="BOY166"/>
      <c r="BOZ166"/>
      <c r="BPA166"/>
      <c r="BPB166"/>
      <c r="BPC166"/>
      <c r="BPD166"/>
      <c r="BPE166"/>
      <c r="BPF166"/>
      <c r="BPG166"/>
      <c r="BPH166"/>
      <c r="BPI166"/>
      <c r="BPJ166"/>
      <c r="BPK166"/>
      <c r="BPL166"/>
      <c r="BPM166"/>
      <c r="BPN166"/>
      <c r="BPO166"/>
      <c r="BPP166"/>
      <c r="BPQ166"/>
      <c r="BPR166"/>
      <c r="BPS166"/>
      <c r="BPT166"/>
      <c r="BPU166"/>
      <c r="BPV166"/>
      <c r="BPW166"/>
      <c r="BPX166"/>
      <c r="BPY166"/>
      <c r="BPZ166"/>
      <c r="BQA166"/>
      <c r="BQB166"/>
      <c r="BQC166"/>
      <c r="BQD166"/>
      <c r="BQE166"/>
      <c r="BQF166"/>
      <c r="BQG166"/>
      <c r="BQH166"/>
      <c r="BQI166"/>
      <c r="BQJ166"/>
      <c r="BQK166"/>
      <c r="BQL166"/>
      <c r="BQM166"/>
      <c r="BQN166"/>
      <c r="BQO166"/>
      <c r="BQP166"/>
      <c r="BQQ166"/>
      <c r="BQR166"/>
      <c r="BQS166"/>
      <c r="BQT166"/>
      <c r="BQU166"/>
      <c r="BQV166"/>
      <c r="BQW166"/>
      <c r="BQX166"/>
      <c r="BQY166"/>
      <c r="BQZ166"/>
      <c r="BRA166"/>
      <c r="BRB166"/>
      <c r="BRC166"/>
      <c r="BRD166"/>
      <c r="BRE166"/>
      <c r="BRF166"/>
      <c r="BRG166"/>
      <c r="BRH166"/>
      <c r="BRI166"/>
      <c r="BRJ166"/>
      <c r="BRK166"/>
      <c r="BRL166"/>
      <c r="BRM166"/>
      <c r="BRN166"/>
      <c r="BRO166"/>
      <c r="BRP166"/>
      <c r="BRQ166"/>
      <c r="BRR166"/>
      <c r="BRS166"/>
      <c r="BRT166"/>
      <c r="BRU166"/>
      <c r="BRV166"/>
      <c r="BRW166"/>
      <c r="BRX166"/>
      <c r="BRY166"/>
      <c r="BRZ166"/>
      <c r="BSA166"/>
      <c r="BSB166"/>
      <c r="BSC166"/>
      <c r="BSD166"/>
      <c r="BSE166"/>
      <c r="BSF166"/>
      <c r="BSG166"/>
      <c r="BSH166"/>
      <c r="BSI166"/>
      <c r="BSJ166"/>
      <c r="BSK166"/>
      <c r="BSL166"/>
      <c r="BSM166"/>
      <c r="BSN166"/>
      <c r="BSO166"/>
      <c r="BSP166"/>
      <c r="BSQ166"/>
      <c r="BSR166"/>
      <c r="BSS166"/>
      <c r="BST166"/>
      <c r="BSU166"/>
      <c r="BSV166"/>
      <c r="BSW166"/>
      <c r="BSX166"/>
      <c r="BSY166"/>
      <c r="BSZ166"/>
      <c r="BTA166"/>
      <c r="BTB166"/>
      <c r="BTC166"/>
      <c r="BTD166"/>
      <c r="BTE166"/>
      <c r="BTF166"/>
      <c r="BTG166"/>
      <c r="BTH166"/>
      <c r="BTI166"/>
      <c r="BTJ166"/>
      <c r="BTK166"/>
      <c r="BTL166"/>
      <c r="BTM166"/>
      <c r="BTN166"/>
      <c r="BTO166"/>
      <c r="BTP166"/>
      <c r="BTQ166"/>
      <c r="BTR166"/>
      <c r="BTS166"/>
      <c r="BTT166"/>
      <c r="BTU166"/>
      <c r="BTV166"/>
      <c r="BTW166"/>
      <c r="BTX166"/>
      <c r="BTY166"/>
      <c r="BTZ166"/>
      <c r="BUA166"/>
      <c r="BUB166"/>
      <c r="BUC166"/>
      <c r="BUD166"/>
      <c r="BUE166"/>
      <c r="BUF166"/>
      <c r="BUG166"/>
      <c r="BUH166"/>
      <c r="BUI166"/>
      <c r="BUJ166"/>
      <c r="BUK166"/>
      <c r="BUL166"/>
      <c r="BUM166"/>
      <c r="BUN166"/>
      <c r="BUO166"/>
      <c r="BUP166"/>
      <c r="BUQ166"/>
      <c r="BUR166"/>
      <c r="BUS166"/>
      <c r="BUT166"/>
      <c r="BUU166"/>
      <c r="BUV166"/>
      <c r="BUW166"/>
      <c r="BUX166"/>
      <c r="BUY166"/>
      <c r="BUZ166"/>
      <c r="BVA166"/>
      <c r="BVB166"/>
      <c r="BVC166"/>
      <c r="BVD166"/>
      <c r="BVE166"/>
      <c r="BVF166"/>
      <c r="BVG166"/>
      <c r="BVH166"/>
      <c r="BVI166"/>
      <c r="BVJ166"/>
      <c r="BVK166"/>
      <c r="BVL166"/>
      <c r="BVM166"/>
      <c r="BVN166"/>
      <c r="BVO166"/>
      <c r="BVP166"/>
      <c r="BVQ166"/>
      <c r="BVR166"/>
      <c r="BVS166"/>
      <c r="BVT166"/>
      <c r="BVU166"/>
      <c r="BVV166"/>
      <c r="BVW166"/>
      <c r="BVX166"/>
      <c r="BVY166"/>
      <c r="BVZ166"/>
      <c r="BWA166"/>
      <c r="BWB166"/>
      <c r="BWC166"/>
      <c r="BWD166"/>
      <c r="BWE166"/>
      <c r="BWF166"/>
      <c r="BWG166"/>
      <c r="BWH166"/>
      <c r="BWI166"/>
      <c r="BWJ166"/>
      <c r="BWK166"/>
      <c r="BWL166"/>
      <c r="BWM166"/>
      <c r="BWN166"/>
      <c r="BWO166"/>
      <c r="BWP166"/>
      <c r="BWQ166"/>
      <c r="BWR166"/>
      <c r="BWS166"/>
      <c r="BWT166"/>
      <c r="BWU166"/>
      <c r="BWV166"/>
      <c r="BWW166"/>
      <c r="BWX166"/>
      <c r="BWY166"/>
      <c r="BWZ166"/>
      <c r="BXA166"/>
      <c r="BXB166"/>
      <c r="BXC166"/>
      <c r="BXD166"/>
      <c r="BXE166"/>
      <c r="BXF166"/>
      <c r="BXG166"/>
      <c r="BXH166"/>
      <c r="BXI166"/>
      <c r="BXJ166"/>
      <c r="BXK166"/>
      <c r="BXL166"/>
      <c r="BXM166"/>
      <c r="BXN166"/>
      <c r="BXO166"/>
      <c r="BXP166"/>
      <c r="BXQ166"/>
      <c r="BXR166"/>
      <c r="BXS166"/>
      <c r="BXT166"/>
      <c r="BXU166"/>
      <c r="BXV166"/>
      <c r="BXW166"/>
      <c r="BXX166"/>
      <c r="BXY166"/>
      <c r="BXZ166"/>
      <c r="BYA166"/>
      <c r="BYB166"/>
      <c r="BYC166"/>
      <c r="BYD166"/>
      <c r="BYE166"/>
      <c r="BYF166"/>
      <c r="BYG166"/>
      <c r="BYH166"/>
      <c r="BYI166"/>
      <c r="BYJ166"/>
      <c r="BYK166"/>
      <c r="BYL166"/>
      <c r="BYM166"/>
      <c r="BYN166"/>
      <c r="BYO166"/>
      <c r="BYP166"/>
      <c r="BYQ166"/>
      <c r="BYR166"/>
      <c r="BYS166"/>
      <c r="BYT166"/>
      <c r="BYU166"/>
      <c r="BYV166"/>
      <c r="BYW166"/>
      <c r="BYX166"/>
      <c r="BYY166"/>
      <c r="BYZ166"/>
      <c r="BZA166"/>
      <c r="BZB166"/>
      <c r="BZC166"/>
      <c r="BZD166"/>
      <c r="BZE166"/>
      <c r="BZF166"/>
      <c r="BZG166"/>
      <c r="BZH166"/>
      <c r="BZI166"/>
      <c r="BZJ166"/>
      <c r="BZK166"/>
      <c r="BZL166"/>
      <c r="BZM166"/>
      <c r="BZN166"/>
      <c r="BZO166"/>
      <c r="BZP166"/>
      <c r="BZQ166"/>
      <c r="BZR166"/>
      <c r="BZS166"/>
      <c r="BZT166"/>
      <c r="BZU166"/>
      <c r="BZV166"/>
      <c r="BZW166"/>
      <c r="BZX166"/>
      <c r="BZY166"/>
      <c r="BZZ166"/>
      <c r="CAA166"/>
      <c r="CAB166"/>
      <c r="CAC166"/>
      <c r="CAD166"/>
      <c r="CAE166"/>
      <c r="CAF166"/>
      <c r="CAG166"/>
      <c r="CAH166"/>
      <c r="CAI166"/>
      <c r="CAJ166"/>
      <c r="CAK166"/>
      <c r="CAL166"/>
      <c r="CAM166"/>
      <c r="CAN166"/>
      <c r="CAO166"/>
      <c r="CAP166"/>
      <c r="CAQ166"/>
      <c r="CAR166"/>
      <c r="CAS166"/>
      <c r="CAT166"/>
      <c r="CAU166"/>
      <c r="CAV166"/>
      <c r="CAW166"/>
      <c r="CAX166"/>
      <c r="CAY166"/>
      <c r="CAZ166"/>
      <c r="CBA166"/>
      <c r="CBB166"/>
      <c r="CBC166"/>
      <c r="CBD166"/>
      <c r="CBE166"/>
      <c r="CBF166"/>
      <c r="CBG166"/>
      <c r="CBH166"/>
      <c r="CBI166"/>
      <c r="CBJ166"/>
      <c r="CBK166"/>
      <c r="CBL166"/>
      <c r="CBM166"/>
      <c r="CBN166"/>
      <c r="CBO166"/>
      <c r="CBP166"/>
      <c r="CBQ166"/>
      <c r="CBR166"/>
      <c r="CBS166"/>
      <c r="CBT166"/>
      <c r="CBU166"/>
      <c r="CBV166"/>
      <c r="CBW166"/>
      <c r="CBX166"/>
      <c r="CBY166"/>
      <c r="CBZ166"/>
      <c r="CCA166"/>
      <c r="CCB166"/>
      <c r="CCC166"/>
      <c r="CCD166"/>
      <c r="CCE166"/>
      <c r="CCF166"/>
      <c r="CCG166"/>
      <c r="CCH166"/>
      <c r="CCI166"/>
      <c r="CCJ166"/>
      <c r="CCK166"/>
      <c r="CCL166"/>
      <c r="CCM166"/>
      <c r="CCN166"/>
      <c r="CCO166"/>
      <c r="CCP166"/>
      <c r="CCQ166"/>
      <c r="CCR166"/>
      <c r="CCS166"/>
      <c r="CCT166"/>
      <c r="CCU166"/>
      <c r="CCV166"/>
      <c r="CCW166"/>
      <c r="CCX166"/>
      <c r="CCY166"/>
      <c r="CCZ166"/>
      <c r="CDA166"/>
      <c r="CDB166"/>
      <c r="CDC166"/>
      <c r="CDD166"/>
      <c r="CDE166"/>
      <c r="CDF166"/>
      <c r="CDG166"/>
      <c r="CDH166"/>
      <c r="CDI166"/>
      <c r="CDJ166"/>
      <c r="CDK166"/>
      <c r="CDL166"/>
      <c r="CDM166"/>
      <c r="CDN166"/>
      <c r="CDO166"/>
      <c r="CDP166"/>
      <c r="CDQ166"/>
      <c r="CDR166"/>
      <c r="CDS166"/>
      <c r="CDT166"/>
      <c r="CDU166"/>
      <c r="CDV166"/>
      <c r="CDW166"/>
      <c r="CDX166"/>
      <c r="CDY166"/>
      <c r="CDZ166"/>
      <c r="CEA166"/>
      <c r="CEB166"/>
      <c r="CEC166"/>
      <c r="CED166"/>
      <c r="CEE166"/>
      <c r="CEF166"/>
      <c r="CEG166"/>
      <c r="CEH166"/>
      <c r="CEI166"/>
      <c r="CEJ166"/>
      <c r="CEK166"/>
      <c r="CEL166"/>
      <c r="CEM166"/>
      <c r="CEN166"/>
      <c r="CEO166"/>
      <c r="CEP166"/>
      <c r="CEQ166"/>
      <c r="CER166"/>
      <c r="CES166"/>
      <c r="CET166"/>
      <c r="CEU166"/>
      <c r="CEV166"/>
      <c r="CEW166"/>
      <c r="CEX166"/>
      <c r="CEY166"/>
      <c r="CEZ166"/>
      <c r="CFA166"/>
      <c r="CFB166"/>
      <c r="CFC166"/>
      <c r="CFD166"/>
      <c r="CFE166"/>
      <c r="CFF166"/>
      <c r="CFG166"/>
      <c r="CFH166"/>
      <c r="CFI166"/>
      <c r="CFJ166"/>
      <c r="CFK166"/>
      <c r="CFL166"/>
      <c r="CFM166"/>
      <c r="CFN166"/>
      <c r="CFO166"/>
      <c r="CFP166"/>
      <c r="CFQ166"/>
      <c r="CFR166"/>
      <c r="CFS166"/>
      <c r="CFT166"/>
      <c r="CFU166"/>
      <c r="CFV166"/>
      <c r="CFW166"/>
      <c r="CFX166"/>
      <c r="CFY166"/>
      <c r="CFZ166"/>
      <c r="CGA166"/>
      <c r="CGB166"/>
      <c r="CGC166"/>
      <c r="CGD166"/>
      <c r="CGE166"/>
      <c r="CGF166"/>
      <c r="CGG166"/>
      <c r="CGH166"/>
      <c r="CGI166"/>
      <c r="CGJ166"/>
      <c r="CGK166"/>
      <c r="CGL166"/>
      <c r="CGM166"/>
      <c r="CGN166"/>
      <c r="CGO166"/>
      <c r="CGP166"/>
      <c r="CGQ166"/>
      <c r="CGR166"/>
      <c r="CGS166"/>
      <c r="CGT166"/>
      <c r="CGU166"/>
      <c r="CGV166"/>
      <c r="CGW166"/>
      <c r="CGX166"/>
      <c r="CGY166"/>
      <c r="CGZ166"/>
      <c r="CHA166"/>
      <c r="CHB166"/>
      <c r="CHC166"/>
      <c r="CHD166"/>
      <c r="CHE166"/>
      <c r="CHF166"/>
      <c r="CHG166"/>
      <c r="CHH166"/>
      <c r="CHI166"/>
      <c r="CHJ166"/>
      <c r="CHK166"/>
      <c r="CHL166"/>
      <c r="CHM166"/>
      <c r="CHN166"/>
      <c r="CHO166"/>
      <c r="CHP166"/>
      <c r="CHQ166"/>
      <c r="CHR166"/>
      <c r="CHS166"/>
      <c r="CHT166"/>
      <c r="CHU166"/>
      <c r="CHV166"/>
      <c r="CHW166"/>
      <c r="CHX166"/>
      <c r="CHY166"/>
      <c r="CHZ166"/>
      <c r="CIA166"/>
      <c r="CIB166"/>
      <c r="CIC166"/>
      <c r="CID166"/>
      <c r="CIE166"/>
      <c r="CIF166"/>
      <c r="CIG166"/>
      <c r="CIH166"/>
      <c r="CII166"/>
      <c r="CIJ166"/>
      <c r="CIK166"/>
      <c r="CIL166"/>
      <c r="CIM166"/>
      <c r="CIN166"/>
      <c r="CIO166"/>
      <c r="CIP166"/>
      <c r="CIQ166"/>
      <c r="CIR166"/>
      <c r="CIS166"/>
      <c r="CIT166"/>
      <c r="CIU166"/>
      <c r="CIV166"/>
      <c r="CIW166"/>
      <c r="CIX166"/>
      <c r="CIY166"/>
      <c r="CIZ166"/>
      <c r="CJA166"/>
      <c r="CJB166"/>
      <c r="CJC166"/>
      <c r="CJD166"/>
      <c r="CJE166"/>
      <c r="CJF166"/>
      <c r="CJG166"/>
      <c r="CJH166"/>
      <c r="CJI166"/>
      <c r="CJJ166"/>
      <c r="CJK166"/>
      <c r="CJL166"/>
      <c r="CJM166"/>
      <c r="CJN166"/>
      <c r="CJO166"/>
      <c r="CJP166"/>
      <c r="CJQ166"/>
      <c r="CJR166"/>
      <c r="CJS166"/>
      <c r="CJT166"/>
      <c r="CJU166"/>
      <c r="CJV166"/>
      <c r="CJW166"/>
      <c r="CJX166"/>
      <c r="CJY166"/>
      <c r="CJZ166"/>
      <c r="CKA166"/>
      <c r="CKB166"/>
      <c r="CKC166"/>
      <c r="CKD166"/>
      <c r="CKE166"/>
      <c r="CKF166"/>
      <c r="CKG166"/>
      <c r="CKH166"/>
      <c r="CKI166"/>
      <c r="CKJ166"/>
      <c r="CKK166"/>
      <c r="CKL166"/>
      <c r="CKM166"/>
      <c r="CKN166"/>
      <c r="CKO166"/>
      <c r="CKP166"/>
      <c r="CKQ166"/>
      <c r="CKR166"/>
      <c r="CKS166"/>
      <c r="CKT166"/>
      <c r="CKU166"/>
      <c r="CKV166"/>
      <c r="CKW166"/>
      <c r="CKX166"/>
      <c r="CKY166"/>
      <c r="CKZ166"/>
      <c r="CLA166"/>
      <c r="CLB166"/>
      <c r="CLC166"/>
      <c r="CLD166"/>
      <c r="CLE166"/>
      <c r="CLF166"/>
      <c r="CLG166"/>
      <c r="CLH166"/>
      <c r="CLI166"/>
      <c r="CLJ166"/>
      <c r="CLK166"/>
      <c r="CLL166"/>
      <c r="CLM166"/>
      <c r="CLN166"/>
      <c r="CLO166"/>
      <c r="CLP166"/>
      <c r="CLQ166"/>
      <c r="CLR166"/>
      <c r="CLS166"/>
      <c r="CLT166"/>
      <c r="CLU166"/>
      <c r="CLV166"/>
      <c r="CLW166"/>
      <c r="CLX166"/>
      <c r="CLY166"/>
      <c r="CLZ166"/>
      <c r="CMA166"/>
      <c r="CMB166"/>
      <c r="CMC166"/>
      <c r="CMD166"/>
      <c r="CME166"/>
      <c r="CMF166"/>
      <c r="CMG166"/>
      <c r="CMH166"/>
      <c r="CMI166"/>
      <c r="CMJ166"/>
      <c r="CMK166"/>
      <c r="CML166"/>
      <c r="CMM166"/>
      <c r="CMN166"/>
      <c r="CMO166"/>
      <c r="CMP166"/>
      <c r="CMQ166"/>
      <c r="CMR166"/>
      <c r="CMS166"/>
      <c r="CMT166"/>
      <c r="CMU166"/>
      <c r="CMV166"/>
      <c r="CMW166"/>
      <c r="CMX166"/>
      <c r="CMY166"/>
      <c r="CMZ166"/>
      <c r="CNA166"/>
      <c r="CNB166"/>
      <c r="CNC166"/>
      <c r="CND166"/>
      <c r="CNE166"/>
      <c r="CNF166"/>
      <c r="CNG166"/>
      <c r="CNH166"/>
      <c r="CNI166"/>
      <c r="CNJ166"/>
      <c r="CNK166"/>
      <c r="CNL166"/>
      <c r="CNM166"/>
      <c r="CNN166"/>
      <c r="CNO166"/>
      <c r="CNP166"/>
      <c r="CNQ166"/>
      <c r="CNR166"/>
      <c r="CNS166"/>
      <c r="CNT166"/>
      <c r="CNU166"/>
      <c r="CNV166"/>
      <c r="CNW166"/>
      <c r="CNX166"/>
      <c r="CNY166"/>
      <c r="CNZ166"/>
      <c r="COA166"/>
      <c r="COB166"/>
      <c r="COC166"/>
      <c r="COD166"/>
      <c r="COE166"/>
      <c r="COF166"/>
      <c r="COG166"/>
      <c r="COH166"/>
      <c r="COI166"/>
      <c r="COJ166"/>
      <c r="COK166"/>
      <c r="COL166"/>
      <c r="COM166"/>
      <c r="CON166"/>
      <c r="COO166"/>
      <c r="COP166"/>
      <c r="COQ166"/>
      <c r="COR166"/>
      <c r="COS166"/>
      <c r="COT166"/>
      <c r="COU166"/>
      <c r="COV166"/>
      <c r="COW166"/>
      <c r="COX166"/>
      <c r="COY166"/>
      <c r="COZ166"/>
      <c r="CPA166"/>
      <c r="CPB166"/>
      <c r="CPC166"/>
      <c r="CPD166"/>
      <c r="CPE166"/>
      <c r="CPF166"/>
      <c r="CPG166"/>
      <c r="CPH166"/>
      <c r="CPI166"/>
      <c r="CPJ166"/>
      <c r="CPK166"/>
      <c r="CPL166"/>
      <c r="CPM166"/>
      <c r="CPN166"/>
      <c r="CPO166"/>
      <c r="CPP166"/>
      <c r="CPQ166"/>
      <c r="CPR166"/>
      <c r="CPS166"/>
      <c r="CPT166"/>
      <c r="CPU166"/>
      <c r="CPV166"/>
      <c r="CPW166"/>
      <c r="CPX166"/>
      <c r="CPY166"/>
      <c r="CPZ166"/>
      <c r="CQA166"/>
      <c r="CQB166"/>
      <c r="CQC166"/>
      <c r="CQD166"/>
      <c r="CQE166"/>
      <c r="CQF166"/>
      <c r="CQG166"/>
      <c r="CQH166"/>
      <c r="CQI166"/>
      <c r="CQJ166"/>
      <c r="CQK166"/>
      <c r="CQL166"/>
      <c r="CQM166"/>
      <c r="CQN166"/>
      <c r="CQO166"/>
      <c r="CQP166"/>
      <c r="CQQ166"/>
      <c r="CQR166"/>
      <c r="CQS166"/>
      <c r="CQT166"/>
      <c r="CQU166"/>
      <c r="CQV166"/>
      <c r="CQW166"/>
      <c r="CQX166"/>
      <c r="CQY166"/>
      <c r="CQZ166"/>
      <c r="CRA166"/>
      <c r="CRB166"/>
      <c r="CRC166"/>
      <c r="CRD166"/>
      <c r="CRE166"/>
      <c r="CRF166"/>
      <c r="CRG166"/>
      <c r="CRH166"/>
      <c r="CRI166"/>
      <c r="CRJ166"/>
      <c r="CRK166"/>
      <c r="CRL166"/>
      <c r="CRM166"/>
      <c r="CRN166"/>
      <c r="CRO166"/>
      <c r="CRP166"/>
      <c r="CRQ166"/>
      <c r="CRR166"/>
      <c r="CRS166"/>
      <c r="CRT166"/>
      <c r="CRU166"/>
      <c r="CRV166"/>
      <c r="CRW166"/>
      <c r="CRX166"/>
      <c r="CRY166"/>
      <c r="CRZ166"/>
      <c r="CSA166"/>
      <c r="CSB166"/>
      <c r="CSC166"/>
      <c r="CSD166"/>
      <c r="CSE166"/>
      <c r="CSF166"/>
      <c r="CSG166"/>
      <c r="CSH166"/>
      <c r="CSI166"/>
      <c r="CSJ166"/>
      <c r="CSK166"/>
      <c r="CSL166"/>
      <c r="CSM166"/>
      <c r="CSN166"/>
      <c r="CSO166"/>
      <c r="CSP166"/>
      <c r="CSQ166"/>
      <c r="CSR166"/>
      <c r="CSS166"/>
      <c r="CST166"/>
      <c r="CSU166"/>
      <c r="CSV166"/>
      <c r="CSW166"/>
      <c r="CSX166"/>
      <c r="CSY166"/>
      <c r="CSZ166"/>
      <c r="CTA166"/>
      <c r="CTB166"/>
      <c r="CTC166"/>
      <c r="CTD166"/>
      <c r="CTE166"/>
      <c r="CTF166"/>
      <c r="CTG166"/>
      <c r="CTH166"/>
      <c r="CTI166"/>
      <c r="CTJ166"/>
      <c r="CTK166"/>
      <c r="CTL166"/>
      <c r="CTM166"/>
      <c r="CTN166"/>
      <c r="CTO166"/>
      <c r="CTP166"/>
      <c r="CTQ166"/>
      <c r="CTR166"/>
      <c r="CTS166"/>
      <c r="CTT166"/>
      <c r="CTU166"/>
      <c r="CTV166"/>
      <c r="CTW166"/>
      <c r="CTX166"/>
      <c r="CTY166"/>
      <c r="CTZ166"/>
      <c r="CUA166"/>
      <c r="CUB166"/>
      <c r="CUC166"/>
      <c r="CUD166"/>
      <c r="CUE166"/>
      <c r="CUF166"/>
      <c r="CUG166"/>
      <c r="CUH166"/>
      <c r="CUI166"/>
      <c r="CUJ166"/>
      <c r="CUK166"/>
      <c r="CUL166"/>
      <c r="CUM166"/>
      <c r="CUN166"/>
      <c r="CUO166"/>
      <c r="CUP166"/>
      <c r="CUQ166"/>
      <c r="CUR166"/>
      <c r="CUS166"/>
      <c r="CUT166"/>
      <c r="CUU166"/>
      <c r="CUV166"/>
      <c r="CUW166"/>
      <c r="CUX166"/>
      <c r="CUY166"/>
      <c r="CUZ166"/>
      <c r="CVA166"/>
      <c r="CVB166"/>
      <c r="CVC166"/>
      <c r="CVD166"/>
      <c r="CVE166"/>
      <c r="CVF166"/>
      <c r="CVG166"/>
      <c r="CVH166"/>
      <c r="CVI166"/>
      <c r="CVJ166"/>
      <c r="CVK166"/>
      <c r="CVL166"/>
      <c r="CVM166"/>
      <c r="CVN166"/>
      <c r="CVO166"/>
      <c r="CVP166"/>
      <c r="CVQ166"/>
      <c r="CVR166"/>
      <c r="CVS166"/>
      <c r="CVT166"/>
      <c r="CVU166"/>
      <c r="CVV166"/>
      <c r="CVW166"/>
      <c r="CVX166"/>
      <c r="CVY166"/>
      <c r="CVZ166"/>
      <c r="CWA166"/>
      <c r="CWB166"/>
      <c r="CWC166"/>
      <c r="CWD166"/>
      <c r="CWE166"/>
      <c r="CWF166"/>
      <c r="CWG166"/>
      <c r="CWH166"/>
      <c r="CWI166"/>
      <c r="CWJ166"/>
      <c r="CWK166"/>
      <c r="CWL166"/>
      <c r="CWM166"/>
      <c r="CWN166"/>
      <c r="CWO166"/>
      <c r="CWP166"/>
      <c r="CWQ166"/>
      <c r="CWR166"/>
      <c r="CWS166"/>
      <c r="CWT166"/>
      <c r="CWU166"/>
      <c r="CWV166"/>
      <c r="CWW166"/>
      <c r="CWX166"/>
      <c r="CWY166"/>
      <c r="CWZ166"/>
      <c r="CXA166"/>
      <c r="CXB166"/>
      <c r="CXC166"/>
      <c r="CXD166"/>
      <c r="CXE166"/>
      <c r="CXF166"/>
      <c r="CXG166"/>
      <c r="CXH166"/>
      <c r="CXI166"/>
      <c r="CXJ166"/>
      <c r="CXK166"/>
      <c r="CXL166"/>
      <c r="CXM166"/>
      <c r="CXN166"/>
      <c r="CXO166"/>
      <c r="CXP166"/>
      <c r="CXQ166"/>
      <c r="CXR166"/>
      <c r="CXS166"/>
      <c r="CXT166"/>
      <c r="CXU166"/>
      <c r="CXV166"/>
      <c r="CXW166"/>
      <c r="CXX166"/>
      <c r="CXY166"/>
      <c r="CXZ166"/>
      <c r="CYA166"/>
      <c r="CYB166"/>
      <c r="CYC166"/>
      <c r="CYD166"/>
      <c r="CYE166"/>
      <c r="CYF166"/>
      <c r="CYG166"/>
      <c r="CYH166"/>
      <c r="CYI166"/>
      <c r="CYJ166"/>
      <c r="CYK166"/>
      <c r="CYL166"/>
      <c r="CYM166"/>
      <c r="CYN166"/>
      <c r="CYO166"/>
      <c r="CYP166"/>
      <c r="CYQ166"/>
      <c r="CYR166"/>
      <c r="CYS166"/>
      <c r="CYT166"/>
      <c r="CYU166"/>
      <c r="CYV166"/>
      <c r="CYW166"/>
      <c r="CYX166"/>
      <c r="CYY166"/>
      <c r="CYZ166"/>
      <c r="CZA166"/>
      <c r="CZB166"/>
      <c r="CZC166"/>
      <c r="CZD166"/>
      <c r="CZE166"/>
      <c r="CZF166"/>
      <c r="CZG166"/>
      <c r="CZH166"/>
      <c r="CZI166"/>
      <c r="CZJ166"/>
      <c r="CZK166"/>
      <c r="CZL166"/>
      <c r="CZM166"/>
      <c r="CZN166"/>
      <c r="CZO166"/>
      <c r="CZP166"/>
      <c r="CZQ166"/>
      <c r="CZR166"/>
      <c r="CZS166"/>
      <c r="CZT166"/>
      <c r="CZU166"/>
      <c r="CZV166"/>
      <c r="CZW166"/>
      <c r="CZX166"/>
      <c r="CZY166"/>
      <c r="CZZ166"/>
      <c r="DAA166"/>
      <c r="DAB166"/>
      <c r="DAC166"/>
      <c r="DAD166"/>
      <c r="DAE166"/>
      <c r="DAF166"/>
      <c r="DAG166"/>
      <c r="DAH166"/>
      <c r="DAI166"/>
      <c r="DAJ166"/>
      <c r="DAK166"/>
      <c r="DAL166"/>
      <c r="DAM166"/>
      <c r="DAN166"/>
      <c r="DAO166"/>
      <c r="DAP166"/>
      <c r="DAQ166"/>
      <c r="DAR166"/>
      <c r="DAS166"/>
      <c r="DAT166"/>
      <c r="DAU166"/>
      <c r="DAV166"/>
      <c r="DAW166"/>
      <c r="DAX166"/>
      <c r="DAY166"/>
      <c r="DAZ166"/>
      <c r="DBA166"/>
      <c r="DBB166"/>
      <c r="DBC166"/>
      <c r="DBD166"/>
      <c r="DBE166"/>
      <c r="DBF166"/>
      <c r="DBG166"/>
      <c r="DBH166"/>
      <c r="DBI166"/>
      <c r="DBJ166"/>
      <c r="DBK166"/>
      <c r="DBL166"/>
      <c r="DBM166"/>
      <c r="DBN166"/>
      <c r="DBO166"/>
      <c r="DBP166"/>
      <c r="DBQ166"/>
      <c r="DBR166"/>
      <c r="DBS166"/>
      <c r="DBT166"/>
      <c r="DBU166"/>
      <c r="DBV166"/>
      <c r="DBW166"/>
      <c r="DBX166"/>
      <c r="DBY166"/>
      <c r="DBZ166"/>
      <c r="DCA166"/>
      <c r="DCB166"/>
      <c r="DCC166"/>
      <c r="DCD166"/>
      <c r="DCE166"/>
      <c r="DCF166"/>
      <c r="DCG166"/>
      <c r="DCH166"/>
      <c r="DCI166"/>
      <c r="DCJ166"/>
      <c r="DCK166"/>
      <c r="DCL166"/>
      <c r="DCM166"/>
      <c r="DCN166"/>
      <c r="DCO166"/>
      <c r="DCP166"/>
      <c r="DCQ166"/>
      <c r="DCR166"/>
      <c r="DCS166"/>
      <c r="DCT166"/>
      <c r="DCU166"/>
      <c r="DCV166"/>
      <c r="DCW166"/>
      <c r="DCX166"/>
      <c r="DCY166"/>
      <c r="DCZ166"/>
      <c r="DDA166"/>
      <c r="DDB166"/>
      <c r="DDC166"/>
      <c r="DDD166"/>
      <c r="DDE166"/>
      <c r="DDF166"/>
      <c r="DDG166"/>
      <c r="DDH166"/>
      <c r="DDI166"/>
      <c r="DDJ166"/>
      <c r="DDK166"/>
      <c r="DDL166"/>
      <c r="DDM166"/>
      <c r="DDN166"/>
      <c r="DDO166"/>
      <c r="DDP166"/>
      <c r="DDQ166"/>
      <c r="DDR166"/>
      <c r="DDS166"/>
      <c r="DDT166"/>
      <c r="DDU166"/>
      <c r="DDV166"/>
      <c r="DDW166"/>
      <c r="DDX166"/>
      <c r="DDY166"/>
      <c r="DDZ166"/>
      <c r="DEA166"/>
      <c r="DEB166"/>
      <c r="DEC166"/>
      <c r="DED166"/>
      <c r="DEE166"/>
      <c r="DEF166"/>
      <c r="DEG166"/>
      <c r="DEH166"/>
      <c r="DEI166"/>
      <c r="DEJ166"/>
      <c r="DEK166"/>
      <c r="DEL166"/>
      <c r="DEM166"/>
      <c r="DEN166"/>
      <c r="DEO166"/>
      <c r="DEP166"/>
      <c r="DEQ166"/>
      <c r="DER166"/>
      <c r="DES166"/>
      <c r="DET166"/>
      <c r="DEU166"/>
      <c r="DEV166"/>
      <c r="DEW166"/>
      <c r="DEX166"/>
      <c r="DEY166"/>
      <c r="DEZ166"/>
      <c r="DFA166"/>
      <c r="DFB166"/>
      <c r="DFC166"/>
      <c r="DFD166"/>
      <c r="DFE166"/>
      <c r="DFF166"/>
      <c r="DFG166"/>
      <c r="DFH166"/>
      <c r="DFI166"/>
      <c r="DFJ166"/>
      <c r="DFK166"/>
      <c r="DFL166"/>
      <c r="DFM166"/>
      <c r="DFN166"/>
      <c r="DFO166"/>
      <c r="DFP166"/>
      <c r="DFQ166"/>
      <c r="DFR166"/>
      <c r="DFS166"/>
      <c r="DFT166"/>
      <c r="DFU166"/>
      <c r="DFV166"/>
      <c r="DFW166"/>
      <c r="DFX166"/>
      <c r="DFY166"/>
      <c r="DFZ166"/>
      <c r="DGA166"/>
      <c r="DGB166"/>
      <c r="DGC166"/>
      <c r="DGD166"/>
      <c r="DGE166"/>
      <c r="DGF166"/>
      <c r="DGG166"/>
      <c r="DGH166"/>
      <c r="DGI166"/>
      <c r="DGJ166"/>
      <c r="DGK166"/>
      <c r="DGL166"/>
      <c r="DGM166"/>
      <c r="DGN166"/>
      <c r="DGO166"/>
      <c r="DGP166"/>
      <c r="DGQ166"/>
      <c r="DGR166"/>
      <c r="DGS166"/>
      <c r="DGT166"/>
      <c r="DGU166"/>
      <c r="DGV166"/>
      <c r="DGW166"/>
      <c r="DGX166"/>
      <c r="DGY166"/>
      <c r="DGZ166"/>
      <c r="DHA166"/>
      <c r="DHB166"/>
      <c r="DHC166"/>
      <c r="DHD166"/>
      <c r="DHE166"/>
      <c r="DHF166"/>
      <c r="DHG166"/>
      <c r="DHH166"/>
      <c r="DHI166"/>
      <c r="DHJ166"/>
      <c r="DHK166"/>
      <c r="DHL166"/>
      <c r="DHM166"/>
      <c r="DHN166"/>
      <c r="DHO166"/>
      <c r="DHP166"/>
      <c r="DHQ166"/>
      <c r="DHR166"/>
      <c r="DHS166"/>
      <c r="DHT166"/>
      <c r="DHU166"/>
      <c r="DHV166"/>
      <c r="DHW166"/>
      <c r="DHX166"/>
      <c r="DHY166"/>
      <c r="DHZ166"/>
      <c r="DIA166"/>
      <c r="DIB166"/>
      <c r="DIC166"/>
      <c r="DID166"/>
      <c r="DIE166"/>
      <c r="DIF166"/>
      <c r="DIG166"/>
      <c r="DIH166"/>
      <c r="DII166"/>
      <c r="DIJ166"/>
      <c r="DIK166"/>
      <c r="DIL166"/>
      <c r="DIM166"/>
      <c r="DIN166"/>
      <c r="DIO166"/>
      <c r="DIP166"/>
      <c r="DIQ166"/>
      <c r="DIR166"/>
      <c r="DIS166"/>
      <c r="DIT166"/>
      <c r="DIU166"/>
      <c r="DIV166"/>
      <c r="DIW166"/>
      <c r="DIX166"/>
      <c r="DIY166"/>
      <c r="DIZ166"/>
      <c r="DJA166"/>
      <c r="DJB166"/>
      <c r="DJC166"/>
      <c r="DJD166"/>
      <c r="DJE166"/>
      <c r="DJF166"/>
      <c r="DJG166"/>
      <c r="DJH166"/>
      <c r="DJI166"/>
      <c r="DJJ166"/>
      <c r="DJK166"/>
      <c r="DJL166"/>
      <c r="DJM166"/>
      <c r="DJN166"/>
      <c r="DJO166"/>
      <c r="DJP166"/>
      <c r="DJQ166"/>
      <c r="DJR166"/>
      <c r="DJS166"/>
      <c r="DJT166"/>
      <c r="DJU166"/>
      <c r="DJV166"/>
      <c r="DJW166"/>
      <c r="DJX166"/>
      <c r="DJY166"/>
      <c r="DJZ166"/>
      <c r="DKA166"/>
      <c r="DKB166"/>
      <c r="DKC166"/>
      <c r="DKD166"/>
      <c r="DKE166"/>
      <c r="DKF166"/>
      <c r="DKG166"/>
      <c r="DKH166"/>
      <c r="DKI166"/>
      <c r="DKJ166"/>
      <c r="DKK166"/>
      <c r="DKL166"/>
      <c r="DKM166"/>
      <c r="DKN166"/>
      <c r="DKO166"/>
      <c r="DKP166"/>
      <c r="DKQ166"/>
      <c r="DKR166"/>
      <c r="DKS166"/>
      <c r="DKT166"/>
      <c r="DKU166"/>
      <c r="DKV166"/>
      <c r="DKW166"/>
      <c r="DKX166"/>
      <c r="DKY166"/>
      <c r="DKZ166"/>
      <c r="DLA166"/>
      <c r="DLB166"/>
      <c r="DLC166"/>
      <c r="DLD166"/>
      <c r="DLE166"/>
      <c r="DLF166"/>
      <c r="DLG166"/>
      <c r="DLH166"/>
      <c r="DLI166"/>
      <c r="DLJ166"/>
      <c r="DLK166"/>
      <c r="DLL166"/>
      <c r="DLM166"/>
      <c r="DLN166"/>
      <c r="DLO166"/>
      <c r="DLP166"/>
      <c r="DLQ166"/>
      <c r="DLR166"/>
      <c r="DLS166"/>
      <c r="DLT166"/>
      <c r="DLU166"/>
      <c r="DLV166"/>
      <c r="DLW166"/>
      <c r="DLX166"/>
      <c r="DLY166"/>
      <c r="DLZ166"/>
      <c r="DMA166"/>
      <c r="DMB166"/>
      <c r="DMC166"/>
      <c r="DMD166"/>
      <c r="DME166"/>
      <c r="DMF166"/>
      <c r="DMG166"/>
      <c r="DMH166"/>
      <c r="DMI166"/>
      <c r="DMJ166"/>
      <c r="DMK166"/>
      <c r="DML166"/>
      <c r="DMM166"/>
      <c r="DMN166"/>
      <c r="DMO166"/>
      <c r="DMP166"/>
      <c r="DMQ166"/>
      <c r="DMR166"/>
      <c r="DMS166"/>
      <c r="DMT166"/>
      <c r="DMU166"/>
      <c r="DMV166"/>
      <c r="DMW166"/>
      <c r="DMX166"/>
      <c r="DMY166"/>
      <c r="DMZ166"/>
      <c r="DNA166"/>
      <c r="DNB166"/>
      <c r="DNC166"/>
      <c r="DND166"/>
      <c r="DNE166"/>
      <c r="DNF166"/>
      <c r="DNG166"/>
      <c r="DNH166"/>
      <c r="DNI166"/>
      <c r="DNJ166"/>
      <c r="DNK166"/>
      <c r="DNL166"/>
      <c r="DNM166"/>
      <c r="DNN166"/>
      <c r="DNO166"/>
      <c r="DNP166"/>
      <c r="DNQ166"/>
      <c r="DNR166"/>
      <c r="DNS166"/>
      <c r="DNT166"/>
      <c r="DNU166"/>
      <c r="DNV166"/>
      <c r="DNW166"/>
      <c r="DNX166"/>
      <c r="DNY166"/>
      <c r="DNZ166"/>
      <c r="DOA166"/>
      <c r="DOB166"/>
      <c r="DOC166"/>
      <c r="DOD166"/>
      <c r="DOE166"/>
      <c r="DOF166"/>
      <c r="DOG166"/>
      <c r="DOH166"/>
      <c r="DOI166"/>
      <c r="DOJ166"/>
      <c r="DOK166"/>
      <c r="DOL166"/>
      <c r="DOM166"/>
      <c r="DON166"/>
      <c r="DOO166"/>
      <c r="DOP166"/>
      <c r="DOQ166"/>
      <c r="DOR166"/>
      <c r="DOS166"/>
      <c r="DOT166"/>
      <c r="DOU166"/>
      <c r="DOV166"/>
      <c r="DOW166"/>
      <c r="DOX166"/>
      <c r="DOY166"/>
      <c r="DOZ166"/>
      <c r="DPA166"/>
      <c r="DPB166"/>
      <c r="DPC166"/>
      <c r="DPD166"/>
      <c r="DPE166"/>
      <c r="DPF166"/>
      <c r="DPG166"/>
      <c r="DPH166"/>
      <c r="DPI166"/>
      <c r="DPJ166"/>
      <c r="DPK166"/>
      <c r="DPL166"/>
      <c r="DPM166"/>
      <c r="DPN166"/>
      <c r="DPO166"/>
      <c r="DPP166"/>
      <c r="DPQ166"/>
      <c r="DPR166"/>
      <c r="DPS166"/>
      <c r="DPT166"/>
      <c r="DPU166"/>
      <c r="DPV166"/>
      <c r="DPW166"/>
      <c r="DPX166"/>
      <c r="DPY166"/>
      <c r="DPZ166"/>
      <c r="DQA166"/>
      <c r="DQB166"/>
      <c r="DQC166"/>
      <c r="DQD166"/>
      <c r="DQE166"/>
      <c r="DQF166"/>
      <c r="DQG166"/>
      <c r="DQH166"/>
      <c r="DQI166"/>
      <c r="DQJ166"/>
      <c r="DQK166"/>
      <c r="DQL166"/>
      <c r="DQM166"/>
      <c r="DQN166"/>
      <c r="DQO166"/>
      <c r="DQP166"/>
      <c r="DQQ166"/>
      <c r="DQR166"/>
      <c r="DQS166"/>
      <c r="DQT166"/>
      <c r="DQU166"/>
      <c r="DQV166"/>
      <c r="DQW166"/>
      <c r="DQX166"/>
      <c r="DQY166"/>
      <c r="DQZ166"/>
      <c r="DRA166"/>
      <c r="DRB166"/>
      <c r="DRC166"/>
      <c r="DRD166"/>
      <c r="DRE166"/>
      <c r="DRF166"/>
      <c r="DRG166"/>
      <c r="DRH166"/>
      <c r="DRI166"/>
      <c r="DRJ166"/>
      <c r="DRK166"/>
      <c r="DRL166"/>
      <c r="DRM166"/>
      <c r="DRN166"/>
      <c r="DRO166"/>
      <c r="DRP166"/>
      <c r="DRQ166"/>
      <c r="DRR166"/>
      <c r="DRS166"/>
      <c r="DRT166"/>
      <c r="DRU166"/>
      <c r="DRV166"/>
      <c r="DRW166"/>
      <c r="DRX166"/>
      <c r="DRY166"/>
      <c r="DRZ166"/>
      <c r="DSA166"/>
      <c r="DSB166"/>
      <c r="DSC166"/>
      <c r="DSD166"/>
      <c r="DSE166"/>
      <c r="DSF166"/>
      <c r="DSG166"/>
      <c r="DSH166"/>
      <c r="DSI166"/>
      <c r="DSJ166"/>
      <c r="DSK166"/>
      <c r="DSL166"/>
      <c r="DSM166"/>
      <c r="DSN166"/>
      <c r="DSO166"/>
      <c r="DSP166"/>
      <c r="DSQ166"/>
      <c r="DSR166"/>
      <c r="DSS166"/>
      <c r="DST166"/>
      <c r="DSU166"/>
      <c r="DSV166"/>
      <c r="DSW166"/>
      <c r="DSX166"/>
      <c r="DSY166"/>
      <c r="DSZ166"/>
      <c r="DTA166"/>
      <c r="DTB166"/>
      <c r="DTC166"/>
      <c r="DTD166"/>
      <c r="DTE166"/>
      <c r="DTF166"/>
      <c r="DTG166"/>
      <c r="DTH166"/>
      <c r="DTI166"/>
      <c r="DTJ166"/>
      <c r="DTK166"/>
      <c r="DTL166"/>
      <c r="DTM166"/>
      <c r="DTN166"/>
      <c r="DTO166"/>
      <c r="DTP166"/>
      <c r="DTQ166"/>
      <c r="DTR166"/>
      <c r="DTS166"/>
      <c r="DTT166"/>
      <c r="DTU166"/>
      <c r="DTV166"/>
      <c r="DTW166"/>
      <c r="DTX166"/>
      <c r="DTY166"/>
      <c r="DTZ166"/>
      <c r="DUA166"/>
      <c r="DUB166"/>
      <c r="DUC166"/>
      <c r="DUD166"/>
      <c r="DUE166"/>
      <c r="DUF166"/>
      <c r="DUG166"/>
      <c r="DUH166"/>
      <c r="DUI166"/>
      <c r="DUJ166"/>
      <c r="DUK166"/>
      <c r="DUL166"/>
      <c r="DUM166"/>
      <c r="DUN166"/>
      <c r="DUO166"/>
      <c r="DUP166"/>
      <c r="DUQ166"/>
      <c r="DUR166"/>
      <c r="DUS166"/>
      <c r="DUT166"/>
      <c r="DUU166"/>
      <c r="DUV166"/>
      <c r="DUW166"/>
      <c r="DUX166"/>
      <c r="DUY166"/>
      <c r="DUZ166"/>
      <c r="DVA166"/>
      <c r="DVB166"/>
      <c r="DVC166"/>
      <c r="DVD166"/>
      <c r="DVE166"/>
      <c r="DVF166"/>
      <c r="DVG166"/>
      <c r="DVH166"/>
      <c r="DVI166"/>
      <c r="DVJ166"/>
      <c r="DVK166"/>
      <c r="DVL166"/>
      <c r="DVM166"/>
      <c r="DVN166"/>
      <c r="DVO166"/>
      <c r="DVP166"/>
      <c r="DVQ166"/>
      <c r="DVR166"/>
      <c r="DVS166"/>
      <c r="DVT166"/>
      <c r="DVU166"/>
      <c r="DVV166"/>
      <c r="DVW166"/>
      <c r="DVX166"/>
      <c r="DVY166"/>
      <c r="DVZ166"/>
      <c r="DWA166"/>
      <c r="DWB166"/>
      <c r="DWC166"/>
      <c r="DWD166"/>
      <c r="DWE166"/>
      <c r="DWF166"/>
      <c r="DWG166"/>
      <c r="DWH166"/>
      <c r="DWI166"/>
      <c r="DWJ166"/>
      <c r="DWK166"/>
      <c r="DWL166"/>
      <c r="DWM166"/>
      <c r="DWN166"/>
      <c r="DWO166"/>
      <c r="DWP166"/>
      <c r="DWQ166"/>
      <c r="DWR166"/>
      <c r="DWS166"/>
      <c r="DWT166"/>
      <c r="DWU166"/>
      <c r="DWV166"/>
      <c r="DWW166"/>
      <c r="DWX166"/>
      <c r="DWY166"/>
      <c r="DWZ166"/>
      <c r="DXA166"/>
      <c r="DXB166"/>
      <c r="DXC166"/>
      <c r="DXD166"/>
      <c r="DXE166"/>
      <c r="DXF166"/>
      <c r="DXG166"/>
      <c r="DXH166"/>
      <c r="DXI166"/>
      <c r="DXJ166"/>
      <c r="DXK166"/>
      <c r="DXL166"/>
      <c r="DXM166"/>
      <c r="DXN166"/>
      <c r="DXO166"/>
      <c r="DXP166"/>
      <c r="DXQ166"/>
      <c r="DXR166"/>
      <c r="DXS166"/>
      <c r="DXT166"/>
      <c r="DXU166"/>
      <c r="DXV166"/>
      <c r="DXW166"/>
      <c r="DXX166"/>
      <c r="DXY166"/>
      <c r="DXZ166"/>
      <c r="DYA166"/>
      <c r="DYB166"/>
      <c r="DYC166"/>
      <c r="DYD166"/>
      <c r="DYE166"/>
      <c r="DYF166"/>
      <c r="DYG166"/>
      <c r="DYH166"/>
      <c r="DYI166"/>
      <c r="DYJ166"/>
      <c r="DYK166"/>
      <c r="DYL166"/>
      <c r="DYM166"/>
      <c r="DYN166"/>
      <c r="DYO166"/>
      <c r="DYP166"/>
      <c r="DYQ166"/>
      <c r="DYR166"/>
      <c r="DYS166"/>
      <c r="DYT166"/>
      <c r="DYU166"/>
      <c r="DYV166"/>
      <c r="DYW166"/>
      <c r="DYX166"/>
      <c r="DYY166"/>
      <c r="DYZ166"/>
      <c r="DZA166"/>
      <c r="DZB166"/>
      <c r="DZC166"/>
      <c r="DZD166"/>
      <c r="DZE166"/>
      <c r="DZF166"/>
      <c r="DZG166"/>
      <c r="DZH166"/>
      <c r="DZI166"/>
      <c r="DZJ166"/>
      <c r="DZK166"/>
      <c r="DZL166"/>
      <c r="DZM166"/>
      <c r="DZN166"/>
      <c r="DZO166"/>
      <c r="DZP166"/>
      <c r="DZQ166"/>
      <c r="DZR166"/>
      <c r="DZS166"/>
      <c r="DZT166"/>
      <c r="DZU166"/>
      <c r="DZV166"/>
      <c r="DZW166"/>
      <c r="DZX166"/>
      <c r="DZY166"/>
      <c r="DZZ166"/>
      <c r="EAA166"/>
      <c r="EAB166"/>
      <c r="EAC166"/>
      <c r="EAD166"/>
      <c r="EAE166"/>
      <c r="EAF166"/>
      <c r="EAG166"/>
      <c r="EAH166"/>
      <c r="EAI166"/>
      <c r="EAJ166"/>
      <c r="EAK166"/>
      <c r="EAL166"/>
      <c r="EAM166"/>
      <c r="EAN166"/>
      <c r="EAO166"/>
      <c r="EAP166"/>
      <c r="EAQ166"/>
      <c r="EAR166"/>
      <c r="EAS166"/>
      <c r="EAT166"/>
      <c r="EAU166"/>
      <c r="EAV166"/>
      <c r="EAW166"/>
      <c r="EAX166"/>
      <c r="EAY166"/>
      <c r="EAZ166"/>
      <c r="EBA166"/>
      <c r="EBB166"/>
      <c r="EBC166"/>
      <c r="EBD166"/>
      <c r="EBE166"/>
      <c r="EBF166"/>
      <c r="EBG166"/>
      <c r="EBH166"/>
      <c r="EBI166"/>
      <c r="EBJ166"/>
      <c r="EBK166"/>
      <c r="EBL166"/>
      <c r="EBM166"/>
      <c r="EBN166"/>
      <c r="EBO166"/>
      <c r="EBP166"/>
      <c r="EBQ166"/>
      <c r="EBR166"/>
      <c r="EBS166"/>
      <c r="EBT166"/>
      <c r="EBU166"/>
      <c r="EBV166"/>
      <c r="EBW166"/>
      <c r="EBX166"/>
      <c r="EBY166"/>
      <c r="EBZ166"/>
      <c r="ECA166"/>
      <c r="ECB166"/>
      <c r="ECC166"/>
      <c r="ECD166"/>
      <c r="ECE166"/>
      <c r="ECF166"/>
      <c r="ECG166"/>
      <c r="ECH166"/>
      <c r="ECI166"/>
      <c r="ECJ166"/>
      <c r="ECK166"/>
      <c r="ECL166"/>
      <c r="ECM166"/>
      <c r="ECN166"/>
      <c r="ECO166"/>
      <c r="ECP166"/>
      <c r="ECQ166"/>
      <c r="ECR166"/>
      <c r="ECS166"/>
      <c r="ECT166"/>
      <c r="ECU166"/>
      <c r="ECV166"/>
      <c r="ECW166"/>
      <c r="ECX166"/>
      <c r="ECY166"/>
      <c r="ECZ166"/>
      <c r="EDA166"/>
      <c r="EDB166"/>
      <c r="EDC166"/>
      <c r="EDD166"/>
      <c r="EDE166"/>
      <c r="EDF166"/>
      <c r="EDG166"/>
      <c r="EDH166"/>
      <c r="EDI166"/>
      <c r="EDJ166"/>
      <c r="EDK166"/>
      <c r="EDL166"/>
      <c r="EDM166"/>
      <c r="EDN166"/>
      <c r="EDO166"/>
      <c r="EDP166"/>
      <c r="EDQ166"/>
      <c r="EDR166"/>
      <c r="EDS166"/>
      <c r="EDT166"/>
      <c r="EDU166"/>
      <c r="EDV166"/>
      <c r="EDW166"/>
      <c r="EDX166"/>
      <c r="EDY166"/>
      <c r="EDZ166"/>
      <c r="EEA166"/>
      <c r="EEB166"/>
      <c r="EEC166"/>
      <c r="EED166"/>
      <c r="EEE166"/>
      <c r="EEF166"/>
      <c r="EEG166"/>
      <c r="EEH166"/>
      <c r="EEI166"/>
      <c r="EEJ166"/>
      <c r="EEK166"/>
      <c r="EEL166"/>
      <c r="EEM166"/>
      <c r="EEN166"/>
      <c r="EEO166"/>
      <c r="EEP166"/>
      <c r="EEQ166"/>
      <c r="EER166"/>
      <c r="EES166"/>
      <c r="EET166"/>
      <c r="EEU166"/>
      <c r="EEV166"/>
      <c r="EEW166"/>
      <c r="EEX166"/>
      <c r="EEY166"/>
      <c r="EEZ166"/>
      <c r="EFA166"/>
      <c r="EFB166"/>
      <c r="EFC166"/>
      <c r="EFD166"/>
      <c r="EFE166"/>
      <c r="EFF166"/>
      <c r="EFG166"/>
      <c r="EFH166"/>
      <c r="EFI166"/>
      <c r="EFJ166"/>
      <c r="EFK166"/>
      <c r="EFL166"/>
      <c r="EFM166"/>
      <c r="EFN166"/>
      <c r="EFO166"/>
      <c r="EFP166"/>
      <c r="EFQ166"/>
      <c r="EFR166"/>
      <c r="EFS166"/>
      <c r="EFT166"/>
      <c r="EFU166"/>
      <c r="EFV166"/>
      <c r="EFW166"/>
      <c r="EFX166"/>
      <c r="EFY166"/>
      <c r="EFZ166"/>
      <c r="EGA166"/>
      <c r="EGB166"/>
      <c r="EGC166"/>
      <c r="EGD166"/>
      <c r="EGE166"/>
      <c r="EGF166"/>
      <c r="EGG166"/>
      <c r="EGH166"/>
      <c r="EGI166"/>
      <c r="EGJ166"/>
      <c r="EGK166"/>
      <c r="EGL166"/>
      <c r="EGM166"/>
      <c r="EGN166"/>
      <c r="EGO166"/>
      <c r="EGP166"/>
      <c r="EGQ166"/>
      <c r="EGR166"/>
      <c r="EGS166"/>
      <c r="EGT166"/>
      <c r="EGU166"/>
      <c r="EGV166"/>
      <c r="EGW166"/>
      <c r="EGX166"/>
      <c r="EGY166"/>
      <c r="EGZ166"/>
      <c r="EHA166"/>
      <c r="EHB166"/>
      <c r="EHC166"/>
      <c r="EHD166"/>
      <c r="EHE166"/>
      <c r="EHF166"/>
      <c r="EHG166"/>
      <c r="EHH166"/>
      <c r="EHI166"/>
      <c r="EHJ166"/>
      <c r="EHK166"/>
      <c r="EHL166"/>
      <c r="EHM166"/>
      <c r="EHN166"/>
      <c r="EHO166"/>
      <c r="EHP166"/>
      <c r="EHQ166"/>
      <c r="EHR166"/>
      <c r="EHS166"/>
      <c r="EHT166"/>
      <c r="EHU166"/>
      <c r="EHV166"/>
      <c r="EHW166"/>
      <c r="EHX166"/>
      <c r="EHY166"/>
      <c r="EHZ166"/>
      <c r="EIA166"/>
      <c r="EIB166"/>
      <c r="EIC166"/>
      <c r="EID166"/>
      <c r="EIE166"/>
      <c r="EIF166"/>
      <c r="EIG166"/>
      <c r="EIH166"/>
      <c r="EII166"/>
      <c r="EIJ166"/>
      <c r="EIK166"/>
      <c r="EIL166"/>
      <c r="EIM166"/>
      <c r="EIN166"/>
      <c r="EIO166"/>
      <c r="EIP166"/>
      <c r="EIQ166"/>
      <c r="EIR166"/>
      <c r="EIS166"/>
      <c r="EIT166"/>
      <c r="EIU166"/>
      <c r="EIV166"/>
      <c r="EIW166"/>
      <c r="EIX166"/>
      <c r="EIY166"/>
      <c r="EIZ166"/>
      <c r="EJA166"/>
      <c r="EJB166"/>
      <c r="EJC166"/>
      <c r="EJD166"/>
      <c r="EJE166"/>
      <c r="EJF166"/>
      <c r="EJG166"/>
      <c r="EJH166"/>
      <c r="EJI166"/>
      <c r="EJJ166"/>
      <c r="EJK166"/>
      <c r="EJL166"/>
      <c r="EJM166"/>
      <c r="EJN166"/>
      <c r="EJO166"/>
      <c r="EJP166"/>
      <c r="EJQ166"/>
      <c r="EJR166"/>
      <c r="EJS166"/>
      <c r="EJT166"/>
      <c r="EJU166"/>
      <c r="EJV166"/>
      <c r="EJW166"/>
      <c r="EJX166"/>
      <c r="EJY166"/>
      <c r="EJZ166"/>
      <c r="EKA166"/>
      <c r="EKB166"/>
      <c r="EKC166"/>
      <c r="EKD166"/>
      <c r="EKE166"/>
      <c r="EKF166"/>
      <c r="EKG166"/>
      <c r="EKH166"/>
      <c r="EKI166"/>
      <c r="EKJ166"/>
      <c r="EKK166"/>
      <c r="EKL166"/>
      <c r="EKM166"/>
      <c r="EKN166"/>
      <c r="EKO166"/>
      <c r="EKP166"/>
      <c r="EKQ166"/>
      <c r="EKR166"/>
      <c r="EKS166"/>
      <c r="EKT166"/>
      <c r="EKU166"/>
      <c r="EKV166"/>
      <c r="EKW166"/>
      <c r="EKX166"/>
      <c r="EKY166"/>
      <c r="EKZ166"/>
      <c r="ELA166"/>
      <c r="ELB166"/>
      <c r="ELC166"/>
      <c r="ELD166"/>
      <c r="ELE166"/>
      <c r="ELF166"/>
      <c r="ELG166"/>
      <c r="ELH166"/>
      <c r="ELI166"/>
      <c r="ELJ166"/>
      <c r="ELK166"/>
      <c r="ELL166"/>
      <c r="ELM166"/>
      <c r="ELN166"/>
      <c r="ELO166"/>
      <c r="ELP166"/>
      <c r="ELQ166"/>
      <c r="ELR166"/>
      <c r="ELS166"/>
      <c r="ELT166"/>
      <c r="ELU166"/>
      <c r="ELV166"/>
      <c r="ELW166"/>
      <c r="ELX166"/>
      <c r="ELY166"/>
      <c r="ELZ166"/>
      <c r="EMA166"/>
      <c r="EMB166"/>
      <c r="EMC166"/>
      <c r="EMD166"/>
      <c r="EME166"/>
      <c r="EMF166"/>
      <c r="EMG166"/>
      <c r="EMH166"/>
      <c r="EMI166"/>
      <c r="EMJ166"/>
      <c r="EMK166"/>
      <c r="EML166"/>
      <c r="EMM166"/>
      <c r="EMN166"/>
      <c r="EMO166"/>
      <c r="EMP166"/>
      <c r="EMQ166"/>
      <c r="EMR166"/>
      <c r="EMS166"/>
      <c r="EMT166"/>
      <c r="EMU166"/>
      <c r="EMV166"/>
      <c r="EMW166"/>
      <c r="EMX166"/>
      <c r="EMY166"/>
      <c r="EMZ166"/>
      <c r="ENA166"/>
      <c r="ENB166"/>
      <c r="ENC166"/>
      <c r="END166"/>
      <c r="ENE166"/>
      <c r="ENF166"/>
      <c r="ENG166"/>
      <c r="ENH166"/>
      <c r="ENI166"/>
      <c r="ENJ166"/>
      <c r="ENK166"/>
      <c r="ENL166"/>
      <c r="ENM166"/>
      <c r="ENN166"/>
      <c r="ENO166"/>
      <c r="ENP166"/>
      <c r="ENQ166"/>
      <c r="ENR166"/>
      <c r="ENS166"/>
      <c r="ENT166"/>
      <c r="ENU166"/>
      <c r="ENV166"/>
      <c r="ENW166"/>
      <c r="ENX166"/>
      <c r="ENY166"/>
      <c r="ENZ166"/>
      <c r="EOA166"/>
      <c r="EOB166"/>
      <c r="EOC166"/>
      <c r="EOD166"/>
      <c r="EOE166"/>
      <c r="EOF166"/>
      <c r="EOG166"/>
      <c r="EOH166"/>
      <c r="EOI166"/>
      <c r="EOJ166"/>
      <c r="EOK166"/>
      <c r="EOL166"/>
      <c r="EOM166"/>
      <c r="EON166"/>
      <c r="EOO166"/>
      <c r="EOP166"/>
      <c r="EOQ166"/>
      <c r="EOR166"/>
      <c r="EOS166"/>
      <c r="EOT166"/>
      <c r="EOU166"/>
      <c r="EOV166"/>
      <c r="EOW166"/>
      <c r="EOX166"/>
      <c r="EOY166"/>
      <c r="EOZ166"/>
      <c r="EPA166"/>
      <c r="EPB166"/>
      <c r="EPC166"/>
      <c r="EPD166"/>
      <c r="EPE166"/>
      <c r="EPF166"/>
      <c r="EPG166"/>
      <c r="EPH166"/>
      <c r="EPI166"/>
      <c r="EPJ166"/>
      <c r="EPK166"/>
      <c r="EPL166"/>
      <c r="EPM166"/>
      <c r="EPN166"/>
      <c r="EPO166"/>
      <c r="EPP166"/>
      <c r="EPQ166"/>
      <c r="EPR166"/>
      <c r="EPS166"/>
      <c r="EPT166"/>
      <c r="EPU166"/>
      <c r="EPV166"/>
      <c r="EPW166"/>
      <c r="EPX166"/>
      <c r="EPY166"/>
      <c r="EPZ166"/>
      <c r="EQA166"/>
      <c r="EQB166"/>
      <c r="EQC166"/>
      <c r="EQD166"/>
      <c r="EQE166"/>
      <c r="EQF166"/>
      <c r="EQG166"/>
      <c r="EQH166"/>
      <c r="EQI166"/>
      <c r="EQJ166"/>
      <c r="EQK166"/>
      <c r="EQL166"/>
      <c r="EQM166"/>
      <c r="EQN166"/>
      <c r="EQO166"/>
      <c r="EQP166"/>
      <c r="EQQ166"/>
      <c r="EQR166"/>
      <c r="EQS166"/>
      <c r="EQT166"/>
      <c r="EQU166"/>
      <c r="EQV166"/>
      <c r="EQW166"/>
      <c r="EQX166"/>
      <c r="EQY166"/>
      <c r="EQZ166"/>
      <c r="ERA166"/>
      <c r="ERB166"/>
      <c r="ERC166"/>
      <c r="ERD166"/>
      <c r="ERE166"/>
      <c r="ERF166"/>
      <c r="ERG166"/>
      <c r="ERH166"/>
      <c r="ERI166"/>
      <c r="ERJ166"/>
      <c r="ERK166"/>
      <c r="ERL166"/>
      <c r="ERM166"/>
      <c r="ERN166"/>
      <c r="ERO166"/>
      <c r="ERP166"/>
      <c r="ERQ166"/>
      <c r="ERR166"/>
      <c r="ERS166"/>
      <c r="ERT166"/>
      <c r="ERU166"/>
      <c r="ERV166"/>
      <c r="ERW166"/>
      <c r="ERX166"/>
      <c r="ERY166"/>
      <c r="ERZ166"/>
      <c r="ESA166"/>
      <c r="ESB166"/>
      <c r="ESC166"/>
      <c r="ESD166"/>
      <c r="ESE166"/>
      <c r="ESF166"/>
      <c r="ESG166"/>
      <c r="ESH166"/>
      <c r="ESI166"/>
      <c r="ESJ166"/>
      <c r="ESK166"/>
      <c r="ESL166"/>
      <c r="ESM166"/>
      <c r="ESN166"/>
      <c r="ESO166"/>
      <c r="ESP166"/>
      <c r="ESQ166"/>
      <c r="ESR166"/>
      <c r="ESS166"/>
      <c r="EST166"/>
      <c r="ESU166"/>
      <c r="ESV166"/>
      <c r="ESW166"/>
      <c r="ESX166"/>
      <c r="ESY166"/>
      <c r="ESZ166"/>
      <c r="ETA166"/>
      <c r="ETB166"/>
      <c r="ETC166"/>
      <c r="ETD166"/>
      <c r="ETE166"/>
      <c r="ETF166"/>
      <c r="ETG166"/>
      <c r="ETH166"/>
      <c r="ETI166"/>
      <c r="ETJ166"/>
      <c r="ETK166"/>
      <c r="ETL166"/>
      <c r="ETM166"/>
      <c r="ETN166"/>
      <c r="ETO166"/>
      <c r="ETP166"/>
      <c r="ETQ166"/>
      <c r="ETR166"/>
      <c r="ETS166"/>
      <c r="ETT166"/>
      <c r="ETU166"/>
      <c r="ETV166"/>
      <c r="ETW166"/>
      <c r="ETX166"/>
      <c r="ETY166"/>
      <c r="ETZ166"/>
      <c r="EUA166"/>
      <c r="EUB166"/>
      <c r="EUC166"/>
      <c r="EUD166"/>
      <c r="EUE166"/>
      <c r="EUF166"/>
      <c r="EUG166"/>
      <c r="EUH166"/>
      <c r="EUI166"/>
      <c r="EUJ166"/>
      <c r="EUK166"/>
      <c r="EUL166"/>
      <c r="EUM166"/>
      <c r="EUN166"/>
      <c r="EUO166"/>
      <c r="EUP166"/>
      <c r="EUQ166"/>
      <c r="EUR166"/>
      <c r="EUS166"/>
      <c r="EUT166"/>
      <c r="EUU166"/>
      <c r="EUV166"/>
      <c r="EUW166"/>
      <c r="EUX166"/>
      <c r="EUY166"/>
      <c r="EUZ166"/>
      <c r="EVA166"/>
      <c r="EVB166"/>
      <c r="EVC166"/>
      <c r="EVD166"/>
      <c r="EVE166"/>
      <c r="EVF166"/>
      <c r="EVG166"/>
      <c r="EVH166"/>
      <c r="EVI166"/>
      <c r="EVJ166"/>
      <c r="EVK166"/>
      <c r="EVL166"/>
      <c r="EVM166"/>
      <c r="EVN166"/>
      <c r="EVO166"/>
      <c r="EVP166"/>
      <c r="EVQ166"/>
      <c r="EVR166"/>
      <c r="EVS166"/>
      <c r="EVT166"/>
      <c r="EVU166"/>
      <c r="EVV166"/>
      <c r="EVW166"/>
      <c r="EVX166"/>
      <c r="EVY166"/>
      <c r="EVZ166"/>
      <c r="EWA166"/>
      <c r="EWB166"/>
      <c r="EWC166"/>
      <c r="EWD166"/>
      <c r="EWE166"/>
      <c r="EWF166"/>
      <c r="EWG166"/>
      <c r="EWH166"/>
      <c r="EWI166"/>
      <c r="EWJ166"/>
      <c r="EWK166"/>
      <c r="EWL166"/>
      <c r="EWM166"/>
      <c r="EWN166"/>
      <c r="EWO166"/>
      <c r="EWP166"/>
      <c r="EWQ166"/>
      <c r="EWR166"/>
      <c r="EWS166"/>
      <c r="EWT166"/>
      <c r="EWU166"/>
      <c r="EWV166"/>
      <c r="EWW166"/>
      <c r="EWX166"/>
      <c r="EWY166"/>
      <c r="EWZ166"/>
      <c r="EXA166"/>
      <c r="EXB166"/>
      <c r="EXC166"/>
      <c r="EXD166"/>
      <c r="EXE166"/>
      <c r="EXF166"/>
      <c r="EXG166"/>
      <c r="EXH166"/>
      <c r="EXI166"/>
      <c r="EXJ166"/>
      <c r="EXK166"/>
      <c r="EXL166"/>
      <c r="EXM166"/>
      <c r="EXN166"/>
      <c r="EXO166"/>
      <c r="EXP166"/>
      <c r="EXQ166"/>
      <c r="EXR166"/>
      <c r="EXS166"/>
      <c r="EXT166"/>
      <c r="EXU166"/>
      <c r="EXV166"/>
      <c r="EXW166"/>
      <c r="EXX166"/>
      <c r="EXY166"/>
      <c r="EXZ166"/>
      <c r="EYA166"/>
      <c r="EYB166"/>
      <c r="EYC166"/>
      <c r="EYD166"/>
      <c r="EYE166"/>
      <c r="EYF166"/>
      <c r="EYG166"/>
      <c r="EYH166"/>
      <c r="EYI166"/>
      <c r="EYJ166"/>
      <c r="EYK166"/>
      <c r="EYL166"/>
      <c r="EYM166"/>
      <c r="EYN166"/>
      <c r="EYO166"/>
      <c r="EYP166"/>
      <c r="EYQ166"/>
      <c r="EYR166"/>
      <c r="EYS166"/>
      <c r="EYT166"/>
      <c r="EYU166"/>
      <c r="EYV166"/>
      <c r="EYW166"/>
      <c r="EYX166"/>
      <c r="EYY166"/>
      <c r="EYZ166"/>
      <c r="EZA166"/>
      <c r="EZB166"/>
      <c r="EZC166"/>
      <c r="EZD166"/>
      <c r="EZE166"/>
      <c r="EZF166"/>
      <c r="EZG166"/>
      <c r="EZH166"/>
      <c r="EZI166"/>
      <c r="EZJ166"/>
      <c r="EZK166"/>
      <c r="EZL166"/>
      <c r="EZM166"/>
      <c r="EZN166"/>
      <c r="EZO166"/>
      <c r="EZP166"/>
      <c r="EZQ166"/>
      <c r="EZR166"/>
      <c r="EZS166"/>
      <c r="EZT166"/>
      <c r="EZU166"/>
      <c r="EZV166"/>
      <c r="EZW166"/>
      <c r="EZX166"/>
      <c r="EZY166"/>
      <c r="EZZ166"/>
      <c r="FAA166"/>
      <c r="FAB166"/>
      <c r="FAC166"/>
      <c r="FAD166"/>
      <c r="FAE166"/>
      <c r="FAF166"/>
      <c r="FAG166"/>
      <c r="FAH166"/>
      <c r="FAI166"/>
      <c r="FAJ166"/>
      <c r="FAK166"/>
      <c r="FAL166"/>
      <c r="FAM166"/>
      <c r="FAN166"/>
      <c r="FAO166"/>
      <c r="FAP166"/>
      <c r="FAQ166"/>
      <c r="FAR166"/>
      <c r="FAS166"/>
      <c r="FAT166"/>
      <c r="FAU166"/>
      <c r="FAV166"/>
      <c r="FAW166"/>
      <c r="FAX166"/>
      <c r="FAY166"/>
      <c r="FAZ166"/>
      <c r="FBA166"/>
      <c r="FBB166"/>
      <c r="FBC166"/>
      <c r="FBD166"/>
      <c r="FBE166"/>
      <c r="FBF166"/>
      <c r="FBG166"/>
      <c r="FBH166"/>
      <c r="FBI166"/>
      <c r="FBJ166"/>
      <c r="FBK166"/>
      <c r="FBL166"/>
      <c r="FBM166"/>
      <c r="FBN166"/>
      <c r="FBO166"/>
      <c r="FBP166"/>
      <c r="FBQ166"/>
      <c r="FBR166"/>
      <c r="FBS166"/>
      <c r="FBT166"/>
      <c r="FBU166"/>
      <c r="FBV166"/>
      <c r="FBW166"/>
      <c r="FBX166"/>
      <c r="FBY166"/>
      <c r="FBZ166"/>
      <c r="FCA166"/>
      <c r="FCB166"/>
      <c r="FCC166"/>
      <c r="FCD166"/>
      <c r="FCE166"/>
      <c r="FCF166"/>
      <c r="FCG166"/>
      <c r="FCH166"/>
      <c r="FCI166"/>
      <c r="FCJ166"/>
      <c r="FCK166"/>
      <c r="FCL166"/>
      <c r="FCM166"/>
      <c r="FCN166"/>
      <c r="FCO166"/>
      <c r="FCP166"/>
      <c r="FCQ166"/>
      <c r="FCR166"/>
      <c r="FCS166"/>
      <c r="FCT166"/>
      <c r="FCU166"/>
      <c r="FCV166"/>
      <c r="FCW166"/>
      <c r="FCX166"/>
      <c r="FCY166"/>
      <c r="FCZ166"/>
      <c r="FDA166"/>
      <c r="FDB166"/>
      <c r="FDC166"/>
      <c r="FDD166"/>
      <c r="FDE166"/>
      <c r="FDF166"/>
      <c r="FDG166"/>
      <c r="FDH166"/>
      <c r="FDI166"/>
      <c r="FDJ166"/>
      <c r="FDK166"/>
      <c r="FDL166"/>
      <c r="FDM166"/>
      <c r="FDN166"/>
      <c r="FDO166"/>
      <c r="FDP166"/>
      <c r="FDQ166"/>
      <c r="FDR166"/>
      <c r="FDS166"/>
      <c r="FDT166"/>
      <c r="FDU166"/>
      <c r="FDV166"/>
      <c r="FDW166"/>
      <c r="FDX166"/>
      <c r="FDY166"/>
      <c r="FDZ166"/>
      <c r="FEA166"/>
      <c r="FEB166"/>
      <c r="FEC166"/>
      <c r="FED166"/>
      <c r="FEE166"/>
      <c r="FEF166"/>
      <c r="FEG166"/>
      <c r="FEH166"/>
      <c r="FEI166"/>
      <c r="FEJ166"/>
      <c r="FEK166"/>
      <c r="FEL166"/>
      <c r="FEM166"/>
      <c r="FEN166"/>
      <c r="FEO166"/>
      <c r="FEP166"/>
      <c r="FEQ166"/>
      <c r="FER166"/>
      <c r="FES166"/>
      <c r="FET166"/>
      <c r="FEU166"/>
      <c r="FEV166"/>
      <c r="FEW166"/>
      <c r="FEX166"/>
      <c r="FEY166"/>
      <c r="FEZ166"/>
      <c r="FFA166"/>
      <c r="FFB166"/>
      <c r="FFC166"/>
      <c r="FFD166"/>
      <c r="FFE166"/>
      <c r="FFF166"/>
      <c r="FFG166"/>
      <c r="FFH166"/>
      <c r="FFI166"/>
      <c r="FFJ166"/>
      <c r="FFK166"/>
      <c r="FFL166"/>
      <c r="FFM166"/>
      <c r="FFN166"/>
      <c r="FFO166"/>
      <c r="FFP166"/>
      <c r="FFQ166"/>
      <c r="FFR166"/>
      <c r="FFS166"/>
      <c r="FFT166"/>
      <c r="FFU166"/>
      <c r="FFV166"/>
      <c r="FFW166"/>
      <c r="FFX166"/>
      <c r="FFY166"/>
      <c r="FFZ166"/>
      <c r="FGA166"/>
      <c r="FGB166"/>
      <c r="FGC166"/>
      <c r="FGD166"/>
      <c r="FGE166"/>
      <c r="FGF166"/>
      <c r="FGG166"/>
      <c r="FGH166"/>
      <c r="FGI166"/>
      <c r="FGJ166"/>
      <c r="FGK166"/>
      <c r="FGL166"/>
      <c r="FGM166"/>
      <c r="FGN166"/>
      <c r="FGO166"/>
      <c r="FGP166"/>
      <c r="FGQ166"/>
      <c r="FGR166"/>
      <c r="FGS166"/>
      <c r="FGT166"/>
      <c r="FGU166"/>
      <c r="FGV166"/>
      <c r="FGW166"/>
      <c r="FGX166"/>
      <c r="FGY166"/>
      <c r="FGZ166"/>
      <c r="FHA166"/>
      <c r="FHB166"/>
      <c r="FHC166"/>
      <c r="FHD166"/>
      <c r="FHE166"/>
      <c r="FHF166"/>
      <c r="FHG166"/>
      <c r="FHH166"/>
      <c r="FHI166"/>
      <c r="FHJ166"/>
      <c r="FHK166"/>
      <c r="FHL166"/>
      <c r="FHM166"/>
      <c r="FHN166"/>
      <c r="FHO166"/>
      <c r="FHP166"/>
      <c r="FHQ166"/>
      <c r="FHR166"/>
      <c r="FHS166"/>
      <c r="FHT166"/>
      <c r="FHU166"/>
      <c r="FHV166"/>
      <c r="FHW166"/>
      <c r="FHX166"/>
      <c r="FHY166"/>
      <c r="FHZ166"/>
      <c r="FIA166"/>
      <c r="FIB166"/>
      <c r="FIC166"/>
      <c r="FID166"/>
      <c r="FIE166"/>
      <c r="FIF166"/>
      <c r="FIG166"/>
      <c r="FIH166"/>
      <c r="FII166"/>
      <c r="FIJ166"/>
      <c r="FIK166"/>
      <c r="FIL166"/>
      <c r="FIM166"/>
      <c r="FIN166"/>
      <c r="FIO166"/>
      <c r="FIP166"/>
      <c r="FIQ166"/>
      <c r="FIR166"/>
      <c r="FIS166"/>
      <c r="FIT166"/>
      <c r="FIU166"/>
      <c r="FIV166"/>
      <c r="FIW166"/>
      <c r="FIX166"/>
      <c r="FIY166"/>
      <c r="FIZ166"/>
      <c r="FJA166"/>
      <c r="FJB166"/>
      <c r="FJC166"/>
      <c r="FJD166"/>
      <c r="FJE166"/>
      <c r="FJF166"/>
      <c r="FJG166"/>
      <c r="FJH166"/>
      <c r="FJI166"/>
      <c r="FJJ166"/>
      <c r="FJK166"/>
      <c r="FJL166"/>
      <c r="FJM166"/>
      <c r="FJN166"/>
      <c r="FJO166"/>
      <c r="FJP166"/>
      <c r="FJQ166"/>
      <c r="FJR166"/>
      <c r="FJS166"/>
      <c r="FJT166"/>
      <c r="FJU166"/>
      <c r="FJV166"/>
      <c r="FJW166"/>
      <c r="FJX166"/>
      <c r="FJY166"/>
      <c r="FJZ166"/>
      <c r="FKA166"/>
      <c r="FKB166"/>
      <c r="FKC166"/>
      <c r="FKD166"/>
      <c r="FKE166"/>
      <c r="FKF166"/>
      <c r="FKG166"/>
      <c r="FKH166"/>
      <c r="FKI166"/>
      <c r="FKJ166"/>
      <c r="FKK166"/>
      <c r="FKL166"/>
      <c r="FKM166"/>
      <c r="FKN166"/>
      <c r="FKO166"/>
      <c r="FKP166"/>
      <c r="FKQ166"/>
      <c r="FKR166"/>
      <c r="FKS166"/>
      <c r="FKT166"/>
      <c r="FKU166"/>
      <c r="FKV166"/>
      <c r="FKW166"/>
      <c r="FKX166"/>
      <c r="FKY166"/>
      <c r="FKZ166"/>
      <c r="FLA166"/>
      <c r="FLB166"/>
      <c r="FLC166"/>
      <c r="FLD166"/>
      <c r="FLE166"/>
      <c r="FLF166"/>
      <c r="FLG166"/>
      <c r="FLH166"/>
      <c r="FLI166"/>
      <c r="FLJ166"/>
      <c r="FLK166"/>
      <c r="FLL166"/>
      <c r="FLM166"/>
      <c r="FLN166"/>
      <c r="FLO166"/>
      <c r="FLP166"/>
      <c r="FLQ166"/>
      <c r="FLR166"/>
      <c r="FLS166"/>
      <c r="FLT166"/>
      <c r="FLU166"/>
      <c r="FLV166"/>
      <c r="FLW166"/>
      <c r="FLX166"/>
      <c r="FLY166"/>
      <c r="FLZ166"/>
      <c r="FMA166"/>
      <c r="FMB166"/>
      <c r="FMC166"/>
      <c r="FMD166"/>
      <c r="FME166"/>
      <c r="FMF166"/>
      <c r="FMG166"/>
      <c r="FMH166"/>
      <c r="FMI166"/>
      <c r="FMJ166"/>
      <c r="FMK166"/>
      <c r="FML166"/>
      <c r="FMM166"/>
      <c r="FMN166"/>
      <c r="FMO166"/>
      <c r="FMP166"/>
      <c r="FMQ166"/>
      <c r="FMR166"/>
      <c r="FMS166"/>
      <c r="FMT166"/>
      <c r="FMU166"/>
      <c r="FMV166"/>
      <c r="FMW166"/>
      <c r="FMX166"/>
      <c r="FMY166"/>
      <c r="FMZ166"/>
      <c r="FNA166"/>
      <c r="FNB166"/>
      <c r="FNC166"/>
      <c r="FND166"/>
      <c r="FNE166"/>
      <c r="FNF166"/>
      <c r="FNG166"/>
      <c r="FNH166"/>
      <c r="FNI166"/>
      <c r="FNJ166"/>
      <c r="FNK166"/>
      <c r="FNL166"/>
      <c r="FNM166"/>
      <c r="FNN166"/>
      <c r="FNO166"/>
      <c r="FNP166"/>
      <c r="FNQ166"/>
      <c r="FNR166"/>
      <c r="FNS166"/>
      <c r="FNT166"/>
      <c r="FNU166"/>
      <c r="FNV166"/>
      <c r="FNW166"/>
      <c r="FNX166"/>
      <c r="FNY166"/>
      <c r="FNZ166"/>
      <c r="FOA166"/>
      <c r="FOB166"/>
      <c r="FOC166"/>
      <c r="FOD166"/>
      <c r="FOE166"/>
      <c r="FOF166"/>
      <c r="FOG166"/>
      <c r="FOH166"/>
      <c r="FOI166"/>
      <c r="FOJ166"/>
      <c r="FOK166"/>
      <c r="FOL166"/>
      <c r="FOM166"/>
      <c r="FON166"/>
      <c r="FOO166"/>
      <c r="FOP166"/>
      <c r="FOQ166"/>
      <c r="FOR166"/>
      <c r="FOS166"/>
      <c r="FOT166"/>
      <c r="FOU166"/>
      <c r="FOV166"/>
      <c r="FOW166"/>
      <c r="FOX166"/>
      <c r="FOY166"/>
      <c r="FOZ166"/>
      <c r="FPA166"/>
      <c r="FPB166"/>
      <c r="FPC166"/>
      <c r="FPD166"/>
      <c r="FPE166"/>
      <c r="FPF166"/>
      <c r="FPG166"/>
      <c r="FPH166"/>
      <c r="FPI166"/>
      <c r="FPJ166"/>
      <c r="FPK166"/>
      <c r="FPL166"/>
      <c r="FPM166"/>
      <c r="FPN166"/>
      <c r="FPO166"/>
      <c r="FPP166"/>
      <c r="FPQ166"/>
      <c r="FPR166"/>
      <c r="FPS166"/>
      <c r="FPT166"/>
      <c r="FPU166"/>
      <c r="FPV166"/>
      <c r="FPW166"/>
      <c r="FPX166"/>
      <c r="FPY166"/>
      <c r="FPZ166"/>
      <c r="FQA166"/>
      <c r="FQB166"/>
      <c r="FQC166"/>
      <c r="FQD166"/>
      <c r="FQE166"/>
      <c r="FQF166"/>
      <c r="FQG166"/>
      <c r="FQH166"/>
      <c r="FQI166"/>
      <c r="FQJ166"/>
      <c r="FQK166"/>
      <c r="FQL166"/>
      <c r="FQM166"/>
      <c r="FQN166"/>
      <c r="FQO166"/>
      <c r="FQP166"/>
      <c r="FQQ166"/>
      <c r="FQR166"/>
      <c r="FQS166"/>
      <c r="FQT166"/>
      <c r="FQU166"/>
      <c r="FQV166"/>
      <c r="FQW166"/>
      <c r="FQX166"/>
      <c r="FQY166"/>
      <c r="FQZ166"/>
      <c r="FRA166"/>
      <c r="FRB166"/>
      <c r="FRC166"/>
      <c r="FRD166"/>
      <c r="FRE166"/>
      <c r="FRF166"/>
      <c r="FRG166"/>
      <c r="FRH166"/>
      <c r="FRI166"/>
      <c r="FRJ166"/>
      <c r="FRK166"/>
      <c r="FRL166"/>
      <c r="FRM166"/>
      <c r="FRN166"/>
      <c r="FRO166"/>
      <c r="FRP166"/>
      <c r="FRQ166"/>
      <c r="FRR166"/>
      <c r="FRS166"/>
      <c r="FRT166"/>
      <c r="FRU166"/>
      <c r="FRV166"/>
      <c r="FRW166"/>
      <c r="FRX166"/>
      <c r="FRY166"/>
      <c r="FRZ166"/>
      <c r="FSA166"/>
      <c r="FSB166"/>
      <c r="FSC166"/>
      <c r="FSD166"/>
      <c r="FSE166"/>
      <c r="FSF166"/>
      <c r="FSG166"/>
      <c r="FSH166"/>
      <c r="FSI166"/>
      <c r="FSJ166"/>
      <c r="FSK166"/>
      <c r="FSL166"/>
      <c r="FSM166"/>
      <c r="FSN166"/>
      <c r="FSO166"/>
      <c r="FSP166"/>
      <c r="FSQ166"/>
      <c r="FSR166"/>
      <c r="FSS166"/>
      <c r="FST166"/>
      <c r="FSU166"/>
      <c r="FSV166"/>
      <c r="FSW166"/>
      <c r="FSX166"/>
      <c r="FSY166"/>
      <c r="FSZ166"/>
      <c r="FTA166"/>
      <c r="FTB166"/>
      <c r="FTC166"/>
      <c r="FTD166"/>
      <c r="FTE166"/>
      <c r="FTF166"/>
      <c r="FTG166"/>
      <c r="FTH166"/>
      <c r="FTI166"/>
      <c r="FTJ166"/>
      <c r="FTK166"/>
      <c r="FTL166"/>
      <c r="FTM166"/>
      <c r="FTN166"/>
      <c r="FTO166"/>
      <c r="FTP166"/>
      <c r="FTQ166"/>
      <c r="FTR166"/>
      <c r="FTS166"/>
      <c r="FTT166"/>
      <c r="FTU166"/>
      <c r="FTV166"/>
      <c r="FTW166"/>
      <c r="FTX166"/>
      <c r="FTY166"/>
      <c r="FTZ166"/>
      <c r="FUA166"/>
      <c r="FUB166"/>
      <c r="FUC166"/>
      <c r="FUD166"/>
      <c r="FUE166"/>
      <c r="FUF166"/>
      <c r="FUG166"/>
      <c r="FUH166"/>
      <c r="FUI166"/>
      <c r="FUJ166"/>
      <c r="FUK166"/>
      <c r="FUL166"/>
      <c r="FUM166"/>
      <c r="FUN166"/>
      <c r="FUO166"/>
      <c r="FUP166"/>
      <c r="FUQ166"/>
      <c r="FUR166"/>
      <c r="FUS166"/>
      <c r="FUT166"/>
      <c r="FUU166"/>
      <c r="FUV166"/>
      <c r="FUW166"/>
      <c r="FUX166"/>
      <c r="FUY166"/>
      <c r="FUZ166"/>
      <c r="FVA166"/>
      <c r="FVB166"/>
      <c r="FVC166"/>
      <c r="FVD166"/>
      <c r="FVE166"/>
      <c r="FVF166"/>
      <c r="FVG166"/>
      <c r="FVH166"/>
      <c r="FVI166"/>
      <c r="FVJ166"/>
      <c r="FVK166"/>
      <c r="FVL166"/>
      <c r="FVM166"/>
      <c r="FVN166"/>
      <c r="FVO166"/>
      <c r="FVP166"/>
      <c r="FVQ166"/>
      <c r="FVR166"/>
      <c r="FVS166"/>
      <c r="FVT166"/>
      <c r="FVU166"/>
      <c r="FVV166"/>
      <c r="FVW166"/>
      <c r="FVX166"/>
      <c r="FVY166"/>
      <c r="FVZ166"/>
      <c r="FWA166"/>
      <c r="FWB166"/>
      <c r="FWC166"/>
      <c r="FWD166"/>
      <c r="FWE166"/>
      <c r="FWF166"/>
      <c r="FWG166"/>
      <c r="FWH166"/>
      <c r="FWI166"/>
      <c r="FWJ166"/>
      <c r="FWK166"/>
      <c r="FWL166"/>
      <c r="FWM166"/>
      <c r="FWN166"/>
      <c r="FWO166"/>
      <c r="FWP166"/>
      <c r="FWQ166"/>
      <c r="FWR166"/>
      <c r="FWS166"/>
      <c r="FWT166"/>
      <c r="FWU166"/>
      <c r="FWV166"/>
      <c r="FWW166"/>
      <c r="FWX166"/>
      <c r="FWY166"/>
      <c r="FWZ166"/>
      <c r="FXA166"/>
      <c r="FXB166"/>
      <c r="FXC166"/>
      <c r="FXD166"/>
      <c r="FXE166"/>
      <c r="FXF166"/>
      <c r="FXG166"/>
      <c r="FXH166"/>
      <c r="FXI166"/>
      <c r="FXJ166"/>
      <c r="FXK166"/>
      <c r="FXL166"/>
      <c r="FXM166"/>
      <c r="FXN166"/>
      <c r="FXO166"/>
      <c r="FXP166"/>
      <c r="FXQ166"/>
      <c r="FXR166"/>
      <c r="FXS166"/>
      <c r="FXT166"/>
      <c r="FXU166"/>
      <c r="FXV166"/>
      <c r="FXW166"/>
      <c r="FXX166"/>
      <c r="FXY166"/>
      <c r="FXZ166"/>
      <c r="FYA166"/>
      <c r="FYB166"/>
      <c r="FYC166"/>
      <c r="FYD166"/>
      <c r="FYE166"/>
      <c r="FYF166"/>
      <c r="FYG166"/>
      <c r="FYH166"/>
      <c r="FYI166"/>
      <c r="FYJ166"/>
      <c r="FYK166"/>
      <c r="FYL166"/>
      <c r="FYM166"/>
      <c r="FYN166"/>
      <c r="FYO166"/>
      <c r="FYP166"/>
      <c r="FYQ166"/>
      <c r="FYR166"/>
      <c r="FYS166"/>
      <c r="FYT166"/>
      <c r="FYU166"/>
      <c r="FYV166"/>
      <c r="FYW166"/>
      <c r="FYX166"/>
      <c r="FYY166"/>
      <c r="FYZ166"/>
      <c r="FZA166"/>
      <c r="FZB166"/>
      <c r="FZC166"/>
      <c r="FZD166"/>
      <c r="FZE166"/>
      <c r="FZF166"/>
      <c r="FZG166"/>
      <c r="FZH166"/>
      <c r="FZI166"/>
      <c r="FZJ166"/>
      <c r="FZK166"/>
      <c r="FZL166"/>
      <c r="FZM166"/>
      <c r="FZN166"/>
      <c r="FZO166"/>
      <c r="FZP166"/>
      <c r="FZQ166"/>
      <c r="FZR166"/>
      <c r="FZS166"/>
      <c r="FZT166"/>
      <c r="FZU166"/>
      <c r="FZV166"/>
      <c r="FZW166"/>
      <c r="FZX166"/>
      <c r="FZY166"/>
      <c r="FZZ166"/>
      <c r="GAA166"/>
      <c r="GAB166"/>
      <c r="GAC166"/>
      <c r="GAD166"/>
      <c r="GAE166"/>
      <c r="GAF166"/>
      <c r="GAG166"/>
      <c r="GAH166"/>
      <c r="GAI166"/>
      <c r="GAJ166"/>
      <c r="GAK166"/>
      <c r="GAL166"/>
      <c r="GAM166"/>
      <c r="GAN166"/>
      <c r="GAO166"/>
      <c r="GAP166"/>
      <c r="GAQ166"/>
      <c r="GAR166"/>
      <c r="GAS166"/>
      <c r="GAT166"/>
      <c r="GAU166"/>
      <c r="GAV166"/>
      <c r="GAW166"/>
      <c r="GAX166"/>
      <c r="GAY166"/>
      <c r="GAZ166"/>
      <c r="GBA166"/>
      <c r="GBB166"/>
      <c r="GBC166"/>
      <c r="GBD166"/>
      <c r="GBE166"/>
      <c r="GBF166"/>
      <c r="GBG166"/>
      <c r="GBH166"/>
      <c r="GBI166"/>
      <c r="GBJ166"/>
      <c r="GBK166"/>
      <c r="GBL166"/>
      <c r="GBM166"/>
      <c r="GBN166"/>
      <c r="GBO166"/>
      <c r="GBP166"/>
      <c r="GBQ166"/>
      <c r="GBR166"/>
      <c r="GBS166"/>
      <c r="GBT166"/>
      <c r="GBU166"/>
      <c r="GBV166"/>
      <c r="GBW166"/>
      <c r="GBX166"/>
      <c r="GBY166"/>
      <c r="GBZ166"/>
      <c r="GCA166"/>
      <c r="GCB166"/>
      <c r="GCC166"/>
      <c r="GCD166"/>
      <c r="GCE166"/>
      <c r="GCF166"/>
      <c r="GCG166"/>
      <c r="GCH166"/>
      <c r="GCI166"/>
      <c r="GCJ166"/>
      <c r="GCK166"/>
      <c r="GCL166"/>
      <c r="GCM166"/>
      <c r="GCN166"/>
      <c r="GCO166"/>
      <c r="GCP166"/>
      <c r="GCQ166"/>
      <c r="GCR166"/>
      <c r="GCS166"/>
      <c r="GCT166"/>
      <c r="GCU166"/>
      <c r="GCV166"/>
      <c r="GCW166"/>
      <c r="GCX166"/>
      <c r="GCY166"/>
      <c r="GCZ166"/>
      <c r="GDA166"/>
      <c r="GDB166"/>
      <c r="GDC166"/>
      <c r="GDD166"/>
      <c r="GDE166"/>
      <c r="GDF166"/>
      <c r="GDG166"/>
      <c r="GDH166"/>
      <c r="GDI166"/>
      <c r="GDJ166"/>
      <c r="GDK166"/>
      <c r="GDL166"/>
      <c r="GDM166"/>
      <c r="GDN166"/>
      <c r="GDO166"/>
      <c r="GDP166"/>
      <c r="GDQ166"/>
      <c r="GDR166"/>
      <c r="GDS166"/>
      <c r="GDT166"/>
      <c r="GDU166"/>
      <c r="GDV166"/>
      <c r="GDW166"/>
      <c r="GDX166"/>
      <c r="GDY166"/>
      <c r="GDZ166"/>
      <c r="GEA166"/>
      <c r="GEB166"/>
      <c r="GEC166"/>
      <c r="GED166"/>
      <c r="GEE166"/>
      <c r="GEF166"/>
      <c r="GEG166"/>
      <c r="GEH166"/>
      <c r="GEI166"/>
      <c r="GEJ166"/>
      <c r="GEK166"/>
      <c r="GEL166"/>
      <c r="GEM166"/>
      <c r="GEN166"/>
      <c r="GEO166"/>
      <c r="GEP166"/>
      <c r="GEQ166"/>
      <c r="GER166"/>
      <c r="GES166"/>
      <c r="GET166"/>
      <c r="GEU166"/>
      <c r="GEV166"/>
      <c r="GEW166"/>
      <c r="GEX166"/>
      <c r="GEY166"/>
      <c r="GEZ166"/>
      <c r="GFA166"/>
      <c r="GFB166"/>
      <c r="GFC166"/>
      <c r="GFD166"/>
      <c r="GFE166"/>
      <c r="GFF166"/>
      <c r="GFG166"/>
      <c r="GFH166"/>
      <c r="GFI166"/>
      <c r="GFJ166"/>
      <c r="GFK166"/>
      <c r="GFL166"/>
      <c r="GFM166"/>
      <c r="GFN166"/>
      <c r="GFO166"/>
      <c r="GFP166"/>
      <c r="GFQ166"/>
      <c r="GFR166"/>
      <c r="GFS166"/>
      <c r="GFT166"/>
      <c r="GFU166"/>
      <c r="GFV166"/>
      <c r="GFW166"/>
      <c r="GFX166"/>
      <c r="GFY166"/>
      <c r="GFZ166"/>
      <c r="GGA166"/>
      <c r="GGB166"/>
      <c r="GGC166"/>
      <c r="GGD166"/>
      <c r="GGE166"/>
      <c r="GGF166"/>
      <c r="GGG166"/>
      <c r="GGH166"/>
      <c r="GGI166"/>
      <c r="GGJ166"/>
      <c r="GGK166"/>
      <c r="GGL166"/>
      <c r="GGM166"/>
      <c r="GGN166"/>
      <c r="GGO166"/>
      <c r="GGP166"/>
      <c r="GGQ166"/>
      <c r="GGR166"/>
      <c r="GGS166"/>
      <c r="GGT166"/>
      <c r="GGU166"/>
      <c r="GGV166"/>
      <c r="GGW166"/>
      <c r="GGX166"/>
      <c r="GGY166"/>
      <c r="GGZ166"/>
      <c r="GHA166"/>
      <c r="GHB166"/>
      <c r="GHC166"/>
      <c r="GHD166"/>
      <c r="GHE166"/>
      <c r="GHF166"/>
      <c r="GHG166"/>
      <c r="GHH166"/>
      <c r="GHI166"/>
      <c r="GHJ166"/>
      <c r="GHK166"/>
      <c r="GHL166"/>
      <c r="GHM166"/>
      <c r="GHN166"/>
      <c r="GHO166"/>
      <c r="GHP166"/>
      <c r="GHQ166"/>
      <c r="GHR166"/>
      <c r="GHS166"/>
      <c r="GHT166"/>
      <c r="GHU166"/>
      <c r="GHV166"/>
      <c r="GHW166"/>
      <c r="GHX166"/>
      <c r="GHY166"/>
      <c r="GHZ166"/>
      <c r="GIA166"/>
      <c r="GIB166"/>
      <c r="GIC166"/>
      <c r="GID166"/>
      <c r="GIE166"/>
      <c r="GIF166"/>
      <c r="GIG166"/>
      <c r="GIH166"/>
      <c r="GII166"/>
      <c r="GIJ166"/>
      <c r="GIK166"/>
      <c r="GIL166"/>
      <c r="GIM166"/>
      <c r="GIN166"/>
      <c r="GIO166"/>
      <c r="GIP166"/>
      <c r="GIQ166"/>
      <c r="GIR166"/>
      <c r="GIS166"/>
      <c r="GIT166"/>
      <c r="GIU166"/>
      <c r="GIV166"/>
      <c r="GIW166"/>
      <c r="GIX166"/>
      <c r="GIY166"/>
      <c r="GIZ166"/>
      <c r="GJA166"/>
      <c r="GJB166"/>
      <c r="GJC166"/>
      <c r="GJD166"/>
      <c r="GJE166"/>
      <c r="GJF166"/>
      <c r="GJG166"/>
      <c r="GJH166"/>
      <c r="GJI166"/>
      <c r="GJJ166"/>
      <c r="GJK166"/>
      <c r="GJL166"/>
      <c r="GJM166"/>
      <c r="GJN166"/>
      <c r="GJO166"/>
      <c r="GJP166"/>
      <c r="GJQ166"/>
      <c r="GJR166"/>
      <c r="GJS166"/>
      <c r="GJT166"/>
      <c r="GJU166"/>
      <c r="GJV166"/>
      <c r="GJW166"/>
      <c r="GJX166"/>
      <c r="GJY166"/>
      <c r="GJZ166"/>
      <c r="GKA166"/>
      <c r="GKB166"/>
      <c r="GKC166"/>
      <c r="GKD166"/>
      <c r="GKE166"/>
      <c r="GKF166"/>
      <c r="GKG166"/>
      <c r="GKH166"/>
      <c r="GKI166"/>
      <c r="GKJ166"/>
      <c r="GKK166"/>
      <c r="GKL166"/>
      <c r="GKM166"/>
      <c r="GKN166"/>
      <c r="GKO166"/>
      <c r="GKP166"/>
      <c r="GKQ166"/>
      <c r="GKR166"/>
      <c r="GKS166"/>
      <c r="GKT166"/>
      <c r="GKU166"/>
      <c r="GKV166"/>
      <c r="GKW166"/>
      <c r="GKX166"/>
      <c r="GKY166"/>
      <c r="GKZ166"/>
      <c r="GLA166"/>
      <c r="GLB166"/>
      <c r="GLC166"/>
      <c r="GLD166"/>
      <c r="GLE166"/>
      <c r="GLF166"/>
      <c r="GLG166"/>
      <c r="GLH166"/>
      <c r="GLI166"/>
      <c r="GLJ166"/>
      <c r="GLK166"/>
      <c r="GLL166"/>
      <c r="GLM166"/>
      <c r="GLN166"/>
      <c r="GLO166"/>
      <c r="GLP166"/>
      <c r="GLQ166"/>
      <c r="GLR166"/>
      <c r="GLS166"/>
      <c r="GLT166"/>
      <c r="GLU166"/>
      <c r="GLV166"/>
      <c r="GLW166"/>
      <c r="GLX166"/>
      <c r="GLY166"/>
      <c r="GLZ166"/>
      <c r="GMA166"/>
      <c r="GMB166"/>
      <c r="GMC166"/>
      <c r="GMD166"/>
      <c r="GME166"/>
      <c r="GMF166"/>
      <c r="GMG166"/>
      <c r="GMH166"/>
      <c r="GMI166"/>
      <c r="GMJ166"/>
      <c r="GMK166"/>
      <c r="GML166"/>
      <c r="GMM166"/>
      <c r="GMN166"/>
      <c r="GMO166"/>
      <c r="GMP166"/>
      <c r="GMQ166"/>
      <c r="GMR166"/>
      <c r="GMS166"/>
      <c r="GMT166"/>
      <c r="GMU166"/>
      <c r="GMV166"/>
      <c r="GMW166"/>
      <c r="GMX166"/>
      <c r="GMY166"/>
      <c r="GMZ166"/>
      <c r="GNA166"/>
      <c r="GNB166"/>
      <c r="GNC166"/>
      <c r="GND166"/>
      <c r="GNE166"/>
      <c r="GNF166"/>
      <c r="GNG166"/>
      <c r="GNH166"/>
      <c r="GNI166"/>
      <c r="GNJ166"/>
      <c r="GNK166"/>
      <c r="GNL166"/>
      <c r="GNM166"/>
      <c r="GNN166"/>
      <c r="GNO166"/>
      <c r="GNP166"/>
      <c r="GNQ166"/>
      <c r="GNR166"/>
      <c r="GNS166"/>
      <c r="GNT166"/>
      <c r="GNU166"/>
      <c r="GNV166"/>
      <c r="GNW166"/>
      <c r="GNX166"/>
      <c r="GNY166"/>
      <c r="GNZ166"/>
      <c r="GOA166"/>
      <c r="GOB166"/>
      <c r="GOC166"/>
      <c r="GOD166"/>
      <c r="GOE166"/>
      <c r="GOF166"/>
      <c r="GOG166"/>
      <c r="GOH166"/>
      <c r="GOI166"/>
      <c r="GOJ166"/>
      <c r="GOK166"/>
      <c r="GOL166"/>
      <c r="GOM166"/>
      <c r="GON166"/>
      <c r="GOO166"/>
      <c r="GOP166"/>
      <c r="GOQ166"/>
      <c r="GOR166"/>
      <c r="GOS166"/>
      <c r="GOT166"/>
      <c r="GOU166"/>
      <c r="GOV166"/>
      <c r="GOW166"/>
      <c r="GOX166"/>
      <c r="GOY166"/>
      <c r="GOZ166"/>
      <c r="GPA166"/>
      <c r="GPB166"/>
      <c r="GPC166"/>
      <c r="GPD166"/>
      <c r="GPE166"/>
      <c r="GPF166"/>
      <c r="GPG166"/>
      <c r="GPH166"/>
      <c r="GPI166"/>
      <c r="GPJ166"/>
      <c r="GPK166"/>
      <c r="GPL166"/>
      <c r="GPM166"/>
      <c r="GPN166"/>
      <c r="GPO166"/>
      <c r="GPP166"/>
      <c r="GPQ166"/>
      <c r="GPR166"/>
      <c r="GPS166"/>
      <c r="GPT166"/>
      <c r="GPU166"/>
      <c r="GPV166"/>
      <c r="GPW166"/>
      <c r="GPX166"/>
      <c r="GPY166"/>
      <c r="GPZ166"/>
      <c r="GQA166"/>
      <c r="GQB166"/>
      <c r="GQC166"/>
      <c r="GQD166"/>
      <c r="GQE166"/>
      <c r="GQF166"/>
      <c r="GQG166"/>
      <c r="GQH166"/>
      <c r="GQI166"/>
      <c r="GQJ166"/>
      <c r="GQK166"/>
      <c r="GQL166"/>
      <c r="GQM166"/>
      <c r="GQN166"/>
      <c r="GQO166"/>
      <c r="GQP166"/>
      <c r="GQQ166"/>
      <c r="GQR166"/>
      <c r="GQS166"/>
      <c r="GQT166"/>
      <c r="GQU166"/>
      <c r="GQV166"/>
      <c r="GQW166"/>
      <c r="GQX166"/>
      <c r="GQY166"/>
      <c r="GQZ166"/>
      <c r="GRA166"/>
      <c r="GRB166"/>
      <c r="GRC166"/>
      <c r="GRD166"/>
      <c r="GRE166"/>
      <c r="GRF166"/>
      <c r="GRG166"/>
      <c r="GRH166"/>
      <c r="GRI166"/>
      <c r="GRJ166"/>
      <c r="GRK166"/>
      <c r="GRL166"/>
      <c r="GRM166"/>
      <c r="GRN166"/>
      <c r="GRO166"/>
      <c r="GRP166"/>
      <c r="GRQ166"/>
      <c r="GRR166"/>
      <c r="GRS166"/>
      <c r="GRT166"/>
      <c r="GRU166"/>
      <c r="GRV166"/>
      <c r="GRW166"/>
      <c r="GRX166"/>
      <c r="GRY166"/>
      <c r="GRZ166"/>
      <c r="GSA166"/>
      <c r="GSB166"/>
      <c r="GSC166"/>
      <c r="GSD166"/>
      <c r="GSE166"/>
      <c r="GSF166"/>
      <c r="GSG166"/>
      <c r="GSH166"/>
      <c r="GSI166"/>
      <c r="GSJ166"/>
      <c r="GSK166"/>
      <c r="GSL166"/>
      <c r="GSM166"/>
      <c r="GSN166"/>
      <c r="GSO166"/>
      <c r="GSP166"/>
      <c r="GSQ166"/>
      <c r="GSR166"/>
      <c r="GSS166"/>
      <c r="GST166"/>
      <c r="GSU166"/>
      <c r="GSV166"/>
      <c r="GSW166"/>
      <c r="GSX166"/>
      <c r="GSY166"/>
      <c r="GSZ166"/>
      <c r="GTA166"/>
      <c r="GTB166"/>
      <c r="GTC166"/>
      <c r="GTD166"/>
      <c r="GTE166"/>
      <c r="GTF166"/>
      <c r="GTG166"/>
      <c r="GTH166"/>
      <c r="GTI166"/>
      <c r="GTJ166"/>
      <c r="GTK166"/>
      <c r="GTL166"/>
      <c r="GTM166"/>
      <c r="GTN166"/>
      <c r="GTO166"/>
      <c r="GTP166"/>
      <c r="GTQ166"/>
      <c r="GTR166"/>
      <c r="GTS166"/>
      <c r="GTT166"/>
      <c r="GTU166"/>
      <c r="GTV166"/>
      <c r="GTW166"/>
      <c r="GTX166"/>
      <c r="GTY166"/>
      <c r="GTZ166"/>
      <c r="GUA166"/>
      <c r="GUB166"/>
      <c r="GUC166"/>
      <c r="GUD166"/>
      <c r="GUE166"/>
      <c r="GUF166"/>
      <c r="GUG166"/>
      <c r="GUH166"/>
      <c r="GUI166"/>
      <c r="GUJ166"/>
      <c r="GUK166"/>
      <c r="GUL166"/>
      <c r="GUM166"/>
      <c r="GUN166"/>
      <c r="GUO166"/>
      <c r="GUP166"/>
      <c r="GUQ166"/>
      <c r="GUR166"/>
      <c r="GUS166"/>
      <c r="GUT166"/>
      <c r="GUU166"/>
      <c r="GUV166"/>
      <c r="GUW166"/>
      <c r="GUX166"/>
      <c r="GUY166"/>
      <c r="GUZ166"/>
      <c r="GVA166"/>
      <c r="GVB166"/>
      <c r="GVC166"/>
      <c r="GVD166"/>
      <c r="GVE166"/>
      <c r="GVF166"/>
      <c r="GVG166"/>
      <c r="GVH166"/>
      <c r="GVI166"/>
      <c r="GVJ166"/>
      <c r="GVK166"/>
      <c r="GVL166"/>
      <c r="GVM166"/>
      <c r="GVN166"/>
      <c r="GVO166"/>
      <c r="GVP166"/>
      <c r="GVQ166"/>
      <c r="GVR166"/>
      <c r="GVS166"/>
      <c r="GVT166"/>
      <c r="GVU166"/>
      <c r="GVV166"/>
      <c r="GVW166"/>
      <c r="GVX166"/>
      <c r="GVY166"/>
      <c r="GVZ166"/>
      <c r="GWA166"/>
      <c r="GWB166"/>
      <c r="GWC166"/>
      <c r="GWD166"/>
      <c r="GWE166"/>
      <c r="GWF166"/>
      <c r="GWG166"/>
      <c r="GWH166"/>
      <c r="GWI166"/>
      <c r="GWJ166"/>
      <c r="GWK166"/>
      <c r="GWL166"/>
      <c r="GWM166"/>
      <c r="GWN166"/>
      <c r="GWO166"/>
      <c r="GWP166"/>
      <c r="GWQ166"/>
      <c r="GWR166"/>
      <c r="GWS166"/>
      <c r="GWT166"/>
      <c r="GWU166"/>
      <c r="GWV166"/>
      <c r="GWW166"/>
      <c r="GWX166"/>
      <c r="GWY166"/>
      <c r="GWZ166"/>
      <c r="GXA166"/>
      <c r="GXB166"/>
      <c r="GXC166"/>
      <c r="GXD166"/>
      <c r="GXE166"/>
      <c r="GXF166"/>
      <c r="GXG166"/>
      <c r="GXH166"/>
      <c r="GXI166"/>
      <c r="GXJ166"/>
      <c r="GXK166"/>
      <c r="GXL166"/>
      <c r="GXM166"/>
      <c r="GXN166"/>
      <c r="GXO166"/>
      <c r="GXP166"/>
      <c r="GXQ166"/>
      <c r="GXR166"/>
      <c r="GXS166"/>
      <c r="GXT166"/>
      <c r="GXU166"/>
      <c r="GXV166"/>
      <c r="GXW166"/>
      <c r="GXX166"/>
      <c r="GXY166"/>
      <c r="GXZ166"/>
      <c r="GYA166"/>
      <c r="GYB166"/>
      <c r="GYC166"/>
      <c r="GYD166"/>
      <c r="GYE166"/>
      <c r="GYF166"/>
      <c r="GYG166"/>
      <c r="GYH166"/>
      <c r="GYI166"/>
      <c r="GYJ166"/>
      <c r="GYK166"/>
      <c r="GYL166"/>
      <c r="GYM166"/>
      <c r="GYN166"/>
      <c r="GYO166"/>
      <c r="GYP166"/>
      <c r="GYQ166"/>
      <c r="GYR166"/>
      <c r="GYS166"/>
      <c r="GYT166"/>
      <c r="GYU166"/>
      <c r="GYV166"/>
      <c r="GYW166"/>
      <c r="GYX166"/>
      <c r="GYY166"/>
      <c r="GYZ166"/>
      <c r="GZA166"/>
      <c r="GZB166"/>
      <c r="GZC166"/>
      <c r="GZD166"/>
      <c r="GZE166"/>
      <c r="GZF166"/>
      <c r="GZG166"/>
      <c r="GZH166"/>
      <c r="GZI166"/>
      <c r="GZJ166"/>
      <c r="GZK166"/>
      <c r="GZL166"/>
      <c r="GZM166"/>
      <c r="GZN166"/>
      <c r="GZO166"/>
      <c r="GZP166"/>
      <c r="GZQ166"/>
      <c r="GZR166"/>
      <c r="GZS166"/>
      <c r="GZT166"/>
      <c r="GZU166"/>
      <c r="GZV166"/>
      <c r="GZW166"/>
      <c r="GZX166"/>
      <c r="GZY166"/>
      <c r="GZZ166"/>
      <c r="HAA166"/>
      <c r="HAB166"/>
      <c r="HAC166"/>
      <c r="HAD166"/>
      <c r="HAE166"/>
      <c r="HAF166"/>
      <c r="HAG166"/>
      <c r="HAH166"/>
      <c r="HAI166"/>
      <c r="HAJ166"/>
      <c r="HAK166"/>
      <c r="HAL166"/>
      <c r="HAM166"/>
      <c r="HAN166"/>
      <c r="HAO166"/>
      <c r="HAP166"/>
      <c r="HAQ166"/>
      <c r="HAR166"/>
      <c r="HAS166"/>
      <c r="HAT166"/>
      <c r="HAU166"/>
      <c r="HAV166"/>
      <c r="HAW166"/>
      <c r="HAX166"/>
      <c r="HAY166"/>
      <c r="HAZ166"/>
      <c r="HBA166"/>
      <c r="HBB166"/>
      <c r="HBC166"/>
      <c r="HBD166"/>
      <c r="HBE166"/>
      <c r="HBF166"/>
      <c r="HBG166"/>
      <c r="HBH166"/>
      <c r="HBI166"/>
      <c r="HBJ166"/>
      <c r="HBK166"/>
      <c r="HBL166"/>
      <c r="HBM166"/>
      <c r="HBN166"/>
      <c r="HBO166"/>
      <c r="HBP166"/>
      <c r="HBQ166"/>
      <c r="HBR166"/>
      <c r="HBS166"/>
      <c r="HBT166"/>
      <c r="HBU166"/>
      <c r="HBV166"/>
      <c r="HBW166"/>
      <c r="HBX166"/>
      <c r="HBY166"/>
      <c r="HBZ166"/>
      <c r="HCA166"/>
      <c r="HCB166"/>
      <c r="HCC166"/>
      <c r="HCD166"/>
      <c r="HCE166"/>
      <c r="HCF166"/>
      <c r="HCG166"/>
      <c r="HCH166"/>
      <c r="HCI166"/>
      <c r="HCJ166"/>
      <c r="HCK166"/>
      <c r="HCL166"/>
      <c r="HCM166"/>
      <c r="HCN166"/>
      <c r="HCO166"/>
      <c r="HCP166"/>
      <c r="HCQ166"/>
      <c r="HCR166"/>
      <c r="HCS166"/>
      <c r="HCT166"/>
      <c r="HCU166"/>
      <c r="HCV166"/>
      <c r="HCW166"/>
      <c r="HCX166"/>
      <c r="HCY166"/>
      <c r="HCZ166"/>
      <c r="HDA166"/>
      <c r="HDB166"/>
      <c r="HDC166"/>
      <c r="HDD166"/>
      <c r="HDE166"/>
      <c r="HDF166"/>
      <c r="HDG166"/>
      <c r="HDH166"/>
      <c r="HDI166"/>
      <c r="HDJ166"/>
      <c r="HDK166"/>
      <c r="HDL166"/>
      <c r="HDM166"/>
      <c r="HDN166"/>
      <c r="HDO166"/>
      <c r="HDP166"/>
      <c r="HDQ166"/>
      <c r="HDR166"/>
      <c r="HDS166"/>
      <c r="HDT166"/>
      <c r="HDU166"/>
      <c r="HDV166"/>
      <c r="HDW166"/>
      <c r="HDX166"/>
      <c r="HDY166"/>
      <c r="HDZ166"/>
      <c r="HEA166"/>
      <c r="HEB166"/>
      <c r="HEC166"/>
      <c r="HED166"/>
      <c r="HEE166"/>
      <c r="HEF166"/>
      <c r="HEG166"/>
      <c r="HEH166"/>
      <c r="HEI166"/>
      <c r="HEJ166"/>
      <c r="HEK166"/>
      <c r="HEL166"/>
      <c r="HEM166"/>
      <c r="HEN166"/>
      <c r="HEO166"/>
      <c r="HEP166"/>
      <c r="HEQ166"/>
      <c r="HER166"/>
      <c r="HES166"/>
      <c r="HET166"/>
      <c r="HEU166"/>
      <c r="HEV166"/>
      <c r="HEW166"/>
      <c r="HEX166"/>
      <c r="HEY166"/>
      <c r="HEZ166"/>
      <c r="HFA166"/>
      <c r="HFB166"/>
      <c r="HFC166"/>
      <c r="HFD166"/>
      <c r="HFE166"/>
      <c r="HFF166"/>
      <c r="HFG166"/>
      <c r="HFH166"/>
      <c r="HFI166"/>
      <c r="HFJ166"/>
      <c r="HFK166"/>
      <c r="HFL166"/>
      <c r="HFM166"/>
      <c r="HFN166"/>
      <c r="HFO166"/>
      <c r="HFP166"/>
      <c r="HFQ166"/>
      <c r="HFR166"/>
      <c r="HFS166"/>
      <c r="HFT166"/>
      <c r="HFU166"/>
      <c r="HFV166"/>
      <c r="HFW166"/>
      <c r="HFX166"/>
      <c r="HFY166"/>
      <c r="HFZ166"/>
      <c r="HGA166"/>
      <c r="HGB166"/>
      <c r="HGC166"/>
      <c r="HGD166"/>
      <c r="HGE166"/>
      <c r="HGF166"/>
      <c r="HGG166"/>
      <c r="HGH166"/>
      <c r="HGI166"/>
      <c r="HGJ166"/>
      <c r="HGK166"/>
      <c r="HGL166"/>
      <c r="HGM166"/>
      <c r="HGN166"/>
      <c r="HGO166"/>
      <c r="HGP166"/>
      <c r="HGQ166"/>
      <c r="HGR166"/>
      <c r="HGS166"/>
      <c r="HGT166"/>
      <c r="HGU166"/>
      <c r="HGV166"/>
      <c r="HGW166"/>
      <c r="HGX166"/>
      <c r="HGY166"/>
      <c r="HGZ166"/>
      <c r="HHA166"/>
      <c r="HHB166"/>
      <c r="HHC166"/>
      <c r="HHD166"/>
      <c r="HHE166"/>
      <c r="HHF166"/>
      <c r="HHG166"/>
      <c r="HHH166"/>
      <c r="HHI166"/>
      <c r="HHJ166"/>
      <c r="HHK166"/>
      <c r="HHL166"/>
      <c r="HHM166"/>
      <c r="HHN166"/>
      <c r="HHO166"/>
      <c r="HHP166"/>
      <c r="HHQ166"/>
      <c r="HHR166"/>
      <c r="HHS166"/>
      <c r="HHT166"/>
      <c r="HHU166"/>
      <c r="HHV166"/>
      <c r="HHW166"/>
      <c r="HHX166"/>
      <c r="HHY166"/>
      <c r="HHZ166"/>
      <c r="HIA166"/>
      <c r="HIB166"/>
      <c r="HIC166"/>
      <c r="HID166"/>
      <c r="HIE166"/>
      <c r="HIF166"/>
      <c r="HIG166"/>
      <c r="HIH166"/>
      <c r="HII166"/>
      <c r="HIJ166"/>
      <c r="HIK166"/>
      <c r="HIL166"/>
      <c r="HIM166"/>
      <c r="HIN166"/>
      <c r="HIO166"/>
      <c r="HIP166"/>
      <c r="HIQ166"/>
      <c r="HIR166"/>
      <c r="HIS166"/>
      <c r="HIT166"/>
      <c r="HIU166"/>
      <c r="HIV166"/>
      <c r="HIW166"/>
      <c r="HIX166"/>
      <c r="HIY166"/>
      <c r="HIZ166"/>
      <c r="HJA166"/>
      <c r="HJB166"/>
      <c r="HJC166"/>
      <c r="HJD166"/>
      <c r="HJE166"/>
      <c r="HJF166"/>
      <c r="HJG166"/>
      <c r="HJH166"/>
      <c r="HJI166"/>
      <c r="HJJ166"/>
      <c r="HJK166"/>
      <c r="HJL166"/>
      <c r="HJM166"/>
      <c r="HJN166"/>
      <c r="HJO166"/>
      <c r="HJP166"/>
      <c r="HJQ166"/>
      <c r="HJR166"/>
      <c r="HJS166"/>
      <c r="HJT166"/>
      <c r="HJU166"/>
      <c r="HJV166"/>
      <c r="HJW166"/>
      <c r="HJX166"/>
      <c r="HJY166"/>
      <c r="HJZ166"/>
      <c r="HKA166"/>
      <c r="HKB166"/>
      <c r="HKC166"/>
      <c r="HKD166"/>
      <c r="HKE166"/>
      <c r="HKF166"/>
      <c r="HKG166"/>
      <c r="HKH166"/>
      <c r="HKI166"/>
      <c r="HKJ166"/>
      <c r="HKK166"/>
      <c r="HKL166"/>
      <c r="HKM166"/>
      <c r="HKN166"/>
      <c r="HKO166"/>
      <c r="HKP166"/>
      <c r="HKQ166"/>
      <c r="HKR166"/>
      <c r="HKS166"/>
      <c r="HKT166"/>
      <c r="HKU166"/>
      <c r="HKV166"/>
      <c r="HKW166"/>
      <c r="HKX166"/>
      <c r="HKY166"/>
      <c r="HKZ166"/>
      <c r="HLA166"/>
      <c r="HLB166"/>
      <c r="HLC166"/>
      <c r="HLD166"/>
      <c r="HLE166"/>
      <c r="HLF166"/>
      <c r="HLG166"/>
      <c r="HLH166"/>
      <c r="HLI166"/>
      <c r="HLJ166"/>
      <c r="HLK166"/>
      <c r="HLL166"/>
      <c r="HLM166"/>
      <c r="HLN166"/>
      <c r="HLO166"/>
      <c r="HLP166"/>
      <c r="HLQ166"/>
      <c r="HLR166"/>
      <c r="HLS166"/>
      <c r="HLT166"/>
      <c r="HLU166"/>
      <c r="HLV166"/>
      <c r="HLW166"/>
      <c r="HLX166"/>
      <c r="HLY166"/>
      <c r="HLZ166"/>
      <c r="HMA166"/>
      <c r="HMB166"/>
      <c r="HMC166"/>
      <c r="HMD166"/>
      <c r="HME166"/>
      <c r="HMF166"/>
      <c r="HMG166"/>
      <c r="HMH166"/>
      <c r="HMI166"/>
      <c r="HMJ166"/>
      <c r="HMK166"/>
      <c r="HML166"/>
      <c r="HMM166"/>
      <c r="HMN166"/>
      <c r="HMO166"/>
      <c r="HMP166"/>
      <c r="HMQ166"/>
      <c r="HMR166"/>
      <c r="HMS166"/>
      <c r="HMT166"/>
      <c r="HMU166"/>
      <c r="HMV166"/>
      <c r="HMW166"/>
      <c r="HMX166"/>
      <c r="HMY166"/>
      <c r="HMZ166"/>
      <c r="HNA166"/>
      <c r="HNB166"/>
      <c r="HNC166"/>
      <c r="HND166"/>
      <c r="HNE166"/>
      <c r="HNF166"/>
      <c r="HNG166"/>
      <c r="HNH166"/>
      <c r="HNI166"/>
      <c r="HNJ166"/>
      <c r="HNK166"/>
      <c r="HNL166"/>
      <c r="HNM166"/>
      <c r="HNN166"/>
      <c r="HNO166"/>
      <c r="HNP166"/>
      <c r="HNQ166"/>
      <c r="HNR166"/>
      <c r="HNS166"/>
      <c r="HNT166"/>
      <c r="HNU166"/>
      <c r="HNV166"/>
      <c r="HNW166"/>
      <c r="HNX166"/>
      <c r="HNY166"/>
      <c r="HNZ166"/>
      <c r="HOA166"/>
      <c r="HOB166"/>
      <c r="HOC166"/>
      <c r="HOD166"/>
      <c r="HOE166"/>
      <c r="HOF166"/>
      <c r="HOG166"/>
      <c r="HOH166"/>
      <c r="HOI166"/>
      <c r="HOJ166"/>
      <c r="HOK166"/>
      <c r="HOL166"/>
      <c r="HOM166"/>
      <c r="HON166"/>
      <c r="HOO166"/>
      <c r="HOP166"/>
      <c r="HOQ166"/>
      <c r="HOR166"/>
      <c r="HOS166"/>
      <c r="HOT166"/>
      <c r="HOU166"/>
      <c r="HOV166"/>
      <c r="HOW166"/>
      <c r="HOX166"/>
      <c r="HOY166"/>
      <c r="HOZ166"/>
      <c r="HPA166"/>
      <c r="HPB166"/>
      <c r="HPC166"/>
      <c r="HPD166"/>
      <c r="HPE166"/>
      <c r="HPF166"/>
      <c r="HPG166"/>
      <c r="HPH166"/>
      <c r="HPI166"/>
      <c r="HPJ166"/>
      <c r="HPK166"/>
      <c r="HPL166"/>
      <c r="HPM166"/>
      <c r="HPN166"/>
      <c r="HPO166"/>
      <c r="HPP166"/>
      <c r="HPQ166"/>
      <c r="HPR166"/>
      <c r="HPS166"/>
      <c r="HPT166"/>
      <c r="HPU166"/>
      <c r="HPV166"/>
      <c r="HPW166"/>
      <c r="HPX166"/>
      <c r="HPY166"/>
      <c r="HPZ166"/>
      <c r="HQA166"/>
      <c r="HQB166"/>
      <c r="HQC166"/>
      <c r="HQD166"/>
      <c r="HQE166"/>
      <c r="HQF166"/>
      <c r="HQG166"/>
      <c r="HQH166"/>
      <c r="HQI166"/>
      <c r="HQJ166"/>
      <c r="HQK166"/>
      <c r="HQL166"/>
      <c r="HQM166"/>
      <c r="HQN166"/>
      <c r="HQO166"/>
      <c r="HQP166"/>
      <c r="HQQ166"/>
      <c r="HQR166"/>
      <c r="HQS166"/>
      <c r="HQT166"/>
      <c r="HQU166"/>
      <c r="HQV166"/>
      <c r="HQW166"/>
      <c r="HQX166"/>
      <c r="HQY166"/>
      <c r="HQZ166"/>
      <c r="HRA166"/>
      <c r="HRB166"/>
      <c r="HRC166"/>
      <c r="HRD166"/>
      <c r="HRE166"/>
      <c r="HRF166"/>
      <c r="HRG166"/>
      <c r="HRH166"/>
      <c r="HRI166"/>
      <c r="HRJ166"/>
      <c r="HRK166"/>
      <c r="HRL166"/>
      <c r="HRM166"/>
      <c r="HRN166"/>
      <c r="HRO166"/>
      <c r="HRP166"/>
      <c r="HRQ166"/>
      <c r="HRR166"/>
      <c r="HRS166"/>
      <c r="HRT166"/>
      <c r="HRU166"/>
      <c r="HRV166"/>
      <c r="HRW166"/>
      <c r="HRX166"/>
      <c r="HRY166"/>
      <c r="HRZ166"/>
      <c r="HSA166"/>
      <c r="HSB166"/>
      <c r="HSC166"/>
      <c r="HSD166"/>
      <c r="HSE166"/>
      <c r="HSF166"/>
      <c r="HSG166"/>
      <c r="HSH166"/>
      <c r="HSI166"/>
      <c r="HSJ166"/>
      <c r="HSK166"/>
      <c r="HSL166"/>
      <c r="HSM166"/>
      <c r="HSN166"/>
      <c r="HSO166"/>
      <c r="HSP166"/>
      <c r="HSQ166"/>
      <c r="HSR166"/>
      <c r="HSS166"/>
      <c r="HST166"/>
      <c r="HSU166"/>
      <c r="HSV166"/>
      <c r="HSW166"/>
      <c r="HSX166"/>
      <c r="HSY166"/>
      <c r="HSZ166"/>
      <c r="HTA166"/>
      <c r="HTB166"/>
      <c r="HTC166"/>
      <c r="HTD166"/>
      <c r="HTE166"/>
      <c r="HTF166"/>
      <c r="HTG166"/>
      <c r="HTH166"/>
      <c r="HTI166"/>
      <c r="HTJ166"/>
      <c r="HTK166"/>
      <c r="HTL166"/>
      <c r="HTM166"/>
      <c r="HTN166"/>
      <c r="HTO166"/>
      <c r="HTP166"/>
      <c r="HTQ166"/>
      <c r="HTR166"/>
      <c r="HTS166"/>
      <c r="HTT166"/>
      <c r="HTU166"/>
      <c r="HTV166"/>
      <c r="HTW166"/>
      <c r="HTX166"/>
      <c r="HTY166"/>
      <c r="HTZ166"/>
      <c r="HUA166"/>
      <c r="HUB166"/>
      <c r="HUC166"/>
      <c r="HUD166"/>
      <c r="HUE166"/>
      <c r="HUF166"/>
      <c r="HUG166"/>
      <c r="HUH166"/>
      <c r="HUI166"/>
      <c r="HUJ166"/>
      <c r="HUK166"/>
      <c r="HUL166"/>
      <c r="HUM166"/>
      <c r="HUN166"/>
      <c r="HUO166"/>
      <c r="HUP166"/>
      <c r="HUQ166"/>
      <c r="HUR166"/>
      <c r="HUS166"/>
      <c r="HUT166"/>
      <c r="HUU166"/>
      <c r="HUV166"/>
      <c r="HUW166"/>
      <c r="HUX166"/>
      <c r="HUY166"/>
      <c r="HUZ166"/>
      <c r="HVA166"/>
      <c r="HVB166"/>
      <c r="HVC166"/>
      <c r="HVD166"/>
      <c r="HVE166"/>
      <c r="HVF166"/>
      <c r="HVG166"/>
      <c r="HVH166"/>
      <c r="HVI166"/>
      <c r="HVJ166"/>
      <c r="HVK166"/>
      <c r="HVL166"/>
      <c r="HVM166"/>
      <c r="HVN166"/>
      <c r="HVO166"/>
      <c r="HVP166"/>
      <c r="HVQ166"/>
      <c r="HVR166"/>
      <c r="HVS166"/>
      <c r="HVT166"/>
      <c r="HVU166"/>
      <c r="HVV166"/>
      <c r="HVW166"/>
      <c r="HVX166"/>
      <c r="HVY166"/>
      <c r="HVZ166"/>
      <c r="HWA166"/>
      <c r="HWB166"/>
      <c r="HWC166"/>
      <c r="HWD166"/>
      <c r="HWE166"/>
      <c r="HWF166"/>
      <c r="HWG166"/>
      <c r="HWH166"/>
      <c r="HWI166"/>
      <c r="HWJ166"/>
      <c r="HWK166"/>
      <c r="HWL166"/>
      <c r="HWM166"/>
      <c r="HWN166"/>
      <c r="HWO166"/>
      <c r="HWP166"/>
      <c r="HWQ166"/>
      <c r="HWR166"/>
      <c r="HWS166"/>
      <c r="HWT166"/>
      <c r="HWU166"/>
      <c r="HWV166"/>
      <c r="HWW166"/>
      <c r="HWX166"/>
      <c r="HWY166"/>
      <c r="HWZ166"/>
      <c r="HXA166"/>
      <c r="HXB166"/>
      <c r="HXC166"/>
      <c r="HXD166"/>
      <c r="HXE166"/>
      <c r="HXF166"/>
      <c r="HXG166"/>
      <c r="HXH166"/>
      <c r="HXI166"/>
      <c r="HXJ166"/>
      <c r="HXK166"/>
      <c r="HXL166"/>
      <c r="HXM166"/>
      <c r="HXN166"/>
      <c r="HXO166"/>
      <c r="HXP166"/>
      <c r="HXQ166"/>
      <c r="HXR166"/>
      <c r="HXS166"/>
      <c r="HXT166"/>
      <c r="HXU166"/>
      <c r="HXV166"/>
      <c r="HXW166"/>
      <c r="HXX166"/>
      <c r="HXY166"/>
      <c r="HXZ166"/>
      <c r="HYA166"/>
      <c r="HYB166"/>
      <c r="HYC166"/>
      <c r="HYD166"/>
      <c r="HYE166"/>
      <c r="HYF166"/>
      <c r="HYG166"/>
      <c r="HYH166"/>
      <c r="HYI166"/>
      <c r="HYJ166"/>
      <c r="HYK166"/>
      <c r="HYL166"/>
      <c r="HYM166"/>
      <c r="HYN166"/>
      <c r="HYO166"/>
      <c r="HYP166"/>
      <c r="HYQ166"/>
      <c r="HYR166"/>
      <c r="HYS166"/>
      <c r="HYT166"/>
      <c r="HYU166"/>
      <c r="HYV166"/>
      <c r="HYW166"/>
      <c r="HYX166"/>
      <c r="HYY166"/>
      <c r="HYZ166"/>
      <c r="HZA166"/>
      <c r="HZB166"/>
      <c r="HZC166"/>
      <c r="HZD166"/>
      <c r="HZE166"/>
      <c r="HZF166"/>
      <c r="HZG166"/>
      <c r="HZH166"/>
      <c r="HZI166"/>
      <c r="HZJ166"/>
      <c r="HZK166"/>
      <c r="HZL166"/>
      <c r="HZM166"/>
      <c r="HZN166"/>
      <c r="HZO166"/>
      <c r="HZP166"/>
      <c r="HZQ166"/>
      <c r="HZR166"/>
      <c r="HZS166"/>
      <c r="HZT166"/>
      <c r="HZU166"/>
      <c r="HZV166"/>
      <c r="HZW166"/>
      <c r="HZX166"/>
      <c r="HZY166"/>
      <c r="HZZ166"/>
      <c r="IAA166"/>
      <c r="IAB166"/>
      <c r="IAC166"/>
      <c r="IAD166"/>
      <c r="IAE166"/>
      <c r="IAF166"/>
      <c r="IAG166"/>
      <c r="IAH166"/>
      <c r="IAI166"/>
      <c r="IAJ166"/>
      <c r="IAK166"/>
      <c r="IAL166"/>
      <c r="IAM166"/>
      <c r="IAN166"/>
      <c r="IAO166"/>
      <c r="IAP166"/>
      <c r="IAQ166"/>
      <c r="IAR166"/>
      <c r="IAS166"/>
      <c r="IAT166"/>
      <c r="IAU166"/>
      <c r="IAV166"/>
      <c r="IAW166"/>
      <c r="IAX166"/>
      <c r="IAY166"/>
      <c r="IAZ166"/>
      <c r="IBA166"/>
      <c r="IBB166"/>
      <c r="IBC166"/>
      <c r="IBD166"/>
      <c r="IBE166"/>
      <c r="IBF166"/>
      <c r="IBG166"/>
      <c r="IBH166"/>
      <c r="IBI166"/>
      <c r="IBJ166"/>
      <c r="IBK166"/>
      <c r="IBL166"/>
      <c r="IBM166"/>
      <c r="IBN166"/>
      <c r="IBO166"/>
      <c r="IBP166"/>
      <c r="IBQ166"/>
      <c r="IBR166"/>
      <c r="IBS166"/>
      <c r="IBT166"/>
      <c r="IBU166"/>
      <c r="IBV166"/>
      <c r="IBW166"/>
      <c r="IBX166"/>
      <c r="IBY166"/>
      <c r="IBZ166"/>
      <c r="ICA166"/>
      <c r="ICB166"/>
      <c r="ICC166"/>
      <c r="ICD166"/>
      <c r="ICE166"/>
      <c r="ICF166"/>
      <c r="ICG166"/>
      <c r="ICH166"/>
      <c r="ICI166"/>
      <c r="ICJ166"/>
      <c r="ICK166"/>
      <c r="ICL166"/>
      <c r="ICM166"/>
      <c r="ICN166"/>
      <c r="ICO166"/>
      <c r="ICP166"/>
      <c r="ICQ166"/>
      <c r="ICR166"/>
      <c r="ICS166"/>
      <c r="ICT166"/>
      <c r="ICU166"/>
      <c r="ICV166"/>
      <c r="ICW166"/>
      <c r="ICX166"/>
      <c r="ICY166"/>
      <c r="ICZ166"/>
      <c r="IDA166"/>
      <c r="IDB166"/>
      <c r="IDC166"/>
      <c r="IDD166"/>
      <c r="IDE166"/>
      <c r="IDF166"/>
      <c r="IDG166"/>
      <c r="IDH166"/>
      <c r="IDI166"/>
      <c r="IDJ166"/>
      <c r="IDK166"/>
      <c r="IDL166"/>
      <c r="IDM166"/>
      <c r="IDN166"/>
      <c r="IDO166"/>
      <c r="IDP166"/>
      <c r="IDQ166"/>
      <c r="IDR166"/>
      <c r="IDS166"/>
      <c r="IDT166"/>
      <c r="IDU166"/>
      <c r="IDV166"/>
      <c r="IDW166"/>
      <c r="IDX166"/>
      <c r="IDY166"/>
      <c r="IDZ166"/>
      <c r="IEA166"/>
      <c r="IEB166"/>
      <c r="IEC166"/>
      <c r="IED166"/>
      <c r="IEE166"/>
      <c r="IEF166"/>
      <c r="IEG166"/>
      <c r="IEH166"/>
      <c r="IEI166"/>
      <c r="IEJ166"/>
      <c r="IEK166"/>
      <c r="IEL166"/>
      <c r="IEM166"/>
      <c r="IEN166"/>
      <c r="IEO166"/>
      <c r="IEP166"/>
      <c r="IEQ166"/>
      <c r="IER166"/>
      <c r="IES166"/>
      <c r="IET166"/>
      <c r="IEU166"/>
      <c r="IEV166"/>
      <c r="IEW166"/>
      <c r="IEX166"/>
      <c r="IEY166"/>
      <c r="IEZ166"/>
      <c r="IFA166"/>
      <c r="IFB166"/>
      <c r="IFC166"/>
      <c r="IFD166"/>
      <c r="IFE166"/>
      <c r="IFF166"/>
      <c r="IFG166"/>
      <c r="IFH166"/>
      <c r="IFI166"/>
      <c r="IFJ166"/>
      <c r="IFK166"/>
      <c r="IFL166"/>
      <c r="IFM166"/>
      <c r="IFN166"/>
      <c r="IFO166"/>
      <c r="IFP166"/>
      <c r="IFQ166"/>
      <c r="IFR166"/>
      <c r="IFS166"/>
      <c r="IFT166"/>
      <c r="IFU166"/>
      <c r="IFV166"/>
      <c r="IFW166"/>
      <c r="IFX166"/>
      <c r="IFY166"/>
      <c r="IFZ166"/>
      <c r="IGA166"/>
      <c r="IGB166"/>
      <c r="IGC166"/>
      <c r="IGD166"/>
      <c r="IGE166"/>
      <c r="IGF166"/>
      <c r="IGG166"/>
      <c r="IGH166"/>
      <c r="IGI166"/>
      <c r="IGJ166"/>
      <c r="IGK166"/>
      <c r="IGL166"/>
      <c r="IGM166"/>
      <c r="IGN166"/>
      <c r="IGO166"/>
      <c r="IGP166"/>
      <c r="IGQ166"/>
      <c r="IGR166"/>
      <c r="IGS166"/>
      <c r="IGT166"/>
      <c r="IGU166"/>
      <c r="IGV166"/>
      <c r="IGW166"/>
      <c r="IGX166"/>
      <c r="IGY166"/>
      <c r="IGZ166"/>
      <c r="IHA166"/>
      <c r="IHB166"/>
      <c r="IHC166"/>
      <c r="IHD166"/>
      <c r="IHE166"/>
      <c r="IHF166"/>
      <c r="IHG166"/>
      <c r="IHH166"/>
      <c r="IHI166"/>
      <c r="IHJ166"/>
      <c r="IHK166"/>
      <c r="IHL166"/>
      <c r="IHM166"/>
      <c r="IHN166"/>
      <c r="IHO166"/>
      <c r="IHP166"/>
      <c r="IHQ166"/>
      <c r="IHR166"/>
      <c r="IHS166"/>
      <c r="IHT166"/>
      <c r="IHU166"/>
      <c r="IHV166"/>
      <c r="IHW166"/>
      <c r="IHX166"/>
      <c r="IHY166"/>
      <c r="IHZ166"/>
      <c r="IIA166"/>
      <c r="IIB166"/>
      <c r="IIC166"/>
      <c r="IID166"/>
      <c r="IIE166"/>
      <c r="IIF166"/>
      <c r="IIG166"/>
      <c r="IIH166"/>
      <c r="III166"/>
      <c r="IIJ166"/>
      <c r="IIK166"/>
      <c r="IIL166"/>
      <c r="IIM166"/>
      <c r="IIN166"/>
      <c r="IIO166"/>
      <c r="IIP166"/>
      <c r="IIQ166"/>
      <c r="IIR166"/>
      <c r="IIS166"/>
      <c r="IIT166"/>
      <c r="IIU166"/>
      <c r="IIV166"/>
      <c r="IIW166"/>
      <c r="IIX166"/>
      <c r="IIY166"/>
      <c r="IIZ166"/>
      <c r="IJA166"/>
      <c r="IJB166"/>
      <c r="IJC166"/>
      <c r="IJD166"/>
      <c r="IJE166"/>
      <c r="IJF166"/>
      <c r="IJG166"/>
      <c r="IJH166"/>
      <c r="IJI166"/>
      <c r="IJJ166"/>
      <c r="IJK166"/>
      <c r="IJL166"/>
      <c r="IJM166"/>
      <c r="IJN166"/>
      <c r="IJO166"/>
      <c r="IJP166"/>
      <c r="IJQ166"/>
      <c r="IJR166"/>
      <c r="IJS166"/>
      <c r="IJT166"/>
      <c r="IJU166"/>
      <c r="IJV166"/>
      <c r="IJW166"/>
      <c r="IJX166"/>
      <c r="IJY166"/>
      <c r="IJZ166"/>
      <c r="IKA166"/>
      <c r="IKB166"/>
      <c r="IKC166"/>
      <c r="IKD166"/>
      <c r="IKE166"/>
      <c r="IKF166"/>
      <c r="IKG166"/>
      <c r="IKH166"/>
      <c r="IKI166"/>
      <c r="IKJ166"/>
      <c r="IKK166"/>
      <c r="IKL166"/>
      <c r="IKM166"/>
      <c r="IKN166"/>
      <c r="IKO166"/>
      <c r="IKP166"/>
      <c r="IKQ166"/>
      <c r="IKR166"/>
      <c r="IKS166"/>
      <c r="IKT166"/>
      <c r="IKU166"/>
      <c r="IKV166"/>
      <c r="IKW166"/>
      <c r="IKX166"/>
      <c r="IKY166"/>
      <c r="IKZ166"/>
      <c r="ILA166"/>
      <c r="ILB166"/>
      <c r="ILC166"/>
      <c r="ILD166"/>
      <c r="ILE166"/>
      <c r="ILF166"/>
      <c r="ILG166"/>
      <c r="ILH166"/>
      <c r="ILI166"/>
      <c r="ILJ166"/>
      <c r="ILK166"/>
      <c r="ILL166"/>
      <c r="ILM166"/>
      <c r="ILN166"/>
      <c r="ILO166"/>
      <c r="ILP166"/>
      <c r="ILQ166"/>
      <c r="ILR166"/>
      <c r="ILS166"/>
      <c r="ILT166"/>
      <c r="ILU166"/>
      <c r="ILV166"/>
      <c r="ILW166"/>
      <c r="ILX166"/>
      <c r="ILY166"/>
      <c r="ILZ166"/>
      <c r="IMA166"/>
      <c r="IMB166"/>
      <c r="IMC166"/>
      <c r="IMD166"/>
      <c r="IME166"/>
      <c r="IMF166"/>
      <c r="IMG166"/>
      <c r="IMH166"/>
      <c r="IMI166"/>
      <c r="IMJ166"/>
      <c r="IMK166"/>
      <c r="IML166"/>
      <c r="IMM166"/>
      <c r="IMN166"/>
      <c r="IMO166"/>
      <c r="IMP166"/>
      <c r="IMQ166"/>
      <c r="IMR166"/>
      <c r="IMS166"/>
      <c r="IMT166"/>
      <c r="IMU166"/>
      <c r="IMV166"/>
      <c r="IMW166"/>
      <c r="IMX166"/>
      <c r="IMY166"/>
      <c r="IMZ166"/>
      <c r="INA166"/>
      <c r="INB166"/>
      <c r="INC166"/>
      <c r="IND166"/>
      <c r="INE166"/>
      <c r="INF166"/>
      <c r="ING166"/>
      <c r="INH166"/>
      <c r="INI166"/>
      <c r="INJ166"/>
      <c r="INK166"/>
      <c r="INL166"/>
      <c r="INM166"/>
      <c r="INN166"/>
      <c r="INO166"/>
      <c r="INP166"/>
      <c r="INQ166"/>
      <c r="INR166"/>
      <c r="INS166"/>
      <c r="INT166"/>
      <c r="INU166"/>
      <c r="INV166"/>
      <c r="INW166"/>
      <c r="INX166"/>
      <c r="INY166"/>
      <c r="INZ166"/>
      <c r="IOA166"/>
      <c r="IOB166"/>
      <c r="IOC166"/>
      <c r="IOD166"/>
      <c r="IOE166"/>
      <c r="IOF166"/>
      <c r="IOG166"/>
      <c r="IOH166"/>
      <c r="IOI166"/>
      <c r="IOJ166"/>
      <c r="IOK166"/>
      <c r="IOL166"/>
      <c r="IOM166"/>
      <c r="ION166"/>
      <c r="IOO166"/>
      <c r="IOP166"/>
      <c r="IOQ166"/>
      <c r="IOR166"/>
      <c r="IOS166"/>
      <c r="IOT166"/>
      <c r="IOU166"/>
      <c r="IOV166"/>
      <c r="IOW166"/>
      <c r="IOX166"/>
      <c r="IOY166"/>
      <c r="IOZ166"/>
      <c r="IPA166"/>
      <c r="IPB166"/>
      <c r="IPC166"/>
      <c r="IPD166"/>
      <c r="IPE166"/>
      <c r="IPF166"/>
      <c r="IPG166"/>
      <c r="IPH166"/>
      <c r="IPI166"/>
      <c r="IPJ166"/>
      <c r="IPK166"/>
      <c r="IPL166"/>
      <c r="IPM166"/>
      <c r="IPN166"/>
      <c r="IPO166"/>
      <c r="IPP166"/>
      <c r="IPQ166"/>
      <c r="IPR166"/>
      <c r="IPS166"/>
      <c r="IPT166"/>
      <c r="IPU166"/>
      <c r="IPV166"/>
      <c r="IPW166"/>
      <c r="IPX166"/>
      <c r="IPY166"/>
      <c r="IPZ166"/>
      <c r="IQA166"/>
      <c r="IQB166"/>
      <c r="IQC166"/>
      <c r="IQD166"/>
      <c r="IQE166"/>
      <c r="IQF166"/>
      <c r="IQG166"/>
      <c r="IQH166"/>
      <c r="IQI166"/>
      <c r="IQJ166"/>
      <c r="IQK166"/>
      <c r="IQL166"/>
      <c r="IQM166"/>
      <c r="IQN166"/>
      <c r="IQO166"/>
      <c r="IQP166"/>
      <c r="IQQ166"/>
      <c r="IQR166"/>
      <c r="IQS166"/>
      <c r="IQT166"/>
      <c r="IQU166"/>
      <c r="IQV166"/>
      <c r="IQW166"/>
      <c r="IQX166"/>
      <c r="IQY166"/>
      <c r="IQZ166"/>
      <c r="IRA166"/>
      <c r="IRB166"/>
      <c r="IRC166"/>
      <c r="IRD166"/>
      <c r="IRE166"/>
      <c r="IRF166"/>
      <c r="IRG166"/>
      <c r="IRH166"/>
      <c r="IRI166"/>
      <c r="IRJ166"/>
      <c r="IRK166"/>
      <c r="IRL166"/>
      <c r="IRM166"/>
      <c r="IRN166"/>
      <c r="IRO166"/>
      <c r="IRP166"/>
      <c r="IRQ166"/>
      <c r="IRR166"/>
      <c r="IRS166"/>
      <c r="IRT166"/>
      <c r="IRU166"/>
      <c r="IRV166"/>
      <c r="IRW166"/>
      <c r="IRX166"/>
      <c r="IRY166"/>
      <c r="IRZ166"/>
      <c r="ISA166"/>
      <c r="ISB166"/>
      <c r="ISC166"/>
      <c r="ISD166"/>
      <c r="ISE166"/>
      <c r="ISF166"/>
      <c r="ISG166"/>
      <c r="ISH166"/>
      <c r="ISI166"/>
      <c r="ISJ166"/>
      <c r="ISK166"/>
      <c r="ISL166"/>
      <c r="ISM166"/>
      <c r="ISN166"/>
      <c r="ISO166"/>
      <c r="ISP166"/>
      <c r="ISQ166"/>
      <c r="ISR166"/>
      <c r="ISS166"/>
      <c r="IST166"/>
      <c r="ISU166"/>
      <c r="ISV166"/>
      <c r="ISW166"/>
      <c r="ISX166"/>
      <c r="ISY166"/>
      <c r="ISZ166"/>
      <c r="ITA166"/>
      <c r="ITB166"/>
      <c r="ITC166"/>
      <c r="ITD166"/>
      <c r="ITE166"/>
      <c r="ITF166"/>
      <c r="ITG166"/>
      <c r="ITH166"/>
      <c r="ITI166"/>
      <c r="ITJ166"/>
      <c r="ITK166"/>
      <c r="ITL166"/>
      <c r="ITM166"/>
      <c r="ITN166"/>
      <c r="ITO166"/>
      <c r="ITP166"/>
      <c r="ITQ166"/>
      <c r="ITR166"/>
      <c r="ITS166"/>
      <c r="ITT166"/>
      <c r="ITU166"/>
      <c r="ITV166"/>
      <c r="ITW166"/>
      <c r="ITX166"/>
      <c r="ITY166"/>
      <c r="ITZ166"/>
      <c r="IUA166"/>
      <c r="IUB166"/>
      <c r="IUC166"/>
      <c r="IUD166"/>
      <c r="IUE166"/>
      <c r="IUF166"/>
      <c r="IUG166"/>
      <c r="IUH166"/>
      <c r="IUI166"/>
      <c r="IUJ166"/>
      <c r="IUK166"/>
      <c r="IUL166"/>
      <c r="IUM166"/>
      <c r="IUN166"/>
      <c r="IUO166"/>
      <c r="IUP166"/>
      <c r="IUQ166"/>
      <c r="IUR166"/>
      <c r="IUS166"/>
      <c r="IUT166"/>
      <c r="IUU166"/>
      <c r="IUV166"/>
      <c r="IUW166"/>
      <c r="IUX166"/>
      <c r="IUY166"/>
      <c r="IUZ166"/>
      <c r="IVA166"/>
      <c r="IVB166"/>
      <c r="IVC166"/>
      <c r="IVD166"/>
      <c r="IVE166"/>
      <c r="IVF166"/>
      <c r="IVG166"/>
      <c r="IVH166"/>
      <c r="IVI166"/>
      <c r="IVJ166"/>
      <c r="IVK166"/>
      <c r="IVL166"/>
      <c r="IVM166"/>
      <c r="IVN166"/>
      <c r="IVO166"/>
      <c r="IVP166"/>
      <c r="IVQ166"/>
      <c r="IVR166"/>
      <c r="IVS166"/>
      <c r="IVT166"/>
      <c r="IVU166"/>
      <c r="IVV166"/>
      <c r="IVW166"/>
      <c r="IVX166"/>
      <c r="IVY166"/>
      <c r="IVZ166"/>
      <c r="IWA166"/>
      <c r="IWB166"/>
      <c r="IWC166"/>
      <c r="IWD166"/>
      <c r="IWE166"/>
      <c r="IWF166"/>
      <c r="IWG166"/>
      <c r="IWH166"/>
      <c r="IWI166"/>
      <c r="IWJ166"/>
      <c r="IWK166"/>
      <c r="IWL166"/>
      <c r="IWM166"/>
      <c r="IWN166"/>
      <c r="IWO166"/>
      <c r="IWP166"/>
      <c r="IWQ166"/>
      <c r="IWR166"/>
      <c r="IWS166"/>
      <c r="IWT166"/>
      <c r="IWU166"/>
      <c r="IWV166"/>
      <c r="IWW166"/>
      <c r="IWX166"/>
      <c r="IWY166"/>
      <c r="IWZ166"/>
      <c r="IXA166"/>
      <c r="IXB166"/>
      <c r="IXC166"/>
      <c r="IXD166"/>
      <c r="IXE166"/>
      <c r="IXF166"/>
      <c r="IXG166"/>
      <c r="IXH166"/>
      <c r="IXI166"/>
      <c r="IXJ166"/>
      <c r="IXK166"/>
      <c r="IXL166"/>
      <c r="IXM166"/>
      <c r="IXN166"/>
      <c r="IXO166"/>
      <c r="IXP166"/>
      <c r="IXQ166"/>
      <c r="IXR166"/>
      <c r="IXS166"/>
      <c r="IXT166"/>
      <c r="IXU166"/>
      <c r="IXV166"/>
      <c r="IXW166"/>
      <c r="IXX166"/>
      <c r="IXY166"/>
      <c r="IXZ166"/>
      <c r="IYA166"/>
      <c r="IYB166"/>
      <c r="IYC166"/>
      <c r="IYD166"/>
      <c r="IYE166"/>
      <c r="IYF166"/>
      <c r="IYG166"/>
      <c r="IYH166"/>
      <c r="IYI166"/>
      <c r="IYJ166"/>
      <c r="IYK166"/>
      <c r="IYL166"/>
      <c r="IYM166"/>
      <c r="IYN166"/>
      <c r="IYO166"/>
      <c r="IYP166"/>
      <c r="IYQ166"/>
      <c r="IYR166"/>
      <c r="IYS166"/>
      <c r="IYT166"/>
      <c r="IYU166"/>
      <c r="IYV166"/>
      <c r="IYW166"/>
      <c r="IYX166"/>
      <c r="IYY166"/>
      <c r="IYZ166"/>
      <c r="IZA166"/>
      <c r="IZB166"/>
      <c r="IZC166"/>
      <c r="IZD166"/>
      <c r="IZE166"/>
      <c r="IZF166"/>
      <c r="IZG166"/>
      <c r="IZH166"/>
      <c r="IZI166"/>
      <c r="IZJ166"/>
      <c r="IZK166"/>
      <c r="IZL166"/>
      <c r="IZM166"/>
      <c r="IZN166"/>
      <c r="IZO166"/>
      <c r="IZP166"/>
      <c r="IZQ166"/>
      <c r="IZR166"/>
      <c r="IZS166"/>
      <c r="IZT166"/>
      <c r="IZU166"/>
      <c r="IZV166"/>
      <c r="IZW166"/>
      <c r="IZX166"/>
      <c r="IZY166"/>
      <c r="IZZ166"/>
      <c r="JAA166"/>
      <c r="JAB166"/>
      <c r="JAC166"/>
      <c r="JAD166"/>
      <c r="JAE166"/>
      <c r="JAF166"/>
      <c r="JAG166"/>
      <c r="JAH166"/>
      <c r="JAI166"/>
      <c r="JAJ166"/>
      <c r="JAK166"/>
      <c r="JAL166"/>
      <c r="JAM166"/>
      <c r="JAN166"/>
      <c r="JAO166"/>
      <c r="JAP166"/>
      <c r="JAQ166"/>
      <c r="JAR166"/>
      <c r="JAS166"/>
      <c r="JAT166"/>
      <c r="JAU166"/>
      <c r="JAV166"/>
      <c r="JAW166"/>
      <c r="JAX166"/>
      <c r="JAY166"/>
      <c r="JAZ166"/>
      <c r="JBA166"/>
      <c r="JBB166"/>
      <c r="JBC166"/>
      <c r="JBD166"/>
      <c r="JBE166"/>
      <c r="JBF166"/>
      <c r="JBG166"/>
      <c r="JBH166"/>
      <c r="JBI166"/>
      <c r="JBJ166"/>
      <c r="JBK166"/>
      <c r="JBL166"/>
      <c r="JBM166"/>
      <c r="JBN166"/>
      <c r="JBO166"/>
      <c r="JBP166"/>
      <c r="JBQ166"/>
      <c r="JBR166"/>
      <c r="JBS166"/>
      <c r="JBT166"/>
      <c r="JBU166"/>
      <c r="JBV166"/>
      <c r="JBW166"/>
      <c r="JBX166"/>
      <c r="JBY166"/>
      <c r="JBZ166"/>
      <c r="JCA166"/>
      <c r="JCB166"/>
      <c r="JCC166"/>
      <c r="JCD166"/>
      <c r="JCE166"/>
      <c r="JCF166"/>
      <c r="JCG166"/>
      <c r="JCH166"/>
      <c r="JCI166"/>
      <c r="JCJ166"/>
      <c r="JCK166"/>
      <c r="JCL166"/>
      <c r="JCM166"/>
      <c r="JCN166"/>
      <c r="JCO166"/>
      <c r="JCP166"/>
      <c r="JCQ166"/>
      <c r="JCR166"/>
      <c r="JCS166"/>
      <c r="JCT166"/>
      <c r="JCU166"/>
      <c r="JCV166"/>
      <c r="JCW166"/>
      <c r="JCX166"/>
      <c r="JCY166"/>
      <c r="JCZ166"/>
      <c r="JDA166"/>
      <c r="JDB166"/>
      <c r="JDC166"/>
      <c r="JDD166"/>
      <c r="JDE166"/>
      <c r="JDF166"/>
      <c r="JDG166"/>
      <c r="JDH166"/>
      <c r="JDI166"/>
      <c r="JDJ166"/>
      <c r="JDK166"/>
      <c r="JDL166"/>
      <c r="JDM166"/>
      <c r="JDN166"/>
      <c r="JDO166"/>
      <c r="JDP166"/>
      <c r="JDQ166"/>
      <c r="JDR166"/>
      <c r="JDS166"/>
      <c r="JDT166"/>
      <c r="JDU166"/>
      <c r="JDV166"/>
      <c r="JDW166"/>
      <c r="JDX166"/>
      <c r="JDY166"/>
      <c r="JDZ166"/>
      <c r="JEA166"/>
      <c r="JEB166"/>
      <c r="JEC166"/>
      <c r="JED166"/>
      <c r="JEE166"/>
      <c r="JEF166"/>
      <c r="JEG166"/>
      <c r="JEH166"/>
      <c r="JEI166"/>
      <c r="JEJ166"/>
      <c r="JEK166"/>
      <c r="JEL166"/>
      <c r="JEM166"/>
      <c r="JEN166"/>
      <c r="JEO166"/>
      <c r="JEP166"/>
      <c r="JEQ166"/>
      <c r="JER166"/>
      <c r="JES166"/>
      <c r="JET166"/>
      <c r="JEU166"/>
      <c r="JEV166"/>
      <c r="JEW166"/>
      <c r="JEX166"/>
      <c r="JEY166"/>
      <c r="JEZ166"/>
      <c r="JFA166"/>
      <c r="JFB166"/>
      <c r="JFC166"/>
      <c r="JFD166"/>
      <c r="JFE166"/>
      <c r="JFF166"/>
      <c r="JFG166"/>
      <c r="JFH166"/>
      <c r="JFI166"/>
      <c r="JFJ166"/>
      <c r="JFK166"/>
      <c r="JFL166"/>
      <c r="JFM166"/>
      <c r="JFN166"/>
      <c r="JFO166"/>
      <c r="JFP166"/>
      <c r="JFQ166"/>
      <c r="JFR166"/>
      <c r="JFS166"/>
      <c r="JFT166"/>
      <c r="JFU166"/>
      <c r="JFV166"/>
      <c r="JFW166"/>
      <c r="JFX166"/>
      <c r="JFY166"/>
      <c r="JFZ166"/>
      <c r="JGA166"/>
      <c r="JGB166"/>
      <c r="JGC166"/>
      <c r="JGD166"/>
      <c r="JGE166"/>
      <c r="JGF166"/>
      <c r="JGG166"/>
      <c r="JGH166"/>
      <c r="JGI166"/>
      <c r="JGJ166"/>
      <c r="JGK166"/>
      <c r="JGL166"/>
      <c r="JGM166"/>
      <c r="JGN166"/>
      <c r="JGO166"/>
      <c r="JGP166"/>
      <c r="JGQ166"/>
      <c r="JGR166"/>
      <c r="JGS166"/>
      <c r="JGT166"/>
      <c r="JGU166"/>
      <c r="JGV166"/>
      <c r="JGW166"/>
      <c r="JGX166"/>
      <c r="JGY166"/>
      <c r="JGZ166"/>
      <c r="JHA166"/>
      <c r="JHB166"/>
      <c r="JHC166"/>
      <c r="JHD166"/>
      <c r="JHE166"/>
      <c r="JHF166"/>
      <c r="JHG166"/>
      <c r="JHH166"/>
      <c r="JHI166"/>
      <c r="JHJ166"/>
      <c r="JHK166"/>
      <c r="JHL166"/>
      <c r="JHM166"/>
      <c r="JHN166"/>
      <c r="JHO166"/>
      <c r="JHP166"/>
      <c r="JHQ166"/>
      <c r="JHR166"/>
      <c r="JHS166"/>
      <c r="JHT166"/>
      <c r="JHU166"/>
      <c r="JHV166"/>
      <c r="JHW166"/>
      <c r="JHX166"/>
      <c r="JHY166"/>
      <c r="JHZ166"/>
      <c r="JIA166"/>
      <c r="JIB166"/>
      <c r="JIC166"/>
      <c r="JID166"/>
      <c r="JIE166"/>
      <c r="JIF166"/>
      <c r="JIG166"/>
      <c r="JIH166"/>
      <c r="JII166"/>
      <c r="JIJ166"/>
      <c r="JIK166"/>
      <c r="JIL166"/>
      <c r="JIM166"/>
      <c r="JIN166"/>
      <c r="JIO166"/>
      <c r="JIP166"/>
      <c r="JIQ166"/>
      <c r="JIR166"/>
      <c r="JIS166"/>
      <c r="JIT166"/>
      <c r="JIU166"/>
      <c r="JIV166"/>
      <c r="JIW166"/>
      <c r="JIX166"/>
      <c r="JIY166"/>
      <c r="JIZ166"/>
      <c r="JJA166"/>
      <c r="JJB166"/>
      <c r="JJC166"/>
      <c r="JJD166"/>
      <c r="JJE166"/>
      <c r="JJF166"/>
      <c r="JJG166"/>
      <c r="JJH166"/>
      <c r="JJI166"/>
      <c r="JJJ166"/>
      <c r="JJK166"/>
      <c r="JJL166"/>
      <c r="JJM166"/>
      <c r="JJN166"/>
      <c r="JJO166"/>
      <c r="JJP166"/>
      <c r="JJQ166"/>
      <c r="JJR166"/>
      <c r="JJS166"/>
      <c r="JJT166"/>
      <c r="JJU166"/>
      <c r="JJV166"/>
      <c r="JJW166"/>
      <c r="JJX166"/>
      <c r="JJY166"/>
      <c r="JJZ166"/>
      <c r="JKA166"/>
      <c r="JKB166"/>
      <c r="JKC166"/>
      <c r="JKD166"/>
      <c r="JKE166"/>
      <c r="JKF166"/>
      <c r="JKG166"/>
      <c r="JKH166"/>
      <c r="JKI166"/>
      <c r="JKJ166"/>
      <c r="JKK166"/>
      <c r="JKL166"/>
      <c r="JKM166"/>
      <c r="JKN166"/>
      <c r="JKO166"/>
      <c r="JKP166"/>
      <c r="JKQ166"/>
      <c r="JKR166"/>
      <c r="JKS166"/>
      <c r="JKT166"/>
      <c r="JKU166"/>
      <c r="JKV166"/>
      <c r="JKW166"/>
      <c r="JKX166"/>
      <c r="JKY166"/>
      <c r="JKZ166"/>
      <c r="JLA166"/>
      <c r="JLB166"/>
      <c r="JLC166"/>
      <c r="JLD166"/>
      <c r="JLE166"/>
      <c r="JLF166"/>
      <c r="JLG166"/>
      <c r="JLH166"/>
      <c r="JLI166"/>
      <c r="JLJ166"/>
      <c r="JLK166"/>
      <c r="JLL166"/>
      <c r="JLM166"/>
      <c r="JLN166"/>
      <c r="JLO166"/>
      <c r="JLP166"/>
      <c r="JLQ166"/>
      <c r="JLR166"/>
      <c r="JLS166"/>
      <c r="JLT166"/>
      <c r="JLU166"/>
      <c r="JLV166"/>
      <c r="JLW166"/>
      <c r="JLX166"/>
      <c r="JLY166"/>
      <c r="JLZ166"/>
      <c r="JMA166"/>
      <c r="JMB166"/>
      <c r="JMC166"/>
      <c r="JMD166"/>
      <c r="JME166"/>
      <c r="JMF166"/>
      <c r="JMG166"/>
      <c r="JMH166"/>
      <c r="JMI166"/>
      <c r="JMJ166"/>
      <c r="JMK166"/>
      <c r="JML166"/>
      <c r="JMM166"/>
      <c r="JMN166"/>
      <c r="JMO166"/>
      <c r="JMP166"/>
      <c r="JMQ166"/>
      <c r="JMR166"/>
      <c r="JMS166"/>
      <c r="JMT166"/>
      <c r="JMU166"/>
      <c r="JMV166"/>
      <c r="JMW166"/>
      <c r="JMX166"/>
      <c r="JMY166"/>
      <c r="JMZ166"/>
      <c r="JNA166"/>
      <c r="JNB166"/>
      <c r="JNC166"/>
      <c r="JND166"/>
      <c r="JNE166"/>
      <c r="JNF166"/>
      <c r="JNG166"/>
      <c r="JNH166"/>
      <c r="JNI166"/>
      <c r="JNJ166"/>
      <c r="JNK166"/>
      <c r="JNL166"/>
      <c r="JNM166"/>
      <c r="JNN166"/>
      <c r="JNO166"/>
      <c r="JNP166"/>
      <c r="JNQ166"/>
      <c r="JNR166"/>
      <c r="JNS166"/>
      <c r="JNT166"/>
      <c r="JNU166"/>
      <c r="JNV166"/>
      <c r="JNW166"/>
      <c r="JNX166"/>
      <c r="JNY166"/>
      <c r="JNZ166"/>
      <c r="JOA166"/>
      <c r="JOB166"/>
      <c r="JOC166"/>
      <c r="JOD166"/>
      <c r="JOE166"/>
      <c r="JOF166"/>
      <c r="JOG166"/>
      <c r="JOH166"/>
      <c r="JOI166"/>
      <c r="JOJ166"/>
      <c r="JOK166"/>
      <c r="JOL166"/>
      <c r="JOM166"/>
      <c r="JON166"/>
      <c r="JOO166"/>
      <c r="JOP166"/>
      <c r="JOQ166"/>
      <c r="JOR166"/>
      <c r="JOS166"/>
      <c r="JOT166"/>
      <c r="JOU166"/>
      <c r="JOV166"/>
      <c r="JOW166"/>
      <c r="JOX166"/>
      <c r="JOY166"/>
      <c r="JOZ166"/>
      <c r="JPA166"/>
      <c r="JPB166"/>
      <c r="JPC166"/>
      <c r="JPD166"/>
      <c r="JPE166"/>
      <c r="JPF166"/>
      <c r="JPG166"/>
      <c r="JPH166"/>
      <c r="JPI166"/>
      <c r="JPJ166"/>
      <c r="JPK166"/>
      <c r="JPL166"/>
      <c r="JPM166"/>
      <c r="JPN166"/>
      <c r="JPO166"/>
      <c r="JPP166"/>
      <c r="JPQ166"/>
      <c r="JPR166"/>
      <c r="JPS166"/>
      <c r="JPT166"/>
      <c r="JPU166"/>
      <c r="JPV166"/>
      <c r="JPW166"/>
      <c r="JPX166"/>
      <c r="JPY166"/>
      <c r="JPZ166"/>
      <c r="JQA166"/>
      <c r="JQB166"/>
      <c r="JQC166"/>
      <c r="JQD166"/>
      <c r="JQE166"/>
      <c r="JQF166"/>
      <c r="JQG166"/>
      <c r="JQH166"/>
      <c r="JQI166"/>
      <c r="JQJ166"/>
      <c r="JQK166"/>
      <c r="JQL166"/>
      <c r="JQM166"/>
      <c r="JQN166"/>
      <c r="JQO166"/>
      <c r="JQP166"/>
      <c r="JQQ166"/>
      <c r="JQR166"/>
      <c r="JQS166"/>
      <c r="JQT166"/>
      <c r="JQU166"/>
      <c r="JQV166"/>
      <c r="JQW166"/>
      <c r="JQX166"/>
      <c r="JQY166"/>
      <c r="JQZ166"/>
      <c r="JRA166"/>
      <c r="JRB166"/>
      <c r="JRC166"/>
      <c r="JRD166"/>
      <c r="JRE166"/>
      <c r="JRF166"/>
      <c r="JRG166"/>
      <c r="JRH166"/>
      <c r="JRI166"/>
      <c r="JRJ166"/>
      <c r="JRK166"/>
      <c r="JRL166"/>
      <c r="JRM166"/>
      <c r="JRN166"/>
      <c r="JRO166"/>
      <c r="JRP166"/>
      <c r="JRQ166"/>
      <c r="JRR166"/>
      <c r="JRS166"/>
      <c r="JRT166"/>
      <c r="JRU166"/>
      <c r="JRV166"/>
      <c r="JRW166"/>
      <c r="JRX166"/>
      <c r="JRY166"/>
      <c r="JRZ166"/>
      <c r="JSA166"/>
      <c r="JSB166"/>
      <c r="JSC166"/>
      <c r="JSD166"/>
      <c r="JSE166"/>
      <c r="JSF166"/>
      <c r="JSG166"/>
      <c r="JSH166"/>
      <c r="JSI166"/>
      <c r="JSJ166"/>
      <c r="JSK166"/>
      <c r="JSL166"/>
      <c r="JSM166"/>
      <c r="JSN166"/>
      <c r="JSO166"/>
      <c r="JSP166"/>
      <c r="JSQ166"/>
      <c r="JSR166"/>
      <c r="JSS166"/>
      <c r="JST166"/>
      <c r="JSU166"/>
      <c r="JSV166"/>
      <c r="JSW166"/>
      <c r="JSX166"/>
      <c r="JSY166"/>
      <c r="JSZ166"/>
      <c r="JTA166"/>
      <c r="JTB166"/>
      <c r="JTC166"/>
      <c r="JTD166"/>
      <c r="JTE166"/>
      <c r="JTF166"/>
      <c r="JTG166"/>
      <c r="JTH166"/>
      <c r="JTI166"/>
      <c r="JTJ166"/>
      <c r="JTK166"/>
      <c r="JTL166"/>
      <c r="JTM166"/>
      <c r="JTN166"/>
      <c r="JTO166"/>
      <c r="JTP166"/>
      <c r="JTQ166"/>
      <c r="JTR166"/>
      <c r="JTS166"/>
      <c r="JTT166"/>
      <c r="JTU166"/>
      <c r="JTV166"/>
      <c r="JTW166"/>
      <c r="JTX166"/>
      <c r="JTY166"/>
      <c r="JTZ166"/>
      <c r="JUA166"/>
      <c r="JUB166"/>
      <c r="JUC166"/>
      <c r="JUD166"/>
      <c r="JUE166"/>
      <c r="JUF166"/>
      <c r="JUG166"/>
      <c r="JUH166"/>
      <c r="JUI166"/>
      <c r="JUJ166"/>
      <c r="JUK166"/>
      <c r="JUL166"/>
      <c r="JUM166"/>
      <c r="JUN166"/>
      <c r="JUO166"/>
      <c r="JUP166"/>
      <c r="JUQ166"/>
      <c r="JUR166"/>
      <c r="JUS166"/>
      <c r="JUT166"/>
      <c r="JUU166"/>
      <c r="JUV166"/>
      <c r="JUW166"/>
      <c r="JUX166"/>
      <c r="JUY166"/>
      <c r="JUZ166"/>
      <c r="JVA166"/>
      <c r="JVB166"/>
      <c r="JVC166"/>
      <c r="JVD166"/>
      <c r="JVE166"/>
      <c r="JVF166"/>
      <c r="JVG166"/>
      <c r="JVH166"/>
      <c r="JVI166"/>
      <c r="JVJ166"/>
      <c r="JVK166"/>
      <c r="JVL166"/>
      <c r="JVM166"/>
      <c r="JVN166"/>
      <c r="JVO166"/>
      <c r="JVP166"/>
      <c r="JVQ166"/>
      <c r="JVR166"/>
      <c r="JVS166"/>
      <c r="JVT166"/>
      <c r="JVU166"/>
      <c r="JVV166"/>
      <c r="JVW166"/>
      <c r="JVX166"/>
      <c r="JVY166"/>
      <c r="JVZ166"/>
      <c r="JWA166"/>
      <c r="JWB166"/>
      <c r="JWC166"/>
      <c r="JWD166"/>
      <c r="JWE166"/>
      <c r="JWF166"/>
      <c r="JWG166"/>
      <c r="JWH166"/>
      <c r="JWI166"/>
      <c r="JWJ166"/>
      <c r="JWK166"/>
      <c r="JWL166"/>
      <c r="JWM166"/>
      <c r="JWN166"/>
      <c r="JWO166"/>
      <c r="JWP166"/>
      <c r="JWQ166"/>
      <c r="JWR166"/>
      <c r="JWS166"/>
      <c r="JWT166"/>
      <c r="JWU166"/>
      <c r="JWV166"/>
      <c r="JWW166"/>
      <c r="JWX166"/>
      <c r="JWY166"/>
      <c r="JWZ166"/>
      <c r="JXA166"/>
      <c r="JXB166"/>
      <c r="JXC166"/>
      <c r="JXD166"/>
      <c r="JXE166"/>
      <c r="JXF166"/>
      <c r="JXG166"/>
      <c r="JXH166"/>
      <c r="JXI166"/>
      <c r="JXJ166"/>
      <c r="JXK166"/>
      <c r="JXL166"/>
      <c r="JXM166"/>
      <c r="JXN166"/>
      <c r="JXO166"/>
      <c r="JXP166"/>
      <c r="JXQ166"/>
      <c r="JXR166"/>
      <c r="JXS166"/>
      <c r="JXT166"/>
      <c r="JXU166"/>
      <c r="JXV166"/>
      <c r="JXW166"/>
      <c r="JXX166"/>
      <c r="JXY166"/>
      <c r="JXZ166"/>
      <c r="JYA166"/>
      <c r="JYB166"/>
      <c r="JYC166"/>
      <c r="JYD166"/>
      <c r="JYE166"/>
      <c r="JYF166"/>
      <c r="JYG166"/>
      <c r="JYH166"/>
      <c r="JYI166"/>
      <c r="JYJ166"/>
      <c r="JYK166"/>
      <c r="JYL166"/>
      <c r="JYM166"/>
      <c r="JYN166"/>
      <c r="JYO166"/>
      <c r="JYP166"/>
      <c r="JYQ166"/>
      <c r="JYR166"/>
      <c r="JYS166"/>
      <c r="JYT166"/>
      <c r="JYU166"/>
      <c r="JYV166"/>
      <c r="JYW166"/>
      <c r="JYX166"/>
      <c r="JYY166"/>
      <c r="JYZ166"/>
      <c r="JZA166"/>
      <c r="JZB166"/>
      <c r="JZC166"/>
      <c r="JZD166"/>
      <c r="JZE166"/>
      <c r="JZF166"/>
      <c r="JZG166"/>
      <c r="JZH166"/>
      <c r="JZI166"/>
      <c r="JZJ166"/>
      <c r="JZK166"/>
      <c r="JZL166"/>
      <c r="JZM166"/>
      <c r="JZN166"/>
      <c r="JZO166"/>
      <c r="JZP166"/>
      <c r="JZQ166"/>
      <c r="JZR166"/>
      <c r="JZS166"/>
      <c r="JZT166"/>
      <c r="JZU166"/>
      <c r="JZV166"/>
      <c r="JZW166"/>
      <c r="JZX166"/>
      <c r="JZY166"/>
      <c r="JZZ166"/>
      <c r="KAA166"/>
      <c r="KAB166"/>
      <c r="KAC166"/>
      <c r="KAD166"/>
      <c r="KAE166"/>
      <c r="KAF166"/>
      <c r="KAG166"/>
      <c r="KAH166"/>
      <c r="KAI166"/>
      <c r="KAJ166"/>
      <c r="KAK166"/>
      <c r="KAL166"/>
      <c r="KAM166"/>
      <c r="KAN166"/>
      <c r="KAO166"/>
      <c r="KAP166"/>
      <c r="KAQ166"/>
      <c r="KAR166"/>
      <c r="KAS166"/>
      <c r="KAT166"/>
      <c r="KAU166"/>
      <c r="KAV166"/>
      <c r="KAW166"/>
      <c r="KAX166"/>
      <c r="KAY166"/>
      <c r="KAZ166"/>
      <c r="KBA166"/>
      <c r="KBB166"/>
      <c r="KBC166"/>
      <c r="KBD166"/>
      <c r="KBE166"/>
      <c r="KBF166"/>
      <c r="KBG166"/>
      <c r="KBH166"/>
      <c r="KBI166"/>
      <c r="KBJ166"/>
      <c r="KBK166"/>
      <c r="KBL166"/>
      <c r="KBM166"/>
      <c r="KBN166"/>
      <c r="KBO166"/>
      <c r="KBP166"/>
      <c r="KBQ166"/>
      <c r="KBR166"/>
      <c r="KBS166"/>
      <c r="KBT166"/>
      <c r="KBU166"/>
      <c r="KBV166"/>
      <c r="KBW166"/>
      <c r="KBX166"/>
      <c r="KBY166"/>
      <c r="KBZ166"/>
      <c r="KCA166"/>
      <c r="KCB166"/>
      <c r="KCC166"/>
      <c r="KCD166"/>
      <c r="KCE166"/>
      <c r="KCF166"/>
      <c r="KCG166"/>
      <c r="KCH166"/>
      <c r="KCI166"/>
      <c r="KCJ166"/>
      <c r="KCK166"/>
      <c r="KCL166"/>
      <c r="KCM166"/>
      <c r="KCN166"/>
      <c r="KCO166"/>
      <c r="KCP166"/>
      <c r="KCQ166"/>
      <c r="KCR166"/>
      <c r="KCS166"/>
      <c r="KCT166"/>
      <c r="KCU166"/>
      <c r="KCV166"/>
      <c r="KCW166"/>
      <c r="KCX166"/>
      <c r="KCY166"/>
      <c r="KCZ166"/>
      <c r="KDA166"/>
      <c r="KDB166"/>
      <c r="KDC166"/>
      <c r="KDD166"/>
      <c r="KDE166"/>
      <c r="KDF166"/>
      <c r="KDG166"/>
      <c r="KDH166"/>
      <c r="KDI166"/>
      <c r="KDJ166"/>
      <c r="KDK166"/>
      <c r="KDL166"/>
      <c r="KDM166"/>
      <c r="KDN166"/>
      <c r="KDO166"/>
      <c r="KDP166"/>
      <c r="KDQ166"/>
      <c r="KDR166"/>
      <c r="KDS166"/>
      <c r="KDT166"/>
      <c r="KDU166"/>
      <c r="KDV166"/>
      <c r="KDW166"/>
      <c r="KDX166"/>
      <c r="KDY166"/>
      <c r="KDZ166"/>
      <c r="KEA166"/>
      <c r="KEB166"/>
      <c r="KEC166"/>
      <c r="KED166"/>
      <c r="KEE166"/>
      <c r="KEF166"/>
      <c r="KEG166"/>
      <c r="KEH166"/>
      <c r="KEI166"/>
      <c r="KEJ166"/>
      <c r="KEK166"/>
      <c r="KEL166"/>
      <c r="KEM166"/>
      <c r="KEN166"/>
      <c r="KEO166"/>
      <c r="KEP166"/>
      <c r="KEQ166"/>
      <c r="KER166"/>
      <c r="KES166"/>
      <c r="KET166"/>
      <c r="KEU166"/>
      <c r="KEV166"/>
      <c r="KEW166"/>
      <c r="KEX166"/>
      <c r="KEY166"/>
      <c r="KEZ166"/>
      <c r="KFA166"/>
      <c r="KFB166"/>
      <c r="KFC166"/>
      <c r="KFD166"/>
      <c r="KFE166"/>
      <c r="KFF166"/>
      <c r="KFG166"/>
      <c r="KFH166"/>
      <c r="KFI166"/>
      <c r="KFJ166"/>
      <c r="KFK166"/>
      <c r="KFL166"/>
      <c r="KFM166"/>
      <c r="KFN166"/>
      <c r="KFO166"/>
      <c r="KFP166"/>
      <c r="KFQ166"/>
      <c r="KFR166"/>
      <c r="KFS166"/>
      <c r="KFT166"/>
      <c r="KFU166"/>
      <c r="KFV166"/>
      <c r="KFW166"/>
      <c r="KFX166"/>
      <c r="KFY166"/>
      <c r="KFZ166"/>
      <c r="KGA166"/>
      <c r="KGB166"/>
      <c r="KGC166"/>
      <c r="KGD166"/>
      <c r="KGE166"/>
      <c r="KGF166"/>
      <c r="KGG166"/>
      <c r="KGH166"/>
      <c r="KGI166"/>
      <c r="KGJ166"/>
      <c r="KGK166"/>
      <c r="KGL166"/>
      <c r="KGM166"/>
      <c r="KGN166"/>
      <c r="KGO166"/>
      <c r="KGP166"/>
      <c r="KGQ166"/>
      <c r="KGR166"/>
      <c r="KGS166"/>
      <c r="KGT166"/>
      <c r="KGU166"/>
      <c r="KGV166"/>
      <c r="KGW166"/>
      <c r="KGX166"/>
      <c r="KGY166"/>
      <c r="KGZ166"/>
      <c r="KHA166"/>
      <c r="KHB166"/>
      <c r="KHC166"/>
      <c r="KHD166"/>
      <c r="KHE166"/>
      <c r="KHF166"/>
      <c r="KHG166"/>
      <c r="KHH166"/>
      <c r="KHI166"/>
      <c r="KHJ166"/>
      <c r="KHK166"/>
      <c r="KHL166"/>
      <c r="KHM166"/>
      <c r="KHN166"/>
      <c r="KHO166"/>
      <c r="KHP166"/>
      <c r="KHQ166"/>
      <c r="KHR166"/>
      <c r="KHS166"/>
      <c r="KHT166"/>
      <c r="KHU166"/>
      <c r="KHV166"/>
      <c r="KHW166"/>
      <c r="KHX166"/>
      <c r="KHY166"/>
      <c r="KHZ166"/>
      <c r="KIA166"/>
      <c r="KIB166"/>
      <c r="KIC166"/>
      <c r="KID166"/>
      <c r="KIE166"/>
      <c r="KIF166"/>
      <c r="KIG166"/>
      <c r="KIH166"/>
      <c r="KII166"/>
      <c r="KIJ166"/>
      <c r="KIK166"/>
      <c r="KIL166"/>
      <c r="KIM166"/>
      <c r="KIN166"/>
      <c r="KIO166"/>
      <c r="KIP166"/>
      <c r="KIQ166"/>
      <c r="KIR166"/>
      <c r="KIS166"/>
      <c r="KIT166"/>
      <c r="KIU166"/>
      <c r="KIV166"/>
      <c r="KIW166"/>
      <c r="KIX166"/>
      <c r="KIY166"/>
      <c r="KIZ166"/>
      <c r="KJA166"/>
      <c r="KJB166"/>
      <c r="KJC166"/>
      <c r="KJD166"/>
      <c r="KJE166"/>
      <c r="KJF166"/>
      <c r="KJG166"/>
      <c r="KJH166"/>
      <c r="KJI166"/>
      <c r="KJJ166"/>
      <c r="KJK166"/>
      <c r="KJL166"/>
      <c r="KJM166"/>
      <c r="KJN166"/>
      <c r="KJO166"/>
      <c r="KJP166"/>
      <c r="KJQ166"/>
      <c r="KJR166"/>
      <c r="KJS166"/>
      <c r="KJT166"/>
      <c r="KJU166"/>
      <c r="KJV166"/>
      <c r="KJW166"/>
      <c r="KJX166"/>
      <c r="KJY166"/>
      <c r="KJZ166"/>
      <c r="KKA166"/>
      <c r="KKB166"/>
      <c r="KKC166"/>
      <c r="KKD166"/>
      <c r="KKE166"/>
      <c r="KKF166"/>
      <c r="KKG166"/>
      <c r="KKH166"/>
      <c r="KKI166"/>
      <c r="KKJ166"/>
      <c r="KKK166"/>
      <c r="KKL166"/>
      <c r="KKM166"/>
      <c r="KKN166"/>
      <c r="KKO166"/>
      <c r="KKP166"/>
      <c r="KKQ166"/>
      <c r="KKR166"/>
      <c r="KKS166"/>
      <c r="KKT166"/>
      <c r="KKU166"/>
      <c r="KKV166"/>
      <c r="KKW166"/>
      <c r="KKX166"/>
      <c r="KKY166"/>
      <c r="KKZ166"/>
      <c r="KLA166"/>
      <c r="KLB166"/>
      <c r="KLC166"/>
      <c r="KLD166"/>
      <c r="KLE166"/>
      <c r="KLF166"/>
      <c r="KLG166"/>
      <c r="KLH166"/>
      <c r="KLI166"/>
      <c r="KLJ166"/>
      <c r="KLK166"/>
      <c r="KLL166"/>
      <c r="KLM166"/>
      <c r="KLN166"/>
      <c r="KLO166"/>
      <c r="KLP166"/>
      <c r="KLQ166"/>
      <c r="KLR166"/>
      <c r="KLS166"/>
      <c r="KLT166"/>
      <c r="KLU166"/>
      <c r="KLV166"/>
      <c r="KLW166"/>
      <c r="KLX166"/>
      <c r="KLY166"/>
      <c r="KLZ166"/>
      <c r="KMA166"/>
      <c r="KMB166"/>
      <c r="KMC166"/>
      <c r="KMD166"/>
      <c r="KME166"/>
      <c r="KMF166"/>
      <c r="KMG166"/>
      <c r="KMH166"/>
      <c r="KMI166"/>
      <c r="KMJ166"/>
      <c r="KMK166"/>
      <c r="KML166"/>
      <c r="KMM166"/>
      <c r="KMN166"/>
      <c r="KMO166"/>
      <c r="KMP166"/>
      <c r="KMQ166"/>
      <c r="KMR166"/>
      <c r="KMS166"/>
      <c r="KMT166"/>
      <c r="KMU166"/>
      <c r="KMV166"/>
      <c r="KMW166"/>
      <c r="KMX166"/>
      <c r="KMY166"/>
      <c r="KMZ166"/>
      <c r="KNA166"/>
      <c r="KNB166"/>
      <c r="KNC166"/>
      <c r="KND166"/>
      <c r="KNE166"/>
      <c r="KNF166"/>
      <c r="KNG166"/>
      <c r="KNH166"/>
      <c r="KNI166"/>
      <c r="KNJ166"/>
      <c r="KNK166"/>
      <c r="KNL166"/>
      <c r="KNM166"/>
      <c r="KNN166"/>
      <c r="KNO166"/>
      <c r="KNP166"/>
      <c r="KNQ166"/>
      <c r="KNR166"/>
      <c r="KNS166"/>
      <c r="KNT166"/>
      <c r="KNU166"/>
      <c r="KNV166"/>
      <c r="KNW166"/>
      <c r="KNX166"/>
      <c r="KNY166"/>
      <c r="KNZ166"/>
      <c r="KOA166"/>
      <c r="KOB166"/>
      <c r="KOC166"/>
      <c r="KOD166"/>
      <c r="KOE166"/>
      <c r="KOF166"/>
      <c r="KOG166"/>
      <c r="KOH166"/>
      <c r="KOI166"/>
      <c r="KOJ166"/>
      <c r="KOK166"/>
      <c r="KOL166"/>
      <c r="KOM166"/>
      <c r="KON166"/>
      <c r="KOO166"/>
      <c r="KOP166"/>
      <c r="KOQ166"/>
      <c r="KOR166"/>
      <c r="KOS166"/>
      <c r="KOT166"/>
      <c r="KOU166"/>
      <c r="KOV166"/>
      <c r="KOW166"/>
      <c r="KOX166"/>
      <c r="KOY166"/>
      <c r="KOZ166"/>
      <c r="KPA166"/>
      <c r="KPB166"/>
      <c r="KPC166"/>
      <c r="KPD166"/>
      <c r="KPE166"/>
      <c r="KPF166"/>
      <c r="KPG166"/>
      <c r="KPH166"/>
      <c r="KPI166"/>
      <c r="KPJ166"/>
      <c r="KPK166"/>
      <c r="KPL166"/>
      <c r="KPM166"/>
      <c r="KPN166"/>
      <c r="KPO166"/>
      <c r="KPP166"/>
      <c r="KPQ166"/>
      <c r="KPR166"/>
      <c r="KPS166"/>
      <c r="KPT166"/>
      <c r="KPU166"/>
      <c r="KPV166"/>
      <c r="KPW166"/>
      <c r="KPX166"/>
      <c r="KPY166"/>
      <c r="KPZ166"/>
      <c r="KQA166"/>
      <c r="KQB166"/>
      <c r="KQC166"/>
      <c r="KQD166"/>
      <c r="KQE166"/>
      <c r="KQF166"/>
      <c r="KQG166"/>
      <c r="KQH166"/>
      <c r="KQI166"/>
      <c r="KQJ166"/>
      <c r="KQK166"/>
      <c r="KQL166"/>
      <c r="KQM166"/>
      <c r="KQN166"/>
      <c r="KQO166"/>
      <c r="KQP166"/>
      <c r="KQQ166"/>
      <c r="KQR166"/>
      <c r="KQS166"/>
      <c r="KQT166"/>
      <c r="KQU166"/>
      <c r="KQV166"/>
      <c r="KQW166"/>
      <c r="KQX166"/>
      <c r="KQY166"/>
      <c r="KQZ166"/>
      <c r="KRA166"/>
      <c r="KRB166"/>
      <c r="KRC166"/>
      <c r="KRD166"/>
      <c r="KRE166"/>
      <c r="KRF166"/>
      <c r="KRG166"/>
      <c r="KRH166"/>
      <c r="KRI166"/>
      <c r="KRJ166"/>
      <c r="KRK166"/>
      <c r="KRL166"/>
      <c r="KRM166"/>
      <c r="KRN166"/>
      <c r="KRO166"/>
      <c r="KRP166"/>
      <c r="KRQ166"/>
      <c r="KRR166"/>
      <c r="KRS166"/>
      <c r="KRT166"/>
      <c r="KRU166"/>
      <c r="KRV166"/>
      <c r="KRW166"/>
      <c r="KRX166"/>
      <c r="KRY166"/>
      <c r="KRZ166"/>
      <c r="KSA166"/>
      <c r="KSB166"/>
      <c r="KSC166"/>
      <c r="KSD166"/>
      <c r="KSE166"/>
      <c r="KSF166"/>
      <c r="KSG166"/>
      <c r="KSH166"/>
      <c r="KSI166"/>
      <c r="KSJ166"/>
      <c r="KSK166"/>
      <c r="KSL166"/>
      <c r="KSM166"/>
      <c r="KSN166"/>
      <c r="KSO166"/>
      <c r="KSP166"/>
      <c r="KSQ166"/>
      <c r="KSR166"/>
      <c r="KSS166"/>
      <c r="KST166"/>
      <c r="KSU166"/>
      <c r="KSV166"/>
      <c r="KSW166"/>
      <c r="KSX166"/>
      <c r="KSY166"/>
      <c r="KSZ166"/>
      <c r="KTA166"/>
      <c r="KTB166"/>
      <c r="KTC166"/>
      <c r="KTD166"/>
      <c r="KTE166"/>
      <c r="KTF166"/>
      <c r="KTG166"/>
      <c r="KTH166"/>
      <c r="KTI166"/>
      <c r="KTJ166"/>
      <c r="KTK166"/>
      <c r="KTL166"/>
      <c r="KTM166"/>
      <c r="KTN166"/>
      <c r="KTO166"/>
      <c r="KTP166"/>
      <c r="KTQ166"/>
      <c r="KTR166"/>
      <c r="KTS166"/>
      <c r="KTT166"/>
      <c r="KTU166"/>
      <c r="KTV166"/>
      <c r="KTW166"/>
      <c r="KTX166"/>
      <c r="KTY166"/>
      <c r="KTZ166"/>
      <c r="KUA166"/>
      <c r="KUB166"/>
      <c r="KUC166"/>
      <c r="KUD166"/>
      <c r="KUE166"/>
      <c r="KUF166"/>
      <c r="KUG166"/>
      <c r="KUH166"/>
      <c r="KUI166"/>
      <c r="KUJ166"/>
      <c r="KUK166"/>
      <c r="KUL166"/>
      <c r="KUM166"/>
      <c r="KUN166"/>
      <c r="KUO166"/>
      <c r="KUP166"/>
      <c r="KUQ166"/>
      <c r="KUR166"/>
      <c r="KUS166"/>
      <c r="KUT166"/>
      <c r="KUU166"/>
      <c r="KUV166"/>
      <c r="KUW166"/>
      <c r="KUX166"/>
      <c r="KUY166"/>
      <c r="KUZ166"/>
      <c r="KVA166"/>
      <c r="KVB166"/>
      <c r="KVC166"/>
      <c r="KVD166"/>
      <c r="KVE166"/>
      <c r="KVF166"/>
      <c r="KVG166"/>
      <c r="KVH166"/>
      <c r="KVI166"/>
      <c r="KVJ166"/>
      <c r="KVK166"/>
      <c r="KVL166"/>
      <c r="KVM166"/>
      <c r="KVN166"/>
      <c r="KVO166"/>
      <c r="KVP166"/>
      <c r="KVQ166"/>
      <c r="KVR166"/>
      <c r="KVS166"/>
      <c r="KVT166"/>
      <c r="KVU166"/>
      <c r="KVV166"/>
      <c r="KVW166"/>
      <c r="KVX166"/>
      <c r="KVY166"/>
      <c r="KVZ166"/>
      <c r="KWA166"/>
      <c r="KWB166"/>
      <c r="KWC166"/>
      <c r="KWD166"/>
      <c r="KWE166"/>
      <c r="KWF166"/>
      <c r="KWG166"/>
      <c r="KWH166"/>
      <c r="KWI166"/>
      <c r="KWJ166"/>
      <c r="KWK166"/>
      <c r="KWL166"/>
      <c r="KWM166"/>
      <c r="KWN166"/>
      <c r="KWO166"/>
      <c r="KWP166"/>
      <c r="KWQ166"/>
      <c r="KWR166"/>
      <c r="KWS166"/>
      <c r="KWT166"/>
      <c r="KWU166"/>
      <c r="KWV166"/>
      <c r="KWW166"/>
      <c r="KWX166"/>
      <c r="KWY166"/>
      <c r="KWZ166"/>
      <c r="KXA166"/>
      <c r="KXB166"/>
      <c r="KXC166"/>
      <c r="KXD166"/>
      <c r="KXE166"/>
      <c r="KXF166"/>
      <c r="KXG166"/>
      <c r="KXH166"/>
      <c r="KXI166"/>
      <c r="KXJ166"/>
      <c r="KXK166"/>
      <c r="KXL166"/>
      <c r="KXM166"/>
      <c r="KXN166"/>
      <c r="KXO166"/>
      <c r="KXP166"/>
      <c r="KXQ166"/>
      <c r="KXR166"/>
      <c r="KXS166"/>
      <c r="KXT166"/>
      <c r="KXU166"/>
      <c r="KXV166"/>
      <c r="KXW166"/>
      <c r="KXX166"/>
      <c r="KXY166"/>
      <c r="KXZ166"/>
      <c r="KYA166"/>
      <c r="KYB166"/>
      <c r="KYC166"/>
      <c r="KYD166"/>
      <c r="KYE166"/>
      <c r="KYF166"/>
      <c r="KYG166"/>
      <c r="KYH166"/>
      <c r="KYI166"/>
      <c r="KYJ166"/>
      <c r="KYK166"/>
      <c r="KYL166"/>
      <c r="KYM166"/>
      <c r="KYN166"/>
      <c r="KYO166"/>
      <c r="KYP166"/>
      <c r="KYQ166"/>
      <c r="KYR166"/>
      <c r="KYS166"/>
      <c r="KYT166"/>
      <c r="KYU166"/>
      <c r="KYV166"/>
      <c r="KYW166"/>
      <c r="KYX166"/>
      <c r="KYY166"/>
      <c r="KYZ166"/>
      <c r="KZA166"/>
      <c r="KZB166"/>
      <c r="KZC166"/>
      <c r="KZD166"/>
      <c r="KZE166"/>
      <c r="KZF166"/>
      <c r="KZG166"/>
      <c r="KZH166"/>
      <c r="KZI166"/>
      <c r="KZJ166"/>
      <c r="KZK166"/>
      <c r="KZL166"/>
      <c r="KZM166"/>
      <c r="KZN166"/>
      <c r="KZO166"/>
      <c r="KZP166"/>
      <c r="KZQ166"/>
      <c r="KZR166"/>
      <c r="KZS166"/>
      <c r="KZT166"/>
      <c r="KZU166"/>
      <c r="KZV166"/>
      <c r="KZW166"/>
      <c r="KZX166"/>
      <c r="KZY166"/>
      <c r="KZZ166"/>
      <c r="LAA166"/>
      <c r="LAB166"/>
      <c r="LAC166"/>
      <c r="LAD166"/>
      <c r="LAE166"/>
      <c r="LAF166"/>
      <c r="LAG166"/>
      <c r="LAH166"/>
      <c r="LAI166"/>
      <c r="LAJ166"/>
      <c r="LAK166"/>
      <c r="LAL166"/>
      <c r="LAM166"/>
      <c r="LAN166"/>
      <c r="LAO166"/>
      <c r="LAP166"/>
      <c r="LAQ166"/>
      <c r="LAR166"/>
      <c r="LAS166"/>
      <c r="LAT166"/>
      <c r="LAU166"/>
      <c r="LAV166"/>
      <c r="LAW166"/>
      <c r="LAX166"/>
      <c r="LAY166"/>
      <c r="LAZ166"/>
      <c r="LBA166"/>
      <c r="LBB166"/>
      <c r="LBC166"/>
      <c r="LBD166"/>
      <c r="LBE166"/>
      <c r="LBF166"/>
      <c r="LBG166"/>
      <c r="LBH166"/>
      <c r="LBI166"/>
      <c r="LBJ166"/>
      <c r="LBK166"/>
      <c r="LBL166"/>
      <c r="LBM166"/>
      <c r="LBN166"/>
      <c r="LBO166"/>
      <c r="LBP166"/>
      <c r="LBQ166"/>
      <c r="LBR166"/>
      <c r="LBS166"/>
      <c r="LBT166"/>
      <c r="LBU166"/>
      <c r="LBV166"/>
      <c r="LBW166"/>
      <c r="LBX166"/>
      <c r="LBY166"/>
      <c r="LBZ166"/>
      <c r="LCA166"/>
      <c r="LCB166"/>
      <c r="LCC166"/>
      <c r="LCD166"/>
      <c r="LCE166"/>
      <c r="LCF166"/>
      <c r="LCG166"/>
      <c r="LCH166"/>
      <c r="LCI166"/>
      <c r="LCJ166"/>
      <c r="LCK166"/>
      <c r="LCL166"/>
      <c r="LCM166"/>
      <c r="LCN166"/>
      <c r="LCO166"/>
      <c r="LCP166"/>
      <c r="LCQ166"/>
      <c r="LCR166"/>
      <c r="LCS166"/>
      <c r="LCT166"/>
      <c r="LCU166"/>
      <c r="LCV166"/>
      <c r="LCW166"/>
      <c r="LCX166"/>
      <c r="LCY166"/>
      <c r="LCZ166"/>
      <c r="LDA166"/>
      <c r="LDB166"/>
      <c r="LDC166"/>
      <c r="LDD166"/>
      <c r="LDE166"/>
      <c r="LDF166"/>
      <c r="LDG166"/>
      <c r="LDH166"/>
      <c r="LDI166"/>
      <c r="LDJ166"/>
      <c r="LDK166"/>
      <c r="LDL166"/>
      <c r="LDM166"/>
      <c r="LDN166"/>
      <c r="LDO166"/>
      <c r="LDP166"/>
      <c r="LDQ166"/>
      <c r="LDR166"/>
      <c r="LDS166"/>
      <c r="LDT166"/>
      <c r="LDU166"/>
      <c r="LDV166"/>
      <c r="LDW166"/>
      <c r="LDX166"/>
      <c r="LDY166"/>
      <c r="LDZ166"/>
      <c r="LEA166"/>
      <c r="LEB166"/>
      <c r="LEC166"/>
      <c r="LED166"/>
      <c r="LEE166"/>
      <c r="LEF166"/>
      <c r="LEG166"/>
      <c r="LEH166"/>
      <c r="LEI166"/>
      <c r="LEJ166"/>
      <c r="LEK166"/>
      <c r="LEL166"/>
      <c r="LEM166"/>
      <c r="LEN166"/>
      <c r="LEO166"/>
      <c r="LEP166"/>
      <c r="LEQ166"/>
      <c r="LER166"/>
      <c r="LES166"/>
      <c r="LET166"/>
      <c r="LEU166"/>
      <c r="LEV166"/>
      <c r="LEW166"/>
      <c r="LEX166"/>
      <c r="LEY166"/>
      <c r="LEZ166"/>
      <c r="LFA166"/>
      <c r="LFB166"/>
      <c r="LFC166"/>
      <c r="LFD166"/>
      <c r="LFE166"/>
      <c r="LFF166"/>
      <c r="LFG166"/>
      <c r="LFH166"/>
      <c r="LFI166"/>
      <c r="LFJ166"/>
      <c r="LFK166"/>
      <c r="LFL166"/>
      <c r="LFM166"/>
      <c r="LFN166"/>
      <c r="LFO166"/>
      <c r="LFP166"/>
      <c r="LFQ166"/>
      <c r="LFR166"/>
      <c r="LFS166"/>
      <c r="LFT166"/>
      <c r="LFU166"/>
      <c r="LFV166"/>
      <c r="LFW166"/>
      <c r="LFX166"/>
      <c r="LFY166"/>
      <c r="LFZ166"/>
      <c r="LGA166"/>
      <c r="LGB166"/>
      <c r="LGC166"/>
      <c r="LGD166"/>
      <c r="LGE166"/>
      <c r="LGF166"/>
      <c r="LGG166"/>
      <c r="LGH166"/>
      <c r="LGI166"/>
      <c r="LGJ166"/>
      <c r="LGK166"/>
      <c r="LGL166"/>
      <c r="LGM166"/>
      <c r="LGN166"/>
      <c r="LGO166"/>
      <c r="LGP166"/>
      <c r="LGQ166"/>
      <c r="LGR166"/>
      <c r="LGS166"/>
      <c r="LGT166"/>
      <c r="LGU166"/>
      <c r="LGV166"/>
      <c r="LGW166"/>
      <c r="LGX166"/>
      <c r="LGY166"/>
      <c r="LGZ166"/>
      <c r="LHA166"/>
      <c r="LHB166"/>
      <c r="LHC166"/>
      <c r="LHD166"/>
      <c r="LHE166"/>
      <c r="LHF166"/>
      <c r="LHG166"/>
      <c r="LHH166"/>
      <c r="LHI166"/>
      <c r="LHJ166"/>
      <c r="LHK166"/>
      <c r="LHL166"/>
      <c r="LHM166"/>
      <c r="LHN166"/>
      <c r="LHO166"/>
      <c r="LHP166"/>
      <c r="LHQ166"/>
      <c r="LHR166"/>
      <c r="LHS166"/>
      <c r="LHT166"/>
      <c r="LHU166"/>
      <c r="LHV166"/>
      <c r="LHW166"/>
      <c r="LHX166"/>
      <c r="LHY166"/>
      <c r="LHZ166"/>
      <c r="LIA166"/>
      <c r="LIB166"/>
      <c r="LIC166"/>
      <c r="LID166"/>
      <c r="LIE166"/>
      <c r="LIF166"/>
      <c r="LIG166"/>
      <c r="LIH166"/>
      <c r="LII166"/>
      <c r="LIJ166"/>
      <c r="LIK166"/>
      <c r="LIL166"/>
      <c r="LIM166"/>
      <c r="LIN166"/>
      <c r="LIO166"/>
      <c r="LIP166"/>
      <c r="LIQ166"/>
      <c r="LIR166"/>
      <c r="LIS166"/>
      <c r="LIT166"/>
      <c r="LIU166"/>
      <c r="LIV166"/>
      <c r="LIW166"/>
      <c r="LIX166"/>
      <c r="LIY166"/>
      <c r="LIZ166"/>
      <c r="LJA166"/>
      <c r="LJB166"/>
      <c r="LJC166"/>
      <c r="LJD166"/>
      <c r="LJE166"/>
      <c r="LJF166"/>
      <c r="LJG166"/>
      <c r="LJH166"/>
      <c r="LJI166"/>
      <c r="LJJ166"/>
      <c r="LJK166"/>
      <c r="LJL166"/>
      <c r="LJM166"/>
      <c r="LJN166"/>
      <c r="LJO166"/>
      <c r="LJP166"/>
      <c r="LJQ166"/>
      <c r="LJR166"/>
      <c r="LJS166"/>
      <c r="LJT166"/>
      <c r="LJU166"/>
      <c r="LJV166"/>
      <c r="LJW166"/>
      <c r="LJX166"/>
      <c r="LJY166"/>
      <c r="LJZ166"/>
      <c r="LKA166"/>
      <c r="LKB166"/>
      <c r="LKC166"/>
      <c r="LKD166"/>
      <c r="LKE166"/>
      <c r="LKF166"/>
      <c r="LKG166"/>
      <c r="LKH166"/>
      <c r="LKI166"/>
      <c r="LKJ166"/>
      <c r="LKK166"/>
      <c r="LKL166"/>
      <c r="LKM166"/>
      <c r="LKN166"/>
      <c r="LKO166"/>
      <c r="LKP166"/>
      <c r="LKQ166"/>
      <c r="LKR166"/>
      <c r="LKS166"/>
      <c r="LKT166"/>
      <c r="LKU166"/>
      <c r="LKV166"/>
      <c r="LKW166"/>
      <c r="LKX166"/>
      <c r="LKY166"/>
      <c r="LKZ166"/>
      <c r="LLA166"/>
      <c r="LLB166"/>
      <c r="LLC166"/>
      <c r="LLD166"/>
      <c r="LLE166"/>
      <c r="LLF166"/>
      <c r="LLG166"/>
      <c r="LLH166"/>
      <c r="LLI166"/>
      <c r="LLJ166"/>
      <c r="LLK166"/>
      <c r="LLL166"/>
      <c r="LLM166"/>
      <c r="LLN166"/>
      <c r="LLO166"/>
      <c r="LLP166"/>
      <c r="LLQ166"/>
      <c r="LLR166"/>
      <c r="LLS166"/>
      <c r="LLT166"/>
      <c r="LLU166"/>
      <c r="LLV166"/>
      <c r="LLW166"/>
      <c r="LLX166"/>
      <c r="LLY166"/>
      <c r="LLZ166"/>
      <c r="LMA166"/>
      <c r="LMB166"/>
      <c r="LMC166"/>
      <c r="LMD166"/>
      <c r="LME166"/>
      <c r="LMF166"/>
      <c r="LMG166"/>
      <c r="LMH166"/>
      <c r="LMI166"/>
      <c r="LMJ166"/>
      <c r="LMK166"/>
      <c r="LML166"/>
      <c r="LMM166"/>
      <c r="LMN166"/>
      <c r="LMO166"/>
      <c r="LMP166"/>
      <c r="LMQ166"/>
      <c r="LMR166"/>
      <c r="LMS166"/>
      <c r="LMT166"/>
      <c r="LMU166"/>
      <c r="LMV166"/>
      <c r="LMW166"/>
      <c r="LMX166"/>
      <c r="LMY166"/>
      <c r="LMZ166"/>
      <c r="LNA166"/>
      <c r="LNB166"/>
      <c r="LNC166"/>
      <c r="LND166"/>
      <c r="LNE166"/>
      <c r="LNF166"/>
      <c r="LNG166"/>
      <c r="LNH166"/>
      <c r="LNI166"/>
      <c r="LNJ166"/>
      <c r="LNK166"/>
      <c r="LNL166"/>
      <c r="LNM166"/>
      <c r="LNN166"/>
      <c r="LNO166"/>
      <c r="LNP166"/>
      <c r="LNQ166"/>
      <c r="LNR166"/>
      <c r="LNS166"/>
      <c r="LNT166"/>
      <c r="LNU166"/>
      <c r="LNV166"/>
      <c r="LNW166"/>
      <c r="LNX166"/>
      <c r="LNY166"/>
      <c r="LNZ166"/>
      <c r="LOA166"/>
      <c r="LOB166"/>
      <c r="LOC166"/>
      <c r="LOD166"/>
      <c r="LOE166"/>
      <c r="LOF166"/>
      <c r="LOG166"/>
      <c r="LOH166"/>
      <c r="LOI166"/>
      <c r="LOJ166"/>
      <c r="LOK166"/>
      <c r="LOL166"/>
      <c r="LOM166"/>
      <c r="LON166"/>
      <c r="LOO166"/>
      <c r="LOP166"/>
      <c r="LOQ166"/>
      <c r="LOR166"/>
      <c r="LOS166"/>
      <c r="LOT166"/>
      <c r="LOU166"/>
      <c r="LOV166"/>
      <c r="LOW166"/>
      <c r="LOX166"/>
      <c r="LOY166"/>
      <c r="LOZ166"/>
      <c r="LPA166"/>
      <c r="LPB166"/>
      <c r="LPC166"/>
      <c r="LPD166"/>
      <c r="LPE166"/>
      <c r="LPF166"/>
      <c r="LPG166"/>
      <c r="LPH166"/>
      <c r="LPI166"/>
      <c r="LPJ166"/>
      <c r="LPK166"/>
      <c r="LPL166"/>
      <c r="LPM166"/>
      <c r="LPN166"/>
      <c r="LPO166"/>
      <c r="LPP166"/>
      <c r="LPQ166"/>
      <c r="LPR166"/>
      <c r="LPS166"/>
      <c r="LPT166"/>
      <c r="LPU166"/>
      <c r="LPV166"/>
      <c r="LPW166"/>
      <c r="LPX166"/>
      <c r="LPY166"/>
      <c r="LPZ166"/>
      <c r="LQA166"/>
      <c r="LQB166"/>
      <c r="LQC166"/>
      <c r="LQD166"/>
      <c r="LQE166"/>
      <c r="LQF166"/>
      <c r="LQG166"/>
      <c r="LQH166"/>
      <c r="LQI166"/>
      <c r="LQJ166"/>
      <c r="LQK166"/>
      <c r="LQL166"/>
      <c r="LQM166"/>
      <c r="LQN166"/>
      <c r="LQO166"/>
      <c r="LQP166"/>
      <c r="LQQ166"/>
      <c r="LQR166"/>
      <c r="LQS166"/>
      <c r="LQT166"/>
      <c r="LQU166"/>
      <c r="LQV166"/>
      <c r="LQW166"/>
      <c r="LQX166"/>
      <c r="LQY166"/>
      <c r="LQZ166"/>
      <c r="LRA166"/>
      <c r="LRB166"/>
      <c r="LRC166"/>
      <c r="LRD166"/>
      <c r="LRE166"/>
      <c r="LRF166"/>
      <c r="LRG166"/>
      <c r="LRH166"/>
      <c r="LRI166"/>
      <c r="LRJ166"/>
      <c r="LRK166"/>
      <c r="LRL166"/>
      <c r="LRM166"/>
      <c r="LRN166"/>
      <c r="LRO166"/>
      <c r="LRP166"/>
      <c r="LRQ166"/>
      <c r="LRR166"/>
      <c r="LRS166"/>
      <c r="LRT166"/>
      <c r="LRU166"/>
      <c r="LRV166"/>
      <c r="LRW166"/>
      <c r="LRX166"/>
      <c r="LRY166"/>
      <c r="LRZ166"/>
      <c r="LSA166"/>
      <c r="LSB166"/>
      <c r="LSC166"/>
      <c r="LSD166"/>
      <c r="LSE166"/>
      <c r="LSF166"/>
      <c r="LSG166"/>
      <c r="LSH166"/>
      <c r="LSI166"/>
      <c r="LSJ166"/>
      <c r="LSK166"/>
      <c r="LSL166"/>
      <c r="LSM166"/>
      <c r="LSN166"/>
      <c r="LSO166"/>
      <c r="LSP166"/>
      <c r="LSQ166"/>
      <c r="LSR166"/>
      <c r="LSS166"/>
      <c r="LST166"/>
      <c r="LSU166"/>
      <c r="LSV166"/>
      <c r="LSW166"/>
      <c r="LSX166"/>
      <c r="LSY166"/>
      <c r="LSZ166"/>
      <c r="LTA166"/>
      <c r="LTB166"/>
      <c r="LTC166"/>
      <c r="LTD166"/>
      <c r="LTE166"/>
      <c r="LTF166"/>
      <c r="LTG166"/>
      <c r="LTH166"/>
      <c r="LTI166"/>
      <c r="LTJ166"/>
      <c r="LTK166"/>
      <c r="LTL166"/>
      <c r="LTM166"/>
      <c r="LTN166"/>
      <c r="LTO166"/>
      <c r="LTP166"/>
      <c r="LTQ166"/>
      <c r="LTR166"/>
      <c r="LTS166"/>
      <c r="LTT166"/>
      <c r="LTU166"/>
      <c r="LTV166"/>
      <c r="LTW166"/>
      <c r="LTX166"/>
      <c r="LTY166"/>
      <c r="LTZ166"/>
      <c r="LUA166"/>
      <c r="LUB166"/>
      <c r="LUC166"/>
      <c r="LUD166"/>
      <c r="LUE166"/>
      <c r="LUF166"/>
      <c r="LUG166"/>
      <c r="LUH166"/>
      <c r="LUI166"/>
      <c r="LUJ166"/>
      <c r="LUK166"/>
      <c r="LUL166"/>
      <c r="LUM166"/>
      <c r="LUN166"/>
      <c r="LUO166"/>
      <c r="LUP166"/>
      <c r="LUQ166"/>
      <c r="LUR166"/>
      <c r="LUS166"/>
      <c r="LUT166"/>
      <c r="LUU166"/>
      <c r="LUV166"/>
      <c r="LUW166"/>
      <c r="LUX166"/>
      <c r="LUY166"/>
      <c r="LUZ166"/>
      <c r="LVA166"/>
      <c r="LVB166"/>
      <c r="LVC166"/>
      <c r="LVD166"/>
      <c r="LVE166"/>
      <c r="LVF166"/>
      <c r="LVG166"/>
      <c r="LVH166"/>
      <c r="LVI166"/>
      <c r="LVJ166"/>
      <c r="LVK166"/>
      <c r="LVL166"/>
      <c r="LVM166"/>
      <c r="LVN166"/>
      <c r="LVO166"/>
      <c r="LVP166"/>
      <c r="LVQ166"/>
      <c r="LVR166"/>
      <c r="LVS166"/>
      <c r="LVT166"/>
      <c r="LVU166"/>
      <c r="LVV166"/>
      <c r="LVW166"/>
      <c r="LVX166"/>
      <c r="LVY166"/>
      <c r="LVZ166"/>
      <c r="LWA166"/>
      <c r="LWB166"/>
      <c r="LWC166"/>
      <c r="LWD166"/>
      <c r="LWE166"/>
      <c r="LWF166"/>
      <c r="LWG166"/>
      <c r="LWH166"/>
      <c r="LWI166"/>
      <c r="LWJ166"/>
      <c r="LWK166"/>
      <c r="LWL166"/>
      <c r="LWM166"/>
      <c r="LWN166"/>
      <c r="LWO166"/>
      <c r="LWP166"/>
      <c r="LWQ166"/>
      <c r="LWR166"/>
      <c r="LWS166"/>
      <c r="LWT166"/>
      <c r="LWU166"/>
      <c r="LWV166"/>
      <c r="LWW166"/>
      <c r="LWX166"/>
      <c r="LWY166"/>
      <c r="LWZ166"/>
      <c r="LXA166"/>
      <c r="LXB166"/>
      <c r="LXC166"/>
      <c r="LXD166"/>
      <c r="LXE166"/>
      <c r="LXF166"/>
      <c r="LXG166"/>
      <c r="LXH166"/>
      <c r="LXI166"/>
      <c r="LXJ166"/>
      <c r="LXK166"/>
      <c r="LXL166"/>
      <c r="LXM166"/>
      <c r="LXN166"/>
      <c r="LXO166"/>
      <c r="LXP166"/>
      <c r="LXQ166"/>
      <c r="LXR166"/>
      <c r="LXS166"/>
      <c r="LXT166"/>
      <c r="LXU166"/>
      <c r="LXV166"/>
      <c r="LXW166"/>
      <c r="LXX166"/>
      <c r="LXY166"/>
      <c r="LXZ166"/>
      <c r="LYA166"/>
      <c r="LYB166"/>
      <c r="LYC166"/>
      <c r="LYD166"/>
      <c r="LYE166"/>
      <c r="LYF166"/>
      <c r="LYG166"/>
      <c r="LYH166"/>
      <c r="LYI166"/>
      <c r="LYJ166"/>
      <c r="LYK166"/>
      <c r="LYL166"/>
      <c r="LYM166"/>
      <c r="LYN166"/>
      <c r="LYO166"/>
      <c r="LYP166"/>
      <c r="LYQ166"/>
      <c r="LYR166"/>
      <c r="LYS166"/>
      <c r="LYT166"/>
      <c r="LYU166"/>
      <c r="LYV166"/>
      <c r="LYW166"/>
      <c r="LYX166"/>
      <c r="LYY166"/>
      <c r="LYZ166"/>
      <c r="LZA166"/>
      <c r="LZB166"/>
      <c r="LZC166"/>
      <c r="LZD166"/>
      <c r="LZE166"/>
      <c r="LZF166"/>
      <c r="LZG166"/>
      <c r="LZH166"/>
      <c r="LZI166"/>
      <c r="LZJ166"/>
      <c r="LZK166"/>
      <c r="LZL166"/>
      <c r="LZM166"/>
      <c r="LZN166"/>
      <c r="LZO166"/>
      <c r="LZP166"/>
      <c r="LZQ166"/>
      <c r="LZR166"/>
      <c r="LZS166"/>
      <c r="LZT166"/>
      <c r="LZU166"/>
      <c r="LZV166"/>
      <c r="LZW166"/>
      <c r="LZX166"/>
      <c r="LZY166"/>
      <c r="LZZ166"/>
      <c r="MAA166"/>
      <c r="MAB166"/>
      <c r="MAC166"/>
      <c r="MAD166"/>
      <c r="MAE166"/>
      <c r="MAF166"/>
      <c r="MAG166"/>
      <c r="MAH166"/>
      <c r="MAI166"/>
      <c r="MAJ166"/>
      <c r="MAK166"/>
      <c r="MAL166"/>
      <c r="MAM166"/>
      <c r="MAN166"/>
      <c r="MAO166"/>
      <c r="MAP166"/>
      <c r="MAQ166"/>
      <c r="MAR166"/>
      <c r="MAS166"/>
      <c r="MAT166"/>
      <c r="MAU166"/>
      <c r="MAV166"/>
      <c r="MAW166"/>
      <c r="MAX166"/>
      <c r="MAY166"/>
      <c r="MAZ166"/>
      <c r="MBA166"/>
      <c r="MBB166"/>
      <c r="MBC166"/>
      <c r="MBD166"/>
      <c r="MBE166"/>
      <c r="MBF166"/>
      <c r="MBG166"/>
      <c r="MBH166"/>
      <c r="MBI166"/>
      <c r="MBJ166"/>
      <c r="MBK166"/>
      <c r="MBL166"/>
      <c r="MBM166"/>
      <c r="MBN166"/>
      <c r="MBO166"/>
      <c r="MBP166"/>
      <c r="MBQ166"/>
      <c r="MBR166"/>
      <c r="MBS166"/>
      <c r="MBT166"/>
      <c r="MBU166"/>
      <c r="MBV166"/>
      <c r="MBW166"/>
      <c r="MBX166"/>
      <c r="MBY166"/>
      <c r="MBZ166"/>
      <c r="MCA166"/>
      <c r="MCB166"/>
      <c r="MCC166"/>
      <c r="MCD166"/>
      <c r="MCE166"/>
      <c r="MCF166"/>
      <c r="MCG166"/>
      <c r="MCH166"/>
      <c r="MCI166"/>
      <c r="MCJ166"/>
      <c r="MCK166"/>
      <c r="MCL166"/>
      <c r="MCM166"/>
      <c r="MCN166"/>
      <c r="MCO166"/>
      <c r="MCP166"/>
      <c r="MCQ166"/>
      <c r="MCR166"/>
      <c r="MCS166"/>
      <c r="MCT166"/>
      <c r="MCU166"/>
      <c r="MCV166"/>
      <c r="MCW166"/>
      <c r="MCX166"/>
      <c r="MCY166"/>
      <c r="MCZ166"/>
      <c r="MDA166"/>
      <c r="MDB166"/>
      <c r="MDC166"/>
      <c r="MDD166"/>
      <c r="MDE166"/>
      <c r="MDF166"/>
      <c r="MDG166"/>
      <c r="MDH166"/>
      <c r="MDI166"/>
      <c r="MDJ166"/>
      <c r="MDK166"/>
      <c r="MDL166"/>
      <c r="MDM166"/>
      <c r="MDN166"/>
      <c r="MDO166"/>
      <c r="MDP166"/>
      <c r="MDQ166"/>
      <c r="MDR166"/>
      <c r="MDS166"/>
      <c r="MDT166"/>
      <c r="MDU166"/>
      <c r="MDV166"/>
      <c r="MDW166"/>
      <c r="MDX166"/>
      <c r="MDY166"/>
      <c r="MDZ166"/>
      <c r="MEA166"/>
      <c r="MEB166"/>
      <c r="MEC166"/>
      <c r="MED166"/>
      <c r="MEE166"/>
      <c r="MEF166"/>
      <c r="MEG166"/>
      <c r="MEH166"/>
      <c r="MEI166"/>
      <c r="MEJ166"/>
      <c r="MEK166"/>
      <c r="MEL166"/>
      <c r="MEM166"/>
      <c r="MEN166"/>
      <c r="MEO166"/>
      <c r="MEP166"/>
      <c r="MEQ166"/>
      <c r="MER166"/>
      <c r="MES166"/>
      <c r="MET166"/>
      <c r="MEU166"/>
      <c r="MEV166"/>
      <c r="MEW166"/>
      <c r="MEX166"/>
      <c r="MEY166"/>
      <c r="MEZ166"/>
      <c r="MFA166"/>
      <c r="MFB166"/>
      <c r="MFC166"/>
      <c r="MFD166"/>
      <c r="MFE166"/>
      <c r="MFF166"/>
      <c r="MFG166"/>
      <c r="MFH166"/>
      <c r="MFI166"/>
      <c r="MFJ166"/>
      <c r="MFK166"/>
      <c r="MFL166"/>
      <c r="MFM166"/>
      <c r="MFN166"/>
      <c r="MFO166"/>
      <c r="MFP166"/>
      <c r="MFQ166"/>
      <c r="MFR166"/>
      <c r="MFS166"/>
      <c r="MFT166"/>
      <c r="MFU166"/>
      <c r="MFV166"/>
      <c r="MFW166"/>
      <c r="MFX166"/>
      <c r="MFY166"/>
      <c r="MFZ166"/>
      <c r="MGA166"/>
      <c r="MGB166"/>
      <c r="MGC166"/>
      <c r="MGD166"/>
      <c r="MGE166"/>
      <c r="MGF166"/>
      <c r="MGG166"/>
      <c r="MGH166"/>
      <c r="MGI166"/>
      <c r="MGJ166"/>
      <c r="MGK166"/>
      <c r="MGL166"/>
      <c r="MGM166"/>
      <c r="MGN166"/>
      <c r="MGO166"/>
      <c r="MGP166"/>
      <c r="MGQ166"/>
      <c r="MGR166"/>
      <c r="MGS166"/>
      <c r="MGT166"/>
      <c r="MGU166"/>
      <c r="MGV166"/>
      <c r="MGW166"/>
      <c r="MGX166"/>
      <c r="MGY166"/>
      <c r="MGZ166"/>
      <c r="MHA166"/>
      <c r="MHB166"/>
      <c r="MHC166"/>
      <c r="MHD166"/>
      <c r="MHE166"/>
      <c r="MHF166"/>
      <c r="MHG166"/>
      <c r="MHH166"/>
      <c r="MHI166"/>
      <c r="MHJ166"/>
      <c r="MHK166"/>
      <c r="MHL166"/>
      <c r="MHM166"/>
      <c r="MHN166"/>
      <c r="MHO166"/>
      <c r="MHP166"/>
      <c r="MHQ166"/>
      <c r="MHR166"/>
      <c r="MHS166"/>
      <c r="MHT166"/>
      <c r="MHU166"/>
      <c r="MHV166"/>
      <c r="MHW166"/>
      <c r="MHX166"/>
      <c r="MHY166"/>
      <c r="MHZ166"/>
      <c r="MIA166"/>
      <c r="MIB166"/>
      <c r="MIC166"/>
      <c r="MID166"/>
      <c r="MIE166"/>
      <c r="MIF166"/>
      <c r="MIG166"/>
      <c r="MIH166"/>
      <c r="MII166"/>
      <c r="MIJ166"/>
      <c r="MIK166"/>
      <c r="MIL166"/>
      <c r="MIM166"/>
      <c r="MIN166"/>
      <c r="MIO166"/>
      <c r="MIP166"/>
      <c r="MIQ166"/>
      <c r="MIR166"/>
      <c r="MIS166"/>
      <c r="MIT166"/>
      <c r="MIU166"/>
      <c r="MIV166"/>
      <c r="MIW166"/>
      <c r="MIX166"/>
      <c r="MIY166"/>
      <c r="MIZ166"/>
      <c r="MJA166"/>
      <c r="MJB166"/>
      <c r="MJC166"/>
      <c r="MJD166"/>
      <c r="MJE166"/>
      <c r="MJF166"/>
      <c r="MJG166"/>
      <c r="MJH166"/>
      <c r="MJI166"/>
      <c r="MJJ166"/>
      <c r="MJK166"/>
      <c r="MJL166"/>
      <c r="MJM166"/>
      <c r="MJN166"/>
      <c r="MJO166"/>
      <c r="MJP166"/>
      <c r="MJQ166"/>
      <c r="MJR166"/>
      <c r="MJS166"/>
      <c r="MJT166"/>
      <c r="MJU166"/>
      <c r="MJV166"/>
      <c r="MJW166"/>
      <c r="MJX166"/>
      <c r="MJY166"/>
      <c r="MJZ166"/>
      <c r="MKA166"/>
      <c r="MKB166"/>
      <c r="MKC166"/>
      <c r="MKD166"/>
      <c r="MKE166"/>
      <c r="MKF166"/>
      <c r="MKG166"/>
      <c r="MKH166"/>
      <c r="MKI166"/>
      <c r="MKJ166"/>
      <c r="MKK166"/>
      <c r="MKL166"/>
      <c r="MKM166"/>
      <c r="MKN166"/>
      <c r="MKO166"/>
      <c r="MKP166"/>
      <c r="MKQ166"/>
      <c r="MKR166"/>
      <c r="MKS166"/>
      <c r="MKT166"/>
      <c r="MKU166"/>
      <c r="MKV166"/>
      <c r="MKW166"/>
      <c r="MKX166"/>
      <c r="MKY166"/>
      <c r="MKZ166"/>
      <c r="MLA166"/>
      <c r="MLB166"/>
      <c r="MLC166"/>
      <c r="MLD166"/>
      <c r="MLE166"/>
      <c r="MLF166"/>
      <c r="MLG166"/>
      <c r="MLH166"/>
      <c r="MLI166"/>
      <c r="MLJ166"/>
      <c r="MLK166"/>
      <c r="MLL166"/>
      <c r="MLM166"/>
      <c r="MLN166"/>
      <c r="MLO166"/>
      <c r="MLP166"/>
      <c r="MLQ166"/>
      <c r="MLR166"/>
      <c r="MLS166"/>
      <c r="MLT166"/>
      <c r="MLU166"/>
      <c r="MLV166"/>
      <c r="MLW166"/>
      <c r="MLX166"/>
      <c r="MLY166"/>
      <c r="MLZ166"/>
      <c r="MMA166"/>
      <c r="MMB166"/>
      <c r="MMC166"/>
      <c r="MMD166"/>
      <c r="MME166"/>
      <c r="MMF166"/>
      <c r="MMG166"/>
      <c r="MMH166"/>
      <c r="MMI166"/>
      <c r="MMJ166"/>
      <c r="MMK166"/>
      <c r="MML166"/>
      <c r="MMM166"/>
      <c r="MMN166"/>
      <c r="MMO166"/>
      <c r="MMP166"/>
      <c r="MMQ166"/>
      <c r="MMR166"/>
      <c r="MMS166"/>
      <c r="MMT166"/>
      <c r="MMU166"/>
      <c r="MMV166"/>
      <c r="MMW166"/>
      <c r="MMX166"/>
      <c r="MMY166"/>
      <c r="MMZ166"/>
      <c r="MNA166"/>
      <c r="MNB166"/>
      <c r="MNC166"/>
      <c r="MND166"/>
      <c r="MNE166"/>
      <c r="MNF166"/>
      <c r="MNG166"/>
      <c r="MNH166"/>
      <c r="MNI166"/>
      <c r="MNJ166"/>
      <c r="MNK166"/>
      <c r="MNL166"/>
      <c r="MNM166"/>
      <c r="MNN166"/>
      <c r="MNO166"/>
      <c r="MNP166"/>
      <c r="MNQ166"/>
      <c r="MNR166"/>
      <c r="MNS166"/>
      <c r="MNT166"/>
      <c r="MNU166"/>
      <c r="MNV166"/>
      <c r="MNW166"/>
      <c r="MNX166"/>
      <c r="MNY166"/>
      <c r="MNZ166"/>
      <c r="MOA166"/>
      <c r="MOB166"/>
      <c r="MOC166"/>
      <c r="MOD166"/>
      <c r="MOE166"/>
      <c r="MOF166"/>
      <c r="MOG166"/>
      <c r="MOH166"/>
      <c r="MOI166"/>
      <c r="MOJ166"/>
      <c r="MOK166"/>
      <c r="MOL166"/>
      <c r="MOM166"/>
      <c r="MON166"/>
      <c r="MOO166"/>
      <c r="MOP166"/>
      <c r="MOQ166"/>
      <c r="MOR166"/>
      <c r="MOS166"/>
      <c r="MOT166"/>
      <c r="MOU166"/>
      <c r="MOV166"/>
      <c r="MOW166"/>
      <c r="MOX166"/>
      <c r="MOY166"/>
      <c r="MOZ166"/>
      <c r="MPA166"/>
      <c r="MPB166"/>
      <c r="MPC166"/>
      <c r="MPD166"/>
      <c r="MPE166"/>
      <c r="MPF166"/>
      <c r="MPG166"/>
      <c r="MPH166"/>
      <c r="MPI166"/>
      <c r="MPJ166"/>
      <c r="MPK166"/>
      <c r="MPL166"/>
      <c r="MPM166"/>
      <c r="MPN166"/>
      <c r="MPO166"/>
      <c r="MPP166"/>
      <c r="MPQ166"/>
      <c r="MPR166"/>
      <c r="MPS166"/>
      <c r="MPT166"/>
      <c r="MPU166"/>
      <c r="MPV166"/>
      <c r="MPW166"/>
      <c r="MPX166"/>
      <c r="MPY166"/>
      <c r="MPZ166"/>
      <c r="MQA166"/>
      <c r="MQB166"/>
      <c r="MQC166"/>
      <c r="MQD166"/>
      <c r="MQE166"/>
      <c r="MQF166"/>
      <c r="MQG166"/>
      <c r="MQH166"/>
      <c r="MQI166"/>
      <c r="MQJ166"/>
      <c r="MQK166"/>
      <c r="MQL166"/>
      <c r="MQM166"/>
      <c r="MQN166"/>
      <c r="MQO166"/>
      <c r="MQP166"/>
      <c r="MQQ166"/>
      <c r="MQR166"/>
      <c r="MQS166"/>
      <c r="MQT166"/>
      <c r="MQU166"/>
      <c r="MQV166"/>
      <c r="MQW166"/>
      <c r="MQX166"/>
      <c r="MQY166"/>
      <c r="MQZ166"/>
      <c r="MRA166"/>
      <c r="MRB166"/>
      <c r="MRC166"/>
      <c r="MRD166"/>
      <c r="MRE166"/>
      <c r="MRF166"/>
      <c r="MRG166"/>
      <c r="MRH166"/>
      <c r="MRI166"/>
      <c r="MRJ166"/>
      <c r="MRK166"/>
      <c r="MRL166"/>
      <c r="MRM166"/>
      <c r="MRN166"/>
      <c r="MRO166"/>
      <c r="MRP166"/>
      <c r="MRQ166"/>
      <c r="MRR166"/>
      <c r="MRS166"/>
      <c r="MRT166"/>
      <c r="MRU166"/>
      <c r="MRV166"/>
      <c r="MRW166"/>
      <c r="MRX166"/>
      <c r="MRY166"/>
      <c r="MRZ166"/>
      <c r="MSA166"/>
      <c r="MSB166"/>
      <c r="MSC166"/>
      <c r="MSD166"/>
      <c r="MSE166"/>
      <c r="MSF166"/>
      <c r="MSG166"/>
      <c r="MSH166"/>
      <c r="MSI166"/>
      <c r="MSJ166"/>
      <c r="MSK166"/>
      <c r="MSL166"/>
      <c r="MSM166"/>
      <c r="MSN166"/>
      <c r="MSO166"/>
      <c r="MSP166"/>
      <c r="MSQ166"/>
      <c r="MSR166"/>
      <c r="MSS166"/>
      <c r="MST166"/>
      <c r="MSU166"/>
      <c r="MSV166"/>
      <c r="MSW166"/>
      <c r="MSX166"/>
      <c r="MSY166"/>
      <c r="MSZ166"/>
      <c r="MTA166"/>
      <c r="MTB166"/>
      <c r="MTC166"/>
      <c r="MTD166"/>
      <c r="MTE166"/>
      <c r="MTF166"/>
      <c r="MTG166"/>
      <c r="MTH166"/>
      <c r="MTI166"/>
      <c r="MTJ166"/>
      <c r="MTK166"/>
      <c r="MTL166"/>
      <c r="MTM166"/>
      <c r="MTN166"/>
      <c r="MTO166"/>
      <c r="MTP166"/>
      <c r="MTQ166"/>
      <c r="MTR166"/>
      <c r="MTS166"/>
      <c r="MTT166"/>
      <c r="MTU166"/>
      <c r="MTV166"/>
      <c r="MTW166"/>
      <c r="MTX166"/>
      <c r="MTY166"/>
      <c r="MTZ166"/>
      <c r="MUA166"/>
      <c r="MUB166"/>
      <c r="MUC166"/>
      <c r="MUD166"/>
      <c r="MUE166"/>
      <c r="MUF166"/>
      <c r="MUG166"/>
      <c r="MUH166"/>
      <c r="MUI166"/>
      <c r="MUJ166"/>
      <c r="MUK166"/>
      <c r="MUL166"/>
      <c r="MUM166"/>
      <c r="MUN166"/>
      <c r="MUO166"/>
      <c r="MUP166"/>
      <c r="MUQ166"/>
      <c r="MUR166"/>
      <c r="MUS166"/>
      <c r="MUT166"/>
      <c r="MUU166"/>
      <c r="MUV166"/>
      <c r="MUW166"/>
      <c r="MUX166"/>
      <c r="MUY166"/>
      <c r="MUZ166"/>
      <c r="MVA166"/>
      <c r="MVB166"/>
      <c r="MVC166"/>
      <c r="MVD166"/>
      <c r="MVE166"/>
      <c r="MVF166"/>
      <c r="MVG166"/>
      <c r="MVH166"/>
      <c r="MVI166"/>
      <c r="MVJ166"/>
      <c r="MVK166"/>
      <c r="MVL166"/>
      <c r="MVM166"/>
      <c r="MVN166"/>
      <c r="MVO166"/>
      <c r="MVP166"/>
      <c r="MVQ166"/>
      <c r="MVR166"/>
      <c r="MVS166"/>
      <c r="MVT166"/>
      <c r="MVU166"/>
      <c r="MVV166"/>
      <c r="MVW166"/>
      <c r="MVX166"/>
      <c r="MVY166"/>
      <c r="MVZ166"/>
      <c r="MWA166"/>
      <c r="MWB166"/>
      <c r="MWC166"/>
      <c r="MWD166"/>
      <c r="MWE166"/>
      <c r="MWF166"/>
      <c r="MWG166"/>
      <c r="MWH166"/>
      <c r="MWI166"/>
      <c r="MWJ166"/>
      <c r="MWK166"/>
      <c r="MWL166"/>
      <c r="MWM166"/>
      <c r="MWN166"/>
      <c r="MWO166"/>
      <c r="MWP166"/>
      <c r="MWQ166"/>
      <c r="MWR166"/>
      <c r="MWS166"/>
      <c r="MWT166"/>
      <c r="MWU166"/>
      <c r="MWV166"/>
      <c r="MWW166"/>
      <c r="MWX166"/>
      <c r="MWY166"/>
      <c r="MWZ166"/>
      <c r="MXA166"/>
      <c r="MXB166"/>
      <c r="MXC166"/>
      <c r="MXD166"/>
      <c r="MXE166"/>
      <c r="MXF166"/>
      <c r="MXG166"/>
      <c r="MXH166"/>
      <c r="MXI166"/>
      <c r="MXJ166"/>
      <c r="MXK166"/>
      <c r="MXL166"/>
      <c r="MXM166"/>
      <c r="MXN166"/>
      <c r="MXO166"/>
      <c r="MXP166"/>
      <c r="MXQ166"/>
      <c r="MXR166"/>
      <c r="MXS166"/>
      <c r="MXT166"/>
      <c r="MXU166"/>
      <c r="MXV166"/>
      <c r="MXW166"/>
      <c r="MXX166"/>
      <c r="MXY166"/>
      <c r="MXZ166"/>
      <c r="MYA166"/>
      <c r="MYB166"/>
      <c r="MYC166"/>
      <c r="MYD166"/>
      <c r="MYE166"/>
      <c r="MYF166"/>
      <c r="MYG166"/>
      <c r="MYH166"/>
      <c r="MYI166"/>
      <c r="MYJ166"/>
      <c r="MYK166"/>
      <c r="MYL166"/>
      <c r="MYM166"/>
      <c r="MYN166"/>
      <c r="MYO166"/>
      <c r="MYP166"/>
      <c r="MYQ166"/>
      <c r="MYR166"/>
      <c r="MYS166"/>
      <c r="MYT166"/>
      <c r="MYU166"/>
      <c r="MYV166"/>
      <c r="MYW166"/>
      <c r="MYX166"/>
      <c r="MYY166"/>
      <c r="MYZ166"/>
      <c r="MZA166"/>
      <c r="MZB166"/>
      <c r="MZC166"/>
      <c r="MZD166"/>
      <c r="MZE166"/>
      <c r="MZF166"/>
      <c r="MZG166"/>
      <c r="MZH166"/>
      <c r="MZI166"/>
      <c r="MZJ166"/>
      <c r="MZK166"/>
      <c r="MZL166"/>
      <c r="MZM166"/>
      <c r="MZN166"/>
      <c r="MZO166"/>
      <c r="MZP166"/>
      <c r="MZQ166"/>
      <c r="MZR166"/>
      <c r="MZS166"/>
      <c r="MZT166"/>
      <c r="MZU166"/>
      <c r="MZV166"/>
      <c r="MZW166"/>
      <c r="MZX166"/>
      <c r="MZY166"/>
      <c r="MZZ166"/>
      <c r="NAA166"/>
      <c r="NAB166"/>
      <c r="NAC166"/>
      <c r="NAD166"/>
      <c r="NAE166"/>
      <c r="NAF166"/>
      <c r="NAG166"/>
      <c r="NAH166"/>
      <c r="NAI166"/>
      <c r="NAJ166"/>
      <c r="NAK166"/>
      <c r="NAL166"/>
      <c r="NAM166"/>
      <c r="NAN166"/>
      <c r="NAO166"/>
      <c r="NAP166"/>
      <c r="NAQ166"/>
      <c r="NAR166"/>
      <c r="NAS166"/>
      <c r="NAT166"/>
      <c r="NAU166"/>
      <c r="NAV166"/>
      <c r="NAW166"/>
      <c r="NAX166"/>
      <c r="NAY166"/>
      <c r="NAZ166"/>
      <c r="NBA166"/>
      <c r="NBB166"/>
      <c r="NBC166"/>
      <c r="NBD166"/>
      <c r="NBE166"/>
      <c r="NBF166"/>
      <c r="NBG166"/>
      <c r="NBH166"/>
      <c r="NBI166"/>
      <c r="NBJ166"/>
      <c r="NBK166"/>
      <c r="NBL166"/>
      <c r="NBM166"/>
      <c r="NBN166"/>
      <c r="NBO166"/>
      <c r="NBP166"/>
      <c r="NBQ166"/>
      <c r="NBR166"/>
      <c r="NBS166"/>
      <c r="NBT166"/>
      <c r="NBU166"/>
      <c r="NBV166"/>
      <c r="NBW166"/>
      <c r="NBX166"/>
      <c r="NBY166"/>
      <c r="NBZ166"/>
      <c r="NCA166"/>
      <c r="NCB166"/>
      <c r="NCC166"/>
      <c r="NCD166"/>
      <c r="NCE166"/>
      <c r="NCF166"/>
      <c r="NCG166"/>
      <c r="NCH166"/>
      <c r="NCI166"/>
      <c r="NCJ166"/>
      <c r="NCK166"/>
      <c r="NCL166"/>
      <c r="NCM166"/>
      <c r="NCN166"/>
      <c r="NCO166"/>
      <c r="NCP166"/>
      <c r="NCQ166"/>
      <c r="NCR166"/>
      <c r="NCS166"/>
      <c r="NCT166"/>
      <c r="NCU166"/>
      <c r="NCV166"/>
      <c r="NCW166"/>
      <c r="NCX166"/>
      <c r="NCY166"/>
      <c r="NCZ166"/>
      <c r="NDA166"/>
      <c r="NDB166"/>
      <c r="NDC166"/>
      <c r="NDD166"/>
      <c r="NDE166"/>
      <c r="NDF166"/>
      <c r="NDG166"/>
      <c r="NDH166"/>
      <c r="NDI166"/>
      <c r="NDJ166"/>
      <c r="NDK166"/>
      <c r="NDL166"/>
      <c r="NDM166"/>
      <c r="NDN166"/>
      <c r="NDO166"/>
      <c r="NDP166"/>
      <c r="NDQ166"/>
      <c r="NDR166"/>
      <c r="NDS166"/>
      <c r="NDT166"/>
      <c r="NDU166"/>
      <c r="NDV166"/>
      <c r="NDW166"/>
      <c r="NDX166"/>
      <c r="NDY166"/>
      <c r="NDZ166"/>
      <c r="NEA166"/>
      <c r="NEB166"/>
      <c r="NEC166"/>
      <c r="NED166"/>
      <c r="NEE166"/>
      <c r="NEF166"/>
      <c r="NEG166"/>
      <c r="NEH166"/>
      <c r="NEI166"/>
      <c r="NEJ166"/>
      <c r="NEK166"/>
      <c r="NEL166"/>
      <c r="NEM166"/>
      <c r="NEN166"/>
      <c r="NEO166"/>
      <c r="NEP166"/>
      <c r="NEQ166"/>
      <c r="NER166"/>
      <c r="NES166"/>
      <c r="NET166"/>
      <c r="NEU166"/>
      <c r="NEV166"/>
      <c r="NEW166"/>
      <c r="NEX166"/>
      <c r="NEY166"/>
      <c r="NEZ166"/>
      <c r="NFA166"/>
      <c r="NFB166"/>
      <c r="NFC166"/>
      <c r="NFD166"/>
      <c r="NFE166"/>
      <c r="NFF166"/>
      <c r="NFG166"/>
      <c r="NFH166"/>
      <c r="NFI166"/>
      <c r="NFJ166"/>
      <c r="NFK166"/>
      <c r="NFL166"/>
      <c r="NFM166"/>
      <c r="NFN166"/>
      <c r="NFO166"/>
      <c r="NFP166"/>
      <c r="NFQ166"/>
      <c r="NFR166"/>
      <c r="NFS166"/>
      <c r="NFT166"/>
      <c r="NFU166"/>
      <c r="NFV166"/>
      <c r="NFW166"/>
      <c r="NFX166"/>
      <c r="NFY166"/>
      <c r="NFZ166"/>
      <c r="NGA166"/>
      <c r="NGB166"/>
      <c r="NGC166"/>
      <c r="NGD166"/>
      <c r="NGE166"/>
      <c r="NGF166"/>
      <c r="NGG166"/>
      <c r="NGH166"/>
      <c r="NGI166"/>
      <c r="NGJ166"/>
      <c r="NGK166"/>
      <c r="NGL166"/>
      <c r="NGM166"/>
      <c r="NGN166"/>
      <c r="NGO166"/>
      <c r="NGP166"/>
      <c r="NGQ166"/>
      <c r="NGR166"/>
      <c r="NGS166"/>
      <c r="NGT166"/>
      <c r="NGU166"/>
      <c r="NGV166"/>
      <c r="NGW166"/>
      <c r="NGX166"/>
      <c r="NGY166"/>
      <c r="NGZ166"/>
      <c r="NHA166"/>
      <c r="NHB166"/>
      <c r="NHC166"/>
      <c r="NHD166"/>
      <c r="NHE166"/>
      <c r="NHF166"/>
      <c r="NHG166"/>
      <c r="NHH166"/>
      <c r="NHI166"/>
      <c r="NHJ166"/>
      <c r="NHK166"/>
      <c r="NHL166"/>
      <c r="NHM166"/>
      <c r="NHN166"/>
      <c r="NHO166"/>
      <c r="NHP166"/>
      <c r="NHQ166"/>
      <c r="NHR166"/>
      <c r="NHS166"/>
      <c r="NHT166"/>
      <c r="NHU166"/>
      <c r="NHV166"/>
      <c r="NHW166"/>
      <c r="NHX166"/>
      <c r="NHY166"/>
      <c r="NHZ166"/>
      <c r="NIA166"/>
      <c r="NIB166"/>
      <c r="NIC166"/>
      <c r="NID166"/>
      <c r="NIE166"/>
      <c r="NIF166"/>
      <c r="NIG166"/>
      <c r="NIH166"/>
      <c r="NII166"/>
      <c r="NIJ166"/>
      <c r="NIK166"/>
      <c r="NIL166"/>
      <c r="NIM166"/>
      <c r="NIN166"/>
      <c r="NIO166"/>
      <c r="NIP166"/>
      <c r="NIQ166"/>
      <c r="NIR166"/>
      <c r="NIS166"/>
      <c r="NIT166"/>
      <c r="NIU166"/>
      <c r="NIV166"/>
      <c r="NIW166"/>
      <c r="NIX166"/>
      <c r="NIY166"/>
      <c r="NIZ166"/>
      <c r="NJA166"/>
      <c r="NJB166"/>
      <c r="NJC166"/>
      <c r="NJD166"/>
      <c r="NJE166"/>
      <c r="NJF166"/>
      <c r="NJG166"/>
      <c r="NJH166"/>
      <c r="NJI166"/>
      <c r="NJJ166"/>
      <c r="NJK166"/>
      <c r="NJL166"/>
      <c r="NJM166"/>
      <c r="NJN166"/>
      <c r="NJO166"/>
      <c r="NJP166"/>
      <c r="NJQ166"/>
      <c r="NJR166"/>
      <c r="NJS166"/>
      <c r="NJT166"/>
      <c r="NJU166"/>
      <c r="NJV166"/>
      <c r="NJW166"/>
      <c r="NJX166"/>
      <c r="NJY166"/>
      <c r="NJZ166"/>
      <c r="NKA166"/>
      <c r="NKB166"/>
      <c r="NKC166"/>
      <c r="NKD166"/>
      <c r="NKE166"/>
      <c r="NKF166"/>
      <c r="NKG166"/>
      <c r="NKH166"/>
      <c r="NKI166"/>
      <c r="NKJ166"/>
      <c r="NKK166"/>
      <c r="NKL166"/>
      <c r="NKM166"/>
      <c r="NKN166"/>
      <c r="NKO166"/>
      <c r="NKP166"/>
      <c r="NKQ166"/>
      <c r="NKR166"/>
      <c r="NKS166"/>
      <c r="NKT166"/>
      <c r="NKU166"/>
      <c r="NKV166"/>
      <c r="NKW166"/>
      <c r="NKX166"/>
      <c r="NKY166"/>
      <c r="NKZ166"/>
      <c r="NLA166"/>
      <c r="NLB166"/>
      <c r="NLC166"/>
      <c r="NLD166"/>
      <c r="NLE166"/>
      <c r="NLF166"/>
      <c r="NLG166"/>
      <c r="NLH166"/>
      <c r="NLI166"/>
      <c r="NLJ166"/>
      <c r="NLK166"/>
      <c r="NLL166"/>
      <c r="NLM166"/>
      <c r="NLN166"/>
      <c r="NLO166"/>
      <c r="NLP166"/>
      <c r="NLQ166"/>
      <c r="NLR166"/>
      <c r="NLS166"/>
      <c r="NLT166"/>
      <c r="NLU166"/>
      <c r="NLV166"/>
      <c r="NLW166"/>
      <c r="NLX166"/>
      <c r="NLY166"/>
      <c r="NLZ166"/>
      <c r="NMA166"/>
      <c r="NMB166"/>
      <c r="NMC166"/>
      <c r="NMD166"/>
      <c r="NME166"/>
      <c r="NMF166"/>
      <c r="NMG166"/>
      <c r="NMH166"/>
      <c r="NMI166"/>
      <c r="NMJ166"/>
      <c r="NMK166"/>
      <c r="NML166"/>
      <c r="NMM166"/>
      <c r="NMN166"/>
      <c r="NMO166"/>
      <c r="NMP166"/>
      <c r="NMQ166"/>
      <c r="NMR166"/>
      <c r="NMS166"/>
      <c r="NMT166"/>
      <c r="NMU166"/>
      <c r="NMV166"/>
      <c r="NMW166"/>
      <c r="NMX166"/>
      <c r="NMY166"/>
      <c r="NMZ166"/>
      <c r="NNA166"/>
      <c r="NNB166"/>
      <c r="NNC166"/>
      <c r="NND166"/>
      <c r="NNE166"/>
      <c r="NNF166"/>
      <c r="NNG166"/>
      <c r="NNH166"/>
      <c r="NNI166"/>
      <c r="NNJ166"/>
      <c r="NNK166"/>
      <c r="NNL166"/>
      <c r="NNM166"/>
      <c r="NNN166"/>
      <c r="NNO166"/>
      <c r="NNP166"/>
      <c r="NNQ166"/>
      <c r="NNR166"/>
      <c r="NNS166"/>
      <c r="NNT166"/>
      <c r="NNU166"/>
      <c r="NNV166"/>
      <c r="NNW166"/>
      <c r="NNX166"/>
      <c r="NNY166"/>
      <c r="NNZ166"/>
      <c r="NOA166"/>
      <c r="NOB166"/>
      <c r="NOC166"/>
      <c r="NOD166"/>
      <c r="NOE166"/>
      <c r="NOF166"/>
      <c r="NOG166"/>
      <c r="NOH166"/>
      <c r="NOI166"/>
      <c r="NOJ166"/>
      <c r="NOK166"/>
      <c r="NOL166"/>
      <c r="NOM166"/>
      <c r="NON166"/>
      <c r="NOO166"/>
      <c r="NOP166"/>
      <c r="NOQ166"/>
      <c r="NOR166"/>
      <c r="NOS166"/>
      <c r="NOT166"/>
      <c r="NOU166"/>
      <c r="NOV166"/>
      <c r="NOW166"/>
      <c r="NOX166"/>
      <c r="NOY166"/>
      <c r="NOZ166"/>
      <c r="NPA166"/>
      <c r="NPB166"/>
      <c r="NPC166"/>
      <c r="NPD166"/>
      <c r="NPE166"/>
      <c r="NPF166"/>
      <c r="NPG166"/>
      <c r="NPH166"/>
      <c r="NPI166"/>
      <c r="NPJ166"/>
      <c r="NPK166"/>
      <c r="NPL166"/>
      <c r="NPM166"/>
      <c r="NPN166"/>
      <c r="NPO166"/>
      <c r="NPP166"/>
      <c r="NPQ166"/>
      <c r="NPR166"/>
      <c r="NPS166"/>
      <c r="NPT166"/>
      <c r="NPU166"/>
      <c r="NPV166"/>
      <c r="NPW166"/>
      <c r="NPX166"/>
      <c r="NPY166"/>
      <c r="NPZ166"/>
      <c r="NQA166"/>
      <c r="NQB166"/>
      <c r="NQC166"/>
      <c r="NQD166"/>
      <c r="NQE166"/>
      <c r="NQF166"/>
      <c r="NQG166"/>
      <c r="NQH166"/>
      <c r="NQI166"/>
      <c r="NQJ166"/>
      <c r="NQK166"/>
      <c r="NQL166"/>
      <c r="NQM166"/>
      <c r="NQN166"/>
      <c r="NQO166"/>
      <c r="NQP166"/>
      <c r="NQQ166"/>
      <c r="NQR166"/>
      <c r="NQS166"/>
      <c r="NQT166"/>
      <c r="NQU166"/>
      <c r="NQV166"/>
      <c r="NQW166"/>
      <c r="NQX166"/>
      <c r="NQY166"/>
      <c r="NQZ166"/>
      <c r="NRA166"/>
      <c r="NRB166"/>
      <c r="NRC166"/>
      <c r="NRD166"/>
      <c r="NRE166"/>
      <c r="NRF166"/>
      <c r="NRG166"/>
      <c r="NRH166"/>
      <c r="NRI166"/>
      <c r="NRJ166"/>
      <c r="NRK166"/>
      <c r="NRL166"/>
      <c r="NRM166"/>
      <c r="NRN166"/>
      <c r="NRO166"/>
      <c r="NRP166"/>
      <c r="NRQ166"/>
      <c r="NRR166"/>
      <c r="NRS166"/>
      <c r="NRT166"/>
      <c r="NRU166"/>
      <c r="NRV166"/>
      <c r="NRW166"/>
      <c r="NRX166"/>
      <c r="NRY166"/>
      <c r="NRZ166"/>
      <c r="NSA166"/>
      <c r="NSB166"/>
      <c r="NSC166"/>
      <c r="NSD166"/>
      <c r="NSE166"/>
      <c r="NSF166"/>
      <c r="NSG166"/>
      <c r="NSH166"/>
      <c r="NSI166"/>
      <c r="NSJ166"/>
      <c r="NSK166"/>
      <c r="NSL166"/>
      <c r="NSM166"/>
      <c r="NSN166"/>
      <c r="NSO166"/>
      <c r="NSP166"/>
      <c r="NSQ166"/>
      <c r="NSR166"/>
      <c r="NSS166"/>
      <c r="NST166"/>
      <c r="NSU166"/>
      <c r="NSV166"/>
      <c r="NSW166"/>
      <c r="NSX166"/>
      <c r="NSY166"/>
      <c r="NSZ166"/>
      <c r="NTA166"/>
      <c r="NTB166"/>
      <c r="NTC166"/>
      <c r="NTD166"/>
      <c r="NTE166"/>
      <c r="NTF166"/>
      <c r="NTG166"/>
      <c r="NTH166"/>
      <c r="NTI166"/>
      <c r="NTJ166"/>
      <c r="NTK166"/>
      <c r="NTL166"/>
      <c r="NTM166"/>
      <c r="NTN166"/>
      <c r="NTO166"/>
      <c r="NTP166"/>
      <c r="NTQ166"/>
      <c r="NTR166"/>
      <c r="NTS166"/>
      <c r="NTT166"/>
      <c r="NTU166"/>
      <c r="NTV166"/>
      <c r="NTW166"/>
      <c r="NTX166"/>
      <c r="NTY166"/>
      <c r="NTZ166"/>
      <c r="NUA166"/>
      <c r="NUB166"/>
      <c r="NUC166"/>
      <c r="NUD166"/>
      <c r="NUE166"/>
      <c r="NUF166"/>
      <c r="NUG166"/>
      <c r="NUH166"/>
      <c r="NUI166"/>
      <c r="NUJ166"/>
      <c r="NUK166"/>
      <c r="NUL166"/>
      <c r="NUM166"/>
      <c r="NUN166"/>
      <c r="NUO166"/>
      <c r="NUP166"/>
      <c r="NUQ166"/>
      <c r="NUR166"/>
      <c r="NUS166"/>
      <c r="NUT166"/>
      <c r="NUU166"/>
      <c r="NUV166"/>
      <c r="NUW166"/>
      <c r="NUX166"/>
      <c r="NUY166"/>
      <c r="NUZ166"/>
      <c r="NVA166"/>
      <c r="NVB166"/>
      <c r="NVC166"/>
      <c r="NVD166"/>
      <c r="NVE166"/>
      <c r="NVF166"/>
      <c r="NVG166"/>
      <c r="NVH166"/>
      <c r="NVI166"/>
      <c r="NVJ166"/>
      <c r="NVK166"/>
      <c r="NVL166"/>
      <c r="NVM166"/>
      <c r="NVN166"/>
      <c r="NVO166"/>
      <c r="NVP166"/>
      <c r="NVQ166"/>
      <c r="NVR166"/>
      <c r="NVS166"/>
      <c r="NVT166"/>
      <c r="NVU166"/>
      <c r="NVV166"/>
      <c r="NVW166"/>
      <c r="NVX166"/>
      <c r="NVY166"/>
      <c r="NVZ166"/>
      <c r="NWA166"/>
      <c r="NWB166"/>
      <c r="NWC166"/>
      <c r="NWD166"/>
      <c r="NWE166"/>
      <c r="NWF166"/>
      <c r="NWG166"/>
      <c r="NWH166"/>
      <c r="NWI166"/>
      <c r="NWJ166"/>
      <c r="NWK166"/>
      <c r="NWL166"/>
      <c r="NWM166"/>
      <c r="NWN166"/>
      <c r="NWO166"/>
      <c r="NWP166"/>
      <c r="NWQ166"/>
      <c r="NWR166"/>
      <c r="NWS166"/>
      <c r="NWT166"/>
      <c r="NWU166"/>
      <c r="NWV166"/>
      <c r="NWW166"/>
      <c r="NWX166"/>
      <c r="NWY166"/>
      <c r="NWZ166"/>
      <c r="NXA166"/>
      <c r="NXB166"/>
      <c r="NXC166"/>
      <c r="NXD166"/>
      <c r="NXE166"/>
      <c r="NXF166"/>
      <c r="NXG166"/>
      <c r="NXH166"/>
      <c r="NXI166"/>
      <c r="NXJ166"/>
      <c r="NXK166"/>
      <c r="NXL166"/>
      <c r="NXM166"/>
      <c r="NXN166"/>
      <c r="NXO166"/>
      <c r="NXP166"/>
      <c r="NXQ166"/>
      <c r="NXR166"/>
      <c r="NXS166"/>
      <c r="NXT166"/>
      <c r="NXU166"/>
      <c r="NXV166"/>
      <c r="NXW166"/>
      <c r="NXX166"/>
      <c r="NXY166"/>
      <c r="NXZ166"/>
      <c r="NYA166"/>
      <c r="NYB166"/>
      <c r="NYC166"/>
      <c r="NYD166"/>
      <c r="NYE166"/>
      <c r="NYF166"/>
      <c r="NYG166"/>
      <c r="NYH166"/>
      <c r="NYI166"/>
      <c r="NYJ166"/>
      <c r="NYK166"/>
      <c r="NYL166"/>
      <c r="NYM166"/>
      <c r="NYN166"/>
      <c r="NYO166"/>
      <c r="NYP166"/>
      <c r="NYQ166"/>
      <c r="NYR166"/>
      <c r="NYS166"/>
      <c r="NYT166"/>
      <c r="NYU166"/>
      <c r="NYV166"/>
      <c r="NYW166"/>
      <c r="NYX166"/>
      <c r="NYY166"/>
      <c r="NYZ166"/>
      <c r="NZA166"/>
      <c r="NZB166"/>
      <c r="NZC166"/>
      <c r="NZD166"/>
      <c r="NZE166"/>
      <c r="NZF166"/>
      <c r="NZG166"/>
      <c r="NZH166"/>
      <c r="NZI166"/>
      <c r="NZJ166"/>
      <c r="NZK166"/>
      <c r="NZL166"/>
      <c r="NZM166"/>
      <c r="NZN166"/>
      <c r="NZO166"/>
      <c r="NZP166"/>
      <c r="NZQ166"/>
      <c r="NZR166"/>
      <c r="NZS166"/>
      <c r="NZT166"/>
      <c r="NZU166"/>
      <c r="NZV166"/>
      <c r="NZW166"/>
      <c r="NZX166"/>
      <c r="NZY166"/>
      <c r="NZZ166"/>
      <c r="OAA166"/>
      <c r="OAB166"/>
      <c r="OAC166"/>
      <c r="OAD166"/>
      <c r="OAE166"/>
      <c r="OAF166"/>
      <c r="OAG166"/>
      <c r="OAH166"/>
      <c r="OAI166"/>
      <c r="OAJ166"/>
      <c r="OAK166"/>
      <c r="OAL166"/>
      <c r="OAM166"/>
      <c r="OAN166"/>
      <c r="OAO166"/>
      <c r="OAP166"/>
      <c r="OAQ166"/>
      <c r="OAR166"/>
      <c r="OAS166"/>
      <c r="OAT166"/>
      <c r="OAU166"/>
      <c r="OAV166"/>
      <c r="OAW166"/>
      <c r="OAX166"/>
      <c r="OAY166"/>
      <c r="OAZ166"/>
      <c r="OBA166"/>
      <c r="OBB166"/>
      <c r="OBC166"/>
      <c r="OBD166"/>
      <c r="OBE166"/>
      <c r="OBF166"/>
      <c r="OBG166"/>
      <c r="OBH166"/>
      <c r="OBI166"/>
      <c r="OBJ166"/>
      <c r="OBK166"/>
      <c r="OBL166"/>
      <c r="OBM166"/>
      <c r="OBN166"/>
      <c r="OBO166"/>
      <c r="OBP166"/>
      <c r="OBQ166"/>
      <c r="OBR166"/>
      <c r="OBS166"/>
      <c r="OBT166"/>
      <c r="OBU166"/>
      <c r="OBV166"/>
      <c r="OBW166"/>
      <c r="OBX166"/>
      <c r="OBY166"/>
      <c r="OBZ166"/>
      <c r="OCA166"/>
      <c r="OCB166"/>
      <c r="OCC166"/>
      <c r="OCD166"/>
      <c r="OCE166"/>
      <c r="OCF166"/>
      <c r="OCG166"/>
      <c r="OCH166"/>
      <c r="OCI166"/>
      <c r="OCJ166"/>
      <c r="OCK166"/>
      <c r="OCL166"/>
      <c r="OCM166"/>
      <c r="OCN166"/>
      <c r="OCO166"/>
      <c r="OCP166"/>
      <c r="OCQ166"/>
      <c r="OCR166"/>
      <c r="OCS166"/>
      <c r="OCT166"/>
      <c r="OCU166"/>
      <c r="OCV166"/>
      <c r="OCW166"/>
      <c r="OCX166"/>
      <c r="OCY166"/>
      <c r="OCZ166"/>
      <c r="ODA166"/>
      <c r="ODB166"/>
      <c r="ODC166"/>
      <c r="ODD166"/>
      <c r="ODE166"/>
      <c r="ODF166"/>
      <c r="ODG166"/>
      <c r="ODH166"/>
      <c r="ODI166"/>
      <c r="ODJ166"/>
      <c r="ODK166"/>
      <c r="ODL166"/>
      <c r="ODM166"/>
      <c r="ODN166"/>
      <c r="ODO166"/>
      <c r="ODP166"/>
      <c r="ODQ166"/>
      <c r="ODR166"/>
      <c r="ODS166"/>
      <c r="ODT166"/>
      <c r="ODU166"/>
      <c r="ODV166"/>
      <c r="ODW166"/>
      <c r="ODX166"/>
      <c r="ODY166"/>
      <c r="ODZ166"/>
      <c r="OEA166"/>
      <c r="OEB166"/>
      <c r="OEC166"/>
      <c r="OED166"/>
      <c r="OEE166"/>
      <c r="OEF166"/>
      <c r="OEG166"/>
      <c r="OEH166"/>
      <c r="OEI166"/>
      <c r="OEJ166"/>
      <c r="OEK166"/>
      <c r="OEL166"/>
      <c r="OEM166"/>
      <c r="OEN166"/>
      <c r="OEO166"/>
      <c r="OEP166"/>
      <c r="OEQ166"/>
      <c r="OER166"/>
      <c r="OES166"/>
      <c r="OET166"/>
      <c r="OEU166"/>
      <c r="OEV166"/>
      <c r="OEW166"/>
      <c r="OEX166"/>
      <c r="OEY166"/>
      <c r="OEZ166"/>
      <c r="OFA166"/>
      <c r="OFB166"/>
      <c r="OFC166"/>
      <c r="OFD166"/>
      <c r="OFE166"/>
      <c r="OFF166"/>
      <c r="OFG166"/>
      <c r="OFH166"/>
      <c r="OFI166"/>
      <c r="OFJ166"/>
      <c r="OFK166"/>
      <c r="OFL166"/>
      <c r="OFM166"/>
      <c r="OFN166"/>
      <c r="OFO166"/>
      <c r="OFP166"/>
      <c r="OFQ166"/>
      <c r="OFR166"/>
      <c r="OFS166"/>
      <c r="OFT166"/>
      <c r="OFU166"/>
      <c r="OFV166"/>
      <c r="OFW166"/>
      <c r="OFX166"/>
      <c r="OFY166"/>
      <c r="OFZ166"/>
      <c r="OGA166"/>
      <c r="OGB166"/>
      <c r="OGC166"/>
      <c r="OGD166"/>
      <c r="OGE166"/>
      <c r="OGF166"/>
      <c r="OGG166"/>
      <c r="OGH166"/>
      <c r="OGI166"/>
      <c r="OGJ166"/>
      <c r="OGK166"/>
      <c r="OGL166"/>
      <c r="OGM166"/>
      <c r="OGN166"/>
      <c r="OGO166"/>
      <c r="OGP166"/>
      <c r="OGQ166"/>
      <c r="OGR166"/>
      <c r="OGS166"/>
      <c r="OGT166"/>
      <c r="OGU166"/>
      <c r="OGV166"/>
      <c r="OGW166"/>
      <c r="OGX166"/>
      <c r="OGY166"/>
      <c r="OGZ166"/>
      <c r="OHA166"/>
      <c r="OHB166"/>
      <c r="OHC166"/>
      <c r="OHD166"/>
      <c r="OHE166"/>
      <c r="OHF166"/>
      <c r="OHG166"/>
      <c r="OHH166"/>
      <c r="OHI166"/>
      <c r="OHJ166"/>
      <c r="OHK166"/>
      <c r="OHL166"/>
      <c r="OHM166"/>
      <c r="OHN166"/>
      <c r="OHO166"/>
      <c r="OHP166"/>
      <c r="OHQ166"/>
      <c r="OHR166"/>
      <c r="OHS166"/>
      <c r="OHT166"/>
      <c r="OHU166"/>
      <c r="OHV166"/>
      <c r="OHW166"/>
      <c r="OHX166"/>
      <c r="OHY166"/>
      <c r="OHZ166"/>
      <c r="OIA166"/>
      <c r="OIB166"/>
      <c r="OIC166"/>
      <c r="OID166"/>
      <c r="OIE166"/>
      <c r="OIF166"/>
      <c r="OIG166"/>
      <c r="OIH166"/>
      <c r="OII166"/>
      <c r="OIJ166"/>
      <c r="OIK166"/>
      <c r="OIL166"/>
      <c r="OIM166"/>
      <c r="OIN166"/>
      <c r="OIO166"/>
      <c r="OIP166"/>
      <c r="OIQ166"/>
      <c r="OIR166"/>
      <c r="OIS166"/>
      <c r="OIT166"/>
      <c r="OIU166"/>
      <c r="OIV166"/>
      <c r="OIW166"/>
      <c r="OIX166"/>
      <c r="OIY166"/>
      <c r="OIZ166"/>
      <c r="OJA166"/>
      <c r="OJB166"/>
      <c r="OJC166"/>
      <c r="OJD166"/>
      <c r="OJE166"/>
      <c r="OJF166"/>
      <c r="OJG166"/>
      <c r="OJH166"/>
      <c r="OJI166"/>
      <c r="OJJ166"/>
      <c r="OJK166"/>
      <c r="OJL166"/>
      <c r="OJM166"/>
      <c r="OJN166"/>
      <c r="OJO166"/>
      <c r="OJP166"/>
      <c r="OJQ166"/>
      <c r="OJR166"/>
      <c r="OJS166"/>
      <c r="OJT166"/>
      <c r="OJU166"/>
      <c r="OJV166"/>
      <c r="OJW166"/>
      <c r="OJX166"/>
      <c r="OJY166"/>
      <c r="OJZ166"/>
      <c r="OKA166"/>
      <c r="OKB166"/>
      <c r="OKC166"/>
      <c r="OKD166"/>
      <c r="OKE166"/>
      <c r="OKF166"/>
      <c r="OKG166"/>
      <c r="OKH166"/>
      <c r="OKI166"/>
      <c r="OKJ166"/>
      <c r="OKK166"/>
      <c r="OKL166"/>
      <c r="OKM166"/>
      <c r="OKN166"/>
      <c r="OKO166"/>
      <c r="OKP166"/>
      <c r="OKQ166"/>
      <c r="OKR166"/>
      <c r="OKS166"/>
      <c r="OKT166"/>
      <c r="OKU166"/>
      <c r="OKV166"/>
      <c r="OKW166"/>
      <c r="OKX166"/>
      <c r="OKY166"/>
      <c r="OKZ166"/>
      <c r="OLA166"/>
      <c r="OLB166"/>
      <c r="OLC166"/>
      <c r="OLD166"/>
      <c r="OLE166"/>
      <c r="OLF166"/>
      <c r="OLG166"/>
      <c r="OLH166"/>
      <c r="OLI166"/>
      <c r="OLJ166"/>
      <c r="OLK166"/>
      <c r="OLL166"/>
      <c r="OLM166"/>
      <c r="OLN166"/>
      <c r="OLO166"/>
      <c r="OLP166"/>
      <c r="OLQ166"/>
      <c r="OLR166"/>
      <c r="OLS166"/>
      <c r="OLT166"/>
      <c r="OLU166"/>
      <c r="OLV166"/>
      <c r="OLW166"/>
      <c r="OLX166"/>
      <c r="OLY166"/>
      <c r="OLZ166"/>
      <c r="OMA166"/>
      <c r="OMB166"/>
      <c r="OMC166"/>
      <c r="OMD166"/>
      <c r="OME166"/>
      <c r="OMF166"/>
      <c r="OMG166"/>
      <c r="OMH166"/>
      <c r="OMI166"/>
      <c r="OMJ166"/>
      <c r="OMK166"/>
      <c r="OML166"/>
      <c r="OMM166"/>
      <c r="OMN166"/>
      <c r="OMO166"/>
      <c r="OMP166"/>
      <c r="OMQ166"/>
      <c r="OMR166"/>
      <c r="OMS166"/>
      <c r="OMT166"/>
      <c r="OMU166"/>
      <c r="OMV166"/>
      <c r="OMW166"/>
      <c r="OMX166"/>
      <c r="OMY166"/>
      <c r="OMZ166"/>
      <c r="ONA166"/>
      <c r="ONB166"/>
      <c r="ONC166"/>
      <c r="OND166"/>
      <c r="ONE166"/>
      <c r="ONF166"/>
      <c r="ONG166"/>
      <c r="ONH166"/>
      <c r="ONI166"/>
      <c r="ONJ166"/>
      <c r="ONK166"/>
      <c r="ONL166"/>
      <c r="ONM166"/>
      <c r="ONN166"/>
      <c r="ONO166"/>
      <c r="ONP166"/>
      <c r="ONQ166"/>
      <c r="ONR166"/>
      <c r="ONS166"/>
      <c r="ONT166"/>
      <c r="ONU166"/>
      <c r="ONV166"/>
      <c r="ONW166"/>
      <c r="ONX166"/>
      <c r="ONY166"/>
      <c r="ONZ166"/>
      <c r="OOA166"/>
      <c r="OOB166"/>
      <c r="OOC166"/>
      <c r="OOD166"/>
      <c r="OOE166"/>
      <c r="OOF166"/>
      <c r="OOG166"/>
      <c r="OOH166"/>
      <c r="OOI166"/>
      <c r="OOJ166"/>
      <c r="OOK166"/>
      <c r="OOL166"/>
      <c r="OOM166"/>
      <c r="OON166"/>
      <c r="OOO166"/>
      <c r="OOP166"/>
      <c r="OOQ166"/>
      <c r="OOR166"/>
      <c r="OOS166"/>
      <c r="OOT166"/>
      <c r="OOU166"/>
      <c r="OOV166"/>
      <c r="OOW166"/>
      <c r="OOX166"/>
      <c r="OOY166"/>
      <c r="OOZ166"/>
      <c r="OPA166"/>
      <c r="OPB166"/>
      <c r="OPC166"/>
      <c r="OPD166"/>
      <c r="OPE166"/>
      <c r="OPF166"/>
      <c r="OPG166"/>
      <c r="OPH166"/>
      <c r="OPI166"/>
      <c r="OPJ166"/>
      <c r="OPK166"/>
      <c r="OPL166"/>
      <c r="OPM166"/>
      <c r="OPN166"/>
      <c r="OPO166"/>
      <c r="OPP166"/>
      <c r="OPQ166"/>
      <c r="OPR166"/>
      <c r="OPS166"/>
      <c r="OPT166"/>
      <c r="OPU166"/>
      <c r="OPV166"/>
      <c r="OPW166"/>
      <c r="OPX166"/>
      <c r="OPY166"/>
      <c r="OPZ166"/>
      <c r="OQA166"/>
      <c r="OQB166"/>
      <c r="OQC166"/>
      <c r="OQD166"/>
      <c r="OQE166"/>
      <c r="OQF166"/>
      <c r="OQG166"/>
      <c r="OQH166"/>
      <c r="OQI166"/>
      <c r="OQJ166"/>
      <c r="OQK166"/>
      <c r="OQL166"/>
      <c r="OQM166"/>
      <c r="OQN166"/>
      <c r="OQO166"/>
      <c r="OQP166"/>
      <c r="OQQ166"/>
      <c r="OQR166"/>
      <c r="OQS166"/>
      <c r="OQT166"/>
      <c r="OQU166"/>
      <c r="OQV166"/>
      <c r="OQW166"/>
      <c r="OQX166"/>
      <c r="OQY166"/>
      <c r="OQZ166"/>
      <c r="ORA166"/>
      <c r="ORB166"/>
      <c r="ORC166"/>
      <c r="ORD166"/>
      <c r="ORE166"/>
      <c r="ORF166"/>
      <c r="ORG166"/>
      <c r="ORH166"/>
      <c r="ORI166"/>
      <c r="ORJ166"/>
      <c r="ORK166"/>
      <c r="ORL166"/>
      <c r="ORM166"/>
      <c r="ORN166"/>
      <c r="ORO166"/>
      <c r="ORP166"/>
      <c r="ORQ166"/>
      <c r="ORR166"/>
      <c r="ORS166"/>
      <c r="ORT166"/>
      <c r="ORU166"/>
      <c r="ORV166"/>
      <c r="ORW166"/>
      <c r="ORX166"/>
      <c r="ORY166"/>
      <c r="ORZ166"/>
      <c r="OSA166"/>
      <c r="OSB166"/>
      <c r="OSC166"/>
      <c r="OSD166"/>
      <c r="OSE166"/>
      <c r="OSF166"/>
      <c r="OSG166"/>
      <c r="OSH166"/>
      <c r="OSI166"/>
      <c r="OSJ166"/>
      <c r="OSK166"/>
      <c r="OSL166"/>
      <c r="OSM166"/>
      <c r="OSN166"/>
      <c r="OSO166"/>
      <c r="OSP166"/>
      <c r="OSQ166"/>
      <c r="OSR166"/>
      <c r="OSS166"/>
      <c r="OST166"/>
      <c r="OSU166"/>
      <c r="OSV166"/>
      <c r="OSW166"/>
      <c r="OSX166"/>
      <c r="OSY166"/>
      <c r="OSZ166"/>
      <c r="OTA166"/>
      <c r="OTB166"/>
      <c r="OTC166"/>
      <c r="OTD166"/>
      <c r="OTE166"/>
      <c r="OTF166"/>
      <c r="OTG166"/>
      <c r="OTH166"/>
      <c r="OTI166"/>
      <c r="OTJ166"/>
      <c r="OTK166"/>
      <c r="OTL166"/>
      <c r="OTM166"/>
      <c r="OTN166"/>
      <c r="OTO166"/>
      <c r="OTP166"/>
      <c r="OTQ166"/>
      <c r="OTR166"/>
      <c r="OTS166"/>
      <c r="OTT166"/>
      <c r="OTU166"/>
      <c r="OTV166"/>
      <c r="OTW166"/>
      <c r="OTX166"/>
      <c r="OTY166"/>
      <c r="OTZ166"/>
      <c r="OUA166"/>
      <c r="OUB166"/>
      <c r="OUC166"/>
      <c r="OUD166"/>
      <c r="OUE166"/>
      <c r="OUF166"/>
      <c r="OUG166"/>
      <c r="OUH166"/>
      <c r="OUI166"/>
      <c r="OUJ166"/>
      <c r="OUK166"/>
      <c r="OUL166"/>
      <c r="OUM166"/>
      <c r="OUN166"/>
      <c r="OUO166"/>
      <c r="OUP166"/>
      <c r="OUQ166"/>
      <c r="OUR166"/>
      <c r="OUS166"/>
      <c r="OUT166"/>
      <c r="OUU166"/>
      <c r="OUV166"/>
      <c r="OUW166"/>
      <c r="OUX166"/>
      <c r="OUY166"/>
      <c r="OUZ166"/>
      <c r="OVA166"/>
      <c r="OVB166"/>
      <c r="OVC166"/>
      <c r="OVD166"/>
      <c r="OVE166"/>
      <c r="OVF166"/>
      <c r="OVG166"/>
      <c r="OVH166"/>
      <c r="OVI166"/>
      <c r="OVJ166"/>
      <c r="OVK166"/>
      <c r="OVL166"/>
      <c r="OVM166"/>
      <c r="OVN166"/>
      <c r="OVO166"/>
      <c r="OVP166"/>
      <c r="OVQ166"/>
      <c r="OVR166"/>
      <c r="OVS166"/>
      <c r="OVT166"/>
      <c r="OVU166"/>
      <c r="OVV166"/>
      <c r="OVW166"/>
      <c r="OVX166"/>
      <c r="OVY166"/>
      <c r="OVZ166"/>
      <c r="OWA166"/>
      <c r="OWB166"/>
      <c r="OWC166"/>
      <c r="OWD166"/>
      <c r="OWE166"/>
      <c r="OWF166"/>
      <c r="OWG166"/>
      <c r="OWH166"/>
      <c r="OWI166"/>
      <c r="OWJ166"/>
      <c r="OWK166"/>
      <c r="OWL166"/>
      <c r="OWM166"/>
      <c r="OWN166"/>
      <c r="OWO166"/>
      <c r="OWP166"/>
      <c r="OWQ166"/>
      <c r="OWR166"/>
      <c r="OWS166"/>
      <c r="OWT166"/>
      <c r="OWU166"/>
      <c r="OWV166"/>
      <c r="OWW166"/>
      <c r="OWX166"/>
      <c r="OWY166"/>
      <c r="OWZ166"/>
      <c r="OXA166"/>
      <c r="OXB166"/>
      <c r="OXC166"/>
      <c r="OXD166"/>
      <c r="OXE166"/>
      <c r="OXF166"/>
      <c r="OXG166"/>
      <c r="OXH166"/>
      <c r="OXI166"/>
      <c r="OXJ166"/>
      <c r="OXK166"/>
      <c r="OXL166"/>
      <c r="OXM166"/>
      <c r="OXN166"/>
      <c r="OXO166"/>
      <c r="OXP166"/>
      <c r="OXQ166"/>
      <c r="OXR166"/>
      <c r="OXS166"/>
      <c r="OXT166"/>
      <c r="OXU166"/>
      <c r="OXV166"/>
      <c r="OXW166"/>
      <c r="OXX166"/>
      <c r="OXY166"/>
      <c r="OXZ166"/>
      <c r="OYA166"/>
      <c r="OYB166"/>
      <c r="OYC166"/>
      <c r="OYD166"/>
      <c r="OYE166"/>
      <c r="OYF166"/>
      <c r="OYG166"/>
      <c r="OYH166"/>
      <c r="OYI166"/>
      <c r="OYJ166"/>
      <c r="OYK166"/>
      <c r="OYL166"/>
      <c r="OYM166"/>
      <c r="OYN166"/>
      <c r="OYO166"/>
      <c r="OYP166"/>
      <c r="OYQ166"/>
      <c r="OYR166"/>
      <c r="OYS166"/>
      <c r="OYT166"/>
      <c r="OYU166"/>
      <c r="OYV166"/>
      <c r="OYW166"/>
      <c r="OYX166"/>
      <c r="OYY166"/>
      <c r="OYZ166"/>
      <c r="OZA166"/>
      <c r="OZB166"/>
      <c r="OZC166"/>
      <c r="OZD166"/>
      <c r="OZE166"/>
      <c r="OZF166"/>
      <c r="OZG166"/>
      <c r="OZH166"/>
      <c r="OZI166"/>
      <c r="OZJ166"/>
      <c r="OZK166"/>
      <c r="OZL166"/>
      <c r="OZM166"/>
      <c r="OZN166"/>
      <c r="OZO166"/>
      <c r="OZP166"/>
      <c r="OZQ166"/>
      <c r="OZR166"/>
      <c r="OZS166"/>
      <c r="OZT166"/>
      <c r="OZU166"/>
      <c r="OZV166"/>
      <c r="OZW166"/>
      <c r="OZX166"/>
      <c r="OZY166"/>
      <c r="OZZ166"/>
      <c r="PAA166"/>
      <c r="PAB166"/>
      <c r="PAC166"/>
      <c r="PAD166"/>
      <c r="PAE166"/>
      <c r="PAF166"/>
      <c r="PAG166"/>
      <c r="PAH166"/>
      <c r="PAI166"/>
      <c r="PAJ166"/>
      <c r="PAK166"/>
      <c r="PAL166"/>
      <c r="PAM166"/>
      <c r="PAN166"/>
      <c r="PAO166"/>
      <c r="PAP166"/>
      <c r="PAQ166"/>
      <c r="PAR166"/>
      <c r="PAS166"/>
      <c r="PAT166"/>
      <c r="PAU166"/>
      <c r="PAV166"/>
      <c r="PAW166"/>
      <c r="PAX166"/>
      <c r="PAY166"/>
      <c r="PAZ166"/>
      <c r="PBA166"/>
      <c r="PBB166"/>
      <c r="PBC166"/>
      <c r="PBD166"/>
      <c r="PBE166"/>
      <c r="PBF166"/>
      <c r="PBG166"/>
      <c r="PBH166"/>
      <c r="PBI166"/>
      <c r="PBJ166"/>
      <c r="PBK166"/>
      <c r="PBL166"/>
      <c r="PBM166"/>
      <c r="PBN166"/>
      <c r="PBO166"/>
      <c r="PBP166"/>
      <c r="PBQ166"/>
      <c r="PBR166"/>
      <c r="PBS166"/>
      <c r="PBT166"/>
      <c r="PBU166"/>
      <c r="PBV166"/>
      <c r="PBW166"/>
      <c r="PBX166"/>
      <c r="PBY166"/>
      <c r="PBZ166"/>
      <c r="PCA166"/>
      <c r="PCB166"/>
      <c r="PCC166"/>
      <c r="PCD166"/>
      <c r="PCE166"/>
      <c r="PCF166"/>
      <c r="PCG166"/>
      <c r="PCH166"/>
      <c r="PCI166"/>
      <c r="PCJ166"/>
      <c r="PCK166"/>
      <c r="PCL166"/>
      <c r="PCM166"/>
      <c r="PCN166"/>
      <c r="PCO166"/>
      <c r="PCP166"/>
      <c r="PCQ166"/>
      <c r="PCR166"/>
      <c r="PCS166"/>
      <c r="PCT166"/>
      <c r="PCU166"/>
      <c r="PCV166"/>
      <c r="PCW166"/>
      <c r="PCX166"/>
      <c r="PCY166"/>
      <c r="PCZ166"/>
      <c r="PDA166"/>
      <c r="PDB166"/>
      <c r="PDC166"/>
      <c r="PDD166"/>
      <c r="PDE166"/>
      <c r="PDF166"/>
      <c r="PDG166"/>
      <c r="PDH166"/>
      <c r="PDI166"/>
      <c r="PDJ166"/>
      <c r="PDK166"/>
      <c r="PDL166"/>
      <c r="PDM166"/>
      <c r="PDN166"/>
      <c r="PDO166"/>
      <c r="PDP166"/>
      <c r="PDQ166"/>
      <c r="PDR166"/>
      <c r="PDS166"/>
      <c r="PDT166"/>
      <c r="PDU166"/>
      <c r="PDV166"/>
      <c r="PDW166"/>
      <c r="PDX166"/>
      <c r="PDY166"/>
      <c r="PDZ166"/>
      <c r="PEA166"/>
      <c r="PEB166"/>
      <c r="PEC166"/>
      <c r="PED166"/>
      <c r="PEE166"/>
      <c r="PEF166"/>
      <c r="PEG166"/>
      <c r="PEH166"/>
      <c r="PEI166"/>
      <c r="PEJ166"/>
      <c r="PEK166"/>
      <c r="PEL166"/>
      <c r="PEM166"/>
      <c r="PEN166"/>
      <c r="PEO166"/>
      <c r="PEP166"/>
      <c r="PEQ166"/>
      <c r="PER166"/>
      <c r="PES166"/>
      <c r="PET166"/>
      <c r="PEU166"/>
      <c r="PEV166"/>
      <c r="PEW166"/>
      <c r="PEX166"/>
      <c r="PEY166"/>
      <c r="PEZ166"/>
      <c r="PFA166"/>
      <c r="PFB166"/>
      <c r="PFC166"/>
      <c r="PFD166"/>
      <c r="PFE166"/>
      <c r="PFF166"/>
      <c r="PFG166"/>
      <c r="PFH166"/>
      <c r="PFI166"/>
      <c r="PFJ166"/>
      <c r="PFK166"/>
      <c r="PFL166"/>
      <c r="PFM166"/>
      <c r="PFN166"/>
      <c r="PFO166"/>
      <c r="PFP166"/>
      <c r="PFQ166"/>
      <c r="PFR166"/>
      <c r="PFS166"/>
      <c r="PFT166"/>
      <c r="PFU166"/>
      <c r="PFV166"/>
      <c r="PFW166"/>
      <c r="PFX166"/>
      <c r="PFY166"/>
      <c r="PFZ166"/>
      <c r="PGA166"/>
      <c r="PGB166"/>
      <c r="PGC166"/>
      <c r="PGD166"/>
      <c r="PGE166"/>
      <c r="PGF166"/>
      <c r="PGG166"/>
      <c r="PGH166"/>
      <c r="PGI166"/>
      <c r="PGJ166"/>
      <c r="PGK166"/>
      <c r="PGL166"/>
      <c r="PGM166"/>
      <c r="PGN166"/>
      <c r="PGO166"/>
      <c r="PGP166"/>
      <c r="PGQ166"/>
      <c r="PGR166"/>
      <c r="PGS166"/>
      <c r="PGT166"/>
      <c r="PGU166"/>
      <c r="PGV166"/>
      <c r="PGW166"/>
      <c r="PGX166"/>
      <c r="PGY166"/>
      <c r="PGZ166"/>
      <c r="PHA166"/>
      <c r="PHB166"/>
      <c r="PHC166"/>
      <c r="PHD166"/>
      <c r="PHE166"/>
      <c r="PHF166"/>
      <c r="PHG166"/>
      <c r="PHH166"/>
      <c r="PHI166"/>
      <c r="PHJ166"/>
      <c r="PHK166"/>
      <c r="PHL166"/>
      <c r="PHM166"/>
      <c r="PHN166"/>
      <c r="PHO166"/>
      <c r="PHP166"/>
      <c r="PHQ166"/>
      <c r="PHR166"/>
      <c r="PHS166"/>
      <c r="PHT166"/>
      <c r="PHU166"/>
      <c r="PHV166"/>
      <c r="PHW166"/>
      <c r="PHX166"/>
      <c r="PHY166"/>
      <c r="PHZ166"/>
      <c r="PIA166"/>
      <c r="PIB166"/>
      <c r="PIC166"/>
      <c r="PID166"/>
      <c r="PIE166"/>
      <c r="PIF166"/>
      <c r="PIG166"/>
      <c r="PIH166"/>
      <c r="PII166"/>
      <c r="PIJ166"/>
      <c r="PIK166"/>
      <c r="PIL166"/>
      <c r="PIM166"/>
      <c r="PIN166"/>
      <c r="PIO166"/>
      <c r="PIP166"/>
      <c r="PIQ166"/>
      <c r="PIR166"/>
      <c r="PIS166"/>
      <c r="PIT166"/>
      <c r="PIU166"/>
      <c r="PIV166"/>
      <c r="PIW166"/>
      <c r="PIX166"/>
      <c r="PIY166"/>
      <c r="PIZ166"/>
      <c r="PJA166"/>
      <c r="PJB166"/>
      <c r="PJC166"/>
      <c r="PJD166"/>
      <c r="PJE166"/>
      <c r="PJF166"/>
      <c r="PJG166"/>
      <c r="PJH166"/>
      <c r="PJI166"/>
      <c r="PJJ166"/>
      <c r="PJK166"/>
      <c r="PJL166"/>
      <c r="PJM166"/>
      <c r="PJN166"/>
      <c r="PJO166"/>
      <c r="PJP166"/>
      <c r="PJQ166"/>
      <c r="PJR166"/>
      <c r="PJS166"/>
      <c r="PJT166"/>
      <c r="PJU166"/>
      <c r="PJV166"/>
      <c r="PJW166"/>
      <c r="PJX166"/>
      <c r="PJY166"/>
      <c r="PJZ166"/>
      <c r="PKA166"/>
      <c r="PKB166"/>
      <c r="PKC166"/>
      <c r="PKD166"/>
      <c r="PKE166"/>
      <c r="PKF166"/>
      <c r="PKG166"/>
      <c r="PKH166"/>
      <c r="PKI166"/>
      <c r="PKJ166"/>
      <c r="PKK166"/>
      <c r="PKL166"/>
      <c r="PKM166"/>
      <c r="PKN166"/>
      <c r="PKO166"/>
      <c r="PKP166"/>
      <c r="PKQ166"/>
      <c r="PKR166"/>
      <c r="PKS166"/>
      <c r="PKT166"/>
      <c r="PKU166"/>
      <c r="PKV166"/>
      <c r="PKW166"/>
      <c r="PKX166"/>
      <c r="PKY166"/>
      <c r="PKZ166"/>
      <c r="PLA166"/>
      <c r="PLB166"/>
      <c r="PLC166"/>
      <c r="PLD166"/>
      <c r="PLE166"/>
      <c r="PLF166"/>
      <c r="PLG166"/>
      <c r="PLH166"/>
      <c r="PLI166"/>
      <c r="PLJ166"/>
      <c r="PLK166"/>
      <c r="PLL166"/>
      <c r="PLM166"/>
      <c r="PLN166"/>
      <c r="PLO166"/>
      <c r="PLP166"/>
      <c r="PLQ166"/>
      <c r="PLR166"/>
      <c r="PLS166"/>
      <c r="PLT166"/>
      <c r="PLU166"/>
      <c r="PLV166"/>
      <c r="PLW166"/>
      <c r="PLX166"/>
      <c r="PLY166"/>
      <c r="PLZ166"/>
      <c r="PMA166"/>
      <c r="PMB166"/>
      <c r="PMC166"/>
      <c r="PMD166"/>
      <c r="PME166"/>
      <c r="PMF166"/>
      <c r="PMG166"/>
      <c r="PMH166"/>
      <c r="PMI166"/>
      <c r="PMJ166"/>
      <c r="PMK166"/>
      <c r="PML166"/>
      <c r="PMM166"/>
      <c r="PMN166"/>
      <c r="PMO166"/>
      <c r="PMP166"/>
      <c r="PMQ166"/>
      <c r="PMR166"/>
      <c r="PMS166"/>
      <c r="PMT166"/>
      <c r="PMU166"/>
      <c r="PMV166"/>
      <c r="PMW166"/>
      <c r="PMX166"/>
      <c r="PMY166"/>
      <c r="PMZ166"/>
      <c r="PNA166"/>
      <c r="PNB166"/>
      <c r="PNC166"/>
      <c r="PND166"/>
      <c r="PNE166"/>
      <c r="PNF166"/>
      <c r="PNG166"/>
      <c r="PNH166"/>
      <c r="PNI166"/>
      <c r="PNJ166"/>
      <c r="PNK166"/>
      <c r="PNL166"/>
      <c r="PNM166"/>
      <c r="PNN166"/>
      <c r="PNO166"/>
      <c r="PNP166"/>
      <c r="PNQ166"/>
      <c r="PNR166"/>
      <c r="PNS166"/>
      <c r="PNT166"/>
      <c r="PNU166"/>
      <c r="PNV166"/>
      <c r="PNW166"/>
      <c r="PNX166"/>
      <c r="PNY166"/>
      <c r="PNZ166"/>
      <c r="POA166"/>
      <c r="POB166"/>
      <c r="POC166"/>
      <c r="POD166"/>
      <c r="POE166"/>
      <c r="POF166"/>
      <c r="POG166"/>
      <c r="POH166"/>
      <c r="POI166"/>
      <c r="POJ166"/>
      <c r="POK166"/>
      <c r="POL166"/>
      <c r="POM166"/>
      <c r="PON166"/>
      <c r="POO166"/>
      <c r="POP166"/>
      <c r="POQ166"/>
      <c r="POR166"/>
      <c r="POS166"/>
      <c r="POT166"/>
      <c r="POU166"/>
      <c r="POV166"/>
      <c r="POW166"/>
      <c r="POX166"/>
      <c r="POY166"/>
      <c r="POZ166"/>
      <c r="PPA166"/>
      <c r="PPB166"/>
      <c r="PPC166"/>
      <c r="PPD166"/>
      <c r="PPE166"/>
      <c r="PPF166"/>
      <c r="PPG166"/>
      <c r="PPH166"/>
      <c r="PPI166"/>
      <c r="PPJ166"/>
      <c r="PPK166"/>
      <c r="PPL166"/>
      <c r="PPM166"/>
      <c r="PPN166"/>
      <c r="PPO166"/>
      <c r="PPP166"/>
      <c r="PPQ166"/>
      <c r="PPR166"/>
      <c r="PPS166"/>
      <c r="PPT166"/>
      <c r="PPU166"/>
      <c r="PPV166"/>
      <c r="PPW166"/>
      <c r="PPX166"/>
      <c r="PPY166"/>
      <c r="PPZ166"/>
      <c r="PQA166"/>
      <c r="PQB166"/>
      <c r="PQC166"/>
      <c r="PQD166"/>
      <c r="PQE166"/>
      <c r="PQF166"/>
      <c r="PQG166"/>
      <c r="PQH166"/>
      <c r="PQI166"/>
      <c r="PQJ166"/>
      <c r="PQK166"/>
      <c r="PQL166"/>
      <c r="PQM166"/>
      <c r="PQN166"/>
      <c r="PQO166"/>
      <c r="PQP166"/>
      <c r="PQQ166"/>
      <c r="PQR166"/>
      <c r="PQS166"/>
      <c r="PQT166"/>
      <c r="PQU166"/>
      <c r="PQV166"/>
      <c r="PQW166"/>
      <c r="PQX166"/>
      <c r="PQY166"/>
      <c r="PQZ166"/>
      <c r="PRA166"/>
      <c r="PRB166"/>
      <c r="PRC166"/>
      <c r="PRD166"/>
      <c r="PRE166"/>
      <c r="PRF166"/>
      <c r="PRG166"/>
      <c r="PRH166"/>
      <c r="PRI166"/>
      <c r="PRJ166"/>
      <c r="PRK166"/>
      <c r="PRL166"/>
      <c r="PRM166"/>
      <c r="PRN166"/>
      <c r="PRO166"/>
      <c r="PRP166"/>
      <c r="PRQ166"/>
      <c r="PRR166"/>
      <c r="PRS166"/>
      <c r="PRT166"/>
      <c r="PRU166"/>
      <c r="PRV166"/>
      <c r="PRW166"/>
      <c r="PRX166"/>
      <c r="PRY166"/>
      <c r="PRZ166"/>
      <c r="PSA166"/>
      <c r="PSB166"/>
      <c r="PSC166"/>
      <c r="PSD166"/>
      <c r="PSE166"/>
      <c r="PSF166"/>
      <c r="PSG166"/>
      <c r="PSH166"/>
      <c r="PSI166"/>
      <c r="PSJ166"/>
      <c r="PSK166"/>
      <c r="PSL166"/>
      <c r="PSM166"/>
      <c r="PSN166"/>
      <c r="PSO166"/>
      <c r="PSP166"/>
      <c r="PSQ166"/>
      <c r="PSR166"/>
      <c r="PSS166"/>
      <c r="PST166"/>
      <c r="PSU166"/>
      <c r="PSV166"/>
      <c r="PSW166"/>
      <c r="PSX166"/>
      <c r="PSY166"/>
      <c r="PSZ166"/>
      <c r="PTA166"/>
      <c r="PTB166"/>
      <c r="PTC166"/>
      <c r="PTD166"/>
      <c r="PTE166"/>
      <c r="PTF166"/>
      <c r="PTG166"/>
      <c r="PTH166"/>
      <c r="PTI166"/>
      <c r="PTJ166"/>
      <c r="PTK166"/>
      <c r="PTL166"/>
      <c r="PTM166"/>
      <c r="PTN166"/>
      <c r="PTO166"/>
      <c r="PTP166"/>
      <c r="PTQ166"/>
      <c r="PTR166"/>
      <c r="PTS166"/>
      <c r="PTT166"/>
      <c r="PTU166"/>
      <c r="PTV166"/>
      <c r="PTW166"/>
      <c r="PTX166"/>
      <c r="PTY166"/>
      <c r="PTZ166"/>
      <c r="PUA166"/>
      <c r="PUB166"/>
      <c r="PUC166"/>
      <c r="PUD166"/>
      <c r="PUE166"/>
      <c r="PUF166"/>
      <c r="PUG166"/>
      <c r="PUH166"/>
      <c r="PUI166"/>
      <c r="PUJ166"/>
      <c r="PUK166"/>
      <c r="PUL166"/>
      <c r="PUM166"/>
      <c r="PUN166"/>
      <c r="PUO166"/>
      <c r="PUP166"/>
      <c r="PUQ166"/>
      <c r="PUR166"/>
      <c r="PUS166"/>
      <c r="PUT166"/>
      <c r="PUU166"/>
      <c r="PUV166"/>
      <c r="PUW166"/>
      <c r="PUX166"/>
      <c r="PUY166"/>
      <c r="PUZ166"/>
      <c r="PVA166"/>
      <c r="PVB166"/>
      <c r="PVC166"/>
      <c r="PVD166"/>
      <c r="PVE166"/>
      <c r="PVF166"/>
      <c r="PVG166"/>
      <c r="PVH166"/>
      <c r="PVI166"/>
      <c r="PVJ166"/>
      <c r="PVK166"/>
      <c r="PVL166"/>
      <c r="PVM166"/>
      <c r="PVN166"/>
      <c r="PVO166"/>
      <c r="PVP166"/>
      <c r="PVQ166"/>
      <c r="PVR166"/>
      <c r="PVS166"/>
      <c r="PVT166"/>
      <c r="PVU166"/>
      <c r="PVV166"/>
      <c r="PVW166"/>
      <c r="PVX166"/>
      <c r="PVY166"/>
      <c r="PVZ166"/>
      <c r="PWA166"/>
      <c r="PWB166"/>
      <c r="PWC166"/>
      <c r="PWD166"/>
      <c r="PWE166"/>
      <c r="PWF166"/>
      <c r="PWG166"/>
      <c r="PWH166"/>
      <c r="PWI166"/>
      <c r="PWJ166"/>
      <c r="PWK166"/>
      <c r="PWL166"/>
      <c r="PWM166"/>
      <c r="PWN166"/>
      <c r="PWO166"/>
      <c r="PWP166"/>
      <c r="PWQ166"/>
      <c r="PWR166"/>
      <c r="PWS166"/>
      <c r="PWT166"/>
      <c r="PWU166"/>
      <c r="PWV166"/>
      <c r="PWW166"/>
      <c r="PWX166"/>
      <c r="PWY166"/>
      <c r="PWZ166"/>
      <c r="PXA166"/>
      <c r="PXB166"/>
      <c r="PXC166"/>
      <c r="PXD166"/>
      <c r="PXE166"/>
      <c r="PXF166"/>
      <c r="PXG166"/>
      <c r="PXH166"/>
      <c r="PXI166"/>
      <c r="PXJ166"/>
      <c r="PXK166"/>
      <c r="PXL166"/>
      <c r="PXM166"/>
      <c r="PXN166"/>
      <c r="PXO166"/>
      <c r="PXP166"/>
      <c r="PXQ166"/>
      <c r="PXR166"/>
      <c r="PXS166"/>
      <c r="PXT166"/>
      <c r="PXU166"/>
      <c r="PXV166"/>
      <c r="PXW166"/>
      <c r="PXX166"/>
      <c r="PXY166"/>
      <c r="PXZ166"/>
      <c r="PYA166"/>
      <c r="PYB166"/>
      <c r="PYC166"/>
      <c r="PYD166"/>
      <c r="PYE166"/>
      <c r="PYF166"/>
      <c r="PYG166"/>
      <c r="PYH166"/>
      <c r="PYI166"/>
      <c r="PYJ166"/>
      <c r="PYK166"/>
      <c r="PYL166"/>
      <c r="PYM166"/>
      <c r="PYN166"/>
      <c r="PYO166"/>
      <c r="PYP166"/>
      <c r="PYQ166"/>
      <c r="PYR166"/>
      <c r="PYS166"/>
      <c r="PYT166"/>
      <c r="PYU166"/>
      <c r="PYV166"/>
      <c r="PYW166"/>
      <c r="PYX166"/>
      <c r="PYY166"/>
      <c r="PYZ166"/>
      <c r="PZA166"/>
      <c r="PZB166"/>
      <c r="PZC166"/>
      <c r="PZD166"/>
      <c r="PZE166"/>
      <c r="PZF166"/>
      <c r="PZG166"/>
      <c r="PZH166"/>
      <c r="PZI166"/>
      <c r="PZJ166"/>
      <c r="PZK166"/>
      <c r="PZL166"/>
      <c r="PZM166"/>
      <c r="PZN166"/>
      <c r="PZO166"/>
      <c r="PZP166"/>
      <c r="PZQ166"/>
      <c r="PZR166"/>
      <c r="PZS166"/>
      <c r="PZT166"/>
      <c r="PZU166"/>
      <c r="PZV166"/>
      <c r="PZW166"/>
      <c r="PZX166"/>
      <c r="PZY166"/>
      <c r="PZZ166"/>
      <c r="QAA166"/>
      <c r="QAB166"/>
      <c r="QAC166"/>
      <c r="QAD166"/>
      <c r="QAE166"/>
      <c r="QAF166"/>
      <c r="QAG166"/>
      <c r="QAH166"/>
      <c r="QAI166"/>
      <c r="QAJ166"/>
      <c r="QAK166"/>
      <c r="QAL166"/>
      <c r="QAM166"/>
      <c r="QAN166"/>
      <c r="QAO166"/>
      <c r="QAP166"/>
      <c r="QAQ166"/>
      <c r="QAR166"/>
      <c r="QAS166"/>
      <c r="QAT166"/>
      <c r="QAU166"/>
      <c r="QAV166"/>
      <c r="QAW166"/>
      <c r="QAX166"/>
      <c r="QAY166"/>
      <c r="QAZ166"/>
      <c r="QBA166"/>
      <c r="QBB166"/>
      <c r="QBC166"/>
      <c r="QBD166"/>
      <c r="QBE166"/>
      <c r="QBF166"/>
      <c r="QBG166"/>
      <c r="QBH166"/>
      <c r="QBI166"/>
      <c r="QBJ166"/>
      <c r="QBK166"/>
      <c r="QBL166"/>
      <c r="QBM166"/>
      <c r="QBN166"/>
      <c r="QBO166"/>
      <c r="QBP166"/>
      <c r="QBQ166"/>
      <c r="QBR166"/>
      <c r="QBS166"/>
      <c r="QBT166"/>
      <c r="QBU166"/>
      <c r="QBV166"/>
      <c r="QBW166"/>
      <c r="QBX166"/>
      <c r="QBY166"/>
      <c r="QBZ166"/>
      <c r="QCA166"/>
      <c r="QCB166"/>
      <c r="QCC166"/>
      <c r="QCD166"/>
      <c r="QCE166"/>
      <c r="QCF166"/>
      <c r="QCG166"/>
      <c r="QCH166"/>
      <c r="QCI166"/>
      <c r="QCJ166"/>
      <c r="QCK166"/>
      <c r="QCL166"/>
      <c r="QCM166"/>
      <c r="QCN166"/>
      <c r="QCO166"/>
      <c r="QCP166"/>
      <c r="QCQ166"/>
      <c r="QCR166"/>
      <c r="QCS166"/>
      <c r="QCT166"/>
      <c r="QCU166"/>
      <c r="QCV166"/>
      <c r="QCW166"/>
      <c r="QCX166"/>
      <c r="QCY166"/>
      <c r="QCZ166"/>
      <c r="QDA166"/>
      <c r="QDB166"/>
      <c r="QDC166"/>
      <c r="QDD166"/>
      <c r="QDE166"/>
      <c r="QDF166"/>
      <c r="QDG166"/>
      <c r="QDH166"/>
      <c r="QDI166"/>
      <c r="QDJ166"/>
      <c r="QDK166"/>
      <c r="QDL166"/>
      <c r="QDM166"/>
      <c r="QDN166"/>
      <c r="QDO166"/>
      <c r="QDP166"/>
      <c r="QDQ166"/>
      <c r="QDR166"/>
      <c r="QDS166"/>
      <c r="QDT166"/>
      <c r="QDU166"/>
      <c r="QDV166"/>
      <c r="QDW166"/>
      <c r="QDX166"/>
      <c r="QDY166"/>
      <c r="QDZ166"/>
      <c r="QEA166"/>
      <c r="QEB166"/>
      <c r="QEC166"/>
      <c r="QED166"/>
      <c r="QEE166"/>
      <c r="QEF166"/>
      <c r="QEG166"/>
      <c r="QEH166"/>
      <c r="QEI166"/>
      <c r="QEJ166"/>
      <c r="QEK166"/>
      <c r="QEL166"/>
      <c r="QEM166"/>
      <c r="QEN166"/>
      <c r="QEO166"/>
      <c r="QEP166"/>
      <c r="QEQ166"/>
      <c r="QER166"/>
      <c r="QES166"/>
      <c r="QET166"/>
      <c r="QEU166"/>
      <c r="QEV166"/>
      <c r="QEW166"/>
      <c r="QEX166"/>
      <c r="QEY166"/>
      <c r="QEZ166"/>
      <c r="QFA166"/>
      <c r="QFB166"/>
      <c r="QFC166"/>
      <c r="QFD166"/>
      <c r="QFE166"/>
      <c r="QFF166"/>
      <c r="QFG166"/>
      <c r="QFH166"/>
      <c r="QFI166"/>
      <c r="QFJ166"/>
      <c r="QFK166"/>
      <c r="QFL166"/>
      <c r="QFM166"/>
      <c r="QFN166"/>
      <c r="QFO166"/>
      <c r="QFP166"/>
      <c r="QFQ166"/>
      <c r="QFR166"/>
      <c r="QFS166"/>
      <c r="QFT166"/>
      <c r="QFU166"/>
      <c r="QFV166"/>
      <c r="QFW166"/>
      <c r="QFX166"/>
      <c r="QFY166"/>
      <c r="QFZ166"/>
      <c r="QGA166"/>
      <c r="QGB166"/>
      <c r="QGC166"/>
      <c r="QGD166"/>
      <c r="QGE166"/>
      <c r="QGF166"/>
      <c r="QGG166"/>
      <c r="QGH166"/>
      <c r="QGI166"/>
      <c r="QGJ166"/>
      <c r="QGK166"/>
      <c r="QGL166"/>
      <c r="QGM166"/>
      <c r="QGN166"/>
      <c r="QGO166"/>
      <c r="QGP166"/>
      <c r="QGQ166"/>
      <c r="QGR166"/>
      <c r="QGS166"/>
      <c r="QGT166"/>
      <c r="QGU166"/>
      <c r="QGV166"/>
      <c r="QGW166"/>
      <c r="QGX166"/>
      <c r="QGY166"/>
      <c r="QGZ166"/>
      <c r="QHA166"/>
      <c r="QHB166"/>
      <c r="QHC166"/>
      <c r="QHD166"/>
      <c r="QHE166"/>
      <c r="QHF166"/>
      <c r="QHG166"/>
      <c r="QHH166"/>
      <c r="QHI166"/>
      <c r="QHJ166"/>
      <c r="QHK166"/>
      <c r="QHL166"/>
      <c r="QHM166"/>
      <c r="QHN166"/>
      <c r="QHO166"/>
      <c r="QHP166"/>
      <c r="QHQ166"/>
      <c r="QHR166"/>
      <c r="QHS166"/>
      <c r="QHT166"/>
      <c r="QHU166"/>
      <c r="QHV166"/>
      <c r="QHW166"/>
      <c r="QHX166"/>
      <c r="QHY166"/>
      <c r="QHZ166"/>
      <c r="QIA166"/>
      <c r="QIB166"/>
      <c r="QIC166"/>
      <c r="QID166"/>
      <c r="QIE166"/>
      <c r="QIF166"/>
      <c r="QIG166"/>
      <c r="QIH166"/>
      <c r="QII166"/>
      <c r="QIJ166"/>
      <c r="QIK166"/>
      <c r="QIL166"/>
      <c r="QIM166"/>
      <c r="QIN166"/>
      <c r="QIO166"/>
      <c r="QIP166"/>
      <c r="QIQ166"/>
      <c r="QIR166"/>
      <c r="QIS166"/>
      <c r="QIT166"/>
      <c r="QIU166"/>
      <c r="QIV166"/>
      <c r="QIW166"/>
      <c r="QIX166"/>
      <c r="QIY166"/>
      <c r="QIZ166"/>
      <c r="QJA166"/>
      <c r="QJB166"/>
      <c r="QJC166"/>
      <c r="QJD166"/>
      <c r="QJE166"/>
      <c r="QJF166"/>
      <c r="QJG166"/>
      <c r="QJH166"/>
      <c r="QJI166"/>
      <c r="QJJ166"/>
      <c r="QJK166"/>
      <c r="QJL166"/>
      <c r="QJM166"/>
      <c r="QJN166"/>
      <c r="QJO166"/>
      <c r="QJP166"/>
      <c r="QJQ166"/>
      <c r="QJR166"/>
      <c r="QJS166"/>
      <c r="QJT166"/>
      <c r="QJU166"/>
      <c r="QJV166"/>
      <c r="QJW166"/>
      <c r="QJX166"/>
      <c r="QJY166"/>
      <c r="QJZ166"/>
      <c r="QKA166"/>
      <c r="QKB166"/>
      <c r="QKC166"/>
      <c r="QKD166"/>
      <c r="QKE166"/>
      <c r="QKF166"/>
      <c r="QKG166"/>
      <c r="QKH166"/>
      <c r="QKI166"/>
      <c r="QKJ166"/>
      <c r="QKK166"/>
      <c r="QKL166"/>
      <c r="QKM166"/>
      <c r="QKN166"/>
      <c r="QKO166"/>
      <c r="QKP166"/>
      <c r="QKQ166"/>
      <c r="QKR166"/>
      <c r="QKS166"/>
      <c r="QKT166"/>
      <c r="QKU166"/>
      <c r="QKV166"/>
      <c r="QKW166"/>
      <c r="QKX166"/>
      <c r="QKY166"/>
      <c r="QKZ166"/>
      <c r="QLA166"/>
      <c r="QLB166"/>
      <c r="QLC166"/>
      <c r="QLD166"/>
      <c r="QLE166"/>
      <c r="QLF166"/>
      <c r="QLG166"/>
      <c r="QLH166"/>
      <c r="QLI166"/>
      <c r="QLJ166"/>
      <c r="QLK166"/>
      <c r="QLL166"/>
      <c r="QLM166"/>
      <c r="QLN166"/>
      <c r="QLO166"/>
      <c r="QLP166"/>
      <c r="QLQ166"/>
      <c r="QLR166"/>
      <c r="QLS166"/>
      <c r="QLT166"/>
      <c r="QLU166"/>
      <c r="QLV166"/>
      <c r="QLW166"/>
      <c r="QLX166"/>
      <c r="QLY166"/>
      <c r="QLZ166"/>
      <c r="QMA166"/>
      <c r="QMB166"/>
      <c r="QMC166"/>
      <c r="QMD166"/>
      <c r="QME166"/>
      <c r="QMF166"/>
      <c r="QMG166"/>
      <c r="QMH166"/>
      <c r="QMI166"/>
      <c r="QMJ166"/>
      <c r="QMK166"/>
      <c r="QML166"/>
      <c r="QMM166"/>
      <c r="QMN166"/>
      <c r="QMO166"/>
      <c r="QMP166"/>
      <c r="QMQ166"/>
      <c r="QMR166"/>
      <c r="QMS166"/>
      <c r="QMT166"/>
      <c r="QMU166"/>
      <c r="QMV166"/>
      <c r="QMW166"/>
      <c r="QMX166"/>
      <c r="QMY166"/>
      <c r="QMZ166"/>
      <c r="QNA166"/>
      <c r="QNB166"/>
      <c r="QNC166"/>
      <c r="QND166"/>
      <c r="QNE166"/>
      <c r="QNF166"/>
      <c r="QNG166"/>
      <c r="QNH166"/>
      <c r="QNI166"/>
      <c r="QNJ166"/>
      <c r="QNK166"/>
      <c r="QNL166"/>
      <c r="QNM166"/>
      <c r="QNN166"/>
      <c r="QNO166"/>
      <c r="QNP166"/>
      <c r="QNQ166"/>
      <c r="QNR166"/>
      <c r="QNS166"/>
      <c r="QNT166"/>
      <c r="QNU166"/>
      <c r="QNV166"/>
      <c r="QNW166"/>
      <c r="QNX166"/>
      <c r="QNY166"/>
      <c r="QNZ166"/>
      <c r="QOA166"/>
      <c r="QOB166"/>
      <c r="QOC166"/>
      <c r="QOD166"/>
      <c r="QOE166"/>
      <c r="QOF166"/>
      <c r="QOG166"/>
      <c r="QOH166"/>
      <c r="QOI166"/>
      <c r="QOJ166"/>
      <c r="QOK166"/>
      <c r="QOL166"/>
      <c r="QOM166"/>
      <c r="QON166"/>
      <c r="QOO166"/>
      <c r="QOP166"/>
      <c r="QOQ166"/>
      <c r="QOR166"/>
      <c r="QOS166"/>
      <c r="QOT166"/>
      <c r="QOU166"/>
      <c r="QOV166"/>
      <c r="QOW166"/>
      <c r="QOX166"/>
      <c r="QOY166"/>
      <c r="QOZ166"/>
      <c r="QPA166"/>
      <c r="QPB166"/>
      <c r="QPC166"/>
      <c r="QPD166"/>
      <c r="QPE166"/>
      <c r="QPF166"/>
      <c r="QPG166"/>
      <c r="QPH166"/>
      <c r="QPI166"/>
      <c r="QPJ166"/>
      <c r="QPK166"/>
      <c r="QPL166"/>
      <c r="QPM166"/>
      <c r="QPN166"/>
      <c r="QPO166"/>
      <c r="QPP166"/>
      <c r="QPQ166"/>
      <c r="QPR166"/>
      <c r="QPS166"/>
      <c r="QPT166"/>
      <c r="QPU166"/>
      <c r="QPV166"/>
      <c r="QPW166"/>
      <c r="QPX166"/>
      <c r="QPY166"/>
      <c r="QPZ166"/>
      <c r="QQA166"/>
      <c r="QQB166"/>
      <c r="QQC166"/>
      <c r="QQD166"/>
      <c r="QQE166"/>
      <c r="QQF166"/>
      <c r="QQG166"/>
      <c r="QQH166"/>
      <c r="QQI166"/>
      <c r="QQJ166"/>
      <c r="QQK166"/>
      <c r="QQL166"/>
      <c r="QQM166"/>
      <c r="QQN166"/>
      <c r="QQO166"/>
      <c r="QQP166"/>
      <c r="QQQ166"/>
      <c r="QQR166"/>
      <c r="QQS166"/>
      <c r="QQT166"/>
      <c r="QQU166"/>
      <c r="QQV166"/>
      <c r="QQW166"/>
      <c r="QQX166"/>
      <c r="QQY166"/>
      <c r="QQZ166"/>
      <c r="QRA166"/>
      <c r="QRB166"/>
      <c r="QRC166"/>
      <c r="QRD166"/>
      <c r="QRE166"/>
      <c r="QRF166"/>
      <c r="QRG166"/>
      <c r="QRH166"/>
      <c r="QRI166"/>
      <c r="QRJ166"/>
      <c r="QRK166"/>
      <c r="QRL166"/>
      <c r="QRM166"/>
      <c r="QRN166"/>
      <c r="QRO166"/>
      <c r="QRP166"/>
      <c r="QRQ166"/>
      <c r="QRR166"/>
      <c r="QRS166"/>
      <c r="QRT166"/>
      <c r="QRU166"/>
      <c r="QRV166"/>
      <c r="QRW166"/>
      <c r="QRX166"/>
      <c r="QRY166"/>
      <c r="QRZ166"/>
      <c r="QSA166"/>
      <c r="QSB166"/>
      <c r="QSC166"/>
      <c r="QSD166"/>
      <c r="QSE166"/>
      <c r="QSF166"/>
      <c r="QSG166"/>
      <c r="QSH166"/>
      <c r="QSI166"/>
      <c r="QSJ166"/>
      <c r="QSK166"/>
      <c r="QSL166"/>
      <c r="QSM166"/>
      <c r="QSN166"/>
      <c r="QSO166"/>
      <c r="QSP166"/>
      <c r="QSQ166"/>
      <c r="QSR166"/>
      <c r="QSS166"/>
      <c r="QST166"/>
      <c r="QSU166"/>
      <c r="QSV166"/>
      <c r="QSW166"/>
      <c r="QSX166"/>
      <c r="QSY166"/>
      <c r="QSZ166"/>
      <c r="QTA166"/>
      <c r="QTB166"/>
      <c r="QTC166"/>
      <c r="QTD166"/>
      <c r="QTE166"/>
      <c r="QTF166"/>
      <c r="QTG166"/>
      <c r="QTH166"/>
      <c r="QTI166"/>
      <c r="QTJ166"/>
      <c r="QTK166"/>
      <c r="QTL166"/>
      <c r="QTM166"/>
      <c r="QTN166"/>
      <c r="QTO166"/>
      <c r="QTP166"/>
      <c r="QTQ166"/>
      <c r="QTR166"/>
      <c r="QTS166"/>
      <c r="QTT166"/>
      <c r="QTU166"/>
      <c r="QTV166"/>
      <c r="QTW166"/>
      <c r="QTX166"/>
      <c r="QTY166"/>
      <c r="QTZ166"/>
      <c r="QUA166"/>
      <c r="QUB166"/>
      <c r="QUC166"/>
      <c r="QUD166"/>
      <c r="QUE166"/>
      <c r="QUF166"/>
      <c r="QUG166"/>
      <c r="QUH166"/>
      <c r="QUI166"/>
      <c r="QUJ166"/>
      <c r="QUK166"/>
      <c r="QUL166"/>
      <c r="QUM166"/>
      <c r="QUN166"/>
      <c r="QUO166"/>
      <c r="QUP166"/>
      <c r="QUQ166"/>
      <c r="QUR166"/>
      <c r="QUS166"/>
      <c r="QUT166"/>
      <c r="QUU166"/>
      <c r="QUV166"/>
      <c r="QUW166"/>
      <c r="QUX166"/>
      <c r="QUY166"/>
      <c r="QUZ166"/>
      <c r="QVA166"/>
      <c r="QVB166"/>
      <c r="QVC166"/>
      <c r="QVD166"/>
      <c r="QVE166"/>
      <c r="QVF166"/>
      <c r="QVG166"/>
      <c r="QVH166"/>
      <c r="QVI166"/>
      <c r="QVJ166"/>
      <c r="QVK166"/>
      <c r="QVL166"/>
      <c r="QVM166"/>
      <c r="QVN166"/>
      <c r="QVO166"/>
      <c r="QVP166"/>
      <c r="QVQ166"/>
      <c r="QVR166"/>
      <c r="QVS166"/>
      <c r="QVT166"/>
      <c r="QVU166"/>
      <c r="QVV166"/>
      <c r="QVW166"/>
      <c r="QVX166"/>
      <c r="QVY166"/>
      <c r="QVZ166"/>
      <c r="QWA166"/>
      <c r="QWB166"/>
      <c r="QWC166"/>
      <c r="QWD166"/>
      <c r="QWE166"/>
      <c r="QWF166"/>
      <c r="QWG166"/>
      <c r="QWH166"/>
      <c r="QWI166"/>
      <c r="QWJ166"/>
      <c r="QWK166"/>
      <c r="QWL166"/>
      <c r="QWM166"/>
      <c r="QWN166"/>
      <c r="QWO166"/>
      <c r="QWP166"/>
      <c r="QWQ166"/>
      <c r="QWR166"/>
      <c r="QWS166"/>
      <c r="QWT166"/>
      <c r="QWU166"/>
      <c r="QWV166"/>
      <c r="QWW166"/>
      <c r="QWX166"/>
      <c r="QWY166"/>
      <c r="QWZ166"/>
      <c r="QXA166"/>
      <c r="QXB166"/>
      <c r="QXC166"/>
      <c r="QXD166"/>
      <c r="QXE166"/>
      <c r="QXF166"/>
      <c r="QXG166"/>
      <c r="QXH166"/>
      <c r="QXI166"/>
      <c r="QXJ166"/>
      <c r="QXK166"/>
      <c r="QXL166"/>
      <c r="QXM166"/>
      <c r="QXN166"/>
      <c r="QXO166"/>
      <c r="QXP166"/>
      <c r="QXQ166"/>
      <c r="QXR166"/>
      <c r="QXS166"/>
      <c r="QXT166"/>
      <c r="QXU166"/>
      <c r="QXV166"/>
      <c r="QXW166"/>
      <c r="QXX166"/>
      <c r="QXY166"/>
      <c r="QXZ166"/>
      <c r="QYA166"/>
      <c r="QYB166"/>
      <c r="QYC166"/>
      <c r="QYD166"/>
      <c r="QYE166"/>
      <c r="QYF166"/>
      <c r="QYG166"/>
      <c r="QYH166"/>
      <c r="QYI166"/>
      <c r="QYJ166"/>
      <c r="QYK166"/>
      <c r="QYL166"/>
      <c r="QYM166"/>
      <c r="QYN166"/>
      <c r="QYO166"/>
      <c r="QYP166"/>
      <c r="QYQ166"/>
      <c r="QYR166"/>
      <c r="QYS166"/>
      <c r="QYT166"/>
      <c r="QYU166"/>
      <c r="QYV166"/>
      <c r="QYW166"/>
      <c r="QYX166"/>
      <c r="QYY166"/>
      <c r="QYZ166"/>
      <c r="QZA166"/>
      <c r="QZB166"/>
      <c r="QZC166"/>
      <c r="QZD166"/>
      <c r="QZE166"/>
      <c r="QZF166"/>
      <c r="QZG166"/>
      <c r="QZH166"/>
      <c r="QZI166"/>
      <c r="QZJ166"/>
      <c r="QZK166"/>
      <c r="QZL166"/>
      <c r="QZM166"/>
      <c r="QZN166"/>
      <c r="QZO166"/>
      <c r="QZP166"/>
      <c r="QZQ166"/>
      <c r="QZR166"/>
      <c r="QZS166"/>
      <c r="QZT166"/>
      <c r="QZU166"/>
      <c r="QZV166"/>
      <c r="QZW166"/>
      <c r="QZX166"/>
      <c r="QZY166"/>
      <c r="QZZ166"/>
      <c r="RAA166"/>
      <c r="RAB166"/>
      <c r="RAC166"/>
      <c r="RAD166"/>
      <c r="RAE166"/>
      <c r="RAF166"/>
      <c r="RAG166"/>
      <c r="RAH166"/>
      <c r="RAI166"/>
      <c r="RAJ166"/>
      <c r="RAK166"/>
      <c r="RAL166"/>
      <c r="RAM166"/>
      <c r="RAN166"/>
      <c r="RAO166"/>
      <c r="RAP166"/>
      <c r="RAQ166"/>
      <c r="RAR166"/>
      <c r="RAS166"/>
      <c r="RAT166"/>
      <c r="RAU166"/>
      <c r="RAV166"/>
      <c r="RAW166"/>
      <c r="RAX166"/>
      <c r="RAY166"/>
      <c r="RAZ166"/>
      <c r="RBA166"/>
      <c r="RBB166"/>
      <c r="RBC166"/>
      <c r="RBD166"/>
      <c r="RBE166"/>
      <c r="RBF166"/>
      <c r="RBG166"/>
      <c r="RBH166"/>
      <c r="RBI166"/>
      <c r="RBJ166"/>
      <c r="RBK166"/>
      <c r="RBL166"/>
      <c r="RBM166"/>
      <c r="RBN166"/>
      <c r="RBO166"/>
      <c r="RBP166"/>
      <c r="RBQ166"/>
      <c r="RBR166"/>
      <c r="RBS166"/>
      <c r="RBT166"/>
      <c r="RBU166"/>
      <c r="RBV166"/>
      <c r="RBW166"/>
      <c r="RBX166"/>
      <c r="RBY166"/>
      <c r="RBZ166"/>
      <c r="RCA166"/>
      <c r="RCB166"/>
      <c r="RCC166"/>
      <c r="RCD166"/>
      <c r="RCE166"/>
      <c r="RCF166"/>
      <c r="RCG166"/>
      <c r="RCH166"/>
      <c r="RCI166"/>
      <c r="RCJ166"/>
      <c r="RCK166"/>
      <c r="RCL166"/>
      <c r="RCM166"/>
      <c r="RCN166"/>
      <c r="RCO166"/>
      <c r="RCP166"/>
      <c r="RCQ166"/>
      <c r="RCR166"/>
      <c r="RCS166"/>
      <c r="RCT166"/>
      <c r="RCU166"/>
      <c r="RCV166"/>
      <c r="RCW166"/>
      <c r="RCX166"/>
      <c r="RCY166"/>
      <c r="RCZ166"/>
      <c r="RDA166"/>
      <c r="RDB166"/>
      <c r="RDC166"/>
      <c r="RDD166"/>
      <c r="RDE166"/>
      <c r="RDF166"/>
      <c r="RDG166"/>
      <c r="RDH166"/>
      <c r="RDI166"/>
      <c r="RDJ166"/>
      <c r="RDK166"/>
      <c r="RDL166"/>
      <c r="RDM166"/>
      <c r="RDN166"/>
      <c r="RDO166"/>
      <c r="RDP166"/>
      <c r="RDQ166"/>
      <c r="RDR166"/>
      <c r="RDS166"/>
      <c r="RDT166"/>
      <c r="RDU166"/>
      <c r="RDV166"/>
      <c r="RDW166"/>
      <c r="RDX166"/>
      <c r="RDY166"/>
      <c r="RDZ166"/>
      <c r="REA166"/>
      <c r="REB166"/>
      <c r="REC166"/>
      <c r="RED166"/>
      <c r="REE166"/>
      <c r="REF166"/>
      <c r="REG166"/>
      <c r="REH166"/>
      <c r="REI166"/>
      <c r="REJ166"/>
      <c r="REK166"/>
      <c r="REL166"/>
      <c r="REM166"/>
      <c r="REN166"/>
      <c r="REO166"/>
      <c r="REP166"/>
      <c r="REQ166"/>
      <c r="RER166"/>
      <c r="RES166"/>
      <c r="RET166"/>
      <c r="REU166"/>
      <c r="REV166"/>
      <c r="REW166"/>
      <c r="REX166"/>
      <c r="REY166"/>
      <c r="REZ166"/>
      <c r="RFA166"/>
      <c r="RFB166"/>
      <c r="RFC166"/>
      <c r="RFD166"/>
      <c r="RFE166"/>
      <c r="RFF166"/>
      <c r="RFG166"/>
      <c r="RFH166"/>
      <c r="RFI166"/>
      <c r="RFJ166"/>
      <c r="RFK166"/>
      <c r="RFL166"/>
      <c r="RFM166"/>
      <c r="RFN166"/>
      <c r="RFO166"/>
      <c r="RFP166"/>
      <c r="RFQ166"/>
      <c r="RFR166"/>
      <c r="RFS166"/>
      <c r="RFT166"/>
      <c r="RFU166"/>
      <c r="RFV166"/>
      <c r="RFW166"/>
      <c r="RFX166"/>
      <c r="RFY166"/>
      <c r="RFZ166"/>
      <c r="RGA166"/>
      <c r="RGB166"/>
      <c r="RGC166"/>
      <c r="RGD166"/>
      <c r="RGE166"/>
      <c r="RGF166"/>
      <c r="RGG166"/>
      <c r="RGH166"/>
      <c r="RGI166"/>
      <c r="RGJ166"/>
      <c r="RGK166"/>
      <c r="RGL166"/>
      <c r="RGM166"/>
      <c r="RGN166"/>
      <c r="RGO166"/>
      <c r="RGP166"/>
      <c r="RGQ166"/>
      <c r="RGR166"/>
      <c r="RGS166"/>
      <c r="RGT166"/>
      <c r="RGU166"/>
      <c r="RGV166"/>
      <c r="RGW166"/>
      <c r="RGX166"/>
      <c r="RGY166"/>
      <c r="RGZ166"/>
      <c r="RHA166"/>
      <c r="RHB166"/>
      <c r="RHC166"/>
      <c r="RHD166"/>
      <c r="RHE166"/>
      <c r="RHF166"/>
      <c r="RHG166"/>
      <c r="RHH166"/>
      <c r="RHI166"/>
      <c r="RHJ166"/>
      <c r="RHK166"/>
      <c r="RHL166"/>
      <c r="RHM166"/>
      <c r="RHN166"/>
      <c r="RHO166"/>
      <c r="RHP166"/>
      <c r="RHQ166"/>
      <c r="RHR166"/>
      <c r="RHS166"/>
      <c r="RHT166"/>
      <c r="RHU166"/>
      <c r="RHV166"/>
      <c r="RHW166"/>
      <c r="RHX166"/>
      <c r="RHY166"/>
      <c r="RHZ166"/>
      <c r="RIA166"/>
      <c r="RIB166"/>
      <c r="RIC166"/>
      <c r="RID166"/>
      <c r="RIE166"/>
      <c r="RIF166"/>
      <c r="RIG166"/>
      <c r="RIH166"/>
      <c r="RII166"/>
      <c r="RIJ166"/>
      <c r="RIK166"/>
      <c r="RIL166"/>
      <c r="RIM166"/>
      <c r="RIN166"/>
      <c r="RIO166"/>
      <c r="RIP166"/>
      <c r="RIQ166"/>
      <c r="RIR166"/>
      <c r="RIS166"/>
      <c r="RIT166"/>
      <c r="RIU166"/>
      <c r="RIV166"/>
      <c r="RIW166"/>
      <c r="RIX166"/>
      <c r="RIY166"/>
      <c r="RIZ166"/>
      <c r="RJA166"/>
      <c r="RJB166"/>
      <c r="RJC166"/>
      <c r="RJD166"/>
      <c r="RJE166"/>
      <c r="RJF166"/>
      <c r="RJG166"/>
      <c r="RJH166"/>
      <c r="RJI166"/>
      <c r="RJJ166"/>
      <c r="RJK166"/>
      <c r="RJL166"/>
      <c r="RJM166"/>
      <c r="RJN166"/>
      <c r="RJO166"/>
      <c r="RJP166"/>
      <c r="RJQ166"/>
      <c r="RJR166"/>
      <c r="RJS166"/>
      <c r="RJT166"/>
      <c r="RJU166"/>
      <c r="RJV166"/>
      <c r="RJW166"/>
      <c r="RJX166"/>
      <c r="RJY166"/>
      <c r="RJZ166"/>
      <c r="RKA166"/>
      <c r="RKB166"/>
      <c r="RKC166"/>
      <c r="RKD166"/>
      <c r="RKE166"/>
      <c r="RKF166"/>
      <c r="RKG166"/>
      <c r="RKH166"/>
      <c r="RKI166"/>
      <c r="RKJ166"/>
      <c r="RKK166"/>
      <c r="RKL166"/>
      <c r="RKM166"/>
      <c r="RKN166"/>
      <c r="RKO166"/>
      <c r="RKP166"/>
      <c r="RKQ166"/>
      <c r="RKR166"/>
      <c r="RKS166"/>
      <c r="RKT166"/>
      <c r="RKU166"/>
      <c r="RKV166"/>
      <c r="RKW166"/>
      <c r="RKX166"/>
      <c r="RKY166"/>
      <c r="RKZ166"/>
      <c r="RLA166"/>
      <c r="RLB166"/>
      <c r="RLC166"/>
      <c r="RLD166"/>
      <c r="RLE166"/>
      <c r="RLF166"/>
      <c r="RLG166"/>
      <c r="RLH166"/>
      <c r="RLI166"/>
      <c r="RLJ166"/>
      <c r="RLK166"/>
      <c r="RLL166"/>
      <c r="RLM166"/>
      <c r="RLN166"/>
      <c r="RLO166"/>
      <c r="RLP166"/>
      <c r="RLQ166"/>
      <c r="RLR166"/>
      <c r="RLS166"/>
      <c r="RLT166"/>
      <c r="RLU166"/>
      <c r="RLV166"/>
      <c r="RLW166"/>
      <c r="RLX166"/>
      <c r="RLY166"/>
      <c r="RLZ166"/>
      <c r="RMA166"/>
      <c r="RMB166"/>
      <c r="RMC166"/>
      <c r="RMD166"/>
      <c r="RME166"/>
      <c r="RMF166"/>
      <c r="RMG166"/>
      <c r="RMH166"/>
      <c r="RMI166"/>
      <c r="RMJ166"/>
      <c r="RMK166"/>
      <c r="RML166"/>
      <c r="RMM166"/>
      <c r="RMN166"/>
      <c r="RMO166"/>
      <c r="RMP166"/>
      <c r="RMQ166"/>
      <c r="RMR166"/>
      <c r="RMS166"/>
      <c r="RMT166"/>
      <c r="RMU166"/>
      <c r="RMV166"/>
      <c r="RMW166"/>
      <c r="RMX166"/>
      <c r="RMY166"/>
      <c r="RMZ166"/>
      <c r="RNA166"/>
      <c r="RNB166"/>
      <c r="RNC166"/>
      <c r="RND166"/>
      <c r="RNE166"/>
      <c r="RNF166"/>
      <c r="RNG166"/>
      <c r="RNH166"/>
      <c r="RNI166"/>
      <c r="RNJ166"/>
      <c r="RNK166"/>
      <c r="RNL166"/>
      <c r="RNM166"/>
      <c r="RNN166"/>
      <c r="RNO166"/>
      <c r="RNP166"/>
      <c r="RNQ166"/>
      <c r="RNR166"/>
      <c r="RNS166"/>
      <c r="RNT166"/>
      <c r="RNU166"/>
      <c r="RNV166"/>
      <c r="RNW166"/>
      <c r="RNX166"/>
      <c r="RNY166"/>
      <c r="RNZ166"/>
      <c r="ROA166"/>
      <c r="ROB166"/>
      <c r="ROC166"/>
      <c r="ROD166"/>
      <c r="ROE166"/>
      <c r="ROF166"/>
      <c r="ROG166"/>
      <c r="ROH166"/>
      <c r="ROI166"/>
      <c r="ROJ166"/>
      <c r="ROK166"/>
      <c r="ROL166"/>
      <c r="ROM166"/>
      <c r="RON166"/>
      <c r="ROO166"/>
      <c r="ROP166"/>
      <c r="ROQ166"/>
      <c r="ROR166"/>
      <c r="ROS166"/>
      <c r="ROT166"/>
      <c r="ROU166"/>
      <c r="ROV166"/>
      <c r="ROW166"/>
      <c r="ROX166"/>
      <c r="ROY166"/>
      <c r="ROZ166"/>
      <c r="RPA166"/>
      <c r="RPB166"/>
      <c r="RPC166"/>
      <c r="RPD166"/>
      <c r="RPE166"/>
      <c r="RPF166"/>
      <c r="RPG166"/>
      <c r="RPH166"/>
      <c r="RPI166"/>
      <c r="RPJ166"/>
      <c r="RPK166"/>
      <c r="RPL166"/>
      <c r="RPM166"/>
      <c r="RPN166"/>
      <c r="RPO166"/>
      <c r="RPP166"/>
      <c r="RPQ166"/>
      <c r="RPR166"/>
      <c r="RPS166"/>
      <c r="RPT166"/>
      <c r="RPU166"/>
      <c r="RPV166"/>
      <c r="RPW166"/>
      <c r="RPX166"/>
      <c r="RPY166"/>
      <c r="RPZ166"/>
      <c r="RQA166"/>
      <c r="RQB166"/>
      <c r="RQC166"/>
      <c r="RQD166"/>
      <c r="RQE166"/>
      <c r="RQF166"/>
      <c r="RQG166"/>
      <c r="RQH166"/>
      <c r="RQI166"/>
      <c r="RQJ166"/>
      <c r="RQK166"/>
      <c r="RQL166"/>
      <c r="RQM166"/>
      <c r="RQN166"/>
      <c r="RQO166"/>
      <c r="RQP166"/>
      <c r="RQQ166"/>
      <c r="RQR166"/>
      <c r="RQS166"/>
      <c r="RQT166"/>
      <c r="RQU166"/>
      <c r="RQV166"/>
      <c r="RQW166"/>
      <c r="RQX166"/>
      <c r="RQY166"/>
      <c r="RQZ166"/>
      <c r="RRA166"/>
      <c r="RRB166"/>
      <c r="RRC166"/>
      <c r="RRD166"/>
      <c r="RRE166"/>
      <c r="RRF166"/>
      <c r="RRG166"/>
      <c r="RRH166"/>
      <c r="RRI166"/>
      <c r="RRJ166"/>
      <c r="RRK166"/>
      <c r="RRL166"/>
      <c r="RRM166"/>
      <c r="RRN166"/>
      <c r="RRO166"/>
      <c r="RRP166"/>
      <c r="RRQ166"/>
      <c r="RRR166"/>
      <c r="RRS166"/>
      <c r="RRT166"/>
      <c r="RRU166"/>
      <c r="RRV166"/>
      <c r="RRW166"/>
      <c r="RRX166"/>
      <c r="RRY166"/>
      <c r="RRZ166"/>
      <c r="RSA166"/>
      <c r="RSB166"/>
      <c r="RSC166"/>
      <c r="RSD166"/>
      <c r="RSE166"/>
      <c r="RSF166"/>
      <c r="RSG166"/>
      <c r="RSH166"/>
      <c r="RSI166"/>
      <c r="RSJ166"/>
      <c r="RSK166"/>
      <c r="RSL166"/>
      <c r="RSM166"/>
      <c r="RSN166"/>
      <c r="RSO166"/>
      <c r="RSP166"/>
      <c r="RSQ166"/>
      <c r="RSR166"/>
      <c r="RSS166"/>
      <c r="RST166"/>
      <c r="RSU166"/>
      <c r="RSV166"/>
      <c r="RSW166"/>
      <c r="RSX166"/>
      <c r="RSY166"/>
      <c r="RSZ166"/>
      <c r="RTA166"/>
      <c r="RTB166"/>
      <c r="RTC166"/>
      <c r="RTD166"/>
      <c r="RTE166"/>
      <c r="RTF166"/>
      <c r="RTG166"/>
      <c r="RTH166"/>
      <c r="RTI166"/>
      <c r="RTJ166"/>
      <c r="RTK166"/>
      <c r="RTL166"/>
      <c r="RTM166"/>
      <c r="RTN166"/>
      <c r="RTO166"/>
      <c r="RTP166"/>
      <c r="RTQ166"/>
      <c r="RTR166"/>
      <c r="RTS166"/>
      <c r="RTT166"/>
      <c r="RTU166"/>
      <c r="RTV166"/>
      <c r="RTW166"/>
      <c r="RTX166"/>
      <c r="RTY166"/>
      <c r="RTZ166"/>
      <c r="RUA166"/>
      <c r="RUB166"/>
      <c r="RUC166"/>
      <c r="RUD166"/>
      <c r="RUE166"/>
      <c r="RUF166"/>
      <c r="RUG166"/>
      <c r="RUH166"/>
      <c r="RUI166"/>
      <c r="RUJ166"/>
      <c r="RUK166"/>
      <c r="RUL166"/>
      <c r="RUM166"/>
      <c r="RUN166"/>
      <c r="RUO166"/>
      <c r="RUP166"/>
      <c r="RUQ166"/>
      <c r="RUR166"/>
      <c r="RUS166"/>
      <c r="RUT166"/>
      <c r="RUU166"/>
      <c r="RUV166"/>
      <c r="RUW166"/>
      <c r="RUX166"/>
      <c r="RUY166"/>
      <c r="RUZ166"/>
      <c r="RVA166"/>
      <c r="RVB166"/>
      <c r="RVC166"/>
      <c r="RVD166"/>
      <c r="RVE166"/>
      <c r="RVF166"/>
      <c r="RVG166"/>
      <c r="RVH166"/>
      <c r="RVI166"/>
      <c r="RVJ166"/>
      <c r="RVK166"/>
      <c r="RVL166"/>
      <c r="RVM166"/>
      <c r="RVN166"/>
      <c r="RVO166"/>
      <c r="RVP166"/>
      <c r="RVQ166"/>
      <c r="RVR166"/>
      <c r="RVS166"/>
      <c r="RVT166"/>
      <c r="RVU166"/>
      <c r="RVV166"/>
      <c r="RVW166"/>
      <c r="RVX166"/>
      <c r="RVY166"/>
      <c r="RVZ166"/>
      <c r="RWA166"/>
      <c r="RWB166"/>
      <c r="RWC166"/>
      <c r="RWD166"/>
      <c r="RWE166"/>
      <c r="RWF166"/>
      <c r="RWG166"/>
      <c r="RWH166"/>
      <c r="RWI166"/>
      <c r="RWJ166"/>
      <c r="RWK166"/>
      <c r="RWL166"/>
      <c r="RWM166"/>
      <c r="RWN166"/>
      <c r="RWO166"/>
      <c r="RWP166"/>
      <c r="RWQ166"/>
      <c r="RWR166"/>
      <c r="RWS166"/>
      <c r="RWT166"/>
      <c r="RWU166"/>
      <c r="RWV166"/>
      <c r="RWW166"/>
      <c r="RWX166"/>
      <c r="RWY166"/>
      <c r="RWZ166"/>
      <c r="RXA166"/>
      <c r="RXB166"/>
      <c r="RXC166"/>
      <c r="RXD166"/>
      <c r="RXE166"/>
      <c r="RXF166"/>
      <c r="RXG166"/>
      <c r="RXH166"/>
      <c r="RXI166"/>
      <c r="RXJ166"/>
      <c r="RXK166"/>
      <c r="RXL166"/>
      <c r="RXM166"/>
      <c r="RXN166"/>
      <c r="RXO166"/>
      <c r="RXP166"/>
      <c r="RXQ166"/>
      <c r="RXR166"/>
      <c r="RXS166"/>
      <c r="RXT166"/>
      <c r="RXU166"/>
      <c r="RXV166"/>
      <c r="RXW166"/>
      <c r="RXX166"/>
      <c r="RXY166"/>
      <c r="RXZ166"/>
      <c r="RYA166"/>
      <c r="RYB166"/>
      <c r="RYC166"/>
      <c r="RYD166"/>
      <c r="RYE166"/>
      <c r="RYF166"/>
      <c r="RYG166"/>
      <c r="RYH166"/>
      <c r="RYI166"/>
      <c r="RYJ166"/>
      <c r="RYK166"/>
      <c r="RYL166"/>
      <c r="RYM166"/>
      <c r="RYN166"/>
      <c r="RYO166"/>
      <c r="RYP166"/>
      <c r="RYQ166"/>
      <c r="RYR166"/>
      <c r="RYS166"/>
      <c r="RYT166"/>
      <c r="RYU166"/>
      <c r="RYV166"/>
      <c r="RYW166"/>
      <c r="RYX166"/>
      <c r="RYY166"/>
      <c r="RYZ166"/>
      <c r="RZA166"/>
      <c r="RZB166"/>
      <c r="RZC166"/>
      <c r="RZD166"/>
      <c r="RZE166"/>
      <c r="RZF166"/>
      <c r="RZG166"/>
      <c r="RZH166"/>
      <c r="RZI166"/>
      <c r="RZJ166"/>
      <c r="RZK166"/>
      <c r="RZL166"/>
      <c r="RZM166"/>
      <c r="RZN166"/>
      <c r="RZO166"/>
      <c r="RZP166"/>
      <c r="RZQ166"/>
      <c r="RZR166"/>
      <c r="RZS166"/>
      <c r="RZT166"/>
      <c r="RZU166"/>
      <c r="RZV166"/>
      <c r="RZW166"/>
      <c r="RZX166"/>
      <c r="RZY166"/>
      <c r="RZZ166"/>
      <c r="SAA166"/>
      <c r="SAB166"/>
      <c r="SAC166"/>
      <c r="SAD166"/>
      <c r="SAE166"/>
      <c r="SAF166"/>
      <c r="SAG166"/>
      <c r="SAH166"/>
      <c r="SAI166"/>
      <c r="SAJ166"/>
      <c r="SAK166"/>
      <c r="SAL166"/>
      <c r="SAM166"/>
      <c r="SAN166"/>
      <c r="SAO166"/>
      <c r="SAP166"/>
      <c r="SAQ166"/>
      <c r="SAR166"/>
      <c r="SAS166"/>
      <c r="SAT166"/>
      <c r="SAU166"/>
      <c r="SAV166"/>
      <c r="SAW166"/>
      <c r="SAX166"/>
      <c r="SAY166"/>
      <c r="SAZ166"/>
      <c r="SBA166"/>
      <c r="SBB166"/>
      <c r="SBC166"/>
      <c r="SBD166"/>
      <c r="SBE166"/>
      <c r="SBF166"/>
      <c r="SBG166"/>
      <c r="SBH166"/>
      <c r="SBI166"/>
      <c r="SBJ166"/>
      <c r="SBK166"/>
      <c r="SBL166"/>
      <c r="SBM166"/>
      <c r="SBN166"/>
      <c r="SBO166"/>
      <c r="SBP166"/>
      <c r="SBQ166"/>
      <c r="SBR166"/>
      <c r="SBS166"/>
      <c r="SBT166"/>
      <c r="SBU166"/>
      <c r="SBV166"/>
      <c r="SBW166"/>
      <c r="SBX166"/>
      <c r="SBY166"/>
      <c r="SBZ166"/>
      <c r="SCA166"/>
      <c r="SCB166"/>
      <c r="SCC166"/>
      <c r="SCD166"/>
      <c r="SCE166"/>
      <c r="SCF166"/>
      <c r="SCG166"/>
      <c r="SCH166"/>
      <c r="SCI166"/>
      <c r="SCJ166"/>
      <c r="SCK166"/>
      <c r="SCL166"/>
      <c r="SCM166"/>
      <c r="SCN166"/>
      <c r="SCO166"/>
      <c r="SCP166"/>
      <c r="SCQ166"/>
      <c r="SCR166"/>
      <c r="SCS166"/>
      <c r="SCT166"/>
      <c r="SCU166"/>
      <c r="SCV166"/>
      <c r="SCW166"/>
      <c r="SCX166"/>
      <c r="SCY166"/>
      <c r="SCZ166"/>
      <c r="SDA166"/>
      <c r="SDB166"/>
      <c r="SDC166"/>
      <c r="SDD166"/>
      <c r="SDE166"/>
      <c r="SDF166"/>
      <c r="SDG166"/>
      <c r="SDH166"/>
      <c r="SDI166"/>
      <c r="SDJ166"/>
      <c r="SDK166"/>
      <c r="SDL166"/>
      <c r="SDM166"/>
      <c r="SDN166"/>
      <c r="SDO166"/>
      <c r="SDP166"/>
      <c r="SDQ166"/>
      <c r="SDR166"/>
      <c r="SDS166"/>
      <c r="SDT166"/>
      <c r="SDU166"/>
      <c r="SDV166"/>
      <c r="SDW166"/>
      <c r="SDX166"/>
      <c r="SDY166"/>
      <c r="SDZ166"/>
      <c r="SEA166"/>
      <c r="SEB166"/>
      <c r="SEC166"/>
      <c r="SED166"/>
      <c r="SEE166"/>
      <c r="SEF166"/>
      <c r="SEG166"/>
      <c r="SEH166"/>
      <c r="SEI166"/>
      <c r="SEJ166"/>
      <c r="SEK166"/>
      <c r="SEL166"/>
      <c r="SEM166"/>
      <c r="SEN166"/>
      <c r="SEO166"/>
      <c r="SEP166"/>
      <c r="SEQ166"/>
      <c r="SER166"/>
      <c r="SES166"/>
      <c r="SET166"/>
      <c r="SEU166"/>
      <c r="SEV166"/>
      <c r="SEW166"/>
      <c r="SEX166"/>
      <c r="SEY166"/>
      <c r="SEZ166"/>
      <c r="SFA166"/>
      <c r="SFB166"/>
      <c r="SFC166"/>
      <c r="SFD166"/>
      <c r="SFE166"/>
      <c r="SFF166"/>
      <c r="SFG166"/>
      <c r="SFH166"/>
      <c r="SFI166"/>
      <c r="SFJ166"/>
      <c r="SFK166"/>
      <c r="SFL166"/>
      <c r="SFM166"/>
      <c r="SFN166"/>
      <c r="SFO166"/>
      <c r="SFP166"/>
      <c r="SFQ166"/>
      <c r="SFR166"/>
      <c r="SFS166"/>
      <c r="SFT166"/>
      <c r="SFU166"/>
      <c r="SFV166"/>
      <c r="SFW166"/>
      <c r="SFX166"/>
      <c r="SFY166"/>
      <c r="SFZ166"/>
      <c r="SGA166"/>
      <c r="SGB166"/>
      <c r="SGC166"/>
      <c r="SGD166"/>
      <c r="SGE166"/>
      <c r="SGF166"/>
      <c r="SGG166"/>
      <c r="SGH166"/>
      <c r="SGI166"/>
      <c r="SGJ166"/>
      <c r="SGK166"/>
      <c r="SGL166"/>
      <c r="SGM166"/>
      <c r="SGN166"/>
      <c r="SGO166"/>
      <c r="SGP166"/>
      <c r="SGQ166"/>
      <c r="SGR166"/>
      <c r="SGS166"/>
      <c r="SGT166"/>
      <c r="SGU166"/>
      <c r="SGV166"/>
      <c r="SGW166"/>
      <c r="SGX166"/>
      <c r="SGY166"/>
      <c r="SGZ166"/>
      <c r="SHA166"/>
      <c r="SHB166"/>
      <c r="SHC166"/>
      <c r="SHD166"/>
      <c r="SHE166"/>
      <c r="SHF166"/>
      <c r="SHG166"/>
      <c r="SHH166"/>
      <c r="SHI166"/>
      <c r="SHJ166"/>
      <c r="SHK166"/>
      <c r="SHL166"/>
      <c r="SHM166"/>
      <c r="SHN166"/>
      <c r="SHO166"/>
      <c r="SHP166"/>
      <c r="SHQ166"/>
      <c r="SHR166"/>
      <c r="SHS166"/>
      <c r="SHT166"/>
      <c r="SHU166"/>
      <c r="SHV166"/>
      <c r="SHW166"/>
      <c r="SHX166"/>
      <c r="SHY166"/>
      <c r="SHZ166"/>
      <c r="SIA166"/>
      <c r="SIB166"/>
      <c r="SIC166"/>
      <c r="SID166"/>
      <c r="SIE166"/>
      <c r="SIF166"/>
      <c r="SIG166"/>
      <c r="SIH166"/>
      <c r="SII166"/>
      <c r="SIJ166"/>
      <c r="SIK166"/>
      <c r="SIL166"/>
      <c r="SIM166"/>
      <c r="SIN166"/>
      <c r="SIO166"/>
      <c r="SIP166"/>
      <c r="SIQ166"/>
      <c r="SIR166"/>
      <c r="SIS166"/>
      <c r="SIT166"/>
      <c r="SIU166"/>
      <c r="SIV166"/>
      <c r="SIW166"/>
      <c r="SIX166"/>
      <c r="SIY166"/>
      <c r="SIZ166"/>
      <c r="SJA166"/>
      <c r="SJB166"/>
      <c r="SJC166"/>
      <c r="SJD166"/>
      <c r="SJE166"/>
      <c r="SJF166"/>
      <c r="SJG166"/>
      <c r="SJH166"/>
      <c r="SJI166"/>
      <c r="SJJ166"/>
      <c r="SJK166"/>
      <c r="SJL166"/>
      <c r="SJM166"/>
      <c r="SJN166"/>
      <c r="SJO166"/>
      <c r="SJP166"/>
      <c r="SJQ166"/>
      <c r="SJR166"/>
      <c r="SJS166"/>
      <c r="SJT166"/>
      <c r="SJU166"/>
      <c r="SJV166"/>
      <c r="SJW166"/>
      <c r="SJX166"/>
      <c r="SJY166"/>
      <c r="SJZ166"/>
      <c r="SKA166"/>
      <c r="SKB166"/>
      <c r="SKC166"/>
      <c r="SKD166"/>
      <c r="SKE166"/>
      <c r="SKF166"/>
      <c r="SKG166"/>
      <c r="SKH166"/>
      <c r="SKI166"/>
      <c r="SKJ166"/>
      <c r="SKK166"/>
      <c r="SKL166"/>
      <c r="SKM166"/>
      <c r="SKN166"/>
      <c r="SKO166"/>
      <c r="SKP166"/>
      <c r="SKQ166"/>
      <c r="SKR166"/>
      <c r="SKS166"/>
      <c r="SKT166"/>
      <c r="SKU166"/>
      <c r="SKV166"/>
      <c r="SKW166"/>
      <c r="SKX166"/>
      <c r="SKY166"/>
      <c r="SKZ166"/>
      <c r="SLA166"/>
      <c r="SLB166"/>
      <c r="SLC166"/>
      <c r="SLD166"/>
      <c r="SLE166"/>
      <c r="SLF166"/>
      <c r="SLG166"/>
      <c r="SLH166"/>
      <c r="SLI166"/>
      <c r="SLJ166"/>
      <c r="SLK166"/>
      <c r="SLL166"/>
      <c r="SLM166"/>
      <c r="SLN166"/>
      <c r="SLO166"/>
      <c r="SLP166"/>
      <c r="SLQ166"/>
      <c r="SLR166"/>
      <c r="SLS166"/>
      <c r="SLT166"/>
      <c r="SLU166"/>
      <c r="SLV166"/>
      <c r="SLW166"/>
      <c r="SLX166"/>
      <c r="SLY166"/>
      <c r="SLZ166"/>
      <c r="SMA166"/>
      <c r="SMB166"/>
      <c r="SMC166"/>
      <c r="SMD166"/>
      <c r="SME166"/>
      <c r="SMF166"/>
      <c r="SMG166"/>
      <c r="SMH166"/>
      <c r="SMI166"/>
      <c r="SMJ166"/>
      <c r="SMK166"/>
      <c r="SML166"/>
      <c r="SMM166"/>
      <c r="SMN166"/>
      <c r="SMO166"/>
      <c r="SMP166"/>
      <c r="SMQ166"/>
      <c r="SMR166"/>
      <c r="SMS166"/>
      <c r="SMT166"/>
      <c r="SMU166"/>
      <c r="SMV166"/>
      <c r="SMW166"/>
      <c r="SMX166"/>
      <c r="SMY166"/>
      <c r="SMZ166"/>
      <c r="SNA166"/>
      <c r="SNB166"/>
      <c r="SNC166"/>
      <c r="SND166"/>
      <c r="SNE166"/>
      <c r="SNF166"/>
      <c r="SNG166"/>
      <c r="SNH166"/>
      <c r="SNI166"/>
      <c r="SNJ166"/>
      <c r="SNK166"/>
      <c r="SNL166"/>
      <c r="SNM166"/>
      <c r="SNN166"/>
      <c r="SNO166"/>
      <c r="SNP166"/>
      <c r="SNQ166"/>
      <c r="SNR166"/>
      <c r="SNS166"/>
      <c r="SNT166"/>
      <c r="SNU166"/>
      <c r="SNV166"/>
      <c r="SNW166"/>
      <c r="SNX166"/>
      <c r="SNY166"/>
      <c r="SNZ166"/>
      <c r="SOA166"/>
      <c r="SOB166"/>
      <c r="SOC166"/>
      <c r="SOD166"/>
      <c r="SOE166"/>
      <c r="SOF166"/>
      <c r="SOG166"/>
      <c r="SOH166"/>
      <c r="SOI166"/>
      <c r="SOJ166"/>
      <c r="SOK166"/>
      <c r="SOL166"/>
      <c r="SOM166"/>
      <c r="SON166"/>
      <c r="SOO166"/>
      <c r="SOP166"/>
      <c r="SOQ166"/>
      <c r="SOR166"/>
      <c r="SOS166"/>
      <c r="SOT166"/>
      <c r="SOU166"/>
      <c r="SOV166"/>
      <c r="SOW166"/>
      <c r="SOX166"/>
      <c r="SOY166"/>
      <c r="SOZ166"/>
      <c r="SPA166"/>
      <c r="SPB166"/>
      <c r="SPC166"/>
      <c r="SPD166"/>
      <c r="SPE166"/>
      <c r="SPF166"/>
      <c r="SPG166"/>
      <c r="SPH166"/>
      <c r="SPI166"/>
      <c r="SPJ166"/>
      <c r="SPK166"/>
      <c r="SPL166"/>
      <c r="SPM166"/>
      <c r="SPN166"/>
      <c r="SPO166"/>
      <c r="SPP166"/>
      <c r="SPQ166"/>
      <c r="SPR166"/>
      <c r="SPS166"/>
      <c r="SPT166"/>
      <c r="SPU166"/>
      <c r="SPV166"/>
      <c r="SPW166"/>
      <c r="SPX166"/>
      <c r="SPY166"/>
      <c r="SPZ166"/>
      <c r="SQA166"/>
      <c r="SQB166"/>
      <c r="SQC166"/>
      <c r="SQD166"/>
      <c r="SQE166"/>
      <c r="SQF166"/>
      <c r="SQG166"/>
      <c r="SQH166"/>
      <c r="SQI166"/>
      <c r="SQJ166"/>
      <c r="SQK166"/>
      <c r="SQL166"/>
      <c r="SQM166"/>
      <c r="SQN166"/>
      <c r="SQO166"/>
      <c r="SQP166"/>
      <c r="SQQ166"/>
      <c r="SQR166"/>
      <c r="SQS166"/>
      <c r="SQT166"/>
      <c r="SQU166"/>
      <c r="SQV166"/>
      <c r="SQW166"/>
      <c r="SQX166"/>
      <c r="SQY166"/>
      <c r="SQZ166"/>
      <c r="SRA166"/>
      <c r="SRB166"/>
      <c r="SRC166"/>
      <c r="SRD166"/>
      <c r="SRE166"/>
      <c r="SRF166"/>
      <c r="SRG166"/>
      <c r="SRH166"/>
      <c r="SRI166"/>
      <c r="SRJ166"/>
      <c r="SRK166"/>
      <c r="SRL166"/>
      <c r="SRM166"/>
      <c r="SRN166"/>
      <c r="SRO166"/>
      <c r="SRP166"/>
      <c r="SRQ166"/>
      <c r="SRR166"/>
      <c r="SRS166"/>
      <c r="SRT166"/>
      <c r="SRU166"/>
      <c r="SRV166"/>
      <c r="SRW166"/>
      <c r="SRX166"/>
      <c r="SRY166"/>
      <c r="SRZ166"/>
      <c r="SSA166"/>
      <c r="SSB166"/>
      <c r="SSC166"/>
      <c r="SSD166"/>
      <c r="SSE166"/>
      <c r="SSF166"/>
      <c r="SSG166"/>
      <c r="SSH166"/>
      <c r="SSI166"/>
      <c r="SSJ166"/>
      <c r="SSK166"/>
      <c r="SSL166"/>
      <c r="SSM166"/>
      <c r="SSN166"/>
      <c r="SSO166"/>
      <c r="SSP166"/>
      <c r="SSQ166"/>
      <c r="SSR166"/>
      <c r="SSS166"/>
      <c r="SST166"/>
      <c r="SSU166"/>
      <c r="SSV166"/>
      <c r="SSW166"/>
      <c r="SSX166"/>
      <c r="SSY166"/>
      <c r="SSZ166"/>
      <c r="STA166"/>
      <c r="STB166"/>
      <c r="STC166"/>
      <c r="STD166"/>
      <c r="STE166"/>
      <c r="STF166"/>
      <c r="STG166"/>
      <c r="STH166"/>
      <c r="STI166"/>
      <c r="STJ166"/>
      <c r="STK166"/>
      <c r="STL166"/>
      <c r="STM166"/>
      <c r="STN166"/>
      <c r="STO166"/>
      <c r="STP166"/>
      <c r="STQ166"/>
      <c r="STR166"/>
      <c r="STS166"/>
      <c r="STT166"/>
      <c r="STU166"/>
      <c r="STV166"/>
      <c r="STW166"/>
      <c r="STX166"/>
      <c r="STY166"/>
      <c r="STZ166"/>
      <c r="SUA166"/>
      <c r="SUB166"/>
      <c r="SUC166"/>
      <c r="SUD166"/>
      <c r="SUE166"/>
      <c r="SUF166"/>
      <c r="SUG166"/>
      <c r="SUH166"/>
      <c r="SUI166"/>
      <c r="SUJ166"/>
      <c r="SUK166"/>
      <c r="SUL166"/>
      <c r="SUM166"/>
      <c r="SUN166"/>
      <c r="SUO166"/>
      <c r="SUP166"/>
      <c r="SUQ166"/>
      <c r="SUR166"/>
      <c r="SUS166"/>
      <c r="SUT166"/>
      <c r="SUU166"/>
      <c r="SUV166"/>
      <c r="SUW166"/>
      <c r="SUX166"/>
      <c r="SUY166"/>
      <c r="SUZ166"/>
      <c r="SVA166"/>
      <c r="SVB166"/>
      <c r="SVC166"/>
      <c r="SVD166"/>
      <c r="SVE166"/>
      <c r="SVF166"/>
      <c r="SVG166"/>
      <c r="SVH166"/>
      <c r="SVI166"/>
      <c r="SVJ166"/>
      <c r="SVK166"/>
      <c r="SVL166"/>
      <c r="SVM166"/>
      <c r="SVN166"/>
      <c r="SVO166"/>
      <c r="SVP166"/>
      <c r="SVQ166"/>
      <c r="SVR166"/>
      <c r="SVS166"/>
      <c r="SVT166"/>
      <c r="SVU166"/>
      <c r="SVV166"/>
      <c r="SVW166"/>
      <c r="SVX166"/>
      <c r="SVY166"/>
      <c r="SVZ166"/>
      <c r="SWA166"/>
      <c r="SWB166"/>
      <c r="SWC166"/>
      <c r="SWD166"/>
      <c r="SWE166"/>
      <c r="SWF166"/>
      <c r="SWG166"/>
      <c r="SWH166"/>
      <c r="SWI166"/>
      <c r="SWJ166"/>
      <c r="SWK166"/>
      <c r="SWL166"/>
      <c r="SWM166"/>
      <c r="SWN166"/>
      <c r="SWO166"/>
      <c r="SWP166"/>
      <c r="SWQ166"/>
      <c r="SWR166"/>
      <c r="SWS166"/>
      <c r="SWT166"/>
      <c r="SWU166"/>
      <c r="SWV166"/>
      <c r="SWW166"/>
      <c r="SWX166"/>
      <c r="SWY166"/>
      <c r="SWZ166"/>
      <c r="SXA166"/>
      <c r="SXB166"/>
      <c r="SXC166"/>
      <c r="SXD166"/>
      <c r="SXE166"/>
      <c r="SXF166"/>
      <c r="SXG166"/>
      <c r="SXH166"/>
      <c r="SXI166"/>
      <c r="SXJ166"/>
      <c r="SXK166"/>
      <c r="SXL166"/>
      <c r="SXM166"/>
      <c r="SXN166"/>
      <c r="SXO166"/>
      <c r="SXP166"/>
      <c r="SXQ166"/>
      <c r="SXR166"/>
      <c r="SXS166"/>
      <c r="SXT166"/>
      <c r="SXU166"/>
      <c r="SXV166"/>
      <c r="SXW166"/>
      <c r="SXX166"/>
      <c r="SXY166"/>
      <c r="SXZ166"/>
      <c r="SYA166"/>
      <c r="SYB166"/>
      <c r="SYC166"/>
      <c r="SYD166"/>
      <c r="SYE166"/>
      <c r="SYF166"/>
      <c r="SYG166"/>
      <c r="SYH166"/>
      <c r="SYI166"/>
      <c r="SYJ166"/>
      <c r="SYK166"/>
      <c r="SYL166"/>
      <c r="SYM166"/>
      <c r="SYN166"/>
      <c r="SYO166"/>
      <c r="SYP166"/>
      <c r="SYQ166"/>
      <c r="SYR166"/>
      <c r="SYS166"/>
      <c r="SYT166"/>
      <c r="SYU166"/>
      <c r="SYV166"/>
      <c r="SYW166"/>
      <c r="SYX166"/>
      <c r="SYY166"/>
      <c r="SYZ166"/>
      <c r="SZA166"/>
      <c r="SZB166"/>
      <c r="SZC166"/>
      <c r="SZD166"/>
      <c r="SZE166"/>
      <c r="SZF166"/>
      <c r="SZG166"/>
      <c r="SZH166"/>
      <c r="SZI166"/>
      <c r="SZJ166"/>
      <c r="SZK166"/>
      <c r="SZL166"/>
      <c r="SZM166"/>
      <c r="SZN166"/>
      <c r="SZO166"/>
      <c r="SZP166"/>
      <c r="SZQ166"/>
      <c r="SZR166"/>
      <c r="SZS166"/>
      <c r="SZT166"/>
      <c r="SZU166"/>
      <c r="SZV166"/>
      <c r="SZW166"/>
      <c r="SZX166"/>
      <c r="SZY166"/>
      <c r="SZZ166"/>
      <c r="TAA166"/>
      <c r="TAB166"/>
      <c r="TAC166"/>
      <c r="TAD166"/>
      <c r="TAE166"/>
      <c r="TAF166"/>
      <c r="TAG166"/>
      <c r="TAH166"/>
      <c r="TAI166"/>
      <c r="TAJ166"/>
      <c r="TAK166"/>
      <c r="TAL166"/>
      <c r="TAM166"/>
      <c r="TAN166"/>
      <c r="TAO166"/>
      <c r="TAP166"/>
      <c r="TAQ166"/>
      <c r="TAR166"/>
      <c r="TAS166"/>
      <c r="TAT166"/>
      <c r="TAU166"/>
      <c r="TAV166"/>
      <c r="TAW166"/>
      <c r="TAX166"/>
      <c r="TAY166"/>
      <c r="TAZ166"/>
      <c r="TBA166"/>
      <c r="TBB166"/>
      <c r="TBC166"/>
      <c r="TBD166"/>
      <c r="TBE166"/>
      <c r="TBF166"/>
      <c r="TBG166"/>
      <c r="TBH166"/>
      <c r="TBI166"/>
      <c r="TBJ166"/>
      <c r="TBK166"/>
      <c r="TBL166"/>
      <c r="TBM166"/>
      <c r="TBN166"/>
      <c r="TBO166"/>
      <c r="TBP166"/>
      <c r="TBQ166"/>
      <c r="TBR166"/>
      <c r="TBS166"/>
      <c r="TBT166"/>
      <c r="TBU166"/>
      <c r="TBV166"/>
      <c r="TBW166"/>
      <c r="TBX166"/>
      <c r="TBY166"/>
      <c r="TBZ166"/>
      <c r="TCA166"/>
      <c r="TCB166"/>
      <c r="TCC166"/>
      <c r="TCD166"/>
      <c r="TCE166"/>
      <c r="TCF166"/>
      <c r="TCG166"/>
      <c r="TCH166"/>
      <c r="TCI166"/>
      <c r="TCJ166"/>
      <c r="TCK166"/>
      <c r="TCL166"/>
      <c r="TCM166"/>
      <c r="TCN166"/>
      <c r="TCO166"/>
      <c r="TCP166"/>
      <c r="TCQ166"/>
      <c r="TCR166"/>
      <c r="TCS166"/>
      <c r="TCT166"/>
      <c r="TCU166"/>
      <c r="TCV166"/>
      <c r="TCW166"/>
      <c r="TCX166"/>
      <c r="TCY166"/>
      <c r="TCZ166"/>
      <c r="TDA166"/>
      <c r="TDB166"/>
      <c r="TDC166"/>
      <c r="TDD166"/>
      <c r="TDE166"/>
      <c r="TDF166"/>
      <c r="TDG166"/>
      <c r="TDH166"/>
      <c r="TDI166"/>
      <c r="TDJ166"/>
      <c r="TDK166"/>
      <c r="TDL166"/>
      <c r="TDM166"/>
      <c r="TDN166"/>
      <c r="TDO166"/>
      <c r="TDP166"/>
      <c r="TDQ166"/>
      <c r="TDR166"/>
      <c r="TDS166"/>
      <c r="TDT166"/>
      <c r="TDU166"/>
      <c r="TDV166"/>
      <c r="TDW166"/>
      <c r="TDX166"/>
      <c r="TDY166"/>
      <c r="TDZ166"/>
      <c r="TEA166"/>
      <c r="TEB166"/>
      <c r="TEC166"/>
      <c r="TED166"/>
      <c r="TEE166"/>
      <c r="TEF166"/>
      <c r="TEG166"/>
      <c r="TEH166"/>
      <c r="TEI166"/>
      <c r="TEJ166"/>
      <c r="TEK166"/>
      <c r="TEL166"/>
      <c r="TEM166"/>
      <c r="TEN166"/>
      <c r="TEO166"/>
      <c r="TEP166"/>
      <c r="TEQ166"/>
      <c r="TER166"/>
      <c r="TES166"/>
      <c r="TET166"/>
      <c r="TEU166"/>
      <c r="TEV166"/>
      <c r="TEW166"/>
      <c r="TEX166"/>
      <c r="TEY166"/>
      <c r="TEZ166"/>
      <c r="TFA166"/>
      <c r="TFB166"/>
      <c r="TFC166"/>
      <c r="TFD166"/>
      <c r="TFE166"/>
      <c r="TFF166"/>
      <c r="TFG166"/>
      <c r="TFH166"/>
      <c r="TFI166"/>
      <c r="TFJ166"/>
      <c r="TFK166"/>
      <c r="TFL166"/>
      <c r="TFM166"/>
      <c r="TFN166"/>
      <c r="TFO166"/>
      <c r="TFP166"/>
      <c r="TFQ166"/>
      <c r="TFR166"/>
      <c r="TFS166"/>
      <c r="TFT166"/>
      <c r="TFU166"/>
      <c r="TFV166"/>
      <c r="TFW166"/>
      <c r="TFX166"/>
      <c r="TFY166"/>
      <c r="TFZ166"/>
      <c r="TGA166"/>
      <c r="TGB166"/>
      <c r="TGC166"/>
      <c r="TGD166"/>
      <c r="TGE166"/>
      <c r="TGF166"/>
      <c r="TGG166"/>
      <c r="TGH166"/>
      <c r="TGI166"/>
      <c r="TGJ166"/>
      <c r="TGK166"/>
      <c r="TGL166"/>
      <c r="TGM166"/>
      <c r="TGN166"/>
      <c r="TGO166"/>
      <c r="TGP166"/>
      <c r="TGQ166"/>
      <c r="TGR166"/>
      <c r="TGS166"/>
      <c r="TGT166"/>
      <c r="TGU166"/>
      <c r="TGV166"/>
      <c r="TGW166"/>
      <c r="TGX166"/>
      <c r="TGY166"/>
      <c r="TGZ166"/>
      <c r="THA166"/>
      <c r="THB166"/>
      <c r="THC166"/>
      <c r="THD166"/>
      <c r="THE166"/>
      <c r="THF166"/>
      <c r="THG166"/>
      <c r="THH166"/>
      <c r="THI166"/>
      <c r="THJ166"/>
      <c r="THK166"/>
      <c r="THL166"/>
      <c r="THM166"/>
      <c r="THN166"/>
      <c r="THO166"/>
      <c r="THP166"/>
      <c r="THQ166"/>
      <c r="THR166"/>
      <c r="THS166"/>
      <c r="THT166"/>
      <c r="THU166"/>
      <c r="THV166"/>
      <c r="THW166"/>
      <c r="THX166"/>
      <c r="THY166"/>
      <c r="THZ166"/>
      <c r="TIA166"/>
      <c r="TIB166"/>
      <c r="TIC166"/>
      <c r="TID166"/>
      <c r="TIE166"/>
      <c r="TIF166"/>
      <c r="TIG166"/>
      <c r="TIH166"/>
      <c r="TII166"/>
      <c r="TIJ166"/>
      <c r="TIK166"/>
      <c r="TIL166"/>
      <c r="TIM166"/>
      <c r="TIN166"/>
      <c r="TIO166"/>
      <c r="TIP166"/>
      <c r="TIQ166"/>
      <c r="TIR166"/>
      <c r="TIS166"/>
      <c r="TIT166"/>
      <c r="TIU166"/>
      <c r="TIV166"/>
      <c r="TIW166"/>
      <c r="TIX166"/>
      <c r="TIY166"/>
      <c r="TIZ166"/>
      <c r="TJA166"/>
      <c r="TJB166"/>
      <c r="TJC166"/>
      <c r="TJD166"/>
      <c r="TJE166"/>
      <c r="TJF166"/>
      <c r="TJG166"/>
      <c r="TJH166"/>
      <c r="TJI166"/>
      <c r="TJJ166"/>
      <c r="TJK166"/>
      <c r="TJL166"/>
      <c r="TJM166"/>
      <c r="TJN166"/>
      <c r="TJO166"/>
      <c r="TJP166"/>
      <c r="TJQ166"/>
      <c r="TJR166"/>
      <c r="TJS166"/>
      <c r="TJT166"/>
      <c r="TJU166"/>
      <c r="TJV166"/>
      <c r="TJW166"/>
      <c r="TJX166"/>
      <c r="TJY166"/>
      <c r="TJZ166"/>
      <c r="TKA166"/>
      <c r="TKB166"/>
      <c r="TKC166"/>
      <c r="TKD166"/>
      <c r="TKE166"/>
      <c r="TKF166"/>
      <c r="TKG166"/>
      <c r="TKH166"/>
      <c r="TKI166"/>
      <c r="TKJ166"/>
      <c r="TKK166"/>
      <c r="TKL166"/>
      <c r="TKM166"/>
      <c r="TKN166"/>
      <c r="TKO166"/>
      <c r="TKP166"/>
      <c r="TKQ166"/>
      <c r="TKR166"/>
      <c r="TKS166"/>
      <c r="TKT166"/>
      <c r="TKU166"/>
      <c r="TKV166"/>
      <c r="TKW166"/>
      <c r="TKX166"/>
      <c r="TKY166"/>
      <c r="TKZ166"/>
      <c r="TLA166"/>
      <c r="TLB166"/>
      <c r="TLC166"/>
      <c r="TLD166"/>
      <c r="TLE166"/>
      <c r="TLF166"/>
      <c r="TLG166"/>
      <c r="TLH166"/>
      <c r="TLI166"/>
      <c r="TLJ166"/>
      <c r="TLK166"/>
      <c r="TLL166"/>
      <c r="TLM166"/>
      <c r="TLN166"/>
      <c r="TLO166"/>
      <c r="TLP166"/>
      <c r="TLQ166"/>
      <c r="TLR166"/>
      <c r="TLS166"/>
      <c r="TLT166"/>
      <c r="TLU166"/>
      <c r="TLV166"/>
      <c r="TLW166"/>
      <c r="TLX166"/>
      <c r="TLY166"/>
      <c r="TLZ166"/>
      <c r="TMA166"/>
      <c r="TMB166"/>
      <c r="TMC166"/>
      <c r="TMD166"/>
      <c r="TME166"/>
      <c r="TMF166"/>
      <c r="TMG166"/>
      <c r="TMH166"/>
      <c r="TMI166"/>
      <c r="TMJ166"/>
      <c r="TMK166"/>
      <c r="TML166"/>
      <c r="TMM166"/>
      <c r="TMN166"/>
      <c r="TMO166"/>
      <c r="TMP166"/>
      <c r="TMQ166"/>
      <c r="TMR166"/>
      <c r="TMS166"/>
      <c r="TMT166"/>
      <c r="TMU166"/>
      <c r="TMV166"/>
      <c r="TMW166"/>
      <c r="TMX166"/>
      <c r="TMY166"/>
      <c r="TMZ166"/>
      <c r="TNA166"/>
      <c r="TNB166"/>
      <c r="TNC166"/>
      <c r="TND166"/>
      <c r="TNE166"/>
      <c r="TNF166"/>
      <c r="TNG166"/>
      <c r="TNH166"/>
      <c r="TNI166"/>
      <c r="TNJ166"/>
      <c r="TNK166"/>
      <c r="TNL166"/>
      <c r="TNM166"/>
      <c r="TNN166"/>
      <c r="TNO166"/>
      <c r="TNP166"/>
      <c r="TNQ166"/>
      <c r="TNR166"/>
      <c r="TNS166"/>
      <c r="TNT166"/>
      <c r="TNU166"/>
      <c r="TNV166"/>
      <c r="TNW166"/>
      <c r="TNX166"/>
      <c r="TNY166"/>
      <c r="TNZ166"/>
      <c r="TOA166"/>
      <c r="TOB166"/>
      <c r="TOC166"/>
      <c r="TOD166"/>
      <c r="TOE166"/>
      <c r="TOF166"/>
      <c r="TOG166"/>
      <c r="TOH166"/>
      <c r="TOI166"/>
      <c r="TOJ166"/>
      <c r="TOK166"/>
      <c r="TOL166"/>
      <c r="TOM166"/>
      <c r="TON166"/>
      <c r="TOO166"/>
      <c r="TOP166"/>
      <c r="TOQ166"/>
      <c r="TOR166"/>
      <c r="TOS166"/>
      <c r="TOT166"/>
      <c r="TOU166"/>
      <c r="TOV166"/>
      <c r="TOW166"/>
      <c r="TOX166"/>
      <c r="TOY166"/>
      <c r="TOZ166"/>
      <c r="TPA166"/>
      <c r="TPB166"/>
      <c r="TPC166"/>
      <c r="TPD166"/>
      <c r="TPE166"/>
      <c r="TPF166"/>
      <c r="TPG166"/>
      <c r="TPH166"/>
      <c r="TPI166"/>
      <c r="TPJ166"/>
      <c r="TPK166"/>
      <c r="TPL166"/>
      <c r="TPM166"/>
      <c r="TPN166"/>
      <c r="TPO166"/>
      <c r="TPP166"/>
      <c r="TPQ166"/>
      <c r="TPR166"/>
      <c r="TPS166"/>
      <c r="TPT166"/>
      <c r="TPU166"/>
      <c r="TPV166"/>
      <c r="TPW166"/>
      <c r="TPX166"/>
      <c r="TPY166"/>
      <c r="TPZ166"/>
      <c r="TQA166"/>
      <c r="TQB166"/>
      <c r="TQC166"/>
      <c r="TQD166"/>
      <c r="TQE166"/>
      <c r="TQF166"/>
      <c r="TQG166"/>
      <c r="TQH166"/>
      <c r="TQI166"/>
      <c r="TQJ166"/>
      <c r="TQK166"/>
      <c r="TQL166"/>
      <c r="TQM166"/>
      <c r="TQN166"/>
      <c r="TQO166"/>
      <c r="TQP166"/>
      <c r="TQQ166"/>
      <c r="TQR166"/>
      <c r="TQS166"/>
      <c r="TQT166"/>
      <c r="TQU166"/>
      <c r="TQV166"/>
      <c r="TQW166"/>
      <c r="TQX166"/>
      <c r="TQY166"/>
      <c r="TQZ166"/>
      <c r="TRA166"/>
      <c r="TRB166"/>
      <c r="TRC166"/>
      <c r="TRD166"/>
      <c r="TRE166"/>
      <c r="TRF166"/>
      <c r="TRG166"/>
      <c r="TRH166"/>
      <c r="TRI166"/>
      <c r="TRJ166"/>
      <c r="TRK166"/>
      <c r="TRL166"/>
      <c r="TRM166"/>
      <c r="TRN166"/>
      <c r="TRO166"/>
      <c r="TRP166"/>
      <c r="TRQ166"/>
      <c r="TRR166"/>
      <c r="TRS166"/>
      <c r="TRT166"/>
      <c r="TRU166"/>
      <c r="TRV166"/>
      <c r="TRW166"/>
      <c r="TRX166"/>
      <c r="TRY166"/>
      <c r="TRZ166"/>
      <c r="TSA166"/>
      <c r="TSB166"/>
      <c r="TSC166"/>
      <c r="TSD166"/>
      <c r="TSE166"/>
      <c r="TSF166"/>
      <c r="TSG166"/>
      <c r="TSH166"/>
      <c r="TSI166"/>
      <c r="TSJ166"/>
      <c r="TSK166"/>
      <c r="TSL166"/>
      <c r="TSM166"/>
      <c r="TSN166"/>
      <c r="TSO166"/>
      <c r="TSP166"/>
      <c r="TSQ166"/>
      <c r="TSR166"/>
      <c r="TSS166"/>
      <c r="TST166"/>
      <c r="TSU166"/>
      <c r="TSV166"/>
      <c r="TSW166"/>
      <c r="TSX166"/>
      <c r="TSY166"/>
      <c r="TSZ166"/>
      <c r="TTA166"/>
      <c r="TTB166"/>
      <c r="TTC166"/>
      <c r="TTD166"/>
      <c r="TTE166"/>
      <c r="TTF166"/>
      <c r="TTG166"/>
      <c r="TTH166"/>
      <c r="TTI166"/>
      <c r="TTJ166"/>
      <c r="TTK166"/>
      <c r="TTL166"/>
      <c r="TTM166"/>
      <c r="TTN166"/>
      <c r="TTO166"/>
      <c r="TTP166"/>
      <c r="TTQ166"/>
      <c r="TTR166"/>
      <c r="TTS166"/>
      <c r="TTT166"/>
      <c r="TTU166"/>
      <c r="TTV166"/>
      <c r="TTW166"/>
      <c r="TTX166"/>
      <c r="TTY166"/>
      <c r="TTZ166"/>
      <c r="TUA166"/>
      <c r="TUB166"/>
      <c r="TUC166"/>
      <c r="TUD166"/>
      <c r="TUE166"/>
      <c r="TUF166"/>
      <c r="TUG166"/>
      <c r="TUH166"/>
      <c r="TUI166"/>
      <c r="TUJ166"/>
      <c r="TUK166"/>
      <c r="TUL166"/>
      <c r="TUM166"/>
      <c r="TUN166"/>
      <c r="TUO166"/>
      <c r="TUP166"/>
      <c r="TUQ166"/>
      <c r="TUR166"/>
      <c r="TUS166"/>
      <c r="TUT166"/>
      <c r="TUU166"/>
      <c r="TUV166"/>
      <c r="TUW166"/>
      <c r="TUX166"/>
      <c r="TUY166"/>
      <c r="TUZ166"/>
      <c r="TVA166"/>
      <c r="TVB166"/>
      <c r="TVC166"/>
      <c r="TVD166"/>
      <c r="TVE166"/>
      <c r="TVF166"/>
      <c r="TVG166"/>
      <c r="TVH166"/>
      <c r="TVI166"/>
      <c r="TVJ166"/>
      <c r="TVK166"/>
      <c r="TVL166"/>
      <c r="TVM166"/>
      <c r="TVN166"/>
      <c r="TVO166"/>
      <c r="TVP166"/>
      <c r="TVQ166"/>
      <c r="TVR166"/>
      <c r="TVS166"/>
      <c r="TVT166"/>
      <c r="TVU166"/>
      <c r="TVV166"/>
      <c r="TVW166"/>
      <c r="TVX166"/>
      <c r="TVY166"/>
      <c r="TVZ166"/>
      <c r="TWA166"/>
      <c r="TWB166"/>
      <c r="TWC166"/>
      <c r="TWD166"/>
      <c r="TWE166"/>
      <c r="TWF166"/>
      <c r="TWG166"/>
      <c r="TWH166"/>
      <c r="TWI166"/>
      <c r="TWJ166"/>
      <c r="TWK166"/>
      <c r="TWL166"/>
      <c r="TWM166"/>
      <c r="TWN166"/>
      <c r="TWO166"/>
      <c r="TWP166"/>
      <c r="TWQ166"/>
      <c r="TWR166"/>
      <c r="TWS166"/>
      <c r="TWT166"/>
      <c r="TWU166"/>
      <c r="TWV166"/>
      <c r="TWW166"/>
      <c r="TWX166"/>
      <c r="TWY166"/>
      <c r="TWZ166"/>
      <c r="TXA166"/>
      <c r="TXB166"/>
      <c r="TXC166"/>
      <c r="TXD166"/>
      <c r="TXE166"/>
      <c r="TXF166"/>
      <c r="TXG166"/>
      <c r="TXH166"/>
      <c r="TXI166"/>
      <c r="TXJ166"/>
      <c r="TXK166"/>
      <c r="TXL166"/>
      <c r="TXM166"/>
      <c r="TXN166"/>
      <c r="TXO166"/>
      <c r="TXP166"/>
      <c r="TXQ166"/>
      <c r="TXR166"/>
      <c r="TXS166"/>
      <c r="TXT166"/>
      <c r="TXU166"/>
      <c r="TXV166"/>
      <c r="TXW166"/>
      <c r="TXX166"/>
      <c r="TXY166"/>
      <c r="TXZ166"/>
      <c r="TYA166"/>
      <c r="TYB166"/>
      <c r="TYC166"/>
      <c r="TYD166"/>
      <c r="TYE166"/>
      <c r="TYF166"/>
      <c r="TYG166"/>
      <c r="TYH166"/>
      <c r="TYI166"/>
      <c r="TYJ166"/>
      <c r="TYK166"/>
      <c r="TYL166"/>
      <c r="TYM166"/>
      <c r="TYN166"/>
      <c r="TYO166"/>
      <c r="TYP166"/>
      <c r="TYQ166"/>
      <c r="TYR166"/>
      <c r="TYS166"/>
      <c r="TYT166"/>
      <c r="TYU166"/>
      <c r="TYV166"/>
      <c r="TYW166"/>
      <c r="TYX166"/>
      <c r="TYY166"/>
      <c r="TYZ166"/>
      <c r="TZA166"/>
      <c r="TZB166"/>
      <c r="TZC166"/>
      <c r="TZD166"/>
      <c r="TZE166"/>
      <c r="TZF166"/>
      <c r="TZG166"/>
      <c r="TZH166"/>
      <c r="TZI166"/>
      <c r="TZJ166"/>
      <c r="TZK166"/>
      <c r="TZL166"/>
      <c r="TZM166"/>
      <c r="TZN166"/>
      <c r="TZO166"/>
      <c r="TZP166"/>
      <c r="TZQ166"/>
      <c r="TZR166"/>
      <c r="TZS166"/>
      <c r="TZT166"/>
      <c r="TZU166"/>
      <c r="TZV166"/>
      <c r="TZW166"/>
      <c r="TZX166"/>
      <c r="TZY166"/>
      <c r="TZZ166"/>
      <c r="UAA166"/>
      <c r="UAB166"/>
      <c r="UAC166"/>
      <c r="UAD166"/>
      <c r="UAE166"/>
      <c r="UAF166"/>
      <c r="UAG166"/>
      <c r="UAH166"/>
      <c r="UAI166"/>
      <c r="UAJ166"/>
      <c r="UAK166"/>
      <c r="UAL166"/>
      <c r="UAM166"/>
      <c r="UAN166"/>
      <c r="UAO166"/>
      <c r="UAP166"/>
      <c r="UAQ166"/>
      <c r="UAR166"/>
      <c r="UAS166"/>
      <c r="UAT166"/>
      <c r="UAU166"/>
      <c r="UAV166"/>
      <c r="UAW166"/>
      <c r="UAX166"/>
      <c r="UAY166"/>
      <c r="UAZ166"/>
      <c r="UBA166"/>
      <c r="UBB166"/>
      <c r="UBC166"/>
      <c r="UBD166"/>
      <c r="UBE166"/>
      <c r="UBF166"/>
      <c r="UBG166"/>
      <c r="UBH166"/>
      <c r="UBI166"/>
      <c r="UBJ166"/>
      <c r="UBK166"/>
      <c r="UBL166"/>
      <c r="UBM166"/>
      <c r="UBN166"/>
      <c r="UBO166"/>
      <c r="UBP166"/>
      <c r="UBQ166"/>
      <c r="UBR166"/>
      <c r="UBS166"/>
      <c r="UBT166"/>
      <c r="UBU166"/>
      <c r="UBV166"/>
      <c r="UBW166"/>
      <c r="UBX166"/>
      <c r="UBY166"/>
      <c r="UBZ166"/>
      <c r="UCA166"/>
      <c r="UCB166"/>
      <c r="UCC166"/>
      <c r="UCD166"/>
      <c r="UCE166"/>
      <c r="UCF166"/>
      <c r="UCG166"/>
      <c r="UCH166"/>
      <c r="UCI166"/>
      <c r="UCJ166"/>
      <c r="UCK166"/>
      <c r="UCL166"/>
      <c r="UCM166"/>
      <c r="UCN166"/>
      <c r="UCO166"/>
      <c r="UCP166"/>
      <c r="UCQ166"/>
      <c r="UCR166"/>
      <c r="UCS166"/>
      <c r="UCT166"/>
      <c r="UCU166"/>
      <c r="UCV166"/>
      <c r="UCW166"/>
      <c r="UCX166"/>
      <c r="UCY166"/>
      <c r="UCZ166"/>
      <c r="UDA166"/>
      <c r="UDB166"/>
      <c r="UDC166"/>
      <c r="UDD166"/>
      <c r="UDE166"/>
      <c r="UDF166"/>
      <c r="UDG166"/>
      <c r="UDH166"/>
      <c r="UDI166"/>
      <c r="UDJ166"/>
      <c r="UDK166"/>
      <c r="UDL166"/>
      <c r="UDM166"/>
      <c r="UDN166"/>
      <c r="UDO166"/>
      <c r="UDP166"/>
      <c r="UDQ166"/>
      <c r="UDR166"/>
      <c r="UDS166"/>
      <c r="UDT166"/>
      <c r="UDU166"/>
      <c r="UDV166"/>
      <c r="UDW166"/>
      <c r="UDX166"/>
      <c r="UDY166"/>
      <c r="UDZ166"/>
      <c r="UEA166"/>
      <c r="UEB166"/>
      <c r="UEC166"/>
      <c r="UED166"/>
      <c r="UEE166"/>
      <c r="UEF166"/>
      <c r="UEG166"/>
      <c r="UEH166"/>
      <c r="UEI166"/>
      <c r="UEJ166"/>
      <c r="UEK166"/>
      <c r="UEL166"/>
      <c r="UEM166"/>
      <c r="UEN166"/>
      <c r="UEO166"/>
      <c r="UEP166"/>
      <c r="UEQ166"/>
      <c r="UER166"/>
      <c r="UES166"/>
      <c r="UET166"/>
      <c r="UEU166"/>
      <c r="UEV166"/>
      <c r="UEW166"/>
      <c r="UEX166"/>
      <c r="UEY166"/>
      <c r="UEZ166"/>
      <c r="UFA166"/>
      <c r="UFB166"/>
      <c r="UFC166"/>
      <c r="UFD166"/>
      <c r="UFE166"/>
      <c r="UFF166"/>
      <c r="UFG166"/>
      <c r="UFH166"/>
      <c r="UFI166"/>
      <c r="UFJ166"/>
      <c r="UFK166"/>
      <c r="UFL166"/>
      <c r="UFM166"/>
      <c r="UFN166"/>
      <c r="UFO166"/>
      <c r="UFP166"/>
      <c r="UFQ166"/>
      <c r="UFR166"/>
      <c r="UFS166"/>
      <c r="UFT166"/>
      <c r="UFU166"/>
      <c r="UFV166"/>
      <c r="UFW166"/>
      <c r="UFX166"/>
      <c r="UFY166"/>
      <c r="UFZ166"/>
      <c r="UGA166"/>
      <c r="UGB166"/>
      <c r="UGC166"/>
      <c r="UGD166"/>
      <c r="UGE166"/>
      <c r="UGF166"/>
      <c r="UGG166"/>
      <c r="UGH166"/>
      <c r="UGI166"/>
      <c r="UGJ166"/>
      <c r="UGK166"/>
      <c r="UGL166"/>
      <c r="UGM166"/>
      <c r="UGN166"/>
      <c r="UGO166"/>
      <c r="UGP166"/>
      <c r="UGQ166"/>
      <c r="UGR166"/>
      <c r="UGS166"/>
      <c r="UGT166"/>
      <c r="UGU166"/>
      <c r="UGV166"/>
      <c r="UGW166"/>
      <c r="UGX166"/>
      <c r="UGY166"/>
      <c r="UGZ166"/>
      <c r="UHA166"/>
      <c r="UHB166"/>
      <c r="UHC166"/>
      <c r="UHD166"/>
      <c r="UHE166"/>
      <c r="UHF166"/>
      <c r="UHG166"/>
      <c r="UHH166"/>
      <c r="UHI166"/>
      <c r="UHJ166"/>
      <c r="UHK166"/>
      <c r="UHL166"/>
      <c r="UHM166"/>
      <c r="UHN166"/>
      <c r="UHO166"/>
      <c r="UHP166"/>
      <c r="UHQ166"/>
      <c r="UHR166"/>
      <c r="UHS166"/>
      <c r="UHT166"/>
      <c r="UHU166"/>
      <c r="UHV166"/>
      <c r="UHW166"/>
      <c r="UHX166"/>
      <c r="UHY166"/>
      <c r="UHZ166"/>
      <c r="UIA166"/>
      <c r="UIB166"/>
      <c r="UIC166"/>
      <c r="UID166"/>
      <c r="UIE166"/>
      <c r="UIF166"/>
      <c r="UIG166"/>
      <c r="UIH166"/>
      <c r="UII166"/>
      <c r="UIJ166"/>
      <c r="UIK166"/>
      <c r="UIL166"/>
      <c r="UIM166"/>
      <c r="UIN166"/>
      <c r="UIO166"/>
      <c r="UIP166"/>
      <c r="UIQ166"/>
      <c r="UIR166"/>
      <c r="UIS166"/>
      <c r="UIT166"/>
      <c r="UIU166"/>
      <c r="UIV166"/>
      <c r="UIW166"/>
      <c r="UIX166"/>
      <c r="UIY166"/>
      <c r="UIZ166"/>
      <c r="UJA166"/>
      <c r="UJB166"/>
      <c r="UJC166"/>
      <c r="UJD166"/>
      <c r="UJE166"/>
      <c r="UJF166"/>
      <c r="UJG166"/>
      <c r="UJH166"/>
      <c r="UJI166"/>
      <c r="UJJ166"/>
      <c r="UJK166"/>
      <c r="UJL166"/>
      <c r="UJM166"/>
      <c r="UJN166"/>
      <c r="UJO166"/>
      <c r="UJP166"/>
      <c r="UJQ166"/>
      <c r="UJR166"/>
      <c r="UJS166"/>
      <c r="UJT166"/>
      <c r="UJU166"/>
      <c r="UJV166"/>
      <c r="UJW166"/>
      <c r="UJX166"/>
      <c r="UJY166"/>
      <c r="UJZ166"/>
      <c r="UKA166"/>
      <c r="UKB166"/>
      <c r="UKC166"/>
      <c r="UKD166"/>
      <c r="UKE166"/>
      <c r="UKF166"/>
      <c r="UKG166"/>
      <c r="UKH166"/>
      <c r="UKI166"/>
      <c r="UKJ166"/>
      <c r="UKK166"/>
      <c r="UKL166"/>
      <c r="UKM166"/>
      <c r="UKN166"/>
      <c r="UKO166"/>
      <c r="UKP166"/>
      <c r="UKQ166"/>
      <c r="UKR166"/>
      <c r="UKS166"/>
      <c r="UKT166"/>
      <c r="UKU166"/>
      <c r="UKV166"/>
      <c r="UKW166"/>
      <c r="UKX166"/>
      <c r="UKY166"/>
      <c r="UKZ166"/>
      <c r="ULA166"/>
      <c r="ULB166"/>
      <c r="ULC166"/>
      <c r="ULD166"/>
      <c r="ULE166"/>
      <c r="ULF166"/>
      <c r="ULG166"/>
      <c r="ULH166"/>
      <c r="ULI166"/>
      <c r="ULJ166"/>
      <c r="ULK166"/>
      <c r="ULL166"/>
      <c r="ULM166"/>
      <c r="ULN166"/>
      <c r="ULO166"/>
      <c r="ULP166"/>
      <c r="ULQ166"/>
      <c r="ULR166"/>
      <c r="ULS166"/>
      <c r="ULT166"/>
      <c r="ULU166"/>
      <c r="ULV166"/>
      <c r="ULW166"/>
      <c r="ULX166"/>
      <c r="ULY166"/>
      <c r="ULZ166"/>
      <c r="UMA166"/>
      <c r="UMB166"/>
      <c r="UMC166"/>
      <c r="UMD166"/>
      <c r="UME166"/>
      <c r="UMF166"/>
      <c r="UMG166"/>
      <c r="UMH166"/>
      <c r="UMI166"/>
      <c r="UMJ166"/>
      <c r="UMK166"/>
      <c r="UML166"/>
      <c r="UMM166"/>
      <c r="UMN166"/>
      <c r="UMO166"/>
      <c r="UMP166"/>
      <c r="UMQ166"/>
      <c r="UMR166"/>
      <c r="UMS166"/>
      <c r="UMT166"/>
      <c r="UMU166"/>
      <c r="UMV166"/>
      <c r="UMW166"/>
      <c r="UMX166"/>
      <c r="UMY166"/>
      <c r="UMZ166"/>
      <c r="UNA166"/>
      <c r="UNB166"/>
      <c r="UNC166"/>
      <c r="UND166"/>
      <c r="UNE166"/>
      <c r="UNF166"/>
      <c r="UNG166"/>
      <c r="UNH166"/>
      <c r="UNI166"/>
      <c r="UNJ166"/>
      <c r="UNK166"/>
      <c r="UNL166"/>
      <c r="UNM166"/>
      <c r="UNN166"/>
      <c r="UNO166"/>
      <c r="UNP166"/>
      <c r="UNQ166"/>
      <c r="UNR166"/>
      <c r="UNS166"/>
      <c r="UNT166"/>
      <c r="UNU166"/>
      <c r="UNV166"/>
      <c r="UNW166"/>
      <c r="UNX166"/>
      <c r="UNY166"/>
      <c r="UNZ166"/>
      <c r="UOA166"/>
      <c r="UOB166"/>
      <c r="UOC166"/>
      <c r="UOD166"/>
      <c r="UOE166"/>
      <c r="UOF166"/>
      <c r="UOG166"/>
      <c r="UOH166"/>
      <c r="UOI166"/>
      <c r="UOJ166"/>
      <c r="UOK166"/>
      <c r="UOL166"/>
      <c r="UOM166"/>
      <c r="UON166"/>
      <c r="UOO166"/>
      <c r="UOP166"/>
      <c r="UOQ166"/>
      <c r="UOR166"/>
      <c r="UOS166"/>
      <c r="UOT166"/>
      <c r="UOU166"/>
      <c r="UOV166"/>
      <c r="UOW166"/>
      <c r="UOX166"/>
      <c r="UOY166"/>
      <c r="UOZ166"/>
      <c r="UPA166"/>
      <c r="UPB166"/>
      <c r="UPC166"/>
      <c r="UPD166"/>
      <c r="UPE166"/>
      <c r="UPF166"/>
      <c r="UPG166"/>
      <c r="UPH166"/>
      <c r="UPI166"/>
      <c r="UPJ166"/>
      <c r="UPK166"/>
      <c r="UPL166"/>
      <c r="UPM166"/>
      <c r="UPN166"/>
      <c r="UPO166"/>
      <c r="UPP166"/>
      <c r="UPQ166"/>
      <c r="UPR166"/>
      <c r="UPS166"/>
      <c r="UPT166"/>
      <c r="UPU166"/>
      <c r="UPV166"/>
      <c r="UPW166"/>
      <c r="UPX166"/>
      <c r="UPY166"/>
      <c r="UPZ166"/>
      <c r="UQA166"/>
      <c r="UQB166"/>
      <c r="UQC166"/>
      <c r="UQD166"/>
      <c r="UQE166"/>
      <c r="UQF166"/>
      <c r="UQG166"/>
      <c r="UQH166"/>
      <c r="UQI166"/>
      <c r="UQJ166"/>
      <c r="UQK166"/>
      <c r="UQL166"/>
      <c r="UQM166"/>
      <c r="UQN166"/>
      <c r="UQO166"/>
      <c r="UQP166"/>
      <c r="UQQ166"/>
      <c r="UQR166"/>
      <c r="UQS166"/>
      <c r="UQT166"/>
      <c r="UQU166"/>
      <c r="UQV166"/>
      <c r="UQW166"/>
      <c r="UQX166"/>
      <c r="UQY166"/>
      <c r="UQZ166"/>
      <c r="URA166"/>
      <c r="URB166"/>
      <c r="URC166"/>
      <c r="URD166"/>
      <c r="URE166"/>
      <c r="URF166"/>
      <c r="URG166"/>
      <c r="URH166"/>
      <c r="URI166"/>
      <c r="URJ166"/>
      <c r="URK166"/>
      <c r="URL166"/>
      <c r="URM166"/>
      <c r="URN166"/>
      <c r="URO166"/>
      <c r="URP166"/>
      <c r="URQ166"/>
      <c r="URR166"/>
      <c r="URS166"/>
      <c r="URT166"/>
      <c r="URU166"/>
      <c r="URV166"/>
      <c r="URW166"/>
      <c r="URX166"/>
      <c r="URY166"/>
      <c r="URZ166"/>
      <c r="USA166"/>
      <c r="USB166"/>
      <c r="USC166"/>
      <c r="USD166"/>
      <c r="USE166"/>
      <c r="USF166"/>
      <c r="USG166"/>
      <c r="USH166"/>
      <c r="USI166"/>
      <c r="USJ166"/>
      <c r="USK166"/>
      <c r="USL166"/>
      <c r="USM166"/>
      <c r="USN166"/>
      <c r="USO166"/>
      <c r="USP166"/>
      <c r="USQ166"/>
      <c r="USR166"/>
      <c r="USS166"/>
      <c r="UST166"/>
      <c r="USU166"/>
      <c r="USV166"/>
      <c r="USW166"/>
      <c r="USX166"/>
      <c r="USY166"/>
      <c r="USZ166"/>
      <c r="UTA166"/>
      <c r="UTB166"/>
      <c r="UTC166"/>
      <c r="UTD166"/>
      <c r="UTE166"/>
      <c r="UTF166"/>
      <c r="UTG166"/>
      <c r="UTH166"/>
      <c r="UTI166"/>
      <c r="UTJ166"/>
      <c r="UTK166"/>
      <c r="UTL166"/>
      <c r="UTM166"/>
      <c r="UTN166"/>
      <c r="UTO166"/>
      <c r="UTP166"/>
      <c r="UTQ166"/>
      <c r="UTR166"/>
      <c r="UTS166"/>
      <c r="UTT166"/>
      <c r="UTU166"/>
      <c r="UTV166"/>
      <c r="UTW166"/>
      <c r="UTX166"/>
      <c r="UTY166"/>
      <c r="UTZ166"/>
      <c r="UUA166"/>
      <c r="UUB166"/>
      <c r="UUC166"/>
      <c r="UUD166"/>
      <c r="UUE166"/>
      <c r="UUF166"/>
      <c r="UUG166"/>
      <c r="UUH166"/>
      <c r="UUI166"/>
      <c r="UUJ166"/>
      <c r="UUK166"/>
      <c r="UUL166"/>
      <c r="UUM166"/>
      <c r="UUN166"/>
      <c r="UUO166"/>
      <c r="UUP166"/>
      <c r="UUQ166"/>
      <c r="UUR166"/>
      <c r="UUS166"/>
      <c r="UUT166"/>
      <c r="UUU166"/>
      <c r="UUV166"/>
      <c r="UUW166"/>
      <c r="UUX166"/>
      <c r="UUY166"/>
      <c r="UUZ166"/>
      <c r="UVA166"/>
      <c r="UVB166"/>
      <c r="UVC166"/>
      <c r="UVD166"/>
      <c r="UVE166"/>
      <c r="UVF166"/>
      <c r="UVG166"/>
      <c r="UVH166"/>
      <c r="UVI166"/>
      <c r="UVJ166"/>
      <c r="UVK166"/>
      <c r="UVL166"/>
      <c r="UVM166"/>
      <c r="UVN166"/>
      <c r="UVO166"/>
      <c r="UVP166"/>
      <c r="UVQ166"/>
      <c r="UVR166"/>
      <c r="UVS166"/>
      <c r="UVT166"/>
      <c r="UVU166"/>
      <c r="UVV166"/>
      <c r="UVW166"/>
      <c r="UVX166"/>
      <c r="UVY166"/>
      <c r="UVZ166"/>
      <c r="UWA166"/>
      <c r="UWB166"/>
      <c r="UWC166"/>
      <c r="UWD166"/>
      <c r="UWE166"/>
      <c r="UWF166"/>
      <c r="UWG166"/>
      <c r="UWH166"/>
      <c r="UWI166"/>
      <c r="UWJ166"/>
      <c r="UWK166"/>
      <c r="UWL166"/>
      <c r="UWM166"/>
      <c r="UWN166"/>
      <c r="UWO166"/>
      <c r="UWP166"/>
      <c r="UWQ166"/>
      <c r="UWR166"/>
      <c r="UWS166"/>
      <c r="UWT166"/>
      <c r="UWU166"/>
      <c r="UWV166"/>
      <c r="UWW166"/>
      <c r="UWX166"/>
      <c r="UWY166"/>
      <c r="UWZ166"/>
      <c r="UXA166"/>
      <c r="UXB166"/>
      <c r="UXC166"/>
      <c r="UXD166"/>
      <c r="UXE166"/>
      <c r="UXF166"/>
      <c r="UXG166"/>
      <c r="UXH166"/>
      <c r="UXI166"/>
      <c r="UXJ166"/>
      <c r="UXK166"/>
      <c r="UXL166"/>
      <c r="UXM166"/>
      <c r="UXN166"/>
      <c r="UXO166"/>
      <c r="UXP166"/>
      <c r="UXQ166"/>
      <c r="UXR166"/>
      <c r="UXS166"/>
      <c r="UXT166"/>
      <c r="UXU166"/>
      <c r="UXV166"/>
      <c r="UXW166"/>
      <c r="UXX166"/>
      <c r="UXY166"/>
      <c r="UXZ166"/>
      <c r="UYA166"/>
      <c r="UYB166"/>
      <c r="UYC166"/>
      <c r="UYD166"/>
      <c r="UYE166"/>
      <c r="UYF166"/>
      <c r="UYG166"/>
      <c r="UYH166"/>
      <c r="UYI166"/>
      <c r="UYJ166"/>
      <c r="UYK166"/>
      <c r="UYL166"/>
      <c r="UYM166"/>
      <c r="UYN166"/>
      <c r="UYO166"/>
      <c r="UYP166"/>
      <c r="UYQ166"/>
      <c r="UYR166"/>
      <c r="UYS166"/>
      <c r="UYT166"/>
      <c r="UYU166"/>
      <c r="UYV166"/>
      <c r="UYW166"/>
      <c r="UYX166"/>
      <c r="UYY166"/>
      <c r="UYZ166"/>
      <c r="UZA166"/>
      <c r="UZB166"/>
      <c r="UZC166"/>
      <c r="UZD166"/>
      <c r="UZE166"/>
      <c r="UZF166"/>
      <c r="UZG166"/>
      <c r="UZH166"/>
      <c r="UZI166"/>
      <c r="UZJ166"/>
      <c r="UZK166"/>
      <c r="UZL166"/>
      <c r="UZM166"/>
      <c r="UZN166"/>
      <c r="UZO166"/>
      <c r="UZP166"/>
      <c r="UZQ166"/>
      <c r="UZR166"/>
      <c r="UZS166"/>
      <c r="UZT166"/>
      <c r="UZU166"/>
      <c r="UZV166"/>
      <c r="UZW166"/>
      <c r="UZX166"/>
      <c r="UZY166"/>
      <c r="UZZ166"/>
      <c r="VAA166"/>
      <c r="VAB166"/>
      <c r="VAC166"/>
      <c r="VAD166"/>
      <c r="VAE166"/>
      <c r="VAF166"/>
      <c r="VAG166"/>
      <c r="VAH166"/>
      <c r="VAI166"/>
      <c r="VAJ166"/>
      <c r="VAK166"/>
      <c r="VAL166"/>
      <c r="VAM166"/>
      <c r="VAN166"/>
      <c r="VAO166"/>
      <c r="VAP166"/>
      <c r="VAQ166"/>
      <c r="VAR166"/>
      <c r="VAS166"/>
      <c r="VAT166"/>
      <c r="VAU166"/>
      <c r="VAV166"/>
      <c r="VAW166"/>
      <c r="VAX166"/>
      <c r="VAY166"/>
      <c r="VAZ166"/>
      <c r="VBA166"/>
      <c r="VBB166"/>
      <c r="VBC166"/>
      <c r="VBD166"/>
      <c r="VBE166"/>
      <c r="VBF166"/>
      <c r="VBG166"/>
      <c r="VBH166"/>
      <c r="VBI166"/>
      <c r="VBJ166"/>
      <c r="VBK166"/>
      <c r="VBL166"/>
      <c r="VBM166"/>
      <c r="VBN166"/>
      <c r="VBO166"/>
      <c r="VBP166"/>
      <c r="VBQ166"/>
      <c r="VBR166"/>
      <c r="VBS166"/>
      <c r="VBT166"/>
      <c r="VBU166"/>
      <c r="VBV166"/>
      <c r="VBW166"/>
      <c r="VBX166"/>
      <c r="VBY166"/>
      <c r="VBZ166"/>
      <c r="VCA166"/>
      <c r="VCB166"/>
      <c r="VCC166"/>
      <c r="VCD166"/>
      <c r="VCE166"/>
      <c r="VCF166"/>
      <c r="VCG166"/>
      <c r="VCH166"/>
      <c r="VCI166"/>
      <c r="VCJ166"/>
      <c r="VCK166"/>
      <c r="VCL166"/>
      <c r="VCM166"/>
      <c r="VCN166"/>
      <c r="VCO166"/>
      <c r="VCP166"/>
      <c r="VCQ166"/>
      <c r="VCR166"/>
      <c r="VCS166"/>
      <c r="VCT166"/>
      <c r="VCU166"/>
      <c r="VCV166"/>
      <c r="VCW166"/>
      <c r="VCX166"/>
      <c r="VCY166"/>
      <c r="VCZ166"/>
      <c r="VDA166"/>
      <c r="VDB166"/>
      <c r="VDC166"/>
      <c r="VDD166"/>
      <c r="VDE166"/>
      <c r="VDF166"/>
      <c r="VDG166"/>
      <c r="VDH166"/>
      <c r="VDI166"/>
      <c r="VDJ166"/>
      <c r="VDK166"/>
      <c r="VDL166"/>
      <c r="VDM166"/>
      <c r="VDN166"/>
      <c r="VDO166"/>
      <c r="VDP166"/>
      <c r="VDQ166"/>
      <c r="VDR166"/>
      <c r="VDS166"/>
      <c r="VDT166"/>
      <c r="VDU166"/>
      <c r="VDV166"/>
      <c r="VDW166"/>
      <c r="VDX166"/>
      <c r="VDY166"/>
      <c r="VDZ166"/>
      <c r="VEA166"/>
      <c r="VEB166"/>
      <c r="VEC166"/>
      <c r="VED166"/>
      <c r="VEE166"/>
      <c r="VEF166"/>
      <c r="VEG166"/>
      <c r="VEH166"/>
      <c r="VEI166"/>
      <c r="VEJ166"/>
      <c r="VEK166"/>
      <c r="VEL166"/>
      <c r="VEM166"/>
      <c r="VEN166"/>
      <c r="VEO166"/>
      <c r="VEP166"/>
      <c r="VEQ166"/>
      <c r="VER166"/>
      <c r="VES166"/>
      <c r="VET166"/>
      <c r="VEU166"/>
      <c r="VEV166"/>
      <c r="VEW166"/>
      <c r="VEX166"/>
      <c r="VEY166"/>
      <c r="VEZ166"/>
      <c r="VFA166"/>
      <c r="VFB166"/>
      <c r="VFC166"/>
      <c r="VFD166"/>
      <c r="VFE166"/>
      <c r="VFF166"/>
      <c r="VFG166"/>
      <c r="VFH166"/>
      <c r="VFI166"/>
      <c r="VFJ166"/>
      <c r="VFK166"/>
      <c r="VFL166"/>
      <c r="VFM166"/>
      <c r="VFN166"/>
      <c r="VFO166"/>
      <c r="VFP166"/>
      <c r="VFQ166"/>
      <c r="VFR166"/>
      <c r="VFS166"/>
      <c r="VFT166"/>
      <c r="VFU166"/>
      <c r="VFV166"/>
      <c r="VFW166"/>
      <c r="VFX166"/>
      <c r="VFY166"/>
      <c r="VFZ166"/>
      <c r="VGA166"/>
      <c r="VGB166"/>
      <c r="VGC166"/>
      <c r="VGD166"/>
      <c r="VGE166"/>
      <c r="VGF166"/>
      <c r="VGG166"/>
      <c r="VGH166"/>
      <c r="VGI166"/>
      <c r="VGJ166"/>
      <c r="VGK166"/>
      <c r="VGL166"/>
      <c r="VGM166"/>
      <c r="VGN166"/>
      <c r="VGO166"/>
      <c r="VGP166"/>
      <c r="VGQ166"/>
      <c r="VGR166"/>
      <c r="VGS166"/>
      <c r="VGT166"/>
      <c r="VGU166"/>
      <c r="VGV166"/>
      <c r="VGW166"/>
      <c r="VGX166"/>
      <c r="VGY166"/>
      <c r="VGZ166"/>
      <c r="VHA166"/>
      <c r="VHB166"/>
      <c r="VHC166"/>
      <c r="VHD166"/>
      <c r="VHE166"/>
      <c r="VHF166"/>
      <c r="VHG166"/>
      <c r="VHH166"/>
      <c r="VHI166"/>
      <c r="VHJ166"/>
      <c r="VHK166"/>
      <c r="VHL166"/>
      <c r="VHM166"/>
      <c r="VHN166"/>
      <c r="VHO166"/>
      <c r="VHP166"/>
      <c r="VHQ166"/>
      <c r="VHR166"/>
      <c r="VHS166"/>
      <c r="VHT166"/>
      <c r="VHU166"/>
      <c r="VHV166"/>
      <c r="VHW166"/>
      <c r="VHX166"/>
      <c r="VHY166"/>
      <c r="VHZ166"/>
      <c r="VIA166"/>
      <c r="VIB166"/>
      <c r="VIC166"/>
      <c r="VID166"/>
      <c r="VIE166"/>
      <c r="VIF166"/>
      <c r="VIG166"/>
      <c r="VIH166"/>
      <c r="VII166"/>
      <c r="VIJ166"/>
      <c r="VIK166"/>
      <c r="VIL166"/>
      <c r="VIM166"/>
      <c r="VIN166"/>
      <c r="VIO166"/>
      <c r="VIP166"/>
      <c r="VIQ166"/>
      <c r="VIR166"/>
      <c r="VIS166"/>
      <c r="VIT166"/>
      <c r="VIU166"/>
      <c r="VIV166"/>
      <c r="VIW166"/>
      <c r="VIX166"/>
      <c r="VIY166"/>
      <c r="VIZ166"/>
      <c r="VJA166"/>
      <c r="VJB166"/>
      <c r="VJC166"/>
      <c r="VJD166"/>
      <c r="VJE166"/>
      <c r="VJF166"/>
      <c r="VJG166"/>
      <c r="VJH166"/>
      <c r="VJI166"/>
      <c r="VJJ166"/>
      <c r="VJK166"/>
      <c r="VJL166"/>
      <c r="VJM166"/>
      <c r="VJN166"/>
      <c r="VJO166"/>
      <c r="VJP166"/>
      <c r="VJQ166"/>
      <c r="VJR166"/>
      <c r="VJS166"/>
      <c r="VJT166"/>
      <c r="VJU166"/>
      <c r="VJV166"/>
      <c r="VJW166"/>
      <c r="VJX166"/>
      <c r="VJY166"/>
      <c r="VJZ166"/>
      <c r="VKA166"/>
      <c r="VKB166"/>
      <c r="VKC166"/>
      <c r="VKD166"/>
      <c r="VKE166"/>
      <c r="VKF166"/>
      <c r="VKG166"/>
      <c r="VKH166"/>
      <c r="VKI166"/>
      <c r="VKJ166"/>
      <c r="VKK166"/>
      <c r="VKL166"/>
      <c r="VKM166"/>
      <c r="VKN166"/>
      <c r="VKO166"/>
      <c r="VKP166"/>
      <c r="VKQ166"/>
      <c r="VKR166"/>
      <c r="VKS166"/>
      <c r="VKT166"/>
      <c r="VKU166"/>
      <c r="VKV166"/>
      <c r="VKW166"/>
      <c r="VKX166"/>
      <c r="VKY166"/>
      <c r="VKZ166"/>
      <c r="VLA166"/>
      <c r="VLB166"/>
      <c r="VLC166"/>
      <c r="VLD166"/>
      <c r="VLE166"/>
      <c r="VLF166"/>
      <c r="VLG166"/>
      <c r="VLH166"/>
      <c r="VLI166"/>
      <c r="VLJ166"/>
      <c r="VLK166"/>
      <c r="VLL166"/>
      <c r="VLM166"/>
      <c r="VLN166"/>
      <c r="VLO166"/>
      <c r="VLP166"/>
      <c r="VLQ166"/>
      <c r="VLR166"/>
      <c r="VLS166"/>
      <c r="VLT166"/>
      <c r="VLU166"/>
      <c r="VLV166"/>
      <c r="VLW166"/>
      <c r="VLX166"/>
      <c r="VLY166"/>
      <c r="VLZ166"/>
      <c r="VMA166"/>
      <c r="VMB166"/>
      <c r="VMC166"/>
      <c r="VMD166"/>
      <c r="VME166"/>
      <c r="VMF166"/>
      <c r="VMG166"/>
      <c r="VMH166"/>
      <c r="VMI166"/>
      <c r="VMJ166"/>
      <c r="VMK166"/>
      <c r="VML166"/>
      <c r="VMM166"/>
      <c r="VMN166"/>
      <c r="VMO166"/>
      <c r="VMP166"/>
      <c r="VMQ166"/>
      <c r="VMR166"/>
      <c r="VMS166"/>
      <c r="VMT166"/>
      <c r="VMU166"/>
      <c r="VMV166"/>
      <c r="VMW166"/>
      <c r="VMX166"/>
      <c r="VMY166"/>
      <c r="VMZ166"/>
      <c r="VNA166"/>
      <c r="VNB166"/>
      <c r="VNC166"/>
      <c r="VND166"/>
      <c r="VNE166"/>
      <c r="VNF166"/>
      <c r="VNG166"/>
      <c r="VNH166"/>
      <c r="VNI166"/>
      <c r="VNJ166"/>
      <c r="VNK166"/>
      <c r="VNL166"/>
      <c r="VNM166"/>
      <c r="VNN166"/>
      <c r="VNO166"/>
      <c r="VNP166"/>
      <c r="VNQ166"/>
      <c r="VNR166"/>
      <c r="VNS166"/>
      <c r="VNT166"/>
      <c r="VNU166"/>
      <c r="VNV166"/>
      <c r="VNW166"/>
      <c r="VNX166"/>
      <c r="VNY166"/>
      <c r="VNZ166"/>
      <c r="VOA166"/>
      <c r="VOB166"/>
      <c r="VOC166"/>
      <c r="VOD166"/>
      <c r="VOE166"/>
      <c r="VOF166"/>
      <c r="VOG166"/>
      <c r="VOH166"/>
      <c r="VOI166"/>
      <c r="VOJ166"/>
      <c r="VOK166"/>
      <c r="VOL166"/>
      <c r="VOM166"/>
      <c r="VON166"/>
      <c r="VOO166"/>
      <c r="VOP166"/>
      <c r="VOQ166"/>
      <c r="VOR166"/>
      <c r="VOS166"/>
      <c r="VOT166"/>
      <c r="VOU166"/>
      <c r="VOV166"/>
      <c r="VOW166"/>
      <c r="VOX166"/>
      <c r="VOY166"/>
      <c r="VOZ166"/>
      <c r="VPA166"/>
      <c r="VPB166"/>
      <c r="VPC166"/>
      <c r="VPD166"/>
      <c r="VPE166"/>
      <c r="VPF166"/>
      <c r="VPG166"/>
      <c r="VPH166"/>
      <c r="VPI166"/>
      <c r="VPJ166"/>
      <c r="VPK166"/>
      <c r="VPL166"/>
      <c r="VPM166"/>
      <c r="VPN166"/>
      <c r="VPO166"/>
      <c r="VPP166"/>
      <c r="VPQ166"/>
      <c r="VPR166"/>
      <c r="VPS166"/>
      <c r="VPT166"/>
      <c r="VPU166"/>
      <c r="VPV166"/>
      <c r="VPW166"/>
      <c r="VPX166"/>
      <c r="VPY166"/>
      <c r="VPZ166"/>
      <c r="VQA166"/>
      <c r="VQB166"/>
      <c r="VQC166"/>
      <c r="VQD166"/>
      <c r="VQE166"/>
      <c r="VQF166"/>
      <c r="VQG166"/>
      <c r="VQH166"/>
      <c r="VQI166"/>
      <c r="VQJ166"/>
      <c r="VQK166"/>
      <c r="VQL166"/>
      <c r="VQM166"/>
      <c r="VQN166"/>
      <c r="VQO166"/>
      <c r="VQP166"/>
      <c r="VQQ166"/>
      <c r="VQR166"/>
      <c r="VQS166"/>
      <c r="VQT166"/>
      <c r="VQU166"/>
      <c r="VQV166"/>
      <c r="VQW166"/>
      <c r="VQX166"/>
      <c r="VQY166"/>
      <c r="VQZ166"/>
      <c r="VRA166"/>
      <c r="VRB166"/>
      <c r="VRC166"/>
      <c r="VRD166"/>
      <c r="VRE166"/>
      <c r="VRF166"/>
      <c r="VRG166"/>
      <c r="VRH166"/>
      <c r="VRI166"/>
      <c r="VRJ166"/>
      <c r="VRK166"/>
      <c r="VRL166"/>
      <c r="VRM166"/>
      <c r="VRN166"/>
      <c r="VRO166"/>
      <c r="VRP166"/>
      <c r="VRQ166"/>
      <c r="VRR166"/>
      <c r="VRS166"/>
      <c r="VRT166"/>
      <c r="VRU166"/>
      <c r="VRV166"/>
      <c r="VRW166"/>
      <c r="VRX166"/>
      <c r="VRY166"/>
      <c r="VRZ166"/>
      <c r="VSA166"/>
      <c r="VSB166"/>
      <c r="VSC166"/>
      <c r="VSD166"/>
      <c r="VSE166"/>
      <c r="VSF166"/>
      <c r="VSG166"/>
      <c r="VSH166"/>
      <c r="VSI166"/>
      <c r="VSJ166"/>
      <c r="VSK166"/>
      <c r="VSL166"/>
      <c r="VSM166"/>
      <c r="VSN166"/>
      <c r="VSO166"/>
      <c r="VSP166"/>
      <c r="VSQ166"/>
      <c r="VSR166"/>
      <c r="VSS166"/>
      <c r="VST166"/>
      <c r="VSU166"/>
      <c r="VSV166"/>
      <c r="VSW166"/>
      <c r="VSX166"/>
      <c r="VSY166"/>
      <c r="VSZ166"/>
      <c r="VTA166"/>
      <c r="VTB166"/>
      <c r="VTC166"/>
      <c r="VTD166"/>
      <c r="VTE166"/>
      <c r="VTF166"/>
      <c r="VTG166"/>
      <c r="VTH166"/>
      <c r="VTI166"/>
      <c r="VTJ166"/>
      <c r="VTK166"/>
      <c r="VTL166"/>
      <c r="VTM166"/>
      <c r="VTN166"/>
      <c r="VTO166"/>
      <c r="VTP166"/>
      <c r="VTQ166"/>
      <c r="VTR166"/>
      <c r="VTS166"/>
      <c r="VTT166"/>
      <c r="VTU166"/>
      <c r="VTV166"/>
      <c r="VTW166"/>
      <c r="VTX166"/>
      <c r="VTY166"/>
      <c r="VTZ166"/>
      <c r="VUA166"/>
      <c r="VUB166"/>
      <c r="VUC166"/>
      <c r="VUD166"/>
      <c r="VUE166"/>
      <c r="VUF166"/>
      <c r="VUG166"/>
      <c r="VUH166"/>
      <c r="VUI166"/>
      <c r="VUJ166"/>
      <c r="VUK166"/>
      <c r="VUL166"/>
      <c r="VUM166"/>
      <c r="VUN166"/>
      <c r="VUO166"/>
      <c r="VUP166"/>
      <c r="VUQ166"/>
      <c r="VUR166"/>
      <c r="VUS166"/>
      <c r="VUT166"/>
      <c r="VUU166"/>
      <c r="VUV166"/>
      <c r="VUW166"/>
      <c r="VUX166"/>
      <c r="VUY166"/>
      <c r="VUZ166"/>
      <c r="VVA166"/>
      <c r="VVB166"/>
      <c r="VVC166"/>
      <c r="VVD166"/>
      <c r="VVE166"/>
      <c r="VVF166"/>
      <c r="VVG166"/>
      <c r="VVH166"/>
      <c r="VVI166"/>
      <c r="VVJ166"/>
      <c r="VVK166"/>
      <c r="VVL166"/>
      <c r="VVM166"/>
      <c r="VVN166"/>
      <c r="VVO166"/>
      <c r="VVP166"/>
      <c r="VVQ166"/>
      <c r="VVR166"/>
      <c r="VVS166"/>
      <c r="VVT166"/>
      <c r="VVU166"/>
      <c r="VVV166"/>
      <c r="VVW166"/>
      <c r="VVX166"/>
      <c r="VVY166"/>
      <c r="VVZ166"/>
      <c r="VWA166"/>
      <c r="VWB166"/>
      <c r="VWC166"/>
      <c r="VWD166"/>
      <c r="VWE166"/>
      <c r="VWF166"/>
      <c r="VWG166"/>
      <c r="VWH166"/>
      <c r="VWI166"/>
      <c r="VWJ166"/>
      <c r="VWK166"/>
      <c r="VWL166"/>
      <c r="VWM166"/>
      <c r="VWN166"/>
      <c r="VWO166"/>
      <c r="VWP166"/>
      <c r="VWQ166"/>
      <c r="VWR166"/>
      <c r="VWS166"/>
      <c r="VWT166"/>
      <c r="VWU166"/>
      <c r="VWV166"/>
      <c r="VWW166"/>
      <c r="VWX166"/>
      <c r="VWY166"/>
      <c r="VWZ166"/>
      <c r="VXA166"/>
      <c r="VXB166"/>
      <c r="VXC166"/>
      <c r="VXD166"/>
      <c r="VXE166"/>
      <c r="VXF166"/>
      <c r="VXG166"/>
      <c r="VXH166"/>
      <c r="VXI166"/>
      <c r="VXJ166"/>
      <c r="VXK166"/>
      <c r="VXL166"/>
      <c r="VXM166"/>
      <c r="VXN166"/>
      <c r="VXO166"/>
      <c r="VXP166"/>
      <c r="VXQ166"/>
      <c r="VXR166"/>
      <c r="VXS166"/>
      <c r="VXT166"/>
      <c r="VXU166"/>
      <c r="VXV166"/>
      <c r="VXW166"/>
      <c r="VXX166"/>
      <c r="VXY166"/>
      <c r="VXZ166"/>
      <c r="VYA166"/>
      <c r="VYB166"/>
      <c r="VYC166"/>
      <c r="VYD166"/>
      <c r="VYE166"/>
      <c r="VYF166"/>
      <c r="VYG166"/>
      <c r="VYH166"/>
      <c r="VYI166"/>
      <c r="VYJ166"/>
      <c r="VYK166"/>
      <c r="VYL166"/>
      <c r="VYM166"/>
      <c r="VYN166"/>
      <c r="VYO166"/>
      <c r="VYP166"/>
      <c r="VYQ166"/>
      <c r="VYR166"/>
      <c r="VYS166"/>
      <c r="VYT166"/>
      <c r="VYU166"/>
      <c r="VYV166"/>
      <c r="VYW166"/>
      <c r="VYX166"/>
      <c r="VYY166"/>
      <c r="VYZ166"/>
      <c r="VZA166"/>
      <c r="VZB166"/>
      <c r="VZC166"/>
      <c r="VZD166"/>
      <c r="VZE166"/>
      <c r="VZF166"/>
      <c r="VZG166"/>
      <c r="VZH166"/>
      <c r="VZI166"/>
      <c r="VZJ166"/>
      <c r="VZK166"/>
      <c r="VZL166"/>
      <c r="VZM166"/>
      <c r="VZN166"/>
      <c r="VZO166"/>
      <c r="VZP166"/>
      <c r="VZQ166"/>
      <c r="VZR166"/>
      <c r="VZS166"/>
      <c r="VZT166"/>
      <c r="VZU166"/>
      <c r="VZV166"/>
      <c r="VZW166"/>
      <c r="VZX166"/>
      <c r="VZY166"/>
      <c r="VZZ166"/>
      <c r="WAA166"/>
      <c r="WAB166"/>
      <c r="WAC166"/>
      <c r="WAD166"/>
      <c r="WAE166"/>
      <c r="WAF166"/>
      <c r="WAG166"/>
      <c r="WAH166"/>
      <c r="WAI166"/>
      <c r="WAJ166"/>
      <c r="WAK166"/>
      <c r="WAL166"/>
      <c r="WAM166"/>
      <c r="WAN166"/>
      <c r="WAO166"/>
      <c r="WAP166"/>
      <c r="WAQ166"/>
      <c r="WAR166"/>
      <c r="WAS166"/>
      <c r="WAT166"/>
      <c r="WAU166"/>
      <c r="WAV166"/>
      <c r="WAW166"/>
      <c r="WAX166"/>
      <c r="WAY166"/>
      <c r="WAZ166"/>
      <c r="WBA166"/>
      <c r="WBB166"/>
      <c r="WBC166"/>
      <c r="WBD166"/>
      <c r="WBE166"/>
      <c r="WBF166"/>
      <c r="WBG166"/>
      <c r="WBH166"/>
      <c r="WBI166"/>
      <c r="WBJ166"/>
      <c r="WBK166"/>
      <c r="WBL166"/>
      <c r="WBM166"/>
      <c r="WBN166"/>
      <c r="WBO166"/>
      <c r="WBP166"/>
      <c r="WBQ166"/>
      <c r="WBR166"/>
      <c r="WBS166"/>
      <c r="WBT166"/>
      <c r="WBU166"/>
      <c r="WBV166"/>
      <c r="WBW166"/>
      <c r="WBX166"/>
      <c r="WBY166"/>
      <c r="WBZ166"/>
      <c r="WCA166"/>
      <c r="WCB166"/>
      <c r="WCC166"/>
      <c r="WCD166"/>
      <c r="WCE166"/>
      <c r="WCF166"/>
      <c r="WCG166"/>
      <c r="WCH166"/>
      <c r="WCI166"/>
      <c r="WCJ166"/>
      <c r="WCK166"/>
      <c r="WCL166"/>
      <c r="WCM166"/>
      <c r="WCN166"/>
      <c r="WCO166"/>
      <c r="WCP166"/>
      <c r="WCQ166"/>
      <c r="WCR166"/>
      <c r="WCS166"/>
      <c r="WCT166"/>
      <c r="WCU166"/>
      <c r="WCV166"/>
      <c r="WCW166"/>
      <c r="WCX166"/>
      <c r="WCY166"/>
      <c r="WCZ166"/>
      <c r="WDA166"/>
      <c r="WDB166"/>
      <c r="WDC166"/>
      <c r="WDD166"/>
      <c r="WDE166"/>
      <c r="WDF166"/>
      <c r="WDG166"/>
      <c r="WDH166"/>
      <c r="WDI166"/>
      <c r="WDJ166"/>
      <c r="WDK166"/>
      <c r="WDL166"/>
      <c r="WDM166"/>
      <c r="WDN166"/>
      <c r="WDO166"/>
      <c r="WDP166"/>
      <c r="WDQ166"/>
      <c r="WDR166"/>
      <c r="WDS166"/>
      <c r="WDT166"/>
      <c r="WDU166"/>
      <c r="WDV166"/>
      <c r="WDW166"/>
      <c r="WDX166"/>
      <c r="WDY166"/>
      <c r="WDZ166"/>
      <c r="WEA166"/>
      <c r="WEB166"/>
      <c r="WEC166"/>
      <c r="WED166"/>
      <c r="WEE166"/>
      <c r="WEF166"/>
      <c r="WEG166"/>
      <c r="WEH166"/>
      <c r="WEI166"/>
      <c r="WEJ166"/>
      <c r="WEK166"/>
      <c r="WEL166"/>
      <c r="WEM166"/>
      <c r="WEN166"/>
      <c r="WEO166"/>
      <c r="WEP166"/>
      <c r="WEQ166"/>
      <c r="WER166"/>
      <c r="WES166"/>
      <c r="WET166"/>
      <c r="WEU166"/>
      <c r="WEV166"/>
      <c r="WEW166"/>
      <c r="WEX166"/>
      <c r="WEY166"/>
      <c r="WEZ166"/>
      <c r="WFA166"/>
      <c r="WFB166"/>
      <c r="WFC166"/>
      <c r="WFD166"/>
      <c r="WFE166"/>
      <c r="WFF166"/>
      <c r="WFG166"/>
      <c r="WFH166"/>
      <c r="WFI166"/>
      <c r="WFJ166"/>
      <c r="WFK166"/>
      <c r="WFL166"/>
      <c r="WFM166"/>
      <c r="WFN166"/>
      <c r="WFO166"/>
      <c r="WFP166"/>
      <c r="WFQ166"/>
      <c r="WFR166"/>
      <c r="WFS166"/>
      <c r="WFT166"/>
      <c r="WFU166"/>
      <c r="WFV166"/>
      <c r="WFW166"/>
      <c r="WFX166"/>
      <c r="WFY166"/>
      <c r="WFZ166"/>
      <c r="WGA166"/>
      <c r="WGB166"/>
      <c r="WGC166"/>
      <c r="WGD166"/>
      <c r="WGE166"/>
      <c r="WGF166"/>
      <c r="WGG166"/>
      <c r="WGH166"/>
      <c r="WGI166"/>
      <c r="WGJ166"/>
      <c r="WGK166"/>
      <c r="WGL166"/>
      <c r="WGM166"/>
      <c r="WGN166"/>
      <c r="WGO166"/>
      <c r="WGP166"/>
      <c r="WGQ166"/>
      <c r="WGR166"/>
      <c r="WGS166"/>
      <c r="WGT166"/>
      <c r="WGU166"/>
      <c r="WGV166"/>
      <c r="WGW166"/>
      <c r="WGX166"/>
      <c r="WGY166"/>
      <c r="WGZ166"/>
      <c r="WHA166"/>
      <c r="WHB166"/>
      <c r="WHC166"/>
      <c r="WHD166"/>
      <c r="WHE166"/>
      <c r="WHF166"/>
      <c r="WHG166"/>
      <c r="WHH166"/>
      <c r="WHI166"/>
      <c r="WHJ166"/>
      <c r="WHK166"/>
      <c r="WHL166"/>
      <c r="WHM166"/>
      <c r="WHN166"/>
      <c r="WHO166"/>
      <c r="WHP166"/>
      <c r="WHQ166"/>
      <c r="WHR166"/>
      <c r="WHS166"/>
      <c r="WHT166"/>
      <c r="WHU166"/>
      <c r="WHV166"/>
      <c r="WHW166"/>
      <c r="WHX166"/>
      <c r="WHY166"/>
      <c r="WHZ166"/>
      <c r="WIA166"/>
      <c r="WIB166"/>
      <c r="WIC166"/>
      <c r="WID166"/>
      <c r="WIE166"/>
      <c r="WIF166"/>
      <c r="WIG166"/>
      <c r="WIH166"/>
      <c r="WII166"/>
      <c r="WIJ166"/>
      <c r="WIK166"/>
      <c r="WIL166"/>
      <c r="WIM166"/>
      <c r="WIN166"/>
      <c r="WIO166"/>
      <c r="WIP166"/>
      <c r="WIQ166"/>
      <c r="WIR166"/>
      <c r="WIS166"/>
      <c r="WIT166"/>
      <c r="WIU166"/>
      <c r="WIV166"/>
      <c r="WIW166"/>
      <c r="WIX166"/>
      <c r="WIY166"/>
      <c r="WIZ166"/>
      <c r="WJA166"/>
      <c r="WJB166"/>
      <c r="WJC166"/>
      <c r="WJD166"/>
      <c r="WJE166"/>
      <c r="WJF166"/>
      <c r="WJG166"/>
      <c r="WJH166"/>
      <c r="WJI166"/>
      <c r="WJJ166"/>
      <c r="WJK166"/>
      <c r="WJL166"/>
      <c r="WJM166"/>
      <c r="WJN166"/>
      <c r="WJO166"/>
      <c r="WJP166"/>
      <c r="WJQ166"/>
      <c r="WJR166"/>
      <c r="WJS166"/>
      <c r="WJT166"/>
      <c r="WJU166"/>
      <c r="WJV166"/>
      <c r="WJW166"/>
      <c r="WJX166"/>
      <c r="WJY166"/>
      <c r="WJZ166"/>
      <c r="WKA166"/>
      <c r="WKB166"/>
      <c r="WKC166"/>
      <c r="WKD166"/>
      <c r="WKE166"/>
      <c r="WKF166"/>
      <c r="WKG166"/>
      <c r="WKH166"/>
      <c r="WKI166"/>
      <c r="WKJ166"/>
      <c r="WKK166"/>
      <c r="WKL166"/>
      <c r="WKM166"/>
      <c r="WKN166"/>
      <c r="WKO166"/>
      <c r="WKP166"/>
      <c r="WKQ166"/>
      <c r="WKR166"/>
      <c r="WKS166"/>
      <c r="WKT166"/>
      <c r="WKU166"/>
      <c r="WKV166"/>
      <c r="WKW166"/>
      <c r="WKX166"/>
      <c r="WKY166"/>
      <c r="WKZ166"/>
      <c r="WLA166"/>
      <c r="WLB166"/>
      <c r="WLC166"/>
      <c r="WLD166"/>
      <c r="WLE166"/>
      <c r="WLF166"/>
      <c r="WLG166"/>
      <c r="WLH166"/>
      <c r="WLI166"/>
      <c r="WLJ166"/>
      <c r="WLK166"/>
      <c r="WLL166"/>
      <c r="WLM166"/>
      <c r="WLN166"/>
      <c r="WLO166"/>
      <c r="WLP166"/>
      <c r="WLQ166"/>
      <c r="WLR166"/>
      <c r="WLS166"/>
      <c r="WLT166"/>
      <c r="WLU166"/>
      <c r="WLV166"/>
      <c r="WLW166"/>
      <c r="WLX166"/>
      <c r="WLY166"/>
      <c r="WLZ166"/>
      <c r="WMA166"/>
      <c r="WMB166"/>
      <c r="WMC166"/>
      <c r="WMD166"/>
      <c r="WME166"/>
      <c r="WMF166"/>
      <c r="WMG166"/>
      <c r="WMH166"/>
      <c r="WMI166"/>
      <c r="WMJ166"/>
      <c r="WMK166"/>
      <c r="WML166"/>
      <c r="WMM166"/>
      <c r="WMN166"/>
      <c r="WMO166"/>
      <c r="WMP166"/>
      <c r="WMQ166"/>
      <c r="WMR166"/>
      <c r="WMS166"/>
      <c r="WMT166"/>
      <c r="WMU166"/>
      <c r="WMV166"/>
      <c r="WMW166"/>
      <c r="WMX166"/>
      <c r="WMY166"/>
      <c r="WMZ166"/>
      <c r="WNA166"/>
      <c r="WNB166"/>
      <c r="WNC166"/>
      <c r="WND166"/>
      <c r="WNE166"/>
      <c r="WNF166"/>
      <c r="WNG166"/>
      <c r="WNH166"/>
      <c r="WNI166"/>
      <c r="WNJ166"/>
      <c r="WNK166"/>
      <c r="WNL166"/>
      <c r="WNM166"/>
      <c r="WNN166"/>
      <c r="WNO166"/>
      <c r="WNP166"/>
      <c r="WNQ166"/>
      <c r="WNR166"/>
      <c r="WNS166"/>
      <c r="WNT166"/>
      <c r="WNU166"/>
      <c r="WNV166"/>
      <c r="WNW166"/>
      <c r="WNX166"/>
      <c r="WNY166"/>
      <c r="WNZ166"/>
      <c r="WOA166"/>
      <c r="WOB166"/>
      <c r="WOC166"/>
      <c r="WOD166"/>
      <c r="WOE166"/>
      <c r="WOF166"/>
      <c r="WOG166"/>
      <c r="WOH166"/>
      <c r="WOI166"/>
      <c r="WOJ166"/>
      <c r="WOK166"/>
      <c r="WOL166"/>
      <c r="WOM166"/>
      <c r="WON166"/>
      <c r="WOO166"/>
      <c r="WOP166"/>
      <c r="WOQ166"/>
      <c r="WOR166"/>
      <c r="WOS166"/>
      <c r="WOT166"/>
      <c r="WOU166"/>
      <c r="WOV166"/>
      <c r="WOW166"/>
      <c r="WOX166"/>
      <c r="WOY166"/>
      <c r="WOZ166"/>
      <c r="WPA166"/>
      <c r="WPB166"/>
      <c r="WPC166"/>
      <c r="WPD166"/>
      <c r="WPE166"/>
      <c r="WPF166"/>
      <c r="WPG166"/>
      <c r="WPH166"/>
      <c r="WPI166"/>
      <c r="WPJ166"/>
      <c r="WPK166"/>
      <c r="WPL166"/>
      <c r="WPM166"/>
      <c r="WPN166"/>
      <c r="WPO166"/>
      <c r="WPP166"/>
      <c r="WPQ166"/>
      <c r="WPR166"/>
      <c r="WPS166"/>
      <c r="WPT166"/>
      <c r="WPU166"/>
      <c r="WPV166"/>
      <c r="WPW166"/>
      <c r="WPX166"/>
      <c r="WPY166"/>
      <c r="WPZ166"/>
      <c r="WQA166"/>
      <c r="WQB166"/>
      <c r="WQC166"/>
      <c r="WQD166"/>
      <c r="WQE166"/>
      <c r="WQF166"/>
      <c r="WQG166"/>
      <c r="WQH166"/>
      <c r="WQI166"/>
      <c r="WQJ166"/>
      <c r="WQK166"/>
      <c r="WQL166"/>
      <c r="WQM166"/>
      <c r="WQN166"/>
      <c r="WQO166"/>
      <c r="WQP166"/>
      <c r="WQQ166"/>
      <c r="WQR166"/>
      <c r="WQS166"/>
      <c r="WQT166"/>
      <c r="WQU166"/>
      <c r="WQV166"/>
      <c r="WQW166"/>
      <c r="WQX166"/>
      <c r="WQY166"/>
      <c r="WQZ166"/>
      <c r="WRA166"/>
      <c r="WRB166"/>
      <c r="WRC166"/>
      <c r="WRD166"/>
      <c r="WRE166"/>
      <c r="WRF166"/>
      <c r="WRG166"/>
      <c r="WRH166"/>
      <c r="WRI166"/>
      <c r="WRJ166"/>
      <c r="WRK166"/>
      <c r="WRL166"/>
      <c r="WRM166"/>
      <c r="WRN166"/>
      <c r="WRO166"/>
      <c r="WRP166"/>
      <c r="WRQ166"/>
      <c r="WRR166"/>
      <c r="WRS166"/>
      <c r="WRT166"/>
      <c r="WRU166"/>
      <c r="WRV166"/>
      <c r="WRW166"/>
      <c r="WRX166"/>
      <c r="WRY166"/>
      <c r="WRZ166"/>
      <c r="WSA166"/>
      <c r="WSB166"/>
      <c r="WSC166"/>
      <c r="WSD166"/>
      <c r="WSE166"/>
      <c r="WSF166"/>
      <c r="WSG166"/>
      <c r="WSH166"/>
      <c r="WSI166"/>
      <c r="WSJ166"/>
      <c r="WSK166"/>
      <c r="WSL166"/>
      <c r="WSM166"/>
      <c r="WSN166"/>
      <c r="WSO166"/>
      <c r="WSP166"/>
      <c r="WSQ166"/>
      <c r="WSR166"/>
      <c r="WSS166"/>
      <c r="WST166"/>
      <c r="WSU166"/>
      <c r="WSV166"/>
      <c r="WSW166"/>
      <c r="WSX166"/>
      <c r="WSY166"/>
      <c r="WSZ166"/>
      <c r="WTA166"/>
      <c r="WTB166"/>
      <c r="WTC166"/>
      <c r="WTD166"/>
      <c r="WTE166"/>
      <c r="WTF166"/>
      <c r="WTG166"/>
      <c r="WTH166"/>
      <c r="WTI166"/>
      <c r="WTJ166"/>
      <c r="WTK166"/>
      <c r="WTL166"/>
      <c r="WTM166"/>
      <c r="WTN166"/>
      <c r="WTO166"/>
      <c r="WTP166"/>
      <c r="WTQ166"/>
      <c r="WTR166"/>
      <c r="WTS166"/>
      <c r="WTT166"/>
      <c r="WTU166"/>
      <c r="WTV166"/>
      <c r="WTW166"/>
      <c r="WTX166"/>
      <c r="WTY166"/>
      <c r="WTZ166"/>
      <c r="WUA166"/>
      <c r="WUB166"/>
      <c r="WUC166"/>
      <c r="WUD166"/>
      <c r="WUE166"/>
      <c r="WUF166"/>
      <c r="WUG166"/>
      <c r="WUH166"/>
      <c r="WUI166"/>
      <c r="WUJ166"/>
      <c r="WUK166"/>
      <c r="WUL166"/>
      <c r="WUM166"/>
      <c r="WUN166"/>
      <c r="WUO166"/>
      <c r="WUP166"/>
      <c r="WUQ166"/>
      <c r="WUR166"/>
      <c r="WUS166"/>
      <c r="WUT166"/>
      <c r="WUU166"/>
      <c r="WUV166"/>
      <c r="WUW166"/>
      <c r="WUX166"/>
      <c r="WUY166"/>
      <c r="WUZ166"/>
      <c r="WVA166"/>
      <c r="WVB166"/>
      <c r="WVC166"/>
      <c r="WVD166"/>
      <c r="WVE166"/>
      <c r="WVF166"/>
      <c r="WVG166"/>
      <c r="WVH166"/>
      <c r="WVI166"/>
      <c r="WVJ166"/>
      <c r="WVK166"/>
      <c r="WVL166"/>
      <c r="WVM166"/>
      <c r="WVN166"/>
      <c r="WVO166"/>
      <c r="WVP166"/>
      <c r="WVQ166"/>
      <c r="WVR166"/>
      <c r="WVS166"/>
      <c r="WVT166"/>
      <c r="WVU166"/>
      <c r="WVV166"/>
      <c r="WVW166"/>
      <c r="WVX166"/>
      <c r="WVY166"/>
      <c r="WVZ166"/>
      <c r="WWA166"/>
      <c r="WWB166"/>
      <c r="WWC166"/>
      <c r="WWD166"/>
      <c r="WWE166"/>
      <c r="WWF166"/>
      <c r="WWG166"/>
      <c r="WWH166"/>
      <c r="WWI166"/>
      <c r="WWJ166"/>
      <c r="WWK166"/>
      <c r="WWL166"/>
      <c r="WWM166"/>
      <c r="WWN166"/>
      <c r="WWO166"/>
      <c r="WWP166"/>
      <c r="WWQ166"/>
      <c r="WWR166"/>
      <c r="WWS166"/>
      <c r="WWT166"/>
      <c r="WWU166"/>
      <c r="WWV166"/>
      <c r="WWW166"/>
      <c r="WWX166"/>
      <c r="WWY166"/>
      <c r="WWZ166"/>
      <c r="WXA166"/>
      <c r="WXB166"/>
      <c r="WXC166"/>
      <c r="WXD166"/>
      <c r="WXE166"/>
      <c r="WXF166"/>
      <c r="WXG166"/>
      <c r="WXH166"/>
      <c r="WXI166"/>
      <c r="WXJ166"/>
      <c r="WXK166"/>
      <c r="WXL166"/>
      <c r="WXM166"/>
      <c r="WXN166"/>
      <c r="WXO166"/>
      <c r="WXP166"/>
      <c r="WXQ166"/>
      <c r="WXR166"/>
      <c r="WXS166"/>
      <c r="WXT166"/>
      <c r="WXU166"/>
      <c r="WXV166"/>
      <c r="WXW166"/>
      <c r="WXX166"/>
      <c r="WXY166"/>
      <c r="WXZ166"/>
      <c r="WYA166"/>
      <c r="WYB166"/>
      <c r="WYC166"/>
      <c r="WYD166"/>
      <c r="WYE166"/>
      <c r="WYF166"/>
      <c r="WYG166"/>
      <c r="WYH166"/>
      <c r="WYI166"/>
      <c r="WYJ166"/>
      <c r="WYK166"/>
      <c r="WYL166"/>
      <c r="WYM166"/>
      <c r="WYN166"/>
      <c r="WYO166"/>
      <c r="WYP166"/>
      <c r="WYQ166"/>
      <c r="WYR166"/>
      <c r="WYS166"/>
      <c r="WYT166"/>
      <c r="WYU166"/>
      <c r="WYV166"/>
      <c r="WYW166"/>
      <c r="WYX166"/>
      <c r="WYY166"/>
      <c r="WYZ166"/>
      <c r="WZA166"/>
      <c r="WZB166"/>
      <c r="WZC166"/>
      <c r="WZD166"/>
      <c r="WZE166"/>
      <c r="WZF166"/>
      <c r="WZG166"/>
      <c r="WZH166"/>
      <c r="WZI166"/>
      <c r="WZJ166"/>
      <c r="WZK166"/>
      <c r="WZL166"/>
      <c r="WZM166"/>
      <c r="WZN166"/>
      <c r="WZO166"/>
      <c r="WZP166"/>
      <c r="WZQ166"/>
      <c r="WZR166"/>
      <c r="WZS166"/>
      <c r="WZT166"/>
      <c r="WZU166"/>
      <c r="WZV166"/>
      <c r="WZW166"/>
      <c r="WZX166"/>
      <c r="WZY166"/>
      <c r="WZZ166"/>
      <c r="XAA166"/>
      <c r="XAB166"/>
      <c r="XAC166"/>
      <c r="XAD166"/>
      <c r="XAE166"/>
      <c r="XAF166"/>
      <c r="XAG166"/>
      <c r="XAH166"/>
      <c r="XAI166"/>
      <c r="XAJ166"/>
      <c r="XAK166"/>
      <c r="XAL166"/>
      <c r="XAM166"/>
      <c r="XAN166"/>
      <c r="XAO166"/>
      <c r="XAP166"/>
      <c r="XAQ166"/>
      <c r="XAR166"/>
      <c r="XAS166"/>
      <c r="XAT166"/>
      <c r="XAU166"/>
      <c r="XAV166"/>
      <c r="XAW166"/>
      <c r="XAX166"/>
      <c r="XAY166"/>
      <c r="XAZ166"/>
      <c r="XBA166"/>
      <c r="XBB166"/>
      <c r="XBC166"/>
      <c r="XBD166"/>
      <c r="XBE166"/>
      <c r="XBF166"/>
      <c r="XBG166"/>
      <c r="XBH166"/>
      <c r="XBI166"/>
      <c r="XBJ166"/>
      <c r="XBK166"/>
      <c r="XBL166"/>
      <c r="XBM166"/>
      <c r="XBN166"/>
      <c r="XBO166"/>
      <c r="XBP166"/>
      <c r="XBQ166"/>
      <c r="XBR166"/>
      <c r="XBS166"/>
      <c r="XBT166"/>
      <c r="XBU166"/>
      <c r="XBV166"/>
      <c r="XBW166"/>
      <c r="XBX166"/>
      <c r="XBY166"/>
      <c r="XBZ166"/>
      <c r="XCA166"/>
      <c r="XCB166"/>
      <c r="XCC166"/>
      <c r="XCD166"/>
      <c r="XCE166"/>
      <c r="XCF166"/>
      <c r="XCG166"/>
      <c r="XCH166"/>
      <c r="XCI166"/>
      <c r="XCJ166"/>
      <c r="XCK166"/>
      <c r="XCL166"/>
      <c r="XCM166"/>
      <c r="XCN166"/>
      <c r="XCO166"/>
      <c r="XCP166"/>
      <c r="XCQ166"/>
      <c r="XCR166"/>
      <c r="XCS166"/>
      <c r="XCT166"/>
      <c r="XCU166"/>
      <c r="XCV166"/>
      <c r="XCW166"/>
      <c r="XCX166"/>
      <c r="XCY166"/>
      <c r="XCZ166"/>
      <c r="XDA166"/>
      <c r="XDB166"/>
      <c r="XDC166"/>
      <c r="XDD166"/>
      <c r="XDE166"/>
      <c r="XDF166"/>
      <c r="XDG166"/>
      <c r="XDH166"/>
      <c r="XDI166"/>
      <c r="XDJ166"/>
      <c r="XDK166"/>
      <c r="XDL166"/>
      <c r="XDM166"/>
      <c r="XDN166"/>
      <c r="XDO166"/>
      <c r="XDP166"/>
      <c r="XDQ166"/>
      <c r="XDR166"/>
      <c r="XDS166"/>
      <c r="XDT166"/>
      <c r="XDU166"/>
      <c r="XDV166"/>
      <c r="XDW166"/>
      <c r="XDX166"/>
      <c r="XDY166"/>
      <c r="XDZ166"/>
      <c r="XEA166"/>
      <c r="XEB166"/>
      <c r="XEC166"/>
      <c r="XED166"/>
      <c r="XEE166"/>
      <c r="XEF166"/>
      <c r="XEG166"/>
      <c r="XEH166"/>
      <c r="XEI166"/>
      <c r="XEJ166"/>
      <c r="XEK166"/>
      <c r="XEL166"/>
      <c r="XEM166"/>
      <c r="XEN166"/>
      <c r="XEO166"/>
      <c r="XEP166"/>
      <c r="XEQ166"/>
      <c r="XER166"/>
      <c r="XES166"/>
      <c r="XET166"/>
      <c r="XEU166"/>
      <c r="XEV166"/>
      <c r="XEW166"/>
      <c r="XEX166"/>
      <c r="XEY166"/>
      <c r="XEZ166"/>
      <c r="XFA166"/>
    </row>
  </sheetData>
  <autoFilter ref="A35:XFC165" xr:uid="{BF1BCB21-69E3-477A-967B-FECF4F72752F}"/>
  <mergeCells count="1">
    <mergeCell ref="EQ6:EW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C8251-4E7E-4A32-8C5F-F26EA25CC63F}">
  <sheetPr codeName="Sheet7"/>
  <dimension ref="A1:AAD42"/>
  <sheetViews>
    <sheetView topLeftCell="A8" zoomScale="85" zoomScaleNormal="85" workbookViewId="0"/>
  </sheetViews>
  <sheetFormatPr defaultRowHeight="12.9" x14ac:dyDescent="0.2"/>
  <cols>
    <col min="1" max="1" width="18" bestFit="1" customWidth="1"/>
    <col min="2" max="2" width="15.625" bestFit="1" customWidth="1"/>
    <col min="3" max="3" width="12.25" bestFit="1" customWidth="1"/>
    <col min="4" max="4" width="11.875" bestFit="1" customWidth="1"/>
    <col min="5" max="5" width="5.75" bestFit="1" customWidth="1"/>
    <col min="6" max="6" width="14.25" bestFit="1" customWidth="1"/>
    <col min="7" max="7" width="17.375" bestFit="1" customWidth="1"/>
    <col min="8" max="8" width="8" bestFit="1" customWidth="1"/>
    <col min="9" max="9" width="10" bestFit="1" customWidth="1"/>
    <col min="10" max="10" width="10.125" bestFit="1" customWidth="1"/>
    <col min="11" max="11" width="14.25" bestFit="1" customWidth="1"/>
    <col min="12" max="12" width="14.25" customWidth="1"/>
    <col min="13" max="14" width="10" bestFit="1" customWidth="1"/>
    <col min="15" max="15" width="19.375" bestFit="1" customWidth="1"/>
    <col min="16" max="16" width="6.125" bestFit="1" customWidth="1"/>
    <col min="17" max="18" width="8.75" bestFit="1" customWidth="1"/>
    <col min="19" max="19" width="19.875" bestFit="1" customWidth="1"/>
    <col min="20" max="20" width="4.875" bestFit="1" customWidth="1"/>
    <col min="21" max="23" width="6" bestFit="1" customWidth="1"/>
    <col min="24" max="24" width="7.375" bestFit="1" customWidth="1"/>
    <col min="25" max="28" width="10.125" bestFit="1" customWidth="1"/>
    <col min="29" max="30" width="10.125" customWidth="1"/>
    <col min="31" max="31" width="14.625" bestFit="1" customWidth="1"/>
    <col min="32" max="34" width="10.125" customWidth="1"/>
    <col min="35" max="35" width="17.875" bestFit="1" customWidth="1"/>
    <col min="36" max="36" width="12.125" bestFit="1" customWidth="1"/>
    <col min="37" max="37" width="13.25" bestFit="1" customWidth="1"/>
    <col min="38" max="38" width="12.375" bestFit="1" customWidth="1"/>
    <col min="39" max="39" width="12.375" customWidth="1"/>
    <col min="40" max="40" width="17.25" bestFit="1" customWidth="1"/>
    <col min="41" max="41" width="10.125" customWidth="1"/>
    <col min="42" max="42" width="19" bestFit="1" customWidth="1"/>
    <col min="43" max="43" width="17.75" bestFit="1" customWidth="1"/>
    <col min="44" max="54" width="17.75" customWidth="1"/>
    <col min="55" max="55" width="11" bestFit="1" customWidth="1"/>
    <col min="56" max="56" width="10.125" bestFit="1" customWidth="1"/>
    <col min="57" max="58" width="10.125" customWidth="1"/>
    <col min="59" max="59" width="10.125" bestFit="1" customWidth="1"/>
    <col min="60" max="60" width="8.625" bestFit="1" customWidth="1"/>
    <col min="61" max="61" width="18.625" bestFit="1" customWidth="1"/>
    <col min="62" max="64" width="10.125" bestFit="1" customWidth="1"/>
    <col min="65" max="65" width="6.25" bestFit="1" customWidth="1"/>
    <col min="66" max="66" width="6.125" bestFit="1" customWidth="1"/>
    <col min="67" max="67" width="7" bestFit="1" customWidth="1"/>
    <col min="68" max="68" width="10.25" customWidth="1"/>
    <col min="69" max="69" width="9" bestFit="1" customWidth="1"/>
    <col min="70" max="70" width="14.625" bestFit="1" customWidth="1"/>
    <col min="71" max="71" width="11.75" customWidth="1"/>
    <col min="72" max="85" width="10.625" customWidth="1"/>
    <col min="86" max="87" width="11.125" customWidth="1"/>
    <col min="88" max="88" width="14.125" customWidth="1"/>
    <col min="89" max="89" width="12.625" customWidth="1"/>
    <col min="90" max="90" width="3.625" bestFit="1" customWidth="1"/>
    <col min="91" max="91" width="10.625" customWidth="1"/>
    <col min="92" max="92" width="12.375" customWidth="1"/>
    <col min="93" max="93" width="6.125" bestFit="1" customWidth="1"/>
    <col min="94" max="94" width="8.125" bestFit="1" customWidth="1"/>
    <col min="95" max="95" width="10.125" bestFit="1" customWidth="1"/>
    <col min="96" max="96" width="9.625" bestFit="1" customWidth="1"/>
    <col min="97" max="97" width="10.125" bestFit="1" customWidth="1"/>
    <col min="98" max="98" width="9.375" bestFit="1" customWidth="1"/>
    <col min="99" max="99" width="10.125" bestFit="1" customWidth="1"/>
    <col min="100" max="100" width="10.875" bestFit="1" customWidth="1"/>
    <col min="101" max="101" width="10.125" bestFit="1" customWidth="1"/>
    <col min="102" max="102" width="8.875" bestFit="1" customWidth="1"/>
    <col min="103" max="103" width="10.125" bestFit="1" customWidth="1"/>
    <col min="104" max="104" width="17.75" bestFit="1" customWidth="1"/>
    <col min="105" max="105" width="11.875" customWidth="1"/>
    <col min="106" max="106" width="12.375" customWidth="1"/>
    <col min="107" max="107" width="17.875" bestFit="1" customWidth="1"/>
    <col min="108" max="109" width="10.125" customWidth="1"/>
    <col min="110" max="111" width="10.125" bestFit="1" customWidth="1"/>
    <col min="112" max="112" width="13.375" bestFit="1" customWidth="1"/>
    <col min="113" max="113" width="11.75" bestFit="1" customWidth="1"/>
    <col min="114" max="117" width="11.75" customWidth="1"/>
    <col min="118" max="118" width="15.75" bestFit="1" customWidth="1"/>
    <col min="119" max="119" width="10.875" bestFit="1" customWidth="1"/>
    <col min="120" max="120" width="10.125" bestFit="1" customWidth="1"/>
    <col min="121" max="121" width="8.75" bestFit="1" customWidth="1"/>
    <col min="122" max="124" width="8.75" customWidth="1"/>
    <col min="125" max="125" width="11.125" bestFit="1" customWidth="1"/>
    <col min="126" max="126" width="9.125" bestFit="1" customWidth="1"/>
    <col min="127" max="127" width="12.25" bestFit="1" customWidth="1"/>
    <col min="128" max="128" width="9.25" bestFit="1" customWidth="1"/>
    <col min="129" max="129" width="9.25" customWidth="1"/>
    <col min="130" max="130" width="8.375" bestFit="1" customWidth="1"/>
    <col min="131" max="133" width="12.75" customWidth="1"/>
    <col min="134" max="134" width="10.75" customWidth="1"/>
    <col min="135" max="135" width="5.375" bestFit="1" customWidth="1"/>
    <col min="136" max="136" width="13.25" customWidth="1"/>
    <col min="137" max="137" width="13.75" customWidth="1"/>
    <col min="138" max="138" width="12.25" bestFit="1" customWidth="1"/>
    <col min="139" max="139" width="17.875" bestFit="1" customWidth="1"/>
    <col min="140" max="140" width="10.875" bestFit="1" customWidth="1"/>
    <col min="141" max="141" width="10.875" customWidth="1"/>
    <col min="142" max="142" width="12.125" bestFit="1" customWidth="1"/>
    <col min="143" max="143" width="9.25" bestFit="1" customWidth="1"/>
    <col min="144" max="145" width="17.75" bestFit="1" customWidth="1"/>
    <col min="146" max="146" width="9.75" bestFit="1" customWidth="1"/>
    <col min="147" max="147" width="11.125" bestFit="1" customWidth="1"/>
    <col min="148" max="148" width="26.75" bestFit="1" customWidth="1"/>
    <col min="149" max="149" width="14.875" bestFit="1" customWidth="1"/>
    <col min="150" max="150" width="17.625" bestFit="1" customWidth="1"/>
    <col min="151" max="151" width="8.625" bestFit="1" customWidth="1"/>
    <col min="152" max="152" width="10" bestFit="1" customWidth="1"/>
    <col min="153" max="153" width="17.875" bestFit="1" customWidth="1"/>
    <col min="155" max="155" width="10.25" bestFit="1" customWidth="1"/>
    <col min="156" max="156" width="19.125" bestFit="1" customWidth="1"/>
    <col min="157" max="157" width="12.375" bestFit="1" customWidth="1"/>
    <col min="158" max="158" width="12.625" bestFit="1" customWidth="1"/>
    <col min="159" max="159" width="24" bestFit="1" customWidth="1"/>
    <col min="160" max="160" width="16" bestFit="1" customWidth="1"/>
    <col min="161" max="161" width="17.625" bestFit="1" customWidth="1"/>
    <col min="162" max="162" width="20" bestFit="1" customWidth="1"/>
    <col min="163" max="163" width="22.25" bestFit="1" customWidth="1"/>
    <col min="164" max="164" width="17.125" bestFit="1" customWidth="1"/>
    <col min="165" max="165" width="9.75" bestFit="1" customWidth="1"/>
    <col min="166" max="166" width="11.125" bestFit="1" customWidth="1"/>
    <col min="167" max="168" width="10" customWidth="1"/>
    <col min="169" max="169" width="10.25" bestFit="1" customWidth="1"/>
    <col min="170" max="170" width="12.375" bestFit="1" customWidth="1"/>
    <col min="171" max="171" width="36" bestFit="1" customWidth="1"/>
    <col min="172" max="173" width="36" customWidth="1"/>
    <col min="174" max="174" width="11.75" bestFit="1" customWidth="1"/>
    <col min="175" max="175" width="12.625" customWidth="1"/>
    <col min="176" max="176" width="24.625" bestFit="1" customWidth="1"/>
    <col min="177" max="177" width="13.375" customWidth="1"/>
    <col min="178" max="178" width="16.625" customWidth="1"/>
    <col min="179" max="180" width="10.125" customWidth="1"/>
    <col min="181" max="183" width="11.75" customWidth="1"/>
    <col min="184" max="185" width="12.625" customWidth="1"/>
    <col min="186" max="186" width="10.75" bestFit="1" customWidth="1"/>
    <col min="187" max="187" width="13.125" bestFit="1" customWidth="1"/>
    <col min="188" max="188" width="14" bestFit="1" customWidth="1"/>
    <col min="189" max="189" width="10.75" bestFit="1" customWidth="1"/>
    <col min="190" max="190" width="14.25" bestFit="1" customWidth="1"/>
    <col min="191" max="191" width="10.75" bestFit="1" customWidth="1"/>
    <col min="192" max="192" width="13.125" bestFit="1" customWidth="1"/>
    <col min="193" max="193" width="10.75" bestFit="1" customWidth="1"/>
    <col min="194" max="194" width="14" bestFit="1" customWidth="1"/>
    <col min="195" max="197" width="10.75" bestFit="1" customWidth="1"/>
    <col min="198" max="198" width="15.25" bestFit="1" customWidth="1"/>
    <col min="199" max="201" width="10.75" bestFit="1" customWidth="1"/>
    <col min="202" max="206" width="9.125" customWidth="1"/>
    <col min="207" max="207" width="10.125" bestFit="1" customWidth="1"/>
    <col min="208" max="208" width="15.125" bestFit="1" customWidth="1"/>
    <col min="209" max="209" width="15.125" customWidth="1"/>
    <col min="210" max="210" width="9" bestFit="1" customWidth="1"/>
    <col min="211" max="211" width="9" customWidth="1"/>
    <col min="212" max="212" width="13.75" bestFit="1" customWidth="1"/>
    <col min="213" max="213" width="8.75" bestFit="1" customWidth="1"/>
    <col min="214" max="214" width="8.75" customWidth="1"/>
    <col min="215" max="215" width="9.625" customWidth="1"/>
    <col min="216" max="216" width="9" customWidth="1"/>
    <col min="217" max="217" width="8.75" customWidth="1"/>
    <col min="218" max="218" width="9.875" bestFit="1" customWidth="1"/>
    <col min="219" max="219" width="8.625" bestFit="1" customWidth="1"/>
    <col min="220" max="223" width="8.625" customWidth="1"/>
    <col min="224" max="224" width="9.125" bestFit="1" customWidth="1"/>
    <col min="225" max="226" width="19.375" customWidth="1"/>
    <col min="227" max="228" width="14.375" customWidth="1"/>
    <col min="229" max="230" width="10" bestFit="1" customWidth="1"/>
    <col min="231" max="231" width="10.25" bestFit="1" customWidth="1"/>
    <col min="232" max="232" width="14.375" bestFit="1" customWidth="1"/>
    <col min="233" max="233" width="10.25" customWidth="1"/>
    <col min="234" max="234" width="13.75" customWidth="1"/>
    <col min="235" max="235" width="11" customWidth="1"/>
    <col min="236" max="236" width="17" bestFit="1" customWidth="1"/>
    <col min="237" max="237" width="21" bestFit="1" customWidth="1"/>
    <col min="238" max="238" width="23.375" bestFit="1" customWidth="1"/>
    <col min="239" max="239" width="23.375" customWidth="1"/>
    <col min="240" max="240" width="16.875" bestFit="1" customWidth="1"/>
    <col min="241" max="241" width="16.75" bestFit="1" customWidth="1"/>
    <col min="242" max="242" width="12" bestFit="1" customWidth="1"/>
    <col min="243" max="243" width="11.625" customWidth="1"/>
    <col min="244" max="244" width="10.125" bestFit="1" customWidth="1"/>
    <col min="245" max="246" width="10.125" customWidth="1"/>
    <col min="247" max="247" width="13.625" bestFit="1" customWidth="1"/>
    <col min="248" max="248" width="13.375" bestFit="1" customWidth="1"/>
    <col min="249" max="249" width="23.375" bestFit="1" customWidth="1"/>
    <col min="250" max="250" width="23.375" customWidth="1"/>
    <col min="251" max="251" width="10.625" bestFit="1" customWidth="1"/>
    <col min="252" max="252" width="13.875" bestFit="1" customWidth="1"/>
    <col min="253" max="253" width="13.875" customWidth="1"/>
    <col min="254" max="254" width="8.75" bestFit="1" customWidth="1"/>
    <col min="255" max="255" width="10.625" bestFit="1" customWidth="1"/>
    <col min="256" max="256" width="16.875" bestFit="1" customWidth="1"/>
    <col min="257" max="257" width="14.125" customWidth="1"/>
    <col min="258" max="258" width="11.125" customWidth="1"/>
    <col min="259" max="259" width="15.625" bestFit="1" customWidth="1"/>
    <col min="260" max="263" width="11.125" customWidth="1"/>
    <col min="264" max="264" width="10.25" bestFit="1" customWidth="1"/>
    <col min="265" max="267" width="11.125" customWidth="1"/>
    <col min="268" max="268" width="9.125" bestFit="1" customWidth="1"/>
    <col min="269" max="269" width="9.125" customWidth="1"/>
    <col min="270" max="274" width="9" customWidth="1"/>
    <col min="275" max="275" width="16.375" customWidth="1"/>
    <col min="276" max="279" width="16.125" customWidth="1"/>
    <col min="280" max="280" width="9.875" bestFit="1" customWidth="1"/>
    <col min="281" max="281" width="15.875" bestFit="1" customWidth="1"/>
    <col min="282" max="282" width="19.625" bestFit="1" customWidth="1"/>
    <col min="283" max="285" width="19.625" customWidth="1"/>
    <col min="286" max="286" width="13.125" customWidth="1"/>
    <col min="287" max="289" width="14.375" customWidth="1"/>
    <col min="290" max="297" width="10.75" customWidth="1"/>
    <col min="298" max="300" width="12" customWidth="1"/>
    <col min="301" max="302" width="16.625" customWidth="1"/>
    <col min="303" max="310" width="12" customWidth="1"/>
    <col min="311" max="314" width="13.125" customWidth="1"/>
    <col min="315" max="315" width="12.375" customWidth="1"/>
    <col min="316" max="316" width="14.875" bestFit="1" customWidth="1"/>
    <col min="317" max="317" width="13.125" customWidth="1"/>
    <col min="318" max="318" width="17.625" customWidth="1"/>
    <col min="319" max="322" width="13.125" customWidth="1"/>
    <col min="323" max="324" width="12" customWidth="1"/>
    <col min="325" max="331" width="13.125" customWidth="1"/>
    <col min="332" max="332" width="15" bestFit="1" customWidth="1"/>
    <col min="333" max="333" width="15.125" bestFit="1" customWidth="1"/>
    <col min="334" max="334" width="16" bestFit="1" customWidth="1"/>
    <col min="335" max="335" width="11" bestFit="1" customWidth="1"/>
    <col min="336" max="338" width="11" customWidth="1"/>
    <col min="339" max="339" width="10.25" customWidth="1"/>
    <col min="340" max="340" width="11" bestFit="1" customWidth="1"/>
    <col min="341" max="343" width="11" customWidth="1"/>
    <col min="344" max="344" width="9.625" bestFit="1" customWidth="1"/>
    <col min="345" max="345" width="13.125" bestFit="1" customWidth="1"/>
    <col min="346" max="346" width="9.625" bestFit="1" customWidth="1"/>
    <col min="347" max="351" width="9.625" customWidth="1"/>
    <col min="352" max="352" width="12.875" bestFit="1" customWidth="1"/>
    <col min="353" max="353" width="12.875" customWidth="1"/>
    <col min="354" max="354" width="9.625" bestFit="1" customWidth="1"/>
    <col min="355" max="355" width="12.25" bestFit="1" customWidth="1"/>
    <col min="356" max="356" width="9.125" bestFit="1" customWidth="1"/>
    <col min="357" max="357" width="11.75" bestFit="1" customWidth="1"/>
    <col min="358" max="358" width="11.25" bestFit="1" customWidth="1"/>
    <col min="359" max="364" width="11.25" customWidth="1"/>
    <col min="365" max="365" width="15.75" bestFit="1" customWidth="1"/>
    <col min="366" max="366" width="15.75" customWidth="1"/>
    <col min="367" max="367" width="10.875" bestFit="1" customWidth="1"/>
    <col min="368" max="368" width="10.875" customWidth="1"/>
    <col min="369" max="369" width="19.375" customWidth="1"/>
    <col min="370" max="371" width="10.875" customWidth="1"/>
    <col min="372" max="372" width="12.25" bestFit="1" customWidth="1"/>
    <col min="373" max="374" width="12.25" customWidth="1"/>
    <col min="375" max="388" width="10.875" customWidth="1"/>
    <col min="389" max="389" width="26.125" bestFit="1" customWidth="1"/>
    <col min="390" max="390" width="29.875" bestFit="1" customWidth="1"/>
    <col min="391" max="391" width="19.625" bestFit="1" customWidth="1"/>
    <col min="392" max="392" width="9.875" customWidth="1"/>
    <col min="393" max="393" width="9.125" bestFit="1" customWidth="1"/>
    <col min="394" max="394" width="10" customWidth="1"/>
    <col min="395" max="399" width="9.125" customWidth="1"/>
    <col min="400" max="400" width="13.625" bestFit="1" customWidth="1"/>
    <col min="401" max="401" width="9.125" customWidth="1"/>
    <col min="402" max="402" width="15" customWidth="1"/>
    <col min="403" max="403" width="17.625" bestFit="1" customWidth="1"/>
    <col min="404" max="404" width="20.25" bestFit="1" customWidth="1"/>
    <col min="405" max="405" width="20.25" customWidth="1"/>
    <col min="406" max="406" width="15.375" bestFit="1" customWidth="1"/>
    <col min="407" max="408" width="9.25" customWidth="1"/>
    <col min="409" max="409" width="9.125" customWidth="1"/>
    <col min="410" max="412" width="9.25" customWidth="1"/>
    <col min="413" max="413" width="13.625" bestFit="1" customWidth="1"/>
    <col min="414" max="415" width="9.25" customWidth="1"/>
    <col min="416" max="416" width="10.125" bestFit="1" customWidth="1"/>
    <col min="417" max="417" width="10.125" customWidth="1"/>
    <col min="418" max="418" width="10.625" bestFit="1" customWidth="1"/>
    <col min="419" max="419" width="9.25" customWidth="1"/>
    <col min="420" max="420" width="10.125" customWidth="1"/>
    <col min="421" max="429" width="9.25" customWidth="1"/>
    <col min="430" max="430" width="10.375" bestFit="1" customWidth="1"/>
    <col min="431" max="431" width="12" customWidth="1"/>
    <col min="432" max="432" width="12.25" customWidth="1"/>
    <col min="433" max="433" width="10.875" customWidth="1"/>
    <col min="434" max="441" width="11" customWidth="1"/>
    <col min="442" max="442" width="12.75" customWidth="1"/>
    <col min="443" max="443" width="14.875" bestFit="1" customWidth="1"/>
    <col min="444" max="453" width="14.875" customWidth="1"/>
    <col min="454" max="461" width="11.375" customWidth="1"/>
    <col min="462" max="462" width="12.75" customWidth="1"/>
    <col min="463" max="463" width="20.75" bestFit="1" customWidth="1"/>
    <col min="464" max="464" width="22.125" bestFit="1" customWidth="1"/>
    <col min="465" max="465" width="21.75" bestFit="1" customWidth="1"/>
    <col min="466" max="470" width="13" customWidth="1"/>
    <col min="471" max="471" width="17.625" bestFit="1" customWidth="1"/>
    <col min="472" max="472" width="25.25" bestFit="1" customWidth="1"/>
    <col min="473" max="473" width="22.375" bestFit="1" customWidth="1"/>
    <col min="474" max="474" width="26.75" bestFit="1" customWidth="1"/>
    <col min="475" max="475" width="22.375" customWidth="1"/>
    <col min="476" max="476" width="15.375" bestFit="1" customWidth="1"/>
    <col min="477" max="477" width="15.375" customWidth="1"/>
    <col min="478" max="478" width="18.25" customWidth="1"/>
    <col min="479" max="479" width="18.25" bestFit="1" customWidth="1"/>
    <col min="480" max="484" width="18.25" customWidth="1"/>
    <col min="485" max="485" width="19.625" bestFit="1" customWidth="1"/>
    <col min="486" max="486" width="19.625" customWidth="1"/>
    <col min="487" max="487" width="24" bestFit="1" customWidth="1"/>
    <col min="488" max="491" width="24" customWidth="1"/>
    <col min="492" max="492" width="21.375" bestFit="1" customWidth="1"/>
    <col min="493" max="493" width="21.375" customWidth="1"/>
    <col min="494" max="494" width="19.125" bestFit="1" customWidth="1"/>
    <col min="495" max="495" width="25.125" bestFit="1" customWidth="1"/>
    <col min="496" max="496" width="22.125" bestFit="1" customWidth="1"/>
    <col min="497" max="500" width="22.125" customWidth="1"/>
    <col min="501" max="501" width="25.875" bestFit="1" customWidth="1"/>
    <col min="502" max="502" width="15.625" bestFit="1" customWidth="1"/>
    <col min="503" max="509" width="15.625" customWidth="1"/>
    <col min="510" max="510" width="19.625" bestFit="1" customWidth="1"/>
    <col min="511" max="511" width="20.875" bestFit="1" customWidth="1"/>
    <col min="512" max="512" width="16.75" bestFit="1" customWidth="1"/>
    <col min="513" max="517" width="16.75" customWidth="1"/>
    <col min="518" max="518" width="17" bestFit="1" customWidth="1"/>
    <col min="519" max="519" width="17.625" bestFit="1" customWidth="1"/>
    <col min="520" max="521" width="17.625" customWidth="1"/>
    <col min="522" max="522" width="11.625" bestFit="1" customWidth="1"/>
    <col min="523" max="523" width="11" bestFit="1" customWidth="1"/>
    <col min="524" max="527" width="11" customWidth="1"/>
    <col min="528" max="528" width="21.25" bestFit="1" customWidth="1"/>
    <col min="529" max="529" width="20" bestFit="1" customWidth="1"/>
    <col min="530" max="530" width="17.875" bestFit="1" customWidth="1"/>
    <col min="531" max="531" width="19.125" bestFit="1" customWidth="1"/>
    <col min="532" max="532" width="21" bestFit="1" customWidth="1"/>
    <col min="533" max="533" width="17.375" bestFit="1" customWidth="1"/>
    <col min="534" max="535" width="17.375" customWidth="1"/>
    <col min="536" max="536" width="9.75" customWidth="1"/>
    <col min="537" max="537" width="10.375" customWidth="1"/>
    <col min="538" max="538" width="13.625" bestFit="1" customWidth="1"/>
    <col min="539" max="539" width="12.125" bestFit="1" customWidth="1"/>
    <col min="540" max="540" width="13.125" bestFit="1" customWidth="1"/>
    <col min="541" max="541" width="12.25" bestFit="1" customWidth="1"/>
    <col min="542" max="542" width="14.125" bestFit="1" customWidth="1"/>
    <col min="543" max="543" width="21.125" bestFit="1" customWidth="1"/>
    <col min="544" max="548" width="21.125" customWidth="1"/>
    <col min="549" max="549" width="18.625" bestFit="1" customWidth="1"/>
    <col min="550" max="550" width="16.25" bestFit="1" customWidth="1"/>
    <col min="551" max="551" width="16.25" customWidth="1"/>
    <col min="552" max="552" width="19.25" bestFit="1" customWidth="1"/>
    <col min="553" max="553" width="23" bestFit="1" customWidth="1"/>
    <col min="554" max="554" width="12.75" bestFit="1" customWidth="1"/>
    <col min="555" max="555" width="21" bestFit="1" customWidth="1"/>
    <col min="556" max="557" width="21" customWidth="1"/>
    <col min="558" max="559" width="22.25" customWidth="1"/>
    <col min="560" max="560" width="22.625" bestFit="1" customWidth="1"/>
    <col min="561" max="561" width="22.625" customWidth="1"/>
    <col min="562" max="567" width="21" customWidth="1"/>
    <col min="568" max="568" width="17.875" bestFit="1" customWidth="1"/>
    <col min="569" max="569" width="18.375" customWidth="1"/>
    <col min="570" max="570" width="18.375" bestFit="1" customWidth="1"/>
    <col min="571" max="571" width="18.375" customWidth="1"/>
    <col min="572" max="572" width="16.125" bestFit="1" customWidth="1"/>
    <col min="573" max="573" width="22.25" bestFit="1" customWidth="1"/>
    <col min="574" max="574" width="21.625" bestFit="1" customWidth="1"/>
    <col min="575" max="575" width="22.875" bestFit="1" customWidth="1"/>
    <col min="576" max="576" width="14.25" bestFit="1" customWidth="1"/>
    <col min="577" max="577" width="14.25" customWidth="1"/>
    <col min="578" max="578" width="10.125" bestFit="1" customWidth="1"/>
    <col min="579" max="582" width="10.125" customWidth="1"/>
    <col min="583" max="583" width="8.375" bestFit="1" customWidth="1"/>
    <col min="584" max="584" width="14.25" bestFit="1" customWidth="1"/>
    <col min="585" max="585" width="16.125" bestFit="1" customWidth="1"/>
    <col min="586" max="586" width="12.125" bestFit="1" customWidth="1"/>
    <col min="587" max="594" width="12.125" customWidth="1"/>
    <col min="595" max="595" width="8.75" bestFit="1" customWidth="1"/>
    <col min="596" max="596" width="14.25" bestFit="1" customWidth="1"/>
    <col min="597" max="598" width="11.875" customWidth="1"/>
    <col min="599" max="599" width="11.875" bestFit="1" customWidth="1"/>
    <col min="600" max="602" width="11.875" customWidth="1"/>
    <col min="603" max="603" width="11.875" bestFit="1" customWidth="1"/>
    <col min="604" max="607" width="9.625" customWidth="1"/>
    <col min="608" max="608" width="9.875" bestFit="1" customWidth="1"/>
    <col min="609" max="609" width="9.875" customWidth="1"/>
    <col min="610" max="610" width="11.125" bestFit="1" customWidth="1"/>
    <col min="611" max="618" width="11.125" customWidth="1"/>
    <col min="619" max="620" width="12.625" customWidth="1"/>
    <col min="621" max="621" width="11.625" bestFit="1" customWidth="1"/>
    <col min="622" max="622" width="10.625" bestFit="1" customWidth="1"/>
    <col min="623" max="623" width="14.625" bestFit="1" customWidth="1"/>
    <col min="624" max="624" width="9.75" bestFit="1" customWidth="1"/>
    <col min="625" max="626" width="15.125" bestFit="1" customWidth="1"/>
    <col min="627" max="627" width="16.125" bestFit="1" customWidth="1"/>
    <col min="628" max="628" width="14.875" bestFit="1" customWidth="1"/>
    <col min="629" max="629" width="16" bestFit="1" customWidth="1"/>
    <col min="630" max="630" width="15.875" bestFit="1" customWidth="1"/>
    <col min="631" max="632" width="16.875" bestFit="1" customWidth="1"/>
    <col min="633" max="633" width="19.75" bestFit="1" customWidth="1"/>
    <col min="634" max="634" width="19.75" customWidth="1"/>
    <col min="635" max="635" width="19.375" bestFit="1" customWidth="1"/>
    <col min="636" max="643" width="11.75" customWidth="1"/>
    <col min="644" max="645" width="16.625" bestFit="1" customWidth="1"/>
    <col min="646" max="646" width="17.75" bestFit="1" customWidth="1"/>
    <col min="647" max="647" width="21.375" bestFit="1" customWidth="1"/>
    <col min="648" max="648" width="18.375" bestFit="1" customWidth="1"/>
    <col min="649" max="649" width="23.875" bestFit="1" customWidth="1"/>
    <col min="650" max="652" width="12.125" bestFit="1" customWidth="1"/>
    <col min="653" max="653" width="12.125" customWidth="1"/>
    <col min="654" max="655" width="17.875" customWidth="1"/>
    <col min="656" max="656" width="9" bestFit="1" customWidth="1"/>
    <col min="657" max="657" width="9" customWidth="1"/>
    <col min="658" max="658" width="17.875" customWidth="1"/>
    <col min="659" max="659" width="9" bestFit="1" customWidth="1"/>
    <col min="660" max="665" width="17.875" customWidth="1"/>
    <col min="666" max="666" width="46.25" customWidth="1"/>
    <col min="667" max="668" width="34.875" customWidth="1"/>
    <col min="669" max="674" width="16.75" customWidth="1"/>
    <col min="675" max="675" width="7.375" bestFit="1" customWidth="1"/>
    <col min="676" max="676" width="7.75" bestFit="1" customWidth="1"/>
    <col min="677" max="677" width="9.75" bestFit="1" customWidth="1"/>
    <col min="678" max="678" width="9.625" bestFit="1" customWidth="1"/>
    <col min="679" max="680" width="7.75" bestFit="1" customWidth="1"/>
    <col min="682" max="682" width="9.875" bestFit="1" customWidth="1"/>
    <col min="683" max="683" width="10.125" bestFit="1" customWidth="1"/>
    <col min="684" max="684" width="10.125" customWidth="1"/>
    <col min="685" max="685" width="19.25" bestFit="1" customWidth="1"/>
    <col min="686" max="686" width="27.625" bestFit="1" customWidth="1"/>
    <col min="687" max="687" width="27" bestFit="1" customWidth="1"/>
    <col min="688" max="688" width="21" bestFit="1" customWidth="1"/>
    <col min="689" max="692" width="11" bestFit="1" customWidth="1"/>
    <col min="693" max="694" width="14.875" bestFit="1" customWidth="1"/>
    <col min="695" max="696" width="11" bestFit="1" customWidth="1"/>
    <col min="697" max="697" width="11" customWidth="1"/>
    <col min="698" max="701" width="15.25" customWidth="1"/>
    <col min="702" max="702" width="15.25" style="92" customWidth="1"/>
    <col min="703" max="706" width="15.25" customWidth="1"/>
  </cols>
  <sheetData>
    <row r="1" spans="1:706" s="26" customFormat="1" ht="13.6" x14ac:dyDescent="0.25">
      <c r="A1" s="4" t="s">
        <v>0</v>
      </c>
      <c r="B1" s="175" t="s">
        <v>263</v>
      </c>
      <c r="C1" s="175" t="s">
        <v>1</v>
      </c>
      <c r="D1" s="175" t="s">
        <v>2</v>
      </c>
      <c r="E1" s="176" t="s">
        <v>3</v>
      </c>
      <c r="F1" s="176" t="s">
        <v>379</v>
      </c>
      <c r="G1" s="176" t="s">
        <v>122</v>
      </c>
      <c r="H1" s="176" t="s">
        <v>234</v>
      </c>
      <c r="I1" s="176" t="s">
        <v>77</v>
      </c>
      <c r="J1" s="177" t="s">
        <v>4</v>
      </c>
      <c r="K1" s="177" t="s">
        <v>5</v>
      </c>
      <c r="L1" s="177"/>
      <c r="M1" s="177" t="s">
        <v>71</v>
      </c>
      <c r="N1" s="177" t="s">
        <v>72</v>
      </c>
      <c r="O1" s="177" t="s">
        <v>73</v>
      </c>
      <c r="P1" s="177" t="s">
        <v>102</v>
      </c>
      <c r="Q1" s="177" t="s">
        <v>103</v>
      </c>
      <c r="R1" s="177" t="s">
        <v>104</v>
      </c>
      <c r="S1" s="177" t="s">
        <v>105</v>
      </c>
      <c r="T1" s="177" t="s">
        <v>110</v>
      </c>
      <c r="U1" s="177" t="s">
        <v>8</v>
      </c>
      <c r="V1" s="177" t="s">
        <v>9</v>
      </c>
      <c r="W1" s="177" t="s">
        <v>106</v>
      </c>
      <c r="X1" s="177" t="s">
        <v>21</v>
      </c>
      <c r="Y1" s="177" t="s">
        <v>254</v>
      </c>
      <c r="Z1" s="177" t="s">
        <v>6</v>
      </c>
      <c r="AA1" s="177" t="s">
        <v>7</v>
      </c>
      <c r="AB1" s="177" t="s">
        <v>107</v>
      </c>
      <c r="AC1" s="177" t="s">
        <v>600</v>
      </c>
      <c r="AD1" s="177" t="s">
        <v>601</v>
      </c>
      <c r="AE1" s="177" t="s">
        <v>602</v>
      </c>
      <c r="AF1" s="177" t="s">
        <v>603</v>
      </c>
      <c r="AG1" s="177" t="s">
        <v>604</v>
      </c>
      <c r="AH1" s="177" t="s">
        <v>605</v>
      </c>
      <c r="AI1" s="177" t="s">
        <v>606</v>
      </c>
      <c r="AJ1" s="177" t="s">
        <v>607</v>
      </c>
      <c r="AK1" s="177" t="s">
        <v>608</v>
      </c>
      <c r="AL1" s="177" t="s">
        <v>609</v>
      </c>
      <c r="AM1" s="177"/>
      <c r="AN1" s="177" t="s">
        <v>610</v>
      </c>
      <c r="AO1" s="177" t="s">
        <v>611</v>
      </c>
      <c r="AP1" s="177" t="s">
        <v>612</v>
      </c>
      <c r="AQ1" s="177" t="s">
        <v>614</v>
      </c>
      <c r="AR1" s="177" t="s">
        <v>1213</v>
      </c>
      <c r="AS1" s="177" t="s">
        <v>1214</v>
      </c>
      <c r="AT1" s="177" t="s">
        <v>1215</v>
      </c>
      <c r="AU1" s="177" t="s">
        <v>1216</v>
      </c>
      <c r="AV1" s="177" t="s">
        <v>1217</v>
      </c>
      <c r="AW1" s="177" t="s">
        <v>1218</v>
      </c>
      <c r="AX1" s="177" t="s">
        <v>1219</v>
      </c>
      <c r="AY1" s="177" t="s">
        <v>1220</v>
      </c>
      <c r="AZ1" s="177" t="s">
        <v>1221</v>
      </c>
      <c r="BA1" s="177" t="s">
        <v>1222</v>
      </c>
      <c r="BB1" s="177" t="s">
        <v>1223</v>
      </c>
      <c r="BC1" s="177" t="s">
        <v>19</v>
      </c>
      <c r="BD1" s="177" t="s">
        <v>22</v>
      </c>
      <c r="BE1" s="177" t="s">
        <v>1224</v>
      </c>
      <c r="BF1" s="177" t="s">
        <v>1225</v>
      </c>
      <c r="BG1" s="177" t="s">
        <v>23</v>
      </c>
      <c r="BH1" s="177" t="s">
        <v>117</v>
      </c>
      <c r="BI1" s="177" t="s">
        <v>867</v>
      </c>
      <c r="BJ1" s="177" t="s">
        <v>126</v>
      </c>
      <c r="BK1" s="177" t="s">
        <v>75</v>
      </c>
      <c r="BL1" s="177" t="s">
        <v>108</v>
      </c>
      <c r="BM1" s="177" t="s">
        <v>109</v>
      </c>
      <c r="BN1" s="177" t="s">
        <v>259</v>
      </c>
      <c r="BO1" s="177" t="s">
        <v>260</v>
      </c>
      <c r="BP1" s="177" t="s">
        <v>1022</v>
      </c>
      <c r="BQ1" s="177" t="s">
        <v>695</v>
      </c>
      <c r="BR1" s="177" t="s">
        <v>697</v>
      </c>
      <c r="BS1" s="177" t="s">
        <v>698</v>
      </c>
      <c r="BT1" s="177" t="s">
        <v>692</v>
      </c>
      <c r="BU1" s="177"/>
      <c r="BV1" s="177"/>
      <c r="BW1" s="177"/>
      <c r="BX1" s="177"/>
      <c r="BY1" s="177"/>
      <c r="BZ1" s="177"/>
      <c r="CA1" s="177"/>
      <c r="CB1" s="177"/>
      <c r="CC1" s="177"/>
      <c r="CD1" s="177"/>
      <c r="CE1" s="177"/>
      <c r="CF1" s="177"/>
      <c r="CG1" s="177"/>
      <c r="CH1" s="177"/>
      <c r="CI1" s="177" t="s">
        <v>1226</v>
      </c>
      <c r="CJ1" s="177" t="s">
        <v>1227</v>
      </c>
      <c r="CK1" s="177" t="s">
        <v>883</v>
      </c>
      <c r="CL1" s="177" t="s">
        <v>70</v>
      </c>
      <c r="CM1" s="177" t="s">
        <v>1228</v>
      </c>
      <c r="CN1" s="177" t="s">
        <v>34</v>
      </c>
      <c r="CO1" s="177" t="s">
        <v>35</v>
      </c>
      <c r="CP1" s="177" t="s">
        <v>144</v>
      </c>
      <c r="CQ1" s="177" t="s">
        <v>96</v>
      </c>
      <c r="CR1" s="177" t="s">
        <v>41</v>
      </c>
      <c r="CS1" s="177" t="s">
        <v>127</v>
      </c>
      <c r="CT1" s="177" t="s">
        <v>142</v>
      </c>
      <c r="CU1" s="177" t="s">
        <v>95</v>
      </c>
      <c r="CV1" s="177" t="s">
        <v>39</v>
      </c>
      <c r="CW1" s="177" t="s">
        <v>143</v>
      </c>
      <c r="CX1" s="177" t="s">
        <v>36</v>
      </c>
      <c r="CY1" s="177" t="s">
        <v>37</v>
      </c>
      <c r="CZ1" s="177" t="s">
        <v>56</v>
      </c>
      <c r="DA1" s="177"/>
      <c r="DB1" s="177"/>
      <c r="DC1" s="177" t="s">
        <v>135</v>
      </c>
      <c r="DD1" s="177" t="s">
        <v>868</v>
      </c>
      <c r="DE1" s="177"/>
      <c r="DF1" s="177" t="s">
        <v>136</v>
      </c>
      <c r="DG1" s="177" t="s">
        <v>208</v>
      </c>
      <c r="DH1" s="177" t="s">
        <v>301</v>
      </c>
      <c r="DI1" s="177"/>
      <c r="DJ1" s="177" t="s">
        <v>1229</v>
      </c>
      <c r="DK1" s="177" t="s">
        <v>1230</v>
      </c>
      <c r="DL1" s="177" t="s">
        <v>1231</v>
      </c>
      <c r="DM1" s="177" t="s">
        <v>2771</v>
      </c>
      <c r="DN1" s="177" t="s">
        <v>128</v>
      </c>
      <c r="DO1" s="177" t="s">
        <v>40</v>
      </c>
      <c r="DP1" s="177" t="s">
        <v>38</v>
      </c>
      <c r="DQ1" s="177" t="s">
        <v>93</v>
      </c>
      <c r="DR1" s="177"/>
      <c r="DS1" s="177" t="s">
        <v>679</v>
      </c>
      <c r="DT1" s="177" t="s">
        <v>1014</v>
      </c>
      <c r="DU1" s="177" t="s">
        <v>64</v>
      </c>
      <c r="DV1" s="177" t="s">
        <v>65</v>
      </c>
      <c r="DW1" s="178" t="s">
        <v>1232</v>
      </c>
      <c r="DX1" s="177" t="s">
        <v>179</v>
      </c>
      <c r="DY1" s="177" t="s">
        <v>845</v>
      </c>
      <c r="DZ1" s="177" t="s">
        <v>192</v>
      </c>
      <c r="EA1" s="178" t="s">
        <v>1489</v>
      </c>
      <c r="EB1" s="178" t="s">
        <v>1490</v>
      </c>
      <c r="EC1" s="178" t="s">
        <v>1491</v>
      </c>
      <c r="ED1" s="178" t="s">
        <v>1492</v>
      </c>
      <c r="EE1" s="177" t="s">
        <v>46</v>
      </c>
      <c r="EF1" s="177" t="s">
        <v>1233</v>
      </c>
      <c r="EG1" s="177" t="s">
        <v>42</v>
      </c>
      <c r="EH1" s="177" t="s">
        <v>43</v>
      </c>
      <c r="EI1" s="177" t="s">
        <v>44</v>
      </c>
      <c r="EJ1" s="177" t="s">
        <v>1493</v>
      </c>
      <c r="EK1" s="177" t="s">
        <v>67</v>
      </c>
      <c r="EL1" s="177" t="s">
        <v>68</v>
      </c>
      <c r="EM1" s="177" t="s">
        <v>63</v>
      </c>
      <c r="EN1" s="177" t="s">
        <v>113</v>
      </c>
      <c r="EO1" s="177" t="s">
        <v>268</v>
      </c>
      <c r="EP1" s="177" t="s">
        <v>101</v>
      </c>
      <c r="EQ1" s="177" t="s">
        <v>269</v>
      </c>
      <c r="ER1" s="177" t="s">
        <v>590</v>
      </c>
      <c r="ES1" s="177" t="s">
        <v>599</v>
      </c>
      <c r="ET1" s="177" t="s">
        <v>24</v>
      </c>
      <c r="EU1" s="177" t="s">
        <v>26</v>
      </c>
      <c r="EV1" s="177" t="s">
        <v>28</v>
      </c>
      <c r="EW1" s="177" t="s">
        <v>25</v>
      </c>
      <c r="EX1" s="177" t="s">
        <v>27</v>
      </c>
      <c r="EY1" s="177" t="s">
        <v>29</v>
      </c>
      <c r="EZ1" s="177" t="s">
        <v>488</v>
      </c>
      <c r="FA1" s="177" t="s">
        <v>598</v>
      </c>
      <c r="FB1" s="177" t="s">
        <v>489</v>
      </c>
      <c r="FC1" s="177" t="s">
        <v>506</v>
      </c>
      <c r="FD1" s="177" t="s">
        <v>507</v>
      </c>
      <c r="FE1" s="177" t="s">
        <v>508</v>
      </c>
      <c r="FF1" s="177" t="s">
        <v>681</v>
      </c>
      <c r="FG1" s="177" t="s">
        <v>682</v>
      </c>
      <c r="FH1" s="177" t="s">
        <v>30</v>
      </c>
      <c r="FI1" s="177" t="s">
        <v>32</v>
      </c>
      <c r="FJ1" s="177" t="s">
        <v>33</v>
      </c>
      <c r="FK1" s="177" t="s">
        <v>270</v>
      </c>
      <c r="FL1" s="177"/>
      <c r="FM1" s="177" t="s">
        <v>271</v>
      </c>
      <c r="FN1" s="177" t="s">
        <v>277</v>
      </c>
      <c r="FO1" s="177" t="s">
        <v>276</v>
      </c>
      <c r="FP1" s="177" t="s">
        <v>1112</v>
      </c>
      <c r="FQ1" s="177" t="s">
        <v>1234</v>
      </c>
      <c r="FR1" s="177" t="s">
        <v>1235</v>
      </c>
      <c r="FS1" s="177" t="s">
        <v>1494</v>
      </c>
      <c r="FT1" s="177" t="s">
        <v>1237</v>
      </c>
      <c r="FU1" s="177" t="s">
        <v>1495</v>
      </c>
      <c r="FV1" s="177" t="s">
        <v>1496</v>
      </c>
      <c r="FW1" s="177" t="s">
        <v>1497</v>
      </c>
      <c r="FX1" s="177" t="s">
        <v>1498</v>
      </c>
      <c r="FY1" s="177"/>
      <c r="FZ1" s="177"/>
      <c r="GA1" s="177" t="s">
        <v>1055</v>
      </c>
      <c r="GB1" s="177"/>
      <c r="GC1" s="177" t="s">
        <v>1070</v>
      </c>
      <c r="GD1" s="177"/>
      <c r="GE1" s="177" t="s">
        <v>47</v>
      </c>
      <c r="GF1" s="177" t="s">
        <v>48</v>
      </c>
      <c r="GG1" s="177" t="s">
        <v>814</v>
      </c>
      <c r="GH1" s="177" t="s">
        <v>284</v>
      </c>
      <c r="GI1" s="177" t="s">
        <v>216</v>
      </c>
      <c r="GJ1" s="177" t="s">
        <v>57</v>
      </c>
      <c r="GK1" s="177" t="s">
        <v>492</v>
      </c>
      <c r="GL1" s="177" t="s">
        <v>58</v>
      </c>
      <c r="GM1" s="177" t="s">
        <v>183</v>
      </c>
      <c r="GN1" s="177"/>
      <c r="GO1" s="177" t="s">
        <v>187</v>
      </c>
      <c r="GP1" s="177" t="s">
        <v>49</v>
      </c>
      <c r="GQ1" s="177"/>
      <c r="GR1" s="177" t="s">
        <v>190</v>
      </c>
      <c r="GS1" s="177"/>
      <c r="GT1" s="177"/>
      <c r="GU1" s="177" t="s">
        <v>866</v>
      </c>
      <c r="GV1" s="177" t="s">
        <v>1499</v>
      </c>
      <c r="GW1" s="177" t="s">
        <v>1500</v>
      </c>
      <c r="GX1" s="177" t="s">
        <v>1501</v>
      </c>
      <c r="GY1" s="177"/>
      <c r="GZ1" s="177"/>
      <c r="HA1" s="177" t="s">
        <v>1502</v>
      </c>
      <c r="HB1" s="177"/>
      <c r="HC1" s="177"/>
      <c r="HD1" s="177" t="s">
        <v>257</v>
      </c>
      <c r="HE1" s="177" t="s">
        <v>194</v>
      </c>
      <c r="HF1" s="177"/>
      <c r="HG1" s="177" t="s">
        <v>195</v>
      </c>
      <c r="HH1" s="177" t="s">
        <v>196</v>
      </c>
      <c r="HI1" s="177"/>
      <c r="HJ1" s="177" t="s">
        <v>253</v>
      </c>
      <c r="HK1" s="177" t="s">
        <v>197</v>
      </c>
      <c r="HL1" s="177"/>
      <c r="HM1" s="177"/>
      <c r="HN1" s="177" t="s">
        <v>474</v>
      </c>
      <c r="HO1" s="177"/>
      <c r="HP1" s="177" t="s">
        <v>595</v>
      </c>
      <c r="HQ1" s="177" t="s">
        <v>1503</v>
      </c>
      <c r="HR1" s="177" t="s">
        <v>1504</v>
      </c>
      <c r="HS1" s="177" t="s">
        <v>97</v>
      </c>
      <c r="HT1" s="177" t="s">
        <v>1505</v>
      </c>
      <c r="HU1" s="177" t="s">
        <v>239</v>
      </c>
      <c r="HV1" s="177" t="s">
        <v>240</v>
      </c>
      <c r="HW1" s="177" t="s">
        <v>313</v>
      </c>
      <c r="HX1" s="466" t="s">
        <v>1506</v>
      </c>
      <c r="HY1" s="466" t="s">
        <v>1507</v>
      </c>
      <c r="HZ1" s="179" t="s">
        <v>79</v>
      </c>
      <c r="IA1" s="179" t="s">
        <v>80</v>
      </c>
      <c r="IB1" s="179" t="s">
        <v>227</v>
      </c>
      <c r="IC1" s="178" t="s">
        <v>1247</v>
      </c>
      <c r="ID1" s="177" t="s">
        <v>2316</v>
      </c>
      <c r="IE1" s="177" t="s">
        <v>2749</v>
      </c>
      <c r="IF1" s="177" t="s">
        <v>539</v>
      </c>
      <c r="IG1" s="177" t="s">
        <v>178</v>
      </c>
      <c r="IH1" s="177" t="s">
        <v>1508</v>
      </c>
      <c r="II1" s="177" t="s">
        <v>206</v>
      </c>
      <c r="IJ1" s="177" t="s">
        <v>625</v>
      </c>
      <c r="IK1" s="178" t="s">
        <v>1509</v>
      </c>
      <c r="IL1" s="177" t="s">
        <v>289</v>
      </c>
      <c r="IM1" s="177" t="s">
        <v>290</v>
      </c>
      <c r="IN1" s="177" t="s">
        <v>768</v>
      </c>
      <c r="IO1" s="177" t="s">
        <v>2317</v>
      </c>
      <c r="IP1" s="177" t="s">
        <v>1049</v>
      </c>
      <c r="IQ1" s="177" t="s">
        <v>410</v>
      </c>
      <c r="IR1" s="177" t="s">
        <v>225</v>
      </c>
      <c r="IS1" s="177" t="s">
        <v>314</v>
      </c>
      <c r="IT1" s="177"/>
      <c r="IU1" s="177" t="s">
        <v>213</v>
      </c>
      <c r="IV1" s="178"/>
      <c r="IW1" s="178"/>
      <c r="IX1" s="177" t="s">
        <v>513</v>
      </c>
      <c r="IY1" s="178"/>
      <c r="IZ1" s="178" t="s">
        <v>517</v>
      </c>
      <c r="JA1" s="178"/>
      <c r="JB1" s="177" t="s">
        <v>521</v>
      </c>
      <c r="JC1" s="177"/>
      <c r="JD1" s="178" t="s">
        <v>523</v>
      </c>
      <c r="JE1" s="178"/>
      <c r="JF1" s="467"/>
      <c r="JG1" s="177" t="s">
        <v>527</v>
      </c>
      <c r="JH1" s="177" t="s">
        <v>182</v>
      </c>
      <c r="JI1" s="467"/>
      <c r="JJ1" s="177" t="s">
        <v>596</v>
      </c>
      <c r="JK1" s="467"/>
      <c r="JL1" s="177" t="s">
        <v>597</v>
      </c>
      <c r="JM1" s="467"/>
      <c r="JN1" s="177" t="s">
        <v>531</v>
      </c>
      <c r="JO1" s="177" t="s">
        <v>403</v>
      </c>
      <c r="JP1" s="177" t="s">
        <v>191</v>
      </c>
      <c r="JQ1" s="177" t="s">
        <v>2172</v>
      </c>
      <c r="JR1" s="177" t="s">
        <v>2173</v>
      </c>
      <c r="JS1" s="177" t="s">
        <v>2174</v>
      </c>
      <c r="JT1" s="177" t="s">
        <v>207</v>
      </c>
      <c r="JU1" s="177" t="s">
        <v>325</v>
      </c>
      <c r="JV1" s="178" t="s">
        <v>224</v>
      </c>
      <c r="JW1" s="178" t="s">
        <v>326</v>
      </c>
      <c r="JX1" s="178" t="s">
        <v>1050</v>
      </c>
      <c r="JY1" s="178" t="s">
        <v>262</v>
      </c>
      <c r="JZ1" s="177"/>
      <c r="KA1" s="177"/>
      <c r="KB1" s="177"/>
      <c r="KC1" s="177"/>
      <c r="KD1" s="177" t="s">
        <v>1510</v>
      </c>
      <c r="KE1" s="177" t="s">
        <v>1511</v>
      </c>
      <c r="KF1" s="177"/>
      <c r="KG1" s="177"/>
      <c r="KH1" s="177" t="s">
        <v>1512</v>
      </c>
      <c r="KI1" s="177" t="s">
        <v>1513</v>
      </c>
      <c r="KJ1" s="177"/>
      <c r="KK1" s="177" t="s">
        <v>1514</v>
      </c>
      <c r="KL1" s="177" t="s">
        <v>1515</v>
      </c>
      <c r="KM1" s="177" t="s">
        <v>1516</v>
      </c>
      <c r="KN1" s="177"/>
      <c r="KO1" s="177"/>
      <c r="KP1" s="177"/>
      <c r="KQ1" s="177" t="s">
        <v>1517</v>
      </c>
      <c r="KR1" s="177" t="s">
        <v>1518</v>
      </c>
      <c r="KS1" s="177" t="s">
        <v>1519</v>
      </c>
      <c r="KT1" s="177" t="s">
        <v>1520</v>
      </c>
      <c r="KU1" s="177" t="s">
        <v>1521</v>
      </c>
      <c r="KV1" s="177" t="s">
        <v>1522</v>
      </c>
      <c r="KW1" s="177" t="s">
        <v>1523</v>
      </c>
      <c r="KX1" s="177" t="s">
        <v>1524</v>
      </c>
      <c r="KY1" s="177" t="s">
        <v>1525</v>
      </c>
      <c r="KZ1" s="177" t="s">
        <v>1526</v>
      </c>
      <c r="LA1" s="177" t="s">
        <v>238</v>
      </c>
      <c r="LB1" s="177" t="s">
        <v>1527</v>
      </c>
      <c r="LC1" s="466" t="s">
        <v>1528</v>
      </c>
      <c r="LD1" s="466" t="s">
        <v>1529</v>
      </c>
      <c r="LE1" s="177" t="s">
        <v>1530</v>
      </c>
      <c r="LF1" s="177" t="s">
        <v>1531</v>
      </c>
      <c r="LG1" s="177" t="s">
        <v>1532</v>
      </c>
      <c r="LH1" s="177" t="s">
        <v>1533</v>
      </c>
      <c r="LI1" s="177" t="s">
        <v>1534</v>
      </c>
      <c r="LJ1" s="177" t="s">
        <v>1535</v>
      </c>
      <c r="LK1" s="177" t="s">
        <v>1536</v>
      </c>
      <c r="LL1" s="177" t="s">
        <v>1537</v>
      </c>
      <c r="LM1" s="177" t="s">
        <v>1538</v>
      </c>
      <c r="LN1" s="177" t="s">
        <v>1539</v>
      </c>
      <c r="LO1" s="177" t="s">
        <v>1540</v>
      </c>
      <c r="LP1" s="177" t="s">
        <v>1541</v>
      </c>
      <c r="LQ1" s="177" t="s">
        <v>1542</v>
      </c>
      <c r="LR1" s="177"/>
      <c r="LS1" s="177"/>
      <c r="LT1" s="177" t="s">
        <v>159</v>
      </c>
      <c r="LU1" s="177" t="s">
        <v>444</v>
      </c>
      <c r="LV1" s="177" t="s">
        <v>443</v>
      </c>
      <c r="LW1" s="177" t="s">
        <v>62</v>
      </c>
      <c r="LX1" s="177"/>
      <c r="LY1" s="177"/>
      <c r="LZ1" s="177" t="s">
        <v>346</v>
      </c>
      <c r="MA1" s="177" t="s">
        <v>312</v>
      </c>
      <c r="MB1" s="177" t="s">
        <v>150</v>
      </c>
      <c r="MC1" s="177" t="s">
        <v>2175</v>
      </c>
      <c r="MD1" s="177" t="s">
        <v>2176</v>
      </c>
      <c r="ME1" s="177" t="s">
        <v>2177</v>
      </c>
      <c r="MF1" s="177" t="s">
        <v>541</v>
      </c>
      <c r="MG1" s="177" t="s">
        <v>151</v>
      </c>
      <c r="MH1" s="177" t="s">
        <v>878</v>
      </c>
      <c r="MI1" s="177"/>
      <c r="MJ1" s="177" t="s">
        <v>877</v>
      </c>
      <c r="MK1" s="177"/>
      <c r="ML1" s="177" t="s">
        <v>876</v>
      </c>
      <c r="MM1" s="177"/>
      <c r="MN1" s="177" t="s">
        <v>153</v>
      </c>
      <c r="MO1" s="177"/>
      <c r="MP1" s="177" t="s">
        <v>302</v>
      </c>
      <c r="MQ1" s="177"/>
      <c r="MR1" s="177"/>
      <c r="MS1" s="177" t="s">
        <v>305</v>
      </c>
      <c r="MT1" s="177" t="s">
        <v>311</v>
      </c>
      <c r="MU1" s="177" t="s">
        <v>1543</v>
      </c>
      <c r="MV1" s="177"/>
      <c r="MW1" s="177"/>
      <c r="MX1" s="177" t="s">
        <v>303</v>
      </c>
      <c r="MY1" s="177" t="s">
        <v>304</v>
      </c>
      <c r="MZ1" s="177"/>
      <c r="NA1" s="177" t="s">
        <v>154</v>
      </c>
      <c r="NB1" s="177"/>
      <c r="NC1" s="180" t="s">
        <v>330</v>
      </c>
      <c r="ND1" s="180" t="s">
        <v>1544</v>
      </c>
      <c r="NE1" s="180" t="s">
        <v>1545</v>
      </c>
      <c r="NF1" s="180" t="s">
        <v>1546</v>
      </c>
      <c r="NG1" s="180" t="s">
        <v>1547</v>
      </c>
      <c r="NH1" s="180" t="s">
        <v>1548</v>
      </c>
      <c r="NI1" s="180" t="s">
        <v>1549</v>
      </c>
      <c r="NJ1" s="180" t="s">
        <v>1550</v>
      </c>
      <c r="NK1" s="180"/>
      <c r="NL1" s="180"/>
      <c r="NM1" s="180"/>
      <c r="NN1" s="180"/>
      <c r="NO1" s="180"/>
      <c r="NP1" s="180" t="s">
        <v>1551</v>
      </c>
      <c r="NQ1" s="180" t="s">
        <v>1552</v>
      </c>
      <c r="NR1" s="180" t="s">
        <v>1553</v>
      </c>
      <c r="NS1" s="180" t="s">
        <v>1554</v>
      </c>
      <c r="NT1" s="180"/>
      <c r="NU1" s="180" t="s">
        <v>1555</v>
      </c>
      <c r="NV1" s="180" t="s">
        <v>1556</v>
      </c>
      <c r="NW1" s="180" t="s">
        <v>1557</v>
      </c>
      <c r="NX1" s="180" t="s">
        <v>1558</v>
      </c>
      <c r="NY1" s="177" t="s">
        <v>98</v>
      </c>
      <c r="NZ1" s="177" t="s">
        <v>99</v>
      </c>
      <c r="OA1" s="177" t="s">
        <v>332</v>
      </c>
      <c r="OB1" s="177" t="s">
        <v>1559</v>
      </c>
      <c r="OC1" s="177" t="s">
        <v>718</v>
      </c>
      <c r="OD1" s="177" t="s">
        <v>1151</v>
      </c>
      <c r="OE1" s="177" t="s">
        <v>1156</v>
      </c>
      <c r="OF1" s="177" t="s">
        <v>1073</v>
      </c>
      <c r="OG1" s="177" t="s">
        <v>2178</v>
      </c>
      <c r="OH1" s="177" t="s">
        <v>2179</v>
      </c>
      <c r="OI1" s="177" t="s">
        <v>1260</v>
      </c>
      <c r="OJ1" s="177" t="s">
        <v>899</v>
      </c>
      <c r="OK1" s="177" t="s">
        <v>1011</v>
      </c>
      <c r="OL1" s="177" t="s">
        <v>1006</v>
      </c>
      <c r="OM1" s="177" t="s">
        <v>1157</v>
      </c>
      <c r="ON1" s="177" t="s">
        <v>1007</v>
      </c>
      <c r="OO1" s="177" t="s">
        <v>1158</v>
      </c>
      <c r="OP1" s="177" t="s">
        <v>1008</v>
      </c>
      <c r="OQ1" s="177" t="s">
        <v>714</v>
      </c>
      <c r="OR1" s="177" t="s">
        <v>1078</v>
      </c>
      <c r="OS1" s="177" t="s">
        <v>1079</v>
      </c>
      <c r="OT1" s="177" t="s">
        <v>926</v>
      </c>
      <c r="OU1" s="177" t="s">
        <v>94</v>
      </c>
      <c r="OV1" s="177"/>
      <c r="OW1" s="177" t="s">
        <v>734</v>
      </c>
      <c r="OX1" s="177" t="s">
        <v>884</v>
      </c>
      <c r="OY1" s="177" t="s">
        <v>91</v>
      </c>
      <c r="OZ1" s="177" t="s">
        <v>742</v>
      </c>
      <c r="PA1" s="177" t="s">
        <v>1080</v>
      </c>
      <c r="PB1" s="177" t="s">
        <v>743</v>
      </c>
      <c r="PC1" s="177" t="s">
        <v>92</v>
      </c>
      <c r="PD1" s="177" t="s">
        <v>1560</v>
      </c>
      <c r="PE1" s="177"/>
      <c r="PF1" s="177" t="s">
        <v>745</v>
      </c>
      <c r="PG1" s="177" t="s">
        <v>746</v>
      </c>
      <c r="PH1" s="177" t="s">
        <v>1561</v>
      </c>
      <c r="PI1" s="177" t="s">
        <v>1562</v>
      </c>
      <c r="PJ1" s="177" t="s">
        <v>749</v>
      </c>
      <c r="PK1" s="177" t="s">
        <v>1081</v>
      </c>
      <c r="PL1" s="177" t="s">
        <v>750</v>
      </c>
      <c r="PM1" s="177" t="s">
        <v>862</v>
      </c>
      <c r="PN1" s="177" t="s">
        <v>753</v>
      </c>
      <c r="PO1" s="181" t="s">
        <v>863</v>
      </c>
      <c r="PP1" s="181"/>
      <c r="PQ1" s="181" t="s">
        <v>853</v>
      </c>
      <c r="PR1" s="181" t="s">
        <v>854</v>
      </c>
      <c r="PS1" s="181" t="s">
        <v>855</v>
      </c>
      <c r="PT1" s="181" t="s">
        <v>861</v>
      </c>
      <c r="PU1" s="181" t="s">
        <v>856</v>
      </c>
      <c r="PV1" s="177" t="s">
        <v>858</v>
      </c>
      <c r="PW1" s="177"/>
      <c r="PX1" s="177" t="s">
        <v>1563</v>
      </c>
      <c r="PY1" s="177" t="s">
        <v>1564</v>
      </c>
      <c r="PZ1" s="177" t="s">
        <v>1565</v>
      </c>
      <c r="QA1" s="177" t="s">
        <v>1566</v>
      </c>
      <c r="QB1" s="177" t="s">
        <v>1567</v>
      </c>
      <c r="QC1" s="177"/>
      <c r="QD1" s="177"/>
      <c r="QE1" s="177"/>
      <c r="QF1" s="177"/>
      <c r="QG1" s="177"/>
      <c r="QH1" s="177"/>
      <c r="QI1" s="177" t="s">
        <v>1568</v>
      </c>
      <c r="QJ1" s="177" t="s">
        <v>1569</v>
      </c>
      <c r="QK1" s="177" t="s">
        <v>752</v>
      </c>
      <c r="QL1" s="177" t="s">
        <v>906</v>
      </c>
      <c r="QM1" s="177" t="s">
        <v>907</v>
      </c>
      <c r="QN1" s="177" t="s">
        <v>908</v>
      </c>
      <c r="QO1" s="177" t="s">
        <v>909</v>
      </c>
      <c r="QP1" s="177" t="s">
        <v>918</v>
      </c>
      <c r="QQ1" s="177" t="s">
        <v>922</v>
      </c>
      <c r="QR1" s="177" t="s">
        <v>923</v>
      </c>
      <c r="QS1" s="177" t="s">
        <v>925</v>
      </c>
      <c r="QT1" s="177" t="s">
        <v>852</v>
      </c>
      <c r="QU1" s="177" t="s">
        <v>756</v>
      </c>
      <c r="QV1" s="177" t="s">
        <v>757</v>
      </c>
      <c r="QW1" s="177" t="s">
        <v>760</v>
      </c>
      <c r="QX1" s="177" t="s">
        <v>927</v>
      </c>
      <c r="QY1" s="177" t="s">
        <v>2180</v>
      </c>
      <c r="QZ1" s="177" t="s">
        <v>2181</v>
      </c>
      <c r="RA1" s="177" t="s">
        <v>2182</v>
      </c>
      <c r="RB1" s="177"/>
      <c r="RC1" s="177" t="s">
        <v>1570</v>
      </c>
      <c r="RD1" s="177" t="s">
        <v>788</v>
      </c>
      <c r="RE1" s="177" t="s">
        <v>789</v>
      </c>
      <c r="RF1" s="177" t="s">
        <v>1571</v>
      </c>
      <c r="RG1" s="177" t="s">
        <v>1572</v>
      </c>
      <c r="RH1" s="177" t="s">
        <v>790</v>
      </c>
      <c r="RI1" s="177" t="s">
        <v>1135</v>
      </c>
      <c r="RJ1" s="177"/>
      <c r="RK1" s="177"/>
      <c r="RL1" s="177"/>
      <c r="RM1" s="177"/>
      <c r="RN1" s="177"/>
      <c r="RO1" s="177"/>
      <c r="RP1" s="177" t="s">
        <v>791</v>
      </c>
      <c r="RQ1" s="177" t="s">
        <v>1573</v>
      </c>
      <c r="RR1" s="177"/>
      <c r="RS1" s="177" t="s">
        <v>82</v>
      </c>
      <c r="RT1" s="177" t="s">
        <v>81</v>
      </c>
      <c r="RU1" s="177" t="s">
        <v>2183</v>
      </c>
      <c r="RV1" s="177" t="s">
        <v>2184</v>
      </c>
      <c r="RW1" s="177" t="s">
        <v>2185</v>
      </c>
      <c r="RX1" s="177" t="s">
        <v>1574</v>
      </c>
      <c r="RY1" s="177" t="s">
        <v>228</v>
      </c>
      <c r="RZ1" s="177" t="s">
        <v>226</v>
      </c>
      <c r="SA1" s="177" t="s">
        <v>337</v>
      </c>
      <c r="SB1" s="177" t="s">
        <v>456</v>
      </c>
      <c r="SC1" s="177" t="s">
        <v>1575</v>
      </c>
      <c r="SD1" s="177" t="s">
        <v>1576</v>
      </c>
      <c r="SE1" s="177" t="s">
        <v>1577</v>
      </c>
      <c r="SF1" s="177" t="s">
        <v>1578</v>
      </c>
      <c r="SG1" s="177" t="s">
        <v>333</v>
      </c>
      <c r="SH1" s="177" t="s">
        <v>334</v>
      </c>
      <c r="SI1" s="177"/>
      <c r="SJ1" s="177"/>
      <c r="SK1" s="177"/>
      <c r="SL1" s="177"/>
      <c r="SM1" s="177"/>
      <c r="SN1" s="177"/>
      <c r="SO1" s="177"/>
      <c r="SP1" s="177" t="s">
        <v>1579</v>
      </c>
      <c r="SQ1" s="177" t="s">
        <v>1580</v>
      </c>
      <c r="SR1" s="177" t="s">
        <v>840</v>
      </c>
      <c r="SS1" s="177" t="s">
        <v>1082</v>
      </c>
      <c r="ST1" s="177" t="s">
        <v>2186</v>
      </c>
      <c r="SU1" s="177" t="s">
        <v>2187</v>
      </c>
      <c r="SV1" s="177" t="s">
        <v>2188</v>
      </c>
      <c r="SW1" s="177"/>
      <c r="SX1" s="177" t="s">
        <v>1581</v>
      </c>
      <c r="SY1" s="177" t="s">
        <v>1048</v>
      </c>
      <c r="SZ1" s="177"/>
      <c r="TA1" s="177"/>
      <c r="TB1" s="177" t="s">
        <v>699</v>
      </c>
      <c r="TC1" s="177" t="s">
        <v>700</v>
      </c>
      <c r="TD1" s="177" t="s">
        <v>1582</v>
      </c>
      <c r="TE1" s="177" t="s">
        <v>1583</v>
      </c>
      <c r="TF1" s="177"/>
      <c r="TG1" s="177"/>
      <c r="TH1" s="177" t="s">
        <v>841</v>
      </c>
      <c r="TI1" s="177" t="s">
        <v>842</v>
      </c>
      <c r="TJ1" s="177" t="s">
        <v>1262</v>
      </c>
      <c r="TK1" s="468" t="s">
        <v>1074</v>
      </c>
      <c r="TL1" s="468" t="s">
        <v>1584</v>
      </c>
      <c r="TM1" s="468" t="s">
        <v>689</v>
      </c>
      <c r="TN1" s="468" t="s">
        <v>1731</v>
      </c>
      <c r="TO1" s="468" t="s">
        <v>1732</v>
      </c>
      <c r="TP1" s="468" t="s">
        <v>335</v>
      </c>
      <c r="TQ1" s="177" t="s">
        <v>336</v>
      </c>
      <c r="TR1" s="177" t="s">
        <v>545</v>
      </c>
      <c r="TS1" s="177" t="s">
        <v>546</v>
      </c>
      <c r="TT1" s="177" t="s">
        <v>547</v>
      </c>
      <c r="TU1" s="177" t="s">
        <v>548</v>
      </c>
      <c r="TV1" s="177" t="s">
        <v>549</v>
      </c>
      <c r="TW1" s="177" t="s">
        <v>78</v>
      </c>
      <c r="TX1" s="177"/>
      <c r="TY1" s="177" t="s">
        <v>2189</v>
      </c>
      <c r="TZ1" s="177" t="s">
        <v>2190</v>
      </c>
      <c r="UA1" s="177" t="s">
        <v>2191</v>
      </c>
      <c r="UB1" s="177"/>
      <c r="UC1" s="177" t="s">
        <v>553</v>
      </c>
      <c r="UD1" s="177" t="s">
        <v>552</v>
      </c>
      <c r="UE1" s="177"/>
      <c r="UF1" s="177" t="s">
        <v>615</v>
      </c>
      <c r="UG1" s="177" t="s">
        <v>551</v>
      </c>
      <c r="UH1" s="177" t="s">
        <v>550</v>
      </c>
      <c r="UI1" s="177" t="s">
        <v>1585</v>
      </c>
      <c r="UJ1" s="177" t="s">
        <v>1586</v>
      </c>
      <c r="UK1" s="177" t="s">
        <v>50</v>
      </c>
      <c r="UL1" s="177"/>
      <c r="UM1" s="177"/>
      <c r="UN1" s="177" t="s">
        <v>111</v>
      </c>
      <c r="UO1" s="177"/>
      <c r="UP1" s="177" t="s">
        <v>1587</v>
      </c>
      <c r="UQ1" s="177" t="s">
        <v>1588</v>
      </c>
      <c r="UR1" s="177" t="s">
        <v>357</v>
      </c>
      <c r="US1" s="177" t="s">
        <v>2192</v>
      </c>
      <c r="UT1" s="177" t="s">
        <v>2193</v>
      </c>
      <c r="UU1" s="177" t="s">
        <v>2194</v>
      </c>
      <c r="UV1" s="177" t="s">
        <v>125</v>
      </c>
      <c r="UW1" s="177" t="s">
        <v>358</v>
      </c>
      <c r="UX1" s="177" t="s">
        <v>1589</v>
      </c>
      <c r="UY1" s="177" t="s">
        <v>574</v>
      </c>
      <c r="UZ1" s="177" t="s">
        <v>348</v>
      </c>
      <c r="VA1" s="177" t="s">
        <v>349</v>
      </c>
      <c r="VB1" s="177" t="s">
        <v>575</v>
      </c>
      <c r="VC1" s="177" t="s">
        <v>350</v>
      </c>
      <c r="VD1" s="177" t="s">
        <v>351</v>
      </c>
      <c r="VE1" s="177"/>
      <c r="VF1" s="177" t="s">
        <v>145</v>
      </c>
      <c r="VG1" s="177"/>
      <c r="VH1" s="177"/>
      <c r="VI1" s="177"/>
      <c r="VJ1" s="177"/>
      <c r="VK1" s="177" t="s">
        <v>198</v>
      </c>
      <c r="VL1" s="177" t="s">
        <v>146</v>
      </c>
      <c r="VM1" s="177" t="s">
        <v>147</v>
      </c>
      <c r="VN1" s="179"/>
      <c r="VO1" s="179" t="s">
        <v>1590</v>
      </c>
      <c r="VP1" s="179" t="s">
        <v>100</v>
      </c>
      <c r="VQ1" s="179"/>
      <c r="VR1" s="179" t="s">
        <v>1591</v>
      </c>
      <c r="VS1" s="179" t="s">
        <v>1592</v>
      </c>
      <c r="VT1" s="179" t="s">
        <v>2198</v>
      </c>
      <c r="VU1" s="179" t="s">
        <v>2199</v>
      </c>
      <c r="VV1" s="179" t="s">
        <v>2200</v>
      </c>
      <c r="VW1" s="179" t="s">
        <v>235</v>
      </c>
      <c r="VX1" s="177" t="s">
        <v>51</v>
      </c>
      <c r="VY1" s="177" t="s">
        <v>353</v>
      </c>
      <c r="VZ1" s="177" t="s">
        <v>354</v>
      </c>
      <c r="WA1" s="177" t="s">
        <v>719</v>
      </c>
      <c r="WB1" s="177" t="s">
        <v>2195</v>
      </c>
      <c r="WC1" s="177" t="s">
        <v>2196</v>
      </c>
      <c r="WD1" s="177" t="s">
        <v>2197</v>
      </c>
      <c r="WE1" s="177" t="s">
        <v>152</v>
      </c>
      <c r="WF1" s="177"/>
      <c r="WG1" s="177" t="s">
        <v>931</v>
      </c>
      <c r="WH1" s="177" t="s">
        <v>928</v>
      </c>
      <c r="WI1" s="177"/>
      <c r="WJ1" s="177" t="s">
        <v>199</v>
      </c>
      <c r="WK1" s="177"/>
      <c r="WL1" s="177" t="s">
        <v>629</v>
      </c>
      <c r="WM1" s="177"/>
      <c r="WN1" s="177"/>
      <c r="WO1" s="177" t="s">
        <v>202</v>
      </c>
      <c r="WP1" s="177" t="s">
        <v>203</v>
      </c>
      <c r="WQ1" s="177" t="s">
        <v>451</v>
      </c>
      <c r="WR1" s="177" t="s">
        <v>200</v>
      </c>
      <c r="WS1" s="177" t="s">
        <v>201</v>
      </c>
      <c r="WT1" s="177"/>
      <c r="WU1" s="177" t="s">
        <v>355</v>
      </c>
      <c r="WV1" s="177"/>
      <c r="WW1" s="177" t="s">
        <v>52</v>
      </c>
      <c r="WX1" s="177" t="s">
        <v>53</v>
      </c>
      <c r="WY1" s="177" t="s">
        <v>123</v>
      </c>
      <c r="WZ1" s="177" t="s">
        <v>124</v>
      </c>
      <c r="XA1" s="177" t="s">
        <v>54</v>
      </c>
      <c r="XB1" s="177" t="s">
        <v>55</v>
      </c>
      <c r="XC1" s="177" t="s">
        <v>452</v>
      </c>
      <c r="XD1" s="177" t="s">
        <v>116</v>
      </c>
      <c r="XE1" s="177" t="s">
        <v>83</v>
      </c>
      <c r="XF1" s="177" t="s">
        <v>84</v>
      </c>
      <c r="XG1" s="177" t="s">
        <v>85</v>
      </c>
      <c r="XH1" s="177" t="s">
        <v>86</v>
      </c>
      <c r="XI1" s="177"/>
      <c r="XJ1" s="177"/>
      <c r="XK1" s="177" t="s">
        <v>250</v>
      </c>
      <c r="XL1" s="177"/>
      <c r="XM1" s="177"/>
      <c r="XN1" s="177"/>
      <c r="XO1" s="177"/>
      <c r="XP1" s="177"/>
      <c r="XQ1" s="177"/>
      <c r="XR1" s="177"/>
      <c r="XS1" s="177"/>
      <c r="XT1" s="177" t="s">
        <v>87</v>
      </c>
      <c r="XU1" s="177" t="s">
        <v>88</v>
      </c>
      <c r="XV1" s="177" t="s">
        <v>89</v>
      </c>
      <c r="XW1" s="177" t="s">
        <v>90</v>
      </c>
      <c r="XX1" s="177" t="s">
        <v>583</v>
      </c>
      <c r="XY1" s="177"/>
      <c r="XZ1" s="177"/>
      <c r="YA1" s="177"/>
      <c r="YB1" s="177"/>
      <c r="YC1" s="177"/>
      <c r="YD1" s="177" t="s">
        <v>300</v>
      </c>
      <c r="YE1" s="177"/>
      <c r="YF1" s="177" t="s">
        <v>703</v>
      </c>
      <c r="YG1" s="177" t="s">
        <v>705</v>
      </c>
      <c r="YH1" s="177" t="s">
        <v>298</v>
      </c>
      <c r="YI1" s="180"/>
      <c r="YJ1" s="177" t="s">
        <v>296</v>
      </c>
      <c r="YK1" s="177" t="s">
        <v>297</v>
      </c>
      <c r="YL1" s="177" t="s">
        <v>299</v>
      </c>
      <c r="YM1" s="177" t="s">
        <v>1263</v>
      </c>
      <c r="YN1" s="177"/>
      <c r="YO1" s="177"/>
      <c r="YP1" s="177"/>
      <c r="YQ1" s="177"/>
      <c r="YR1" s="177"/>
      <c r="YS1" s="177" t="s">
        <v>361</v>
      </c>
      <c r="YT1" s="177" t="s">
        <v>362</v>
      </c>
      <c r="YU1" s="177" t="s">
        <v>363</v>
      </c>
      <c r="YV1" s="177" t="s">
        <v>364</v>
      </c>
      <c r="YW1" s="177" t="s">
        <v>365</v>
      </c>
      <c r="YX1" s="177" t="s">
        <v>366</v>
      </c>
      <c r="YY1" s="177" t="s">
        <v>359</v>
      </c>
      <c r="YZ1" s="177" t="s">
        <v>76</v>
      </c>
      <c r="ZA1" s="177" t="s">
        <v>45</v>
      </c>
      <c r="ZB1" s="177" t="s">
        <v>360</v>
      </c>
      <c r="ZC1" s="177" t="s">
        <v>204</v>
      </c>
      <c r="ZD1" s="177" t="s">
        <v>205</v>
      </c>
      <c r="ZE1" s="177" t="s">
        <v>802</v>
      </c>
      <c r="ZF1" s="177" t="s">
        <v>801</v>
      </c>
      <c r="ZG1" s="177" t="s">
        <v>1100</v>
      </c>
      <c r="ZH1" s="177"/>
      <c r="ZI1" s="177" t="s">
        <v>800</v>
      </c>
      <c r="ZJ1" s="177" t="s">
        <v>1101</v>
      </c>
      <c r="ZK1" s="177" t="s">
        <v>1102</v>
      </c>
      <c r="ZL1" s="177" t="s">
        <v>1103</v>
      </c>
      <c r="ZM1" s="177" t="s">
        <v>1104</v>
      </c>
      <c r="ZN1" s="177" t="s">
        <v>1105</v>
      </c>
      <c r="ZO1" s="177" t="s">
        <v>1106</v>
      </c>
      <c r="ZP1" s="177" t="s">
        <v>1107</v>
      </c>
      <c r="ZQ1" s="177" t="s">
        <v>803</v>
      </c>
      <c r="ZR1" s="177" t="s">
        <v>804</v>
      </c>
      <c r="ZS1" s="177" t="s">
        <v>805</v>
      </c>
      <c r="ZT1" s="177" t="s">
        <v>806</v>
      </c>
      <c r="ZU1" s="177" t="s">
        <v>1818</v>
      </c>
      <c r="ZV1" s="177" t="s">
        <v>807</v>
      </c>
      <c r="ZW1" s="177"/>
      <c r="ZX1" s="177"/>
      <c r="ZY1" s="177" t="s">
        <v>2315</v>
      </c>
      <c r="ZZ1" s="178"/>
      <c r="AAA1" s="177"/>
      <c r="AAB1" s="177" t="s">
        <v>2791</v>
      </c>
      <c r="AAC1" s="177" t="s">
        <v>2786</v>
      </c>
      <c r="AAD1" s="177" t="s">
        <v>2785</v>
      </c>
    </row>
    <row r="2" spans="1:706" s="13" customFormat="1" x14ac:dyDescent="0.2">
      <c r="A2" s="6" t="s">
        <v>10</v>
      </c>
      <c r="B2" s="3">
        <v>22386400</v>
      </c>
      <c r="C2" s="3" t="s">
        <v>158</v>
      </c>
      <c r="D2" s="3"/>
      <c r="E2" s="3" t="s">
        <v>17</v>
      </c>
      <c r="F2" s="3" t="s">
        <v>43</v>
      </c>
      <c r="G2" t="s">
        <v>266</v>
      </c>
      <c r="H2"/>
      <c r="I2" s="3"/>
      <c r="J2" s="3"/>
      <c r="K2" s="3"/>
      <c r="L2" s="3" t="str">
        <f>PROPER(K2)&amp;", "&amp;PROPER(J2)</f>
        <v xml:space="preserve">, </v>
      </c>
      <c r="M2"/>
      <c r="N2"/>
      <c r="O2"/>
      <c r="P2"/>
      <c r="Q2"/>
      <c r="R2"/>
      <c r="S2"/>
      <c r="T2">
        <v>0</v>
      </c>
      <c r="U2" s="3" t="s">
        <v>74</v>
      </c>
      <c r="V2"/>
      <c r="W2"/>
      <c r="X2" s="89" t="s">
        <v>74</v>
      </c>
      <c r="Y2" s="90">
        <v>35987</v>
      </c>
      <c r="Z2" s="92">
        <v>24180</v>
      </c>
      <c r="AA2" s="92"/>
      <c r="AB2" s="92"/>
      <c r="AC2" s="92"/>
      <c r="AD2" s="92"/>
      <c r="AE2" s="92"/>
      <c r="AF2" s="92">
        <v>20639</v>
      </c>
      <c r="AG2" s="92"/>
      <c r="AH2" s="92" t="s">
        <v>264</v>
      </c>
      <c r="AI2" s="92" t="s">
        <v>683</v>
      </c>
      <c r="AJ2" s="92" t="s">
        <v>1268</v>
      </c>
      <c r="AK2" s="92">
        <v>0.5</v>
      </c>
      <c r="AL2" s="92" t="s">
        <v>683</v>
      </c>
      <c r="AM2" t="str">
        <f>IF(AND(G2="V",OR(F2={"XRD","QPSA","RBD"})),AL2,"Y")</f>
        <v>Y</v>
      </c>
      <c r="AN2" s="92" t="s">
        <v>214</v>
      </c>
      <c r="AO2" s="92">
        <v>38999</v>
      </c>
      <c r="AP2" s="92">
        <v>38812</v>
      </c>
      <c r="AQ2" s="92"/>
      <c r="AR2" s="92"/>
      <c r="AS2" s="92"/>
      <c r="AT2" s="92"/>
      <c r="AU2" s="92"/>
      <c r="AV2" s="92" t="s">
        <v>683</v>
      </c>
      <c r="AW2" s="92" t="s">
        <v>683</v>
      </c>
      <c r="AX2" s="92" t="s">
        <v>59</v>
      </c>
      <c r="AY2" s="92" t="s">
        <v>59</v>
      </c>
      <c r="AZ2" s="92"/>
      <c r="BA2" s="92" t="s">
        <v>59</v>
      </c>
      <c r="BB2" s="92"/>
      <c r="BC2" s="269">
        <f>IF(E2="4","null",IF(AND(G2="R",S2="Y"),AB2,IF(AND(G2="V",OR(X2={"S","W"}),F2&lt;&gt;"QPSA"),"null",IF(AND(EN2="Y",AY2="Y"),AF2,IF(AA2="",IF(AND(AP2&gt;DOPT,G2="V",OR(F2={"XRD","QPSA","QDRO"})),AF2,DATE(YEAR(Z2)+IF(U2="M",4,-4),MONTH(Z2),DAY(Z2))),AA2)))))</f>
        <v>25641</v>
      </c>
      <c r="BD2" s="92">
        <v>26406</v>
      </c>
      <c r="BE2" s="92"/>
      <c r="BF2" s="92"/>
      <c r="BG2" s="92">
        <v>33168</v>
      </c>
      <c r="BH2" s="270">
        <f>[1]!ATT(Z2,BG2)</f>
        <v>24</v>
      </c>
      <c r="BI2" s="92"/>
      <c r="BJ2" s="269" t="str">
        <f>IF(BG2&gt;=DOBF,DOBF,"null")</f>
        <v>null</v>
      </c>
      <c r="BK2" s="92"/>
      <c r="BL2" s="92"/>
      <c r="BM2" s="92"/>
      <c r="BN2" s="91">
        <f>19.5</f>
        <v>19.5</v>
      </c>
      <c r="BO2" s="91">
        <f>19.3</f>
        <v>19.3</v>
      </c>
      <c r="BP2" s="91"/>
      <c r="BQ2" s="91"/>
      <c r="BR2">
        <f>IF(AND(BE2&lt;DATE(2010,1,1),BF2&gt;DOBF),0,IF(BG2&gt;=DATE(2010,1,1),IF(BQ2&lt;&gt;"",ROUND((MIN(BG2,DATE(2010,6,15))-MAX(BF2-1,DATE(2009,12,31)))/(MIN(BG2,DATE(2010,12,31))-MAX(BF2-1,DATE(2009,12,31)))*BQ2,2),IF(YEAR(BG2)=2010,MIN(6,MONTH(BG2)),6)*190),0))</f>
        <v>0</v>
      </c>
      <c r="BS2">
        <f>ROUND(MIN(1,BR2/1700),1)</f>
        <v>0</v>
      </c>
      <c r="BT2" s="91">
        <f>IF(BP2&gt;0,BP2,BO2)+BS2</f>
        <v>19.3</v>
      </c>
      <c r="BU2" s="92" t="str">
        <f>IF(BG2&lt;=DOBF,"null",IF(AND(BE2&gt;0,BE2&lt;DATE(2010,1,1),BF2&gt;=DATE(2011,1,1)),"null",MAX(DOBF,BF2)))</f>
        <v>null</v>
      </c>
      <c r="BV2" s="92" t="str">
        <f>IF(BU2="null","null",MIN(DATE(2010,12,31),BG2))</f>
        <v>null</v>
      </c>
      <c r="BW2" t="str">
        <f>IF(BU2="null","null",IF(BQ2&lt;&gt;"",BQ2,12*190))</f>
        <v>null</v>
      </c>
      <c r="BX2" s="91">
        <f>IF(BU2="null",0,VLOOKUP(BW2,CS,2))</f>
        <v>0</v>
      </c>
      <c r="BY2" s="91">
        <f>IF(BU2="null",0,BX2-BS2)</f>
        <v>0</v>
      </c>
      <c r="BZ2" s="92" t="str">
        <f>IF(BF2&gt;=DATE(2012,1,1),"null",IF(BG2&lt;DATE(2011,1,1),"null",MAX(DATE(2011,1,1),BF2)))</f>
        <v>null</v>
      </c>
      <c r="CA2" s="92" t="str">
        <f>IF(BZ2="null","null",MIN(DATE(2011,12,31),BG2))</f>
        <v>null</v>
      </c>
      <c r="CB2" s="91" t="str">
        <f>IF(CA2="null","null",(MONTH(CA2)-MONTH(BZ2)+1)*190)</f>
        <v>null</v>
      </c>
      <c r="CC2" s="91">
        <f>IF(CB2="null",0,VLOOKUP(CB2,CS,2))</f>
        <v>0</v>
      </c>
      <c r="CD2" s="92" t="str">
        <f>IF(BF2&gt;=DATE(2013,1,1),"null",IF(BG2&lt;DATE(2012,1,1),"null",MAX(DATE(2012,1,1),BF2)))</f>
        <v>null</v>
      </c>
      <c r="CE2" s="92" t="str">
        <f>IF(CD2="null","null",MIN(DATE(2012,12,31),BG2))</f>
        <v>null</v>
      </c>
      <c r="CF2" s="91" t="str">
        <f>IF(CE2="null","null",(MONTH(CE2)-MONTH(CD2)+1)*190)</f>
        <v>null</v>
      </c>
      <c r="CG2" s="91">
        <f>IF(CF2="null",0,VLOOKUP(CF2,CS,2))</f>
        <v>0</v>
      </c>
      <c r="CH2" s="91">
        <f>IF(BG2&gt;=DATE(2013,1,1),VLOOKUP(MONTH(BG2)*190,CS,2),0)</f>
        <v>0</v>
      </c>
      <c r="CI2" s="91">
        <f>BY2+CC2+CG2+CH2</f>
        <v>0</v>
      </c>
      <c r="CJ2" s="91">
        <f>BT2+BY2+CC2+CG2+CH2</f>
        <v>19.3</v>
      </c>
      <c r="CK2" s="91" t="str">
        <f>IF(AND(BH2&gt;=65,IF(BN2&gt;0,BN2,CJ2)&gt;=5),"NR",IF(AND(BH2&gt;=55,IF(BN2&gt;0,BN2,CJ2)&gt;=10),"ER","DV"))</f>
        <v>DV</v>
      </c>
      <c r="CL2" s="270">
        <f>IF(OR(BN2&gt;=5,AND(BD2&lt;=CY2,BG2&gt;=CY2)),1,0)</f>
        <v>1</v>
      </c>
      <c r="CM2" s="7">
        <f>[1]!anb(Z2,DOPT)</f>
        <v>48</v>
      </c>
      <c r="CN2" s="7">
        <f>IF(E2="4",[1]!anb(AF2,DOPT),CM2)</f>
        <v>48</v>
      </c>
      <c r="CO2" s="7">
        <f>IF(BC2="null","null",IF(BC2&gt;DOPT,0,[1]!anb(BC2,DOPT)))</f>
        <v>44</v>
      </c>
      <c r="CP2" s="270">
        <f>IF(BN2&gt;=5,55,65)</f>
        <v>55</v>
      </c>
      <c r="CQ2" s="272">
        <f>[1]!NRD(Z2,CP2)</f>
        <v>44287</v>
      </c>
      <c r="CR2" s="270">
        <f>MAX(CM2,CP2)</f>
        <v>55</v>
      </c>
      <c r="CS2" s="272">
        <f>MAX(DOPT2,CQ2)</f>
        <v>44287</v>
      </c>
      <c r="CT2" s="270">
        <f>IF(AND(BD2&lt;=DATE(1989,4,10),CJ2&gt;=30,BH2&gt;=55),58,IF(AND(BD2&lt;=DATE(1989,4,10),CJ2&lt;30,BN2&gt;=10,BH2&gt;=55),62,IF(AND(BD2&gt;DATE(1989,4,10),BN2&gt;=10,BH2&gt;=62),62,65)))</f>
        <v>65</v>
      </c>
      <c r="CU2" s="272">
        <f>[1]!NRD(Z2,CT2)</f>
        <v>47939</v>
      </c>
      <c r="CV2" s="270">
        <f>MAX(CM2,CT2)</f>
        <v>65</v>
      </c>
      <c r="CW2" s="272">
        <f>MAX(DOPT2,CU2)</f>
        <v>47939</v>
      </c>
      <c r="CX2" s="7">
        <f>65</f>
        <v>65</v>
      </c>
      <c r="CY2" s="269">
        <f>[1]!NRD(Z2,65)</f>
        <v>47939</v>
      </c>
      <c r="CZ2" s="274">
        <f>IF(CT2=CX2,0,IF(OR(CY2&lt;CW2,CY2&lt;DOPT,CW2=DF2,AND(DF2&gt;0,DF2&lt;CW2),AND(DF2&gt;0,[1]!NRD(BI2,0)=DF2)),0,1))</f>
        <v>0</v>
      </c>
      <c r="DA2" s="269">
        <f>DATE(YEAR(Z2)+70,MONTH(Z2)+6,DAY(Z2))</f>
        <v>49932</v>
      </c>
      <c r="DB2" s="269">
        <f>DATE(YEAR(DA2)+1,4,1)</f>
        <v>50131</v>
      </c>
      <c r="DC2" s="272">
        <f>[1]!RBD(C2,DOPT,"P",Z2,BG2)</f>
        <v>51957</v>
      </c>
      <c r="DD2" s="272">
        <f>[1]!RBD(C2,DOPT,IF(BK2&gt;0,"B","P"),Z2,BG2,BK2)</f>
        <v>51957</v>
      </c>
      <c r="DE2" s="272" t="str">
        <f>IF(BG2&lt;&gt;"",IF(BG2&gt;DA2,"Y","N"),"null")</f>
        <v>N</v>
      </c>
      <c r="DF2" s="272"/>
      <c r="DG2" s="272"/>
      <c r="DH2" s="272"/>
      <c r="DI2" s="70" t="str">
        <f>IF(ER2="PBGC","Post-DOTR","Pre-DOTR")</f>
        <v>Pre-DOTR</v>
      </c>
      <c r="DJ2" s="70"/>
      <c r="DK2" s="70"/>
      <c r="DL2" s="70"/>
      <c r="DM2" s="272">
        <f>STALE</f>
        <v>44197</v>
      </c>
      <c r="DN2" s="272">
        <f>STALE</f>
        <v>44197</v>
      </c>
      <c r="DO2" s="269">
        <f>MIN(DD2,MAX(DN2,CS2))</f>
        <v>44287</v>
      </c>
      <c r="DP2" s="11">
        <f>MIN(DD2,MAX(DN2,CW2))</f>
        <v>47939</v>
      </c>
      <c r="DQ2">
        <f>958.74</f>
        <v>958.74</v>
      </c>
      <c r="DR2">
        <f>ROUND(DQ2/12,2)</f>
        <v>79.900000000000006</v>
      </c>
      <c r="DS2" t="str">
        <f>IF(YEAR(BG2)&lt;2010,"null",IF(BD2&lt;DATE(2006,4,16),37,32))</f>
        <v>null</v>
      </c>
      <c r="DT2"/>
      <c r="DU2" s="273">
        <f>IF(BG2&gt;DATE(2010,1,1),ROUND(DS2*BT2,2),IF(DT2&gt;0,DT2,ROUND(DQ2/12,2)))</f>
        <v>79.900000000000006</v>
      </c>
      <c r="DV2" s="12">
        <f>ROUND(CL2*DU2,2)</f>
        <v>79.900000000000006</v>
      </c>
      <c r="DW2" s="11" t="str">
        <f>IF(CZ2=1,CW2,"null")</f>
        <v>null</v>
      </c>
      <c r="DX2" s="273"/>
      <c r="DY2" s="273"/>
      <c r="DZ2" s="273">
        <f>IF(BD2&gt;=DATE(1986,10,1),"null",IF(DY2&gt;0,DY2,DX2))</f>
        <v>0</v>
      </c>
      <c r="EA2" s="6">
        <f>IF(BD2&gt;=DATE(1986,10,1),"null",[1]!COMPM(CU2,CY2))</f>
        <v>0</v>
      </c>
      <c r="EB2" s="330">
        <f>IF(EA2="null","null",VLOOKUP(EA2,erftable1,2,FALSE))</f>
        <v>1</v>
      </c>
      <c r="EC2" s="165">
        <f>IF(EB2="null","null",ROUND(DZ2*EB2,2))</f>
        <v>0</v>
      </c>
      <c r="ED2" s="165">
        <f>ROUND(DU2-IF(EC2="null",0,EC2),2)</f>
        <v>79.900000000000006</v>
      </c>
      <c r="EE2" s="269" t="str">
        <f>[1]!BL(DOPT,Z2,BG2,"N",IF(C2="2","N","Y"),"N",C2,CV2,ED2)</f>
        <v>HIGH</v>
      </c>
      <c r="EF2" s="7">
        <f>[1]!XRA2(EE2,CR2,CV2,DOPT,Z2,IF(BC2="null",0,BC2),C2,1)</f>
        <v>58</v>
      </c>
      <c r="EG2" s="7">
        <f>IF(E2="4",[1]!anb(AF2,EH2),EF2)</f>
        <v>58</v>
      </c>
      <c r="EH2" s="269">
        <f>[1]!XRD2(C2,DOPT,CS2,EF2,Z2,0)</f>
        <v>45383</v>
      </c>
      <c r="EI2" s="7">
        <f>IF(BC2="null","null",IF(BC2&gt;DOPT,0,[1]!SXRA2(C2,DOPT,BC2,EH2,CQ2)))</f>
        <v>54</v>
      </c>
      <c r="EJ2" s="7">
        <f>[1]!anb(Z2,EH2)</f>
        <v>58</v>
      </c>
      <c r="EK2" s="7">
        <f>IF(E2="4",[1]!anb(AF2,EH2),EJ2)</f>
        <v>58</v>
      </c>
      <c r="EL2" s="274">
        <f>IF(OR(BC2="",BC2="null"),"null",IF(BC2&gt;DOPT2,0,[1]!anb(BC2,EH2)))</f>
        <v>54</v>
      </c>
      <c r="EM2" s="7" t="str">
        <f>IF(DF2&gt;0,IF(DF2&lt;CY2,"ER",IF(DF2&gt;CY2,"LR","NR")),IF(EH2&lt;CY2,"ER",IF(EH2&gt;CY2,"LR","NR")))</f>
        <v>ER</v>
      </c>
      <c r="EN2" s="21"/>
      <c r="EO2" s="7"/>
      <c r="EP2" s="7"/>
      <c r="EQ2" s="7"/>
      <c r="ER2" s="272"/>
      <c r="ES2" s="7"/>
      <c r="ET2" s="8" t="str">
        <f>"2"</f>
        <v>2</v>
      </c>
      <c r="EU2" s="275">
        <f>0</f>
        <v>0</v>
      </c>
      <c r="EV2" s="276">
        <f>0</f>
        <v>0</v>
      </c>
      <c r="EW2" s="8" t="str">
        <f>"0"</f>
        <v>0</v>
      </c>
      <c r="EX2" s="275">
        <f>IF(BG2&lt;DATE(2001,4,15),0.55,0.6)</f>
        <v>0.55000000000000004</v>
      </c>
      <c r="EY2" s="276">
        <f>0</f>
        <v>0</v>
      </c>
      <c r="EZ2" s="8" t="str">
        <f>ET2</f>
        <v>2</v>
      </c>
      <c r="FA2" s="7">
        <f>0</f>
        <v>0</v>
      </c>
      <c r="FB2" s="7">
        <f>0</f>
        <v>0</v>
      </c>
      <c r="FC2" s="8" t="str">
        <f>EW2</f>
        <v>0</v>
      </c>
      <c r="FD2" s="275">
        <f>EX2</f>
        <v>0.55000000000000004</v>
      </c>
      <c r="FE2" s="276">
        <f>EY2</f>
        <v>0</v>
      </c>
      <c r="FF2" s="7"/>
      <c r="FG2" s="7"/>
      <c r="FH2" s="7" t="str">
        <f>IF(E2="4",ET2,IF(OR(AND(OR(AND(F2="XRD",G2="V"),F2="RBD"),OR(X2="M",X2="U",AND(X2="D",AP2&gt;DOPT))),AND(OR(F2="DOR",F2="RETRO_DOR"),ES2="3",OR(EO2="9",EO2="0"))),EW2,IF(OR(F2="QPSA",AND(OR(F2="ERD",F2="EURD",F2="NRD",AND(F2="RETRO",ER2&lt;&gt;"PLAN")),X2="M",NOT(ISBLANK(BK2)),OR(ISBLANK(BL2),BL2&gt;BK2)),AND(OR(F2="RETRO_DOR",F2="DOR",F2="DORNSF"),EN2="Y")),FC2,IF(AND(OR(F2="DOR",F2="RETRO_DOR"),ES2&lt;&gt;"3"),EO2,ET2))))</f>
        <v>0</v>
      </c>
      <c r="FI2" s="275">
        <f>IF(E2="4",EU2,IF(OR(AND(OR(AND(F2="XRD",G2="V"),F2="RBD"),OR(X2="M",X2="U",AND(X2="D",AP2&gt;DOPT))),AND(OR(F2="DOR",F2="RETRO_DOR"),ES2="3",OR(EO2="9",EO2="0"))),EX2,IF(OR(F2="QPSA",AND(OR(F2="ERD",F2="EURD",F2="NRD",AND(F2="RETRO",QT2&lt;&gt;"PLAN")),X2="M",NOT(ISBLANK(BK2)),OR(ISBLANK(BL2),BL2&gt;BK2)),AND(OR(F2="RETRO_DOR",F2="DOR",F2="DORNSF"),EN2="Y")),FD2,IF(AND(OR(F2="DOR",F2="RETRO_DOR"),ES2&lt;&gt;"3"),EP2,EU2))))</f>
        <v>0.55000000000000004</v>
      </c>
      <c r="FJ2" s="7">
        <f>IF(FH2="9",0,IF(FH2="2",0,EV2))</f>
        <v>0</v>
      </c>
      <c r="FK2" s="7" t="str">
        <f>IF(FJ2=0,"null",DATE(YEAR(EH2)+FJ2/12,MONTH(EH2)-1,1))</f>
        <v>null</v>
      </c>
      <c r="FL2" s="7" t="str">
        <f>IF(FK2="null","null",DATE(YEAR(FK2),MONTH(FK2)+1,1))</f>
        <v>null</v>
      </c>
      <c r="FM2" s="7">
        <f>IF(FK2="null",0,IF(FK2&lt;DOPT,0,[1]!COMPM(DOPT2,FL2)))</f>
        <v>0</v>
      </c>
      <c r="FN2" s="7" t="str">
        <f>IF(FH2="9","JSC",IF(FH2="0","JSP","SLA"))</f>
        <v>JSP</v>
      </c>
      <c r="FO2" s="7" t="str">
        <f>IF(DH2&gt;0,IF(EN2="Y",IF(FF2="2","Straight Life Annuity",IF(FJ2=60,"5-year Certain-and-Continuous Annuity",IF(FJ2=120,"10-year Certain-and-Continuous Annuity","15-year Certain-and-Continuous Annuity"))),IF(EO2="2","Straight Life Annuity",IF(EO2="0",IF(EP2=0.55,"Joint-and-55% Survivor "&amp;IF(FH2="0","'Pop-up'","")&amp;" Annuity","Joint-and-60% Survivor "&amp;IF(FH2="0","'Pop-up'","")&amp;" Annuity"),IF(EO2="9",IF(EP2=0.4,"Joint-and-40% Survivor Annuity",IF(EP2=0.5,"Joint-and-50% Survivor Annuity",IF(EP2=0.75,"Joint-and-75% Survivor Annuity","Joint-and-100% Survivor Annuity"))),IF(EQ2=60,"5-year Certain-and-Continuous Annuity",IF(EQ2=120,"10-year Certain-and-Continuous Annuity","15-year Certain-and-Continuous Annuity")))))),IF(FH2="2","Straight Life Annuity",IF(FH2="0",IF(FI2=0.55,"Joint-and-55% Survivor "&amp;IF(FH2="0","'Pop-up'","")&amp;" Annuity","Joint-and-60% Survivor "&amp;IF(FH2="0","'Pop-up'","")&amp;" Annuity"),IF(FH2="9",IF(FI2=0.4,"Joint-and-40% Survivor Annuity",IF(FI2=0.5,"Joint-and-50% Survivor Annuity",IF(FI2=0.75,"Joint-and-75% Survivor Annuity","Joint-and-100% Survivor Annuity"))),IF(FJ2=60,"5-year Certain-and-Continuous Annuity",IF(FJ2=120,"10-year Certain-and-Continuous Annuity","15-year Certain-and-Continuous Annuity"))))))</f>
        <v>Joint-and-55% Survivor 'Pop-up' Annuity</v>
      </c>
      <c r="FP2" s="7" t="str">
        <f>IF(DH2&gt;0,IF(EN2="Y",IF(FF2="2","SLA",IF(FJ2=60,"5 C&amp;C",IF(FJ2=120,"10 C&amp;C","15 C&amp;C"))),IF(EO2="2","SLA",IF(EO2="0",IF(EP2=0.55,"J&amp;55%P","J&amp;60%P"),IF(EO2="9",IF(EP2=0.4,"J&amp;40%S",IF(EP2=0.5,"J&amp;50%S",IF(EP2=0.75,"J&amp;75%S","J&amp;100%S"))),IF(EQ2=60,"5 C&amp;C",IF(EQ2=120,"10 C&amp;C","15 C&amp;C")))))),IF(FH2="2","SLA",IF(FH2="0",IF(FI2=0.55,"J&amp;55%P","J&amp;60%P"),IF(FH2="9",IF(FI2=0.4,"J&amp;40%S",IF(FI2=0.5,"J&amp;50%S",IF(FI2=0.75,"J&amp;75%S","J&amp;100&amp;S"))),IF(FJ2=60,"5C&amp;C",IF(FJ2=120,"10 C&amp;C","15 C&amp;C"))))))</f>
        <v>J&amp;55%P</v>
      </c>
      <c r="FQ2" s="7" t="str">
        <f>IF(AS2&gt;0,ROUND(AS2*DS2,2),"null")</f>
        <v>null</v>
      </c>
      <c r="FR2" s="7" t="str">
        <f>IF(AS2="","null",ROUND(AR2/AS2,6))</f>
        <v>null</v>
      </c>
      <c r="FS2" s="7">
        <f>IF(AM2="Y",ROUND(IF(AQ2&gt;0,AQ2,IF(AND(FQ2&lt;&gt;{"null",""}),FQ2,DU2))*AK2*IF(OR(FR2={"null",""}),1,FR2),2),0)</f>
        <v>39.950000000000003</v>
      </c>
      <c r="FT2" s="502">
        <f>ROUND(FS2/DU2,6)</f>
        <v>0.5</v>
      </c>
      <c r="FU2" s="503">
        <f>ROUND(DU2-FS2,2)</f>
        <v>39.950000000000003</v>
      </c>
      <c r="FV2" s="503">
        <f>IF(E2="4",FS2,FU2)</f>
        <v>39.950000000000003</v>
      </c>
      <c r="FW2" s="269" t="str">
        <f>IF(BG2&gt;=DATE(1989,4,10),"null",[1]!NRD(Z2,45))</f>
        <v>null</v>
      </c>
      <c r="FX2" s="269" t="str">
        <f>IF(BG2&gt;=DATE(1989,4,10),"null",MAX(FW2,DATE(1986,10,1)))</f>
        <v>null</v>
      </c>
      <c r="FY2" s="7" t="str">
        <f>IF(BG2&gt;=DATE(1989,4,10),"null",IF(FX2&gt;DOPT2,0,IF(OR(DAY(FX2)=1,DAY(FX2)=2),[1]!COMPM(FX2,DOPT2),[1]!COMPM(FX2,DOPT2)+1)))</f>
        <v>null</v>
      </c>
      <c r="FZ2" s="7" t="str">
        <f>IF(BG2&gt;=DATE(1989,4,10),"null",ROUND(FY2*1/24*0.01,4))</f>
        <v>null</v>
      </c>
      <c r="GA2" s="284" t="str">
        <f>IF(BG2&gt;=DATE(1989,4,10),"null",ROUND(1-FZ2,4))</f>
        <v>null</v>
      </c>
      <c r="GB2" s="7"/>
      <c r="GC2" s="8">
        <f>ROUND(FV2*IF(OR(GA2={"null",""}),1,GA2),2)</f>
        <v>39.950000000000003</v>
      </c>
      <c r="GD2" s="269" t="str">
        <f>IF(CT2=65,"erftable1","erftable2")</f>
        <v>erftable1</v>
      </c>
      <c r="GE2" s="7">
        <f>IF(EH2&lt;CU2,[1]!COMPM(EH2,CU2),0)</f>
        <v>84</v>
      </c>
      <c r="GF2" s="277">
        <f ca="1">VLOOKUP(GE2,INDIRECT(GD2),2,FALSE)</f>
        <v>0.56799999999999995</v>
      </c>
      <c r="GG2" s="277"/>
      <c r="GH2" s="276">
        <f>IF(BG2&lt;CY2,0,[1]!COMPM(CY2,[1]!NRD(BG2,0)))</f>
        <v>0</v>
      </c>
      <c r="GI2" s="277">
        <f>ROUND([1]!LRFAEQ(0.045,"M",65,GH2,0,"AA06","AA06","MP","Y"),4)</f>
        <v>1</v>
      </c>
      <c r="GJ2" s="7">
        <f>IF(CY2&gt;EH2,0,[1]!COMPM(CY2,EH2))</f>
        <v>0</v>
      </c>
      <c r="GK2" s="277">
        <f>ROUND([1]!LRFAEQ(0.045,"M",65,GJ2,0,"AA06","AA06","MP","Y"),4)</f>
        <v>1</v>
      </c>
      <c r="GL2" s="278">
        <f>IF(F2="NRD",1,ROUND(GK2/GI2,4))</f>
        <v>1</v>
      </c>
      <c r="GM2" s="12">
        <f ca="1">ROUND(GC2*GF2*GL2,2)</f>
        <v>22.69</v>
      </c>
      <c r="GN2" s="12"/>
      <c r="GO2" s="274">
        <f>IF(BC2="null",0,IF(BC2&lt;Z2,(YEAR(Z2)-YEAR(BC2))-IF(Z2&gt;=DATE(YEAR(Z2),MONTH(BC2),DAY(BC2)),0,1),-(YEAR(BC2)-YEAR(Z2))+IF(BC2&gt;=DATE(YEAR(BC2),MONTH(Z2),DAY(Z2)),0,1)))</f>
        <v>-4</v>
      </c>
      <c r="GP2" s="277">
        <f>IF(FH2="2",1,IF(ABS(GO2)&lt;=5,0.95,IF(GO2&gt;0,MIN(1,0.95+0.005*(ABS(GO2)-5)),0.95-0.005*(ABS(GO2)-5))))</f>
        <v>0.95</v>
      </c>
      <c r="GQ2" s="277"/>
      <c r="GR2" s="273">
        <f ca="1">ROUND(GM2*GP2,2)</f>
        <v>21.56</v>
      </c>
      <c r="GS2" s="273"/>
      <c r="GT2" s="273" t="str">
        <f>IF(BD2&lt;DATE(1986,10,1),"Y","N")</f>
        <v>Y</v>
      </c>
      <c r="GU2" s="273"/>
      <c r="GV2" s="273" t="str">
        <f>IF(OR(DZ2={"","null",0}),"null",IF(AM2="Y",ROUND(DZ2*FR2*AK2,2),0))</f>
        <v>null</v>
      </c>
      <c r="GW2" s="273" t="str">
        <f>IF(GV2="null","null",ROUND(DZ2-GV2,2))</f>
        <v>null</v>
      </c>
      <c r="GX2" s="273" t="str">
        <f>IF(GV2="null","null",IF(E2="4",GV2,GW2))</f>
        <v>null</v>
      </c>
      <c r="GY2" s="269" t="str">
        <f>IF(OR(DZ2={"","null",0}),"null",[1]!NRD(Z2,45))</f>
        <v>null</v>
      </c>
      <c r="GZ2" s="269" t="str">
        <f>IF(OR(DZ2={"","null",0}),"null",MAX(GY2,DATE(1986,10,1)))</f>
        <v>null</v>
      </c>
      <c r="HA2" s="269" t="str">
        <f>IF(OR(DZ2={"","null",0}),"null",DOPT2)</f>
        <v>null</v>
      </c>
      <c r="HB2" s="274" t="str">
        <f>IF(OR(DZ2={"","null",0}),"null",IF(GZ2&gt;HA2,0,IF(OR(DAY(GZ2)=1,DAY(GZ2)=2),[1]!COMPM(GZ2,HA2),[1]!COMPM(GZ2,HA2)+1)))</f>
        <v>null</v>
      </c>
      <c r="HC2" s="274" t="str">
        <f>IF(OR(DZ2={"","null",0}),"null",ROUND(HB2*1/24*0.01,4))</f>
        <v>null</v>
      </c>
      <c r="HD2" s="277" t="str">
        <f>IF(OR(DZ2={"","null",0}),"null",ROUND(1-HC2,4))</f>
        <v>null</v>
      </c>
      <c r="HE2" s="273" t="str">
        <f>IF(OR(DZ2={"","null",0}),"null",ROUND(GX2*HD2,2))</f>
        <v>null</v>
      </c>
      <c r="HF2" s="273"/>
      <c r="HG2" s="276">
        <f>IF(OR($DZ2="",$DZ2="null"),"null",IF(EH2&gt;$CY2,0,[1]!COMPM(EH2,$CY2)))</f>
        <v>84</v>
      </c>
      <c r="HH2" s="277" t="str">
        <f>IF(OR($DZ2="",$DZ2="null",DZ2=0),"null",VLOOKUP(HG2,erftable1,2,FALSE))</f>
        <v>null</v>
      </c>
      <c r="HI2" s="277"/>
      <c r="HJ2" s="277" t="str">
        <f>IF(OR($DZ2="",$DZ2="null",DZ2=0),"null",ROUND([1]!LRFAEQ(0.04,"M",65,GJ2,0,"AA06","AA06","MP","Y"),4))</f>
        <v>null</v>
      </c>
      <c r="HK2" s="273" t="str">
        <f>IF(OR(DZ2={"","null",0}),"null",ROUND($HE2*HH2*HJ2,2))</f>
        <v>null</v>
      </c>
      <c r="HL2" s="273"/>
      <c r="HM2" s="273"/>
      <c r="HN2" s="273" t="str">
        <f>IF(OR(DZ2={"","null",0}),"null",ROUND(HK2*GP2,2))</f>
        <v>null</v>
      </c>
      <c r="HO2" s="273"/>
      <c r="HP2" s="273">
        <f ca="1">ROUND(GM2-IF(HK2="null",0,HK2),2)</f>
        <v>22.69</v>
      </c>
      <c r="HQ2" s="249">
        <f>IF(E2&lt;&gt;"4",1,ROUND(ROUND([1]!NPVF2("MP","SLA","N",4.5%,"M",[1]!anb(Z2,EH2),[1]!anb(Z2,EH2),0,0,0,0,"AA06","AA06","P","",""),4)/ROUND([1]!NPVF2("MP","SLA","N",4.5%,"M",[1]!anb(AF2,EH2),[1]!anb(AF2,EH2),0,0,0,0,"AA06","AA06","P","",""),4),4))</f>
        <v>1</v>
      </c>
      <c r="HR2" s="504">
        <f ca="1">ROUND(HP2*HQ2,2)</f>
        <v>22.69</v>
      </c>
      <c r="HS2" s="12">
        <f ca="1">ROUND(GR2-IF(HN2="null",0,HN2),2)</f>
        <v>21.56</v>
      </c>
      <c r="HT2" s="12">
        <f ca="1">ROUND(HS2*HQ2,2)</f>
        <v>21.56</v>
      </c>
      <c r="HU2" s="273" t="str">
        <f>IF(OR(DZ2={"null",0,""}),"null",IF(FI2&gt;0,ROUND(IF(AND(OR(F2={"DOR","RETRO_DOR"}),ES2="3"),EX2,FI2)*GR2,2),"null"))</f>
        <v>null</v>
      </c>
      <c r="HV2" s="273" t="str">
        <f>IF(OR(DZ2="null",DZ2="",DZ2=0),"null",IF(FI2&gt;0,ROUND(0.55*HN2,2),"null"))</f>
        <v>null</v>
      </c>
      <c r="HW2" s="273">
        <f ca="1">IF(FI2&gt;0,IF(OR(DZ2={"",0,"null"}),ROUND(HT2*IF(AND(OR(F2={"DOR","RETRO_DOR"}),ES2="3"),EX2,FI2),2),MAX(0,ROUND(HU2-HV2,2))),"null")</f>
        <v>11.86</v>
      </c>
      <c r="HX2" s="505">
        <f ca="1">IF(FI2&gt;0,ROUND(HW2/HT2,4),FI2)</f>
        <v>0.55010000000000003</v>
      </c>
      <c r="HY2" s="6">
        <f ca="1">IF(HX2="null","null",IF(HX2=0,1,ROUND([1]!PBGCBFCF2("SLA",0,0,"JSP",HX2,0,EJ2,EL2),4)))</f>
        <v>0.84079999999999999</v>
      </c>
      <c r="HZ2" s="8">
        <f ca="1">IF(FI2&gt;0,HR2,"null")</f>
        <v>22.69</v>
      </c>
      <c r="IA2" s="8">
        <f ca="1">IF(FI2&gt;0,ROUND(HZ2-HT2,2),"null")</f>
        <v>1.1299999999999999</v>
      </c>
      <c r="IB2" s="8"/>
      <c r="IC2" s="269">
        <f>[1]!NRD(Z2,62)</f>
        <v>46844</v>
      </c>
      <c r="ID2" s="8" t="str">
        <f>IF(AND(BD2&lt;=DATE(1989,4,10),CJ2&gt;=30,AND(BH2&lt;62,BH2&gt;=55),EH2&lt;IC2),IF(AND(E2="4",BA2="N"),"N","Y"),"N")</f>
        <v>N</v>
      </c>
      <c r="IE2" s="8" t="str">
        <f>IF(ID2="N","null","0")</f>
        <v>null</v>
      </c>
      <c r="IF2" s="269" t="str">
        <f>IF(ID2="N","null",EH2)</f>
        <v>null</v>
      </c>
      <c r="IG2" s="269" t="str">
        <f>IF(ID2="N","null",DATE(YEAR(IC2),MONTH(IC2)-1,1))</f>
        <v>null</v>
      </c>
      <c r="IH2" s="273" t="str">
        <f>IF(ID2="N","null",450)</f>
        <v>null</v>
      </c>
      <c r="II2" s="269" t="str">
        <f>IF(AND(ID2="Y",EH2&lt;IC2),"Yes","No")</f>
        <v>No</v>
      </c>
      <c r="IJ2" s="7" t="str">
        <f>IF(II2="No","null",IF(EH2&gt;=IC2,0,[1]!COMPM(EH2,IC2)))</f>
        <v>null</v>
      </c>
      <c r="IK2" s="269">
        <f>[1]!retdate(Z2,65,1)</f>
        <v>47939</v>
      </c>
      <c r="IL2" s="7"/>
      <c r="IM2" s="7"/>
      <c r="IN2" s="7"/>
      <c r="IO2" s="8" t="str">
        <f>IF(CK2="DV","N",IF(AND(E2="4",BB2="N"),"N",IF(AND(ER2="PLAN",IL2="",OR(F2="DORNSF",F2="DOR",F2="RETRO_DOR",AND(F2="XRD",G2="R")),EH2&gt;=IK2),"N","Y")))</f>
        <v>N</v>
      </c>
      <c r="IP2" s="277" t="str">
        <f>IF(IO2="N","null","0")</f>
        <v>null</v>
      </c>
      <c r="IQ2" s="12" t="str">
        <f>IF(IO2="Y",25,"null")</f>
        <v>null</v>
      </c>
      <c r="IR2" s="269" t="str">
        <f>IF(IO2="Y",MAX(IF(EH2&gt;0,EH2,0),[1]!retdate(Z2,65,1)),"null")</f>
        <v>null</v>
      </c>
      <c r="IS2" s="269" t="str">
        <f>IF(IO2="Y",DATE(2099,12,1),"null")</f>
        <v>null</v>
      </c>
      <c r="IT2" s="277" t="str">
        <f>IF(IR2="null","null",IF(CY2=IR2,0,ROUND([1]!LLF(DOPT,Z2,CY2,IR2),4)))</f>
        <v>null</v>
      </c>
      <c r="IU2" s="277" t="str">
        <f>IF(IT2="null","null",1-IT2)</f>
        <v>null</v>
      </c>
      <c r="IV2" s="11">
        <f>IF(AND(F2="DOR",II2="No"),"null",IF(EH2&gt;=IC2,"null",EH2))</f>
        <v>45383</v>
      </c>
      <c r="IW2" s="12">
        <f ca="1">IF(EH2&gt;=IC2,"null",GR2+IF(II2="No",0,IH2))</f>
        <v>21.56</v>
      </c>
      <c r="IX2" s="12">
        <f ca="1">IF(EH2&gt;=IC2,"null",HT2+IF(II2="No",0,IH2))</f>
        <v>21.56</v>
      </c>
      <c r="IY2" s="11">
        <f>IF(AND(F2="DOR",II2="No"),"null",IF(EH2&gt;=IC2,"null",DATE(YEAR(IC2),MONTH(IC2)-1,1)))</f>
        <v>46813</v>
      </c>
      <c r="IZ2" s="11">
        <f>IF(AND(F2="DOR",IO2="N"),"null",IF(EH2&gt;=CY2,"null",MAX(EH2,IC2)))</f>
        <v>46844</v>
      </c>
      <c r="JA2" s="12">
        <f ca="1">IF(IZ2="null","null",GR2)</f>
        <v>21.56</v>
      </c>
      <c r="JB2" s="12">
        <f ca="1">IF(IZ2="null","null",HT2)</f>
        <v>21.56</v>
      </c>
      <c r="JC2" s="11">
        <f>[1]!retdate(Z2,65,1)</f>
        <v>47939</v>
      </c>
      <c r="JD2" s="11">
        <f>IF(AND(F2="DOR",II2="No"),"null",IF(EH2&gt;=JC2,"null",DATE(YEAR(JC2),MONTH(JC2)-1,1)))</f>
        <v>47908</v>
      </c>
      <c r="JE2" s="11">
        <f>MAX(EH2,JC2)</f>
        <v>47939</v>
      </c>
      <c r="JF2" s="12">
        <f ca="1">ROUND(GR2+IF(IQ2="null",0,IQ2),2)</f>
        <v>21.56</v>
      </c>
      <c r="JG2" s="12">
        <f ca="1">ROUND(HT2+IF(IQ2="null",0,IQ2),2)</f>
        <v>21.56</v>
      </c>
      <c r="JH2" s="12">
        <f>FV2+IF(IQ2="null",0,ROUND(IQ2*IF(IU2="null",1,IU2),2))</f>
        <v>39.950000000000003</v>
      </c>
      <c r="JI2" s="12">
        <f ca="1">IF(IX2="null","null",MIN(GR2+IF(IH2="null",0,IH2),JH2))</f>
        <v>21.56</v>
      </c>
      <c r="JJ2" s="273">
        <f ca="1">IF(IX2="null","null",MIN(GR2+IF(IH2="null",0,IH2),JH2)-IF(HN2="null",0,HN2))</f>
        <v>21.56</v>
      </c>
      <c r="JK2" s="273">
        <f ca="1">IF(JB2="null","null",MIN(GR2,JH2))</f>
        <v>21.56</v>
      </c>
      <c r="JL2" s="273">
        <f ca="1">IF(JB2="null","null",MIN(GR2,JH2)-IF(HN2="null",0,HN2))</f>
        <v>21.56</v>
      </c>
      <c r="JM2" s="273">
        <f ca="1">JF2</f>
        <v>21.56</v>
      </c>
      <c r="JN2" s="273">
        <f ca="1">JG2</f>
        <v>21.56</v>
      </c>
      <c r="JO2" s="273" t="str">
        <f>IF(ID2="N","null",ROUND(JJ2-JB2,2))</f>
        <v>null</v>
      </c>
      <c r="JP2" s="273" t="str">
        <f>IF(II2="No","null",ROUND(IH2-JO2,2))</f>
        <v>null</v>
      </c>
      <c r="JQ2" s="273">
        <f ca="1">IF(IA2="null","null",IF(EH2&gt;=IC2,"null",MAX(0,MIN(IA2,JH2-GR2-IF(IH2="null",0,IH2)))))</f>
        <v>1.1299999999999999</v>
      </c>
      <c r="JR2" s="273">
        <f ca="1">IF(JQ2="null","null",IA2-JQ2)</f>
        <v>0</v>
      </c>
      <c r="JS2" s="273">
        <f ca="1">IA2</f>
        <v>1.1299999999999999</v>
      </c>
      <c r="JT2" s="8" t="str">
        <f>IF(II2="No","null",IF(JO2&lt;IH2,"Yes","No"))</f>
        <v>null</v>
      </c>
      <c r="JU2" s="273" t="str">
        <f>IF(F2="QPSA","null",IF(AND(IO2="Y",FI2&gt;0),IF(OR(AND(F2="XRD",G2="V"),F2="RBD"),25,IF(OR(F2={"NRD","EURD","ERD","RETRO"}),IF(AND(BK2&gt;0,OR(BL2="",BL2&gt;BK2),AA2&gt;0),25,"null"),IF(F2="DORNSF","null",25))),"null"))</f>
        <v>null</v>
      </c>
      <c r="JV2" s="126" t="str">
        <f>IF(JU2="null","null",MAX(EH2,[1]!retdate(BC2,65,1)))</f>
        <v>null</v>
      </c>
      <c r="JW2" s="126" t="str">
        <f>IF(JU2="null","null",DATE(2099,12,1))</f>
        <v>null</v>
      </c>
      <c r="JX2" s="269" t="str">
        <f>JW2</f>
        <v>null</v>
      </c>
      <c r="JY2" s="7">
        <f>[1]!ATT(Z2,EH2)</f>
        <v>58</v>
      </c>
      <c r="JZ2" s="126">
        <f>IF(C2="2",BG2,EH2)</f>
        <v>33168</v>
      </c>
      <c r="KA2" s="67">
        <f>[1]!ATT(Z2,JZ2)</f>
        <v>24</v>
      </c>
      <c r="KB2" s="67">
        <f>IF(C2="2",0,IF(YEAR(JZ2)=2014,0,YEAR(JZ2)-2014))</f>
        <v>0</v>
      </c>
      <c r="KC2" s="417">
        <f>IF(C2="2",0,VLOOKUP(MONTH(JZ2)*190,VS,2))</f>
        <v>0</v>
      </c>
      <c r="KD2" s="67">
        <f>IF(C2="2",0,KB2+KC2)</f>
        <v>0</v>
      </c>
      <c r="KE2" s="417">
        <f>BN2+KD2</f>
        <v>19.5</v>
      </c>
      <c r="KF2" s="417">
        <f>IF(C2="2",0,IF(YEAR(JZ2)=2014,0,YEAR(JZ2)-2014))</f>
        <v>0</v>
      </c>
      <c r="KG2" s="417">
        <f>IF(C2="2",0,VLOOKUP(MONTH(JZ2)*190,CS,2))</f>
        <v>0</v>
      </c>
      <c r="KH2" s="67">
        <f>IF(C2="2",0,KF2+KG2)</f>
        <v>0</v>
      </c>
      <c r="KI2" s="417">
        <f>CJ2+KH2</f>
        <v>19.3</v>
      </c>
      <c r="KJ2" s="417" t="str">
        <f>IF(AND(BH2&gt;=55,BN2&gt;=10),"Yes","No")</f>
        <v>No</v>
      </c>
      <c r="KK2" s="417" t="str">
        <f>IF(AND(KA2&gt;=65,KE2&gt;=5),"NR",IF(AND(KA2&gt;=55,KE2&gt;=10),"ER","DV"))</f>
        <v>DV</v>
      </c>
      <c r="KL2" s="67">
        <f>IF(AND(BD2&lt;=DATE(1989,4,10),KI2&gt;=30,KA2&gt;=55),58,IF(AND(BD2&lt;=DATE(1989,4,10),KI2&lt;30,KE2&gt;=10,KA2&gt;=55),62,IF(AND(BD2&gt;DATE(1989,4,10),KE2&gt;=10,KA2&gt;=62),62,65)))</f>
        <v>65</v>
      </c>
      <c r="KM2" s="126">
        <f>IF(KL2="null","null",[1]!NRD(Z2,KL2))</f>
        <v>47939</v>
      </c>
      <c r="KN2" s="126" t="str">
        <f>IF(KL2&lt;&gt;CT2,"Yes","No")</f>
        <v>No</v>
      </c>
      <c r="KO2" s="417" t="str">
        <f>KN2</f>
        <v>No</v>
      </c>
      <c r="KP2" s="269" t="str">
        <f>IF(KL2=65,"erftable1","erftable2")</f>
        <v>erftable1</v>
      </c>
      <c r="KQ2" s="67">
        <f>IF(EH2&lt;KM2,[1]!COMPM(EH2,KM2),0)</f>
        <v>84</v>
      </c>
      <c r="KR2" s="279">
        <f ca="1">VLOOKUP(KQ2,INDIRECT(KP2),2,FALSE)</f>
        <v>0.56799999999999995</v>
      </c>
      <c r="KS2" s="273">
        <f ca="1">ROUND(GC2*KR2*GL2,2)</f>
        <v>22.69</v>
      </c>
      <c r="KT2" s="273">
        <f ca="1">ROUND(KS2*GP2,2)</f>
        <v>21.56</v>
      </c>
      <c r="KU2" s="273">
        <f ca="1">KS2-IF(HK2="null",0,HK2)</f>
        <v>22.69</v>
      </c>
      <c r="KV2" s="273">
        <f ca="1">ROUND(KU2*HQ2,2)</f>
        <v>22.69</v>
      </c>
      <c r="KW2" s="273">
        <f ca="1">KT2-IF(HN2="null",0,HN2)</f>
        <v>21.56</v>
      </c>
      <c r="KX2" s="273">
        <f ca="1">ROUND(KW2*HQ2,2)</f>
        <v>21.56</v>
      </c>
      <c r="KY2" s="273" t="str">
        <f>IF(OR(DZ2={"null",0,""}),"null",IF(FI2&gt;0,ROUND(FI2*KT2,2),"null"))</f>
        <v>null</v>
      </c>
      <c r="KZ2" s="273">
        <f ca="1">IF(FI2&gt;0,IF(OR(DZ2={"null","",0}),ROUND(KT2*FI2,2),MAX(0,ROUND(KY2-HV2,2))),"null")</f>
        <v>11.86</v>
      </c>
      <c r="LA2" s="505">
        <f ca="1">IF(FI2&gt;0,ROUND(KZ2/KX2,4),FI2)</f>
        <v>0.55010000000000003</v>
      </c>
      <c r="LB2" s="506">
        <f ca="1">IF(LA2=0,1,ROUND([1]!PBGCBFCF2("SLA",0,0,"JSP",LA2,0,EJ2,EL2),4))</f>
        <v>0.84079999999999999</v>
      </c>
      <c r="LC2" s="249">
        <f ca="1">ROUND(HY2/LB2,4)</f>
        <v>1</v>
      </c>
      <c r="LD2" s="12">
        <f ca="1">ROUND(LC2*KX2,2)</f>
        <v>21.56</v>
      </c>
      <c r="LE2" s="273">
        <f ca="1">IF(FI2&gt;0,KV2,"null")</f>
        <v>22.69</v>
      </c>
      <c r="LF2" s="273">
        <f ca="1">IF(FI2&gt;0,ROUND(LE2-LD2,2),"null")</f>
        <v>1.1299999999999999</v>
      </c>
      <c r="LG2" s="126" t="str">
        <f>IF(AND(BD2&lt;=DATE(1989,4,10),KI2&gt;=30,AND(KA2&lt;62,KA2&gt;=55),EH2&lt;IC2),IF(AND(E2="4",BA2="N"),"No","Yes"),"No")</f>
        <v>No</v>
      </c>
      <c r="LH2" s="126" t="str">
        <f>IF(LG2="No","null",EH2)</f>
        <v>null</v>
      </c>
      <c r="LI2" s="269" t="str">
        <f>IF(LG2="No","null",DATE(YEAR(IC2),MONTH(IC2)-1,1))</f>
        <v>null</v>
      </c>
      <c r="LJ2" s="273" t="str">
        <f>IF(LG2="Yes",450,"null")</f>
        <v>null</v>
      </c>
      <c r="LK2" s="67" t="str">
        <f>IF(KK2="DV","No",IF(AND(E2="4",BB2="N"),"No","Yes"))</f>
        <v>No</v>
      </c>
      <c r="LL2" s="67" t="str">
        <f>IF(LK2="No","null",25)</f>
        <v>null</v>
      </c>
      <c r="LM2" s="126" t="str">
        <f>IF(LK2="Yes",MAX(IF(EH2&gt;0,EH2,0),[1]!retdate(Z2,65,1)),"null")</f>
        <v>null</v>
      </c>
      <c r="LN2" s="126" t="str">
        <f>IF(LK2="No","null",DATE(2099,12,1))</f>
        <v>null</v>
      </c>
      <c r="LO2" s="67" t="str">
        <f>IF(LK2="No","null",IF(FI2&gt;0,LL2,"null"))</f>
        <v>null</v>
      </c>
      <c r="LP2" s="126" t="str">
        <f>IF(LO2="null","null",MAX(EH2,[1]!retdate(BC2,65,1)))</f>
        <v>null</v>
      </c>
      <c r="LQ2" s="126" t="str">
        <f>IF(LP2="null","null",DATE(2099,12,1))</f>
        <v>null</v>
      </c>
      <c r="LR2" s="67">
        <f>IF(AND(OR(F2={"XRD","QPSA"}),G2="V"),EG2,MAX(CN2,EK2))</f>
        <v>58</v>
      </c>
      <c r="LS2" s="67">
        <f>IF(AND(OR(F2={"XRD","QPSA"}),G2="V"),EI2,MAX(CO2,EL2))</f>
        <v>54</v>
      </c>
      <c r="LT2" s="67">
        <f ca="1">ROUND([1]!NPVF2("MP",IF(FN2="JSP","JSC",FN2),"N",DOPT,IF(E2="4",AH2,U2),CN2,LR2,IF(LS2="null",0,LS2),HX2,FJ2,0,DOPT,DOPT,"P","","",T2),4)</f>
        <v>14.0341</v>
      </c>
      <c r="LU2" s="67">
        <f>IF(BG2&lt;DATE(1989,4,10),"null",IF(OR(X2={"S","W"},E2="4"),"null",ROUND(1-([1]!lx(IF(U2="M","2M13","2F13"),U2,EF2)/[1]!lx(IF(U2="M","2M13","2F13"),U2,CM2)),4)))</f>
        <v>2.2100000000000002E-2</v>
      </c>
      <c r="LV2" s="67">
        <f>IF(BG2&lt;DATE(1989,4,10),"null",IF(OR(X2={"S","W"},E2="4"),"null",IF(FI2=0,0,ROUND([1]!NPVF2("MP","SLA","N",DOPT,IF(U2="M","F","M"),IF(CO2="null",0,CO2),IF(EL2="null",0,EL2),0,0,0,0,DOPT,DOPT,"N","","","0"),4))))</f>
        <v>14.615600000000001</v>
      </c>
      <c r="LW2" s="67">
        <f>IF(BG2&lt;DATE(1989,4,10),"null",IF(OR(X2={"S","W"},E2="4"),"null",ROUND(LU2*LV2,4)))</f>
        <v>0.32300000000000001</v>
      </c>
      <c r="LX2" s="67">
        <f>IF(BC2="NULL",0,ROUND([1]!QPSAPVF("MP","SLA",DOPT,T2,U2,IF(V2&gt;0,V2,IF(U2="M","F","M")),CM2,EF2,IF(CO2="NULL",0,CO2),IF(LS2="NULL",0,LS2),0,0),4))</f>
        <v>0.32300000000000001</v>
      </c>
      <c r="LY2" s="67" t="b">
        <f>LW2=LX2</f>
        <v>1</v>
      </c>
      <c r="LZ2" s="6">
        <f>IF(FH2&lt;&gt;"0","null",ROUND([1]!NPVF2("MP","SLA","N",DOPT,U2,CN2,LR2,0,0,0,0,DOPT,DOPT,"P","","",T2),4))</f>
        <v>12.4468</v>
      </c>
      <c r="MA2" s="6">
        <f>IF(FH2&lt;&gt;"0","null",ROUND([1]!NPVF2("MP","JSJ","N",DOPT,U2,CN2,LR2,IF(LS2="null",0,LS2),0,0,0,DOPT,DOPT,"P","","",T2),4))</f>
        <v>11.407299999999999</v>
      </c>
      <c r="MB2" s="6">
        <f>IF(FH2&lt;&gt;"0","null",ROUND(LZ2-MA2,4))</f>
        <v>1.0395000000000001</v>
      </c>
      <c r="MC2" s="6">
        <f>IF(FH2&lt;&gt;"0","null",IF(EH2&gt;=IC2,"null",ROUND([1]!NPVF2("MP","SLA","N",DOPT,U2,CN2,LR2,0,0,0,MF2,DOPT,DOPT,"P","","",T2),4)))</f>
        <v>2.7239</v>
      </c>
      <c r="MD2" s="6">
        <f>IF(MC2="null","null",ROUND([1]!NPVF2("MP","JSJ","N",DOPT,U2,CN2,LR2,IF(LS2="null",0,LS2),0,0,MF2,DOPT,DOPT,"P","","",T2),4))</f>
        <v>2.7139000000000002</v>
      </c>
      <c r="ME2" s="6">
        <f>IF(MC2="null","null",ROUND(MC2-MD2,4))</f>
        <v>0.01</v>
      </c>
      <c r="MF2" s="573">
        <f>IF(EH2&gt;IC2,0,[1]!COMPM(EH2,IC2))</f>
        <v>48</v>
      </c>
      <c r="MG2" s="67" t="str">
        <f>IF(LG2="No","null",ROUND([1]!NPVF2("MP","SLA","N",DOPT,U2,CN2,LR2,0,0,0,MF2,DOPT,DOPT,"P","","",T2),4))</f>
        <v>null</v>
      </c>
      <c r="MH2" s="67" t="str">
        <f>IF(LK2="No","null",IF(EH2&gt;=LM2,0,[1]!COMPM(EH2,LM2)))</f>
        <v>null</v>
      </c>
      <c r="MI2" s="67" t="str">
        <f>IF(LK2="No","null",ROUND([1]!NPVF2("MP","SLA","N",DOPT,U2,CN2,LR2,0,0,0,0,DOPT,DOPT,"P","","","0"),4))</f>
        <v>null</v>
      </c>
      <c r="MJ2" s="67" t="str">
        <f>IF(LK2="No","null",IF(MH2=0,0,ROUND([1]!NPVF2("MP","SLA","N",DOPT,U2,CN2,LR2,0,0,0,MH2,DOPT,DOPT,"P","","","0"),4)))</f>
        <v>null</v>
      </c>
      <c r="MK2" t="str">
        <f>IF(LK2="No","null",[1]!anb(Z2,LM2))</f>
        <v>null</v>
      </c>
      <c r="ML2" s="67" t="str">
        <f>IF(LK2="No","null",ROUND([1]!NPVF2("MP","SLA","N",DOPT,U2,CN2,MAX(CN2,MK2),0,0,0,0,DOPT,DOPT,"P","","","0"),4))</f>
        <v>null</v>
      </c>
      <c r="MM2" s="67" t="str">
        <f>IF(LK2="No","null",ROUND(MI2-MJ2,4))</f>
        <v>null</v>
      </c>
      <c r="MN2" s="67" t="str">
        <f>ML2</f>
        <v>null</v>
      </c>
      <c r="MO2" s="67" t="str">
        <f>IF(MN2="null","null",MN2-MM2)</f>
        <v>null</v>
      </c>
      <c r="MP2" s="67" t="str">
        <f>IF(LO2="null","null",IF(EH2&gt;=LP2,0,[1]!COMPM(EH2,LP2)))</f>
        <v>null</v>
      </c>
      <c r="MQ2" s="279" t="str">
        <f>IF(LO2="null","null",ROUND([1]!NPVF2("MP","SLA","N",DOPT,IF(V2&gt;0,V2,IF(U2="M","F","M")),CO2,LS2,0,0,0,0,DOPT,DOPT,"N","","",0),4))</f>
        <v>null</v>
      </c>
      <c r="MR2" s="279" t="str">
        <f>IF(LO2="null","null",ROUND([1]!NPVF2("MP","JSJ","N",DOPT,IF(V2&gt;0,V2,IF(U2="M","F","M")),CO2,LS2,LR2,0,0,0,DOPT,DOPT,"N","","",0),4))</f>
        <v>null</v>
      </c>
      <c r="MS2" s="279" t="str">
        <f>IF(LO2="null","null",IF(MP2=0,0,ROUND([1]!NPVF2("MP","SLA","N",DOPT,IF(V2&gt;0,V2,IF(U2="M","F","M")),CO2,LS2,0,0,0,MP2,DOPT,DOPT,"N","","",0),4)))</f>
        <v>null</v>
      </c>
      <c r="MT2" s="279" t="str">
        <f>IF(LO2="null","null",IF(MP2=0,0,ROUND([1]!NPVF2("MP","JSJ","N",DOPT,IF(V2&gt;0,V2,IF(U2="M","F","M")),CO2,LS2,LR2,0,0,MP2,DOPT,DOPT,"N","","",0),4)))</f>
        <v>null</v>
      </c>
      <c r="MU2" s="279" t="str">
        <f>IF(MT2="null","null",ROUND(1-([1]!lx(DOPT,U2,LR2,"N",0)/[1]!lx(DOPT,U2,CN2,"N",0)),4))</f>
        <v>null</v>
      </c>
      <c r="MV2" s="279" t="str">
        <f>IF(LP2="null","null",[1]!anb(BC2,LP2))</f>
        <v>null</v>
      </c>
      <c r="MW2" s="279" t="str">
        <f>IF(LP2="null","null",[1]!anb(Z2,LP2))</f>
        <v>null</v>
      </c>
      <c r="MX2" s="279" t="str">
        <f>IF(LO2="null","null",ROUND([1]!NPVF2("MP","SLA","N",DOPT,IF(V2&gt;0,V2,IF(U2="M","F","M")),CO2,MAX(MV2,CO2),0,0,0,0,DOPT,DOPT,"P","","",0),4))</f>
        <v>null</v>
      </c>
      <c r="MY2" s="279" t="str">
        <f>IF(LO2="null","null",ROUND([1]!NPVF2("MP","JSJ","N",DOPT,IF(V2&gt;0,V2,IF(U2="M","F","M")),CO2,MAX(CO2,MV2),MIN(120,MAX(CN2,MW2)),0,0,0,DOPT,DOPT,"B","","",0),4))</f>
        <v>null</v>
      </c>
      <c r="MZ2" s="279" t="str">
        <f>IF(LO2="null","null",ROUND(((MQ2-MS2)-(MR2-MT2))*(1-MU2),4))</f>
        <v>null</v>
      </c>
      <c r="NA2" s="279" t="str">
        <f>IF(MX2="null","null",MX2-MY2)</f>
        <v>null</v>
      </c>
      <c r="NB2" s="279" t="str">
        <f>IF(NA2="null","null",NA2-MZ2)</f>
        <v>null</v>
      </c>
      <c r="NC2" s="125">
        <f>LOADING</f>
        <v>8.0999999999999996E-3</v>
      </c>
      <c r="ND2" s="68">
        <f ca="1">IF(OR(HW2="null",LW2="null"),"null",ROUND(HW2*LW2*12,0))</f>
        <v>46</v>
      </c>
      <c r="NE2" s="568">
        <f ca="1">ROUND(HT2*LT2*12,0)+ROUND(IF(JO2="null",0,JO2*MG2*12),0)+ROUND((IF(IQ2="null",0,IQ2*MN2*12)),0)+ROUND((IF(OR(JU2="null",JU2=0),0,JU2*NA2*12)),0)+IF(ID2="N",IF(IA2="null",0,ROUND(IA2*MB2*12,0)),ROUND(IF(JQ2="null",0,JQ2*ME2*12),0)+ROUND(IF(JS2="null",0,JS2*(MB2-IF(ME2="null",0,ME2))*12),0))+IF(ND2="null",0,ND2)</f>
        <v>3691</v>
      </c>
      <c r="NF2" s="68">
        <f ca="1">ROUND(NE2*(1+$NC2),0)</f>
        <v>3721</v>
      </c>
      <c r="NG2" s="568">
        <f ca="1">IF(AND(JP2="null",JR2="null"),"null",IF(JP2="null",0,ROUND(JP2*MG2*12,0))+IF(JR2="null",0,ROUND(JR2*ME2*12,0)))</f>
        <v>0</v>
      </c>
      <c r="NH2" s="68">
        <f ca="1">IF(NG2="null","null",ROUND(NG2*(1+$NC2),0))</f>
        <v>0</v>
      </c>
      <c r="NI2" s="68">
        <f ca="1">NE2+IF(NG2="null",0,NG2)</f>
        <v>3691</v>
      </c>
      <c r="NJ2" s="68">
        <f ca="1">NF2+IF(NH2="null",0,NH2)</f>
        <v>3721</v>
      </c>
      <c r="NK2" s="68" t="b">
        <f ca="1">LD2=HT2</f>
        <v>1</v>
      </c>
      <c r="NL2" s="68" t="b">
        <f>IH2=LJ2</f>
        <v>1</v>
      </c>
      <c r="NM2" s="68" t="b">
        <f>LL2=IQ2</f>
        <v>1</v>
      </c>
      <c r="NN2" s="68" t="b">
        <f>LO2=JU2</f>
        <v>1</v>
      </c>
      <c r="NO2" s="68" t="b">
        <f ca="1">LF2=IA2</f>
        <v>1</v>
      </c>
      <c r="NP2" s="68" t="str">
        <f ca="1">IF(AND(NK2=TRUE,NL2=TRUE,NM2=TRUE,NN2=TRUE,NO2=TRUE),"Yes","No")</f>
        <v>Yes</v>
      </c>
      <c r="NQ2" s="68">
        <f ca="1">IF(OR(KZ2="null",LW2="null"),"null",IF(HW2=KZ2,ND2,ROUND(ROUND(KZ2*LC2,2)*LW2*12,0)))</f>
        <v>46</v>
      </c>
      <c r="NR2" s="68">
        <f ca="1">IF(AND(LD2=HT2,IH2=LJ2,LL2=IQ2,LO2=JU2,LF2=IA2),NI2,ROUND(LD2*LT2*12,0)+ROUND(IF(C2="2",IF(JO2="null",0,ROUND(JO2*MG2*12,0)+ROUND(JP2*MG2*12,0)),IF(LJ2="null",0,LJ2*MG2*12)),0)+ROUND((IF(OR(MN2=0,MN2="null"),0,LL2*MN2*12)),0)+ROUND((IF(OR(LO2="null",LO2=0),0,LO2*NA2*12)),0)+ROUND((IF(OR(MB2="null",MB2=0),0,LF2*MB2*12)),0)+IF(NQ2="null",0,NQ2))</f>
        <v>3691</v>
      </c>
      <c r="NS2" s="68">
        <f ca="1">IF(C2="2",NJ2,ROUND(NR2*(1+$NC2),0))</f>
        <v>3721</v>
      </c>
      <c r="NT2" s="68" t="b">
        <f ca="1">NJ2=NS2</f>
        <v>1</v>
      </c>
      <c r="NU2" s="419">
        <f>GROWIN</f>
        <v>0.52115</v>
      </c>
      <c r="NV2" s="68">
        <f ca="1">IF(ND2="null","null",ROUND((NQ2-ND2)*NU2,0))</f>
        <v>0</v>
      </c>
      <c r="NW2" s="68">
        <f ca="1">ROUND((NR2-(NE2+IF(NG2="null",0,NG2)))*NU2,0)</f>
        <v>0</v>
      </c>
      <c r="NX2" s="68">
        <f ca="1">ROUND(NW2*(1+NC2),0)</f>
        <v>0</v>
      </c>
      <c r="NY2" s="68">
        <f ca="1">IF(AND(ND2="NULL",NV2="NULL"),"NULL",ND2+NV2)</f>
        <v>46</v>
      </c>
      <c r="NZ2" s="68">
        <f ca="1">NI2+NW2</f>
        <v>3691</v>
      </c>
      <c r="OA2" s="68">
        <f ca="1">NJ2+NX2</f>
        <v>3721</v>
      </c>
      <c r="OB2" s="12">
        <f ca="1">GR2</f>
        <v>21.56</v>
      </c>
      <c r="OC2" s="12">
        <f ca="1">HT2</f>
        <v>21.56</v>
      </c>
      <c r="OD2" s="12">
        <f ca="1">HW2</f>
        <v>11.86</v>
      </c>
      <c r="OE2" s="12">
        <f ca="1">HZ2</f>
        <v>22.69</v>
      </c>
      <c r="OF2" s="12">
        <f ca="1">IA2</f>
        <v>1.1299999999999999</v>
      </c>
      <c r="OG2" s="12">
        <f ca="1">JQ2</f>
        <v>1.1299999999999999</v>
      </c>
      <c r="OH2" s="12">
        <f ca="1">JS2</f>
        <v>1.1299999999999999</v>
      </c>
      <c r="OI2" s="12" t="str">
        <f>JO2</f>
        <v>null</v>
      </c>
      <c r="OJ2" s="12" t="str">
        <f>IQ2</f>
        <v>null</v>
      </c>
      <c r="OK2" s="12" t="str">
        <f>JU2</f>
        <v>null</v>
      </c>
      <c r="OL2" s="12">
        <f ca="1">OC2</f>
        <v>21.56</v>
      </c>
      <c r="OM2" s="271">
        <f ca="1">IF(OR(OD2="null",LW2="null"),"null",ROUND(OD2*LW2*12,0))</f>
        <v>46</v>
      </c>
      <c r="ON2" s="569">
        <f ca="1">ROUND(OL2*LT2*12,0)+ROUND(IF(OI2="null",0,OI2*MG2*12),0)+ROUND(IF(OJ2="null",0,OJ2*MN2*12),0)+ROUND(IF(OK2="null",0,OK2*NA2*12),0)+IF(ID2="N",IF(IA2="null",0,ROUND(IA2*MB2*12,0)),ROUND(IF(JQ2="null",0,JQ2*ME2*12),0)+ROUND(IF(JS2="null",0,JS2*(MB2-IF(ME2="null",0,ME2))*12),0))+IF(OM2="null",0,OM2)</f>
        <v>3691</v>
      </c>
      <c r="OO2" s="21">
        <f ca="1">ROUND(ON2*NC2,0)</f>
        <v>30</v>
      </c>
      <c r="OP2" s="21">
        <f ca="1">ROUND(ON2+OO2,0)</f>
        <v>3721</v>
      </c>
      <c r="OQ2" s="6">
        <f>[1]!ATT(Z2,DOPT3)</f>
        <v>44</v>
      </c>
      <c r="OR2" s="6">
        <f>IF(OR(BF2&gt;=DATE(2012,1,1),BG2&lt;DATE(2011,1,1)),0,VLOOKUP((MONTH(MIN(BG2,DATE(2011,12,31)))-MONTH(MAX(BF2,DATE(2011,1,1)))+1)*190,VS,2))</f>
        <v>0</v>
      </c>
      <c r="OS2" s="6">
        <f>IF(OR(BF2&gt;=DATE(2013,1,1),BG2&lt;DATE(2012,1,1)),0,VLOOKUP((MONTH(MIN(BG2,DATE(2012,12,31)))-MONTH(MAX(BF2,DATE(2012,1,1)))+1)*190,VS,2))</f>
        <v>0</v>
      </c>
      <c r="OT2" s="6">
        <f>IF(OR(BF2&gt;=DATE(2014,1,1),BG2&lt;DATE(2013,1,1)),0,VLOOKUP((MONTH(MIN(BG2,DATE(2013,12,31)))-MONTH(MAX(BF2,DATE(2013,1,1)))+1)*190,VS,2))</f>
        <v>0</v>
      </c>
      <c r="OU2" s="6">
        <f>IF(BG2&lt;=DOPT3,BN2,BN2-IF(OR2="null",0,OR2)-IF(OS2="null",0,OS2)-IF(OT2="null",0,OT2))</f>
        <v>19.5</v>
      </c>
      <c r="OV2" s="6" t="str">
        <f>IF(BG2&lt;DOPT3,"DOTE","DOPT-3")</f>
        <v>DOTE</v>
      </c>
      <c r="OW2" s="6" t="str">
        <f>IF(AND(OQ2&gt;=55,OU2&gt;=5),"Y","N")</f>
        <v>N</v>
      </c>
      <c r="OX2" s="6" t="str">
        <f>IF(OW2="N","null",IF(AND(MIN(BH2,OQ2)&gt;=65,OU2&gt;=5),"NR",IF(AND(MIN(BH2,OQ2)&gt;=55,OU2&gt;=10),"ER","DV")))</f>
        <v>null</v>
      </c>
      <c r="OY2" s="248" t="str">
        <f>IF(OW2="N","null",BT2+BY2)</f>
        <v>null</v>
      </c>
      <c r="OZ2" s="11" t="str">
        <f>IF(OW2="N","null",[1]!NRD(DOPT3,0))</f>
        <v>null</v>
      </c>
      <c r="PA2" s="6" t="str">
        <f>IF(OW2="N","null",IF(AND(BD2&lt;=DATE(1989,4,10),OY2&gt;=30,MIN(BH2,OQ2)&gt;=55),58,IF(AND(BD2&lt;=DATE(1989,4,10),OU2&gt;=10,MIN(BH2,OQ2)&gt;=55),62,IF(AND(BD2&gt;DATE(1989,4,10),OU2&gt;=10,MIN(BH2,OQ2)&gt;=62),62,65))))</f>
        <v>null</v>
      </c>
      <c r="PB2" s="11" t="str">
        <f>IF(OW2="N","null",[1]!NRD(Z2,PA2))</f>
        <v>null</v>
      </c>
      <c r="PC2" s="12" t="str">
        <f>IF(OW2="N","null",DU2)</f>
        <v>null</v>
      </c>
      <c r="PD2" s="12" t="str">
        <f>IF(OW2="N","null",ROUND(PC2*IF(OR(GA2={"null",""}),1,GA2),2))</f>
        <v>null</v>
      </c>
      <c r="PE2" s="269" t="str">
        <f>IF(OW2="N","null",IF(PA2=65,"erftable1","erftable2"))</f>
        <v>null</v>
      </c>
      <c r="PF2" s="6" t="str">
        <f>IF(OW2="N","null",IF(OZ2&lt;PB2,[1]!COMPM(OZ2,PB2),0))</f>
        <v>null</v>
      </c>
      <c r="PG2" s="277" t="str">
        <f ca="1">IF(OW2="N","null",VLOOKUP(PF2,INDIRECT(PE2),2,FALSE))</f>
        <v>null</v>
      </c>
      <c r="PH2" s="6" t="str">
        <f>IF(OW2="N","null",IF(MIN([1]!NRD(BG2,0),[1]!NRD(DOPT3,0))&lt;CY2,0,[1]!COMPM(CY2,MIN([1]!NRD(DOPT3,0),[1]!NRD(BG2,0)))))</f>
        <v>null</v>
      </c>
      <c r="PI2" s="249" t="str">
        <f>IF(OW2="N","null",ROUND([1]!LRFAEQ(4.5%,"M",65,PH2,0,"AA06","AA06","MP","Y"),4))</f>
        <v>null</v>
      </c>
      <c r="PJ2" s="6" t="str">
        <f>IF(OW2="N","null",IF(OZ2&gt;CY2,[1]!COMPM(CY2,OZ2),0))</f>
        <v>null</v>
      </c>
      <c r="PK2" s="249" t="str">
        <f>IF(OW2="N","null",ROUND([1]!LRFAEQ(4.5%,"M",65,PJ2,0,"AA06","AA06","MP","Y"),4))</f>
        <v>null</v>
      </c>
      <c r="PL2" s="249" t="str">
        <f>IF(OW2="N","null",ROUND(PK2/PI2,4))</f>
        <v>null</v>
      </c>
      <c r="PM2" s="6" t="str">
        <f>IF(OW2="N","null",ROUND(PD2*PG2*PL2,2))</f>
        <v>null</v>
      </c>
      <c r="PN2" s="277" t="str">
        <f>IF(OW2="N","null",IF(FH2="2",1,IF(ABS(GO2)&lt;=5,0.95,IF(GO2&gt;0,MIN(1,0.95+0.005*(ABS(GO2)-5)),0.95-0.005*(ABS(GO2)-5)))))</f>
        <v>null</v>
      </c>
      <c r="PO2" s="6" t="str">
        <f>IF(OW2="N","null",ROUND(PM2*PN2,2))</f>
        <v>null</v>
      </c>
      <c r="PP2" s="12" t="str">
        <f>IF(OW2="N","null",DZ2)</f>
        <v>null</v>
      </c>
      <c r="PQ2" s="8" t="str">
        <f>IF(OW2="N","null",IF(OR(PP2="",PP2="null",PP2=0),"null",ROUND(PP2*IF(HC2="null",1,1-HC2),2)))</f>
        <v>null</v>
      </c>
      <c r="PR2" s="276" t="str">
        <f>IF(PQ2="null","null",IF([1]!NRD(DOPT3,0)&gt;$CY2,0,[1]!COMPM([1]!NRD(DOPT3,0),$CY2)))</f>
        <v>null</v>
      </c>
      <c r="PS2" s="277" t="str">
        <f>IF(PR2="null","null",VLOOKUP(PR2,erftable1,2))</f>
        <v>null</v>
      </c>
      <c r="PT2" s="277" t="str">
        <f>IF(PQ2="null","null",ROUND([1]!LRFAEQ(0.04,"M",65,PJ2,0,"AA06","AA06","MP","Y"),4))</f>
        <v>null</v>
      </c>
      <c r="PU2" s="273" t="str">
        <f>IF(PQ2="null","null",ROUND(PQ2*PS2*PT2,2))</f>
        <v>null</v>
      </c>
      <c r="PV2" s="273" t="str">
        <f>IF(PT2="null","null",ROUND(PU2*PN2,2))</f>
        <v>null</v>
      </c>
      <c r="PW2" s="273" t="str">
        <f>IF(OW2="N","null",IF(FI2&gt;0,ROUND(MIN(HR2,MAX(0,PM2-IF(PU2="null",0,PU2))),2),"null"))</f>
        <v>null</v>
      </c>
      <c r="PX2" s="273" t="str">
        <f>IF(OW2="N","null",IF(FI2&gt;0,ROUND(MAX(0,PM2-IF(PU2="null",0,PU2)),2),"null"))</f>
        <v>null</v>
      </c>
      <c r="PY2" s="273" t="str">
        <f>IF(OW2="N","null",ROUND(MAX(0,PO2-IF(PV2="null",0,PV2)),2))</f>
        <v>null</v>
      </c>
      <c r="PZ2" s="6" t="str">
        <f>IF(OW2="N","null",IF(AND(BD2&lt;=DATE(1989,4,10),OY2&gt;=30,MIN(BH2,OQ2)&gt;=55,EH2&lt;IC2),"Yes","No"))</f>
        <v>null</v>
      </c>
      <c r="QA2" s="6" t="str">
        <f>IF(OW2="N","null",IF(OX2="DV","No",IF(AND(ER2="PLAN",IL2="",OR(F2="DORNSF",F2="DOR",F2="RETRO_DOR",AND(F2="XRD",G2="R")),EH2&gt;=IK2),"No","Yes")))</f>
        <v>null</v>
      </c>
      <c r="QB2" s="12" t="str">
        <f>IF(OW2="N","null",IF(PY2&gt;HT2,"Yes","No"))</f>
        <v>null</v>
      </c>
      <c r="QC2" s="12" t="str">
        <f>IF(OW2="N","null",IH2)</f>
        <v>null</v>
      </c>
      <c r="QD2" s="12" t="str">
        <f>PZ2</f>
        <v>null</v>
      </c>
      <c r="QE2" s="12" t="str">
        <f>IF(OW2="N","null",QC2=QD2)</f>
        <v>null</v>
      </c>
      <c r="QF2" s="12" t="str">
        <f>IF(OW2="N","null",IO2)</f>
        <v>null</v>
      </c>
      <c r="QG2" s="12" t="str">
        <f>IF(OW2="N","null",QA2)</f>
        <v>null</v>
      </c>
      <c r="QH2" s="12" t="str">
        <f>IF(OW2="N","null",QF2=QG2)</f>
        <v>null</v>
      </c>
      <c r="QI2" s="12" t="str">
        <f>IF(OW2="N","null",IF(AND(PY2&gt;HT2,ID2=PZ2,IO2=QA2),"Yes","No"))</f>
        <v>null</v>
      </c>
      <c r="QJ2" s="12" t="str">
        <f>IF(OW2="N","null",IF(FI2&gt;0,IF(QI2="Yes",HR2,PX2),"null"))</f>
        <v>null</v>
      </c>
      <c r="QK2" s="12" t="str">
        <f>IF(OW2="N","null",IF(QI2="Yes",HT2,PY2))</f>
        <v>null</v>
      </c>
      <c r="QL2" s="12" t="str">
        <f>IF(PO2="null","null",IF(FH2="2","null",IF(OR(DZ2={"",0,"null"}),"null",IF(QI2="Yes",HU2,ROUND(PO2*IF(AND(OR(F2={"DOR","RETRO_DOR"}),ES2="3"),EX2,FI2),2)))))</f>
        <v>null</v>
      </c>
      <c r="QM2" s="12" t="str">
        <f>IF(QL2="null","null",IF(QI2="Yes",HV2,ROUND(PV2*0.55,2)))</f>
        <v>null</v>
      </c>
      <c r="QN2" s="12" t="str">
        <f>IF(OW2="N","null",IF(QI2="Yes",HW2,IF(FI2&gt;0,IF(OR(DZ2={"null","",0}),ROUND(QK2*IF(AND(OR(F2={"DOR","RETRO_DOR"}),ES2="3"),EX2,FI2),2),ROUND(MAX(0,QL2-QM2),2)),"null")))</f>
        <v>null</v>
      </c>
      <c r="QO2" s="98" t="str">
        <f>IF(OW2="N","null",IF(FI2=0,0,IF(AND(QN2=0,QK2=0),HX2,ROUND(QN2/QK2,4))))</f>
        <v>null</v>
      </c>
      <c r="QP2" s="6" t="str">
        <f>IF(QO2="null","null",IF(QO2=0,1,ROUND([1]!PBGCBFCF2("SLA",0,0,"JSP",QO2,0,EJ2,EL2),4)))</f>
        <v>null</v>
      </c>
      <c r="QQ2" s="420" t="str">
        <f>IF(OW2="N","null",ROUND(HY2/QP2,4))</f>
        <v>null</v>
      </c>
      <c r="QR2" s="12" t="str">
        <f>IF(OW2="N","null",ROUND(QQ2*QK2,2))</f>
        <v>null</v>
      </c>
      <c r="QS2" s="12" t="str">
        <f>IF(OW2="N","null",IF(FI2&gt;0,QJ2-QK2,"null"))</f>
        <v>null</v>
      </c>
      <c r="QT2" s="13" t="str">
        <f>IF(OR(PZ2={"null","No"}),"null",450)</f>
        <v>null</v>
      </c>
      <c r="QU2" s="6" t="str">
        <f>IF(QT2="null","null",MAX(0,MIN(QT2,JH2-PO2)))</f>
        <v>null</v>
      </c>
      <c r="QV2" s="6" t="str">
        <f>IF(QT2="null","null",ROUND(QT2-QU2,2))</f>
        <v>null</v>
      </c>
      <c r="QW2" s="250" t="str">
        <f>IF(OR(OW2="N",QA2="No"),"null",25)</f>
        <v>null</v>
      </c>
      <c r="QX2" s="250" t="str">
        <f>IF(OW2="N","null",IF(F2="QPSA","null",IF(AND(QA2="Yes",FI2&gt;0),IF(OR(AND(F2="XRD",G2="V"),F2="RBD"),25,IF(OR(F2={"NRD","EURD","ERD","RETRO"}),IF(AND(BK2&gt;0,OR(BL2="",BL2&gt;BK2),AA2&gt;0),25,"null"),IF(F2="DORNSF","null",25))),"null")))</f>
        <v>null</v>
      </c>
      <c r="QY2" s="250" t="str">
        <f>IF(QS2="null","null",IF(EH2&gt;=IC2,"null",MAX(0,MIN(QS2,JH2-PO2-IF(QT2="null",0,QT2)))))</f>
        <v>null</v>
      </c>
      <c r="QZ2" s="250" t="str">
        <f>IF(QY2="null","null",QS2-QY2)</f>
        <v>null</v>
      </c>
      <c r="RA2" s="250" t="str">
        <f>QS2</f>
        <v>null</v>
      </c>
      <c r="RB2" s="250" t="str">
        <f>IF(OW2="N","null",IF(OL2&gt;QR2,"No","Yes"))</f>
        <v>null</v>
      </c>
      <c r="RC2" s="271" t="str">
        <f>IF(OW2="N","null",IF(OR(LW2="null",QN2="null"),0,ROUND(QN2*QQ2*LW2*12,0)))</f>
        <v>null</v>
      </c>
      <c r="RD2" s="570" t="str">
        <f>IF(OW2="N","null",ROUND(QR2*LT2*12,0)+ROUND(IF(QU2="null",0,QU2*MG2*12),0)+ROUND(IF(QW2="null",0,QW2*MN2*12),0)+ROUND(IF(QX2="null",0,QX2*NA2*12),0)+IF(ID2="N",IF(QS2="null",0,ROUND(QS2*MB2*12,0)),ROUND(IF(QY2="null",0,QY2*ME2*12),0)+ROUND(IF(RA2="null",0,RA2*(MB2-IF(ME2="null",0,ME2))*12),0))+IF(RC2="null",0,RC2))</f>
        <v>null</v>
      </c>
      <c r="RE2" s="271" t="str">
        <f>IF(OW2="N","null",ROUND(RD2*NC2,0))</f>
        <v>null</v>
      </c>
      <c r="RF2" s="570" t="str">
        <f>IF(OW2="N","null",IF(QV2="null","null",ROUND(QV2*MG2*12,0)+IF(QZ2="Null",0,ROUND(QZ2*ME2*12,0))))</f>
        <v>null</v>
      </c>
      <c r="RG2" s="271" t="str">
        <f>IF(OW2="N","null",IF(RF2="null","null",ROUND(RF2*NC2,0)))</f>
        <v>null</v>
      </c>
      <c r="RH2" s="271" t="str">
        <f>IF(OW2="N","null",ROUND(RD2+RE2+IF(RF2="null",0,RF2)+IF(RG2="null",0,RG2),0))</f>
        <v>null</v>
      </c>
      <c r="RI2" s="271" t="str">
        <f>IF(OW2="N","null",OA2)</f>
        <v>null</v>
      </c>
      <c r="RJ2" s="271">
        <f ca="1">ROUND(MAX(0,OP2-IF(RD2="null",0,RD2+RE2)),0)</f>
        <v>3721</v>
      </c>
      <c r="RK2" s="421" t="str">
        <f>IF(OW2="N","null",PC34044AR)</f>
        <v>null</v>
      </c>
      <c r="RL2" s="271" t="str">
        <f>IF(OW2="N","null",IF(RH2="null","null",ROUND(RH2*RK2,0)))</f>
        <v>null</v>
      </c>
      <c r="RM2" s="271" t="str">
        <f>IF(OW2="N","null",MIN(RL2,RD2+RE2))</f>
        <v>null</v>
      </c>
      <c r="RN2" s="271" t="str">
        <f>IF(OW2="N","null",RL2-RM2)</f>
        <v>null</v>
      </c>
      <c r="RO2" s="271" t="str">
        <f>IF(OW2="N","Guaranteed Benefit",IF(OP2&gt;RL2,"Guaranteed Benefit","Asset Allocation"))</f>
        <v>Guaranteed Benefit</v>
      </c>
      <c r="RP2" s="421" t="str">
        <f>IF(OW2="N","null",IF(RM2=0,0,ROUND(RM2/(RD2+RE2),6)))</f>
        <v>null</v>
      </c>
      <c r="RQ2" s="421" t="str">
        <f>IF(OW2="N","null",IF(RN2=0,0,ROUND(RN2/(RF2+RG2),6)))</f>
        <v>null</v>
      </c>
      <c r="RR2" s="12">
        <f ca="1">IF(RO2="Guaranteed Benefit",OC2,ROUND(QR2*RP2,2))</f>
        <v>21.56</v>
      </c>
      <c r="RS2" s="165">
        <f ca="1">IF(RO2="Guaranteed Benefit",OC2,ROUND(QK2*RP2,2))</f>
        <v>21.56</v>
      </c>
      <c r="RT2" s="165">
        <f ca="1">IF(RO2="Guaranteed Benefit",OF2,IF(QS2="null","null",ROUND(QS2*RP2,2)))</f>
        <v>1.1299999999999999</v>
      </c>
      <c r="RU2" s="165">
        <f ca="1">IF(RO2="Guaranteed Benefit",OG2,IF(QY2="null","null",ROUND(QY2*RP2,2)))</f>
        <v>1.1299999999999999</v>
      </c>
      <c r="RV2" s="165">
        <f ca="1">IF(RU2="null","null",IF(QZ2="null",0,ROUND(QZ2*RQ2,2)))</f>
        <v>0</v>
      </c>
      <c r="RW2" s="165">
        <f ca="1">IF(RO2="Guaranteed Benefit",OH2,IF(RA2="null","null",ROUND(RA2*RP2,2)))</f>
        <v>1.1299999999999999</v>
      </c>
      <c r="RX2" s="165" t="str">
        <f>IF(RO2="Guaranteed Benefit",OI2,IF(QU2="null","null",ROUND(QU2*RP2,2)))</f>
        <v>null</v>
      </c>
      <c r="RY2" s="165" t="str">
        <f>IF(IH2="null","null",IF(QT2="null",0,ROUND(QV2*RQ2,2)))</f>
        <v>null</v>
      </c>
      <c r="RZ2" s="165" t="str">
        <f>OJ2</f>
        <v>null</v>
      </c>
      <c r="SA2" s="165" t="str">
        <f>OK2</f>
        <v>null</v>
      </c>
      <c r="SB2" s="166">
        <f ca="1">OM2</f>
        <v>46</v>
      </c>
      <c r="SC2" s="568">
        <f ca="1">ROUND(RR2*LT2*12,0)+ROUND(IF(RX2="null",0,RX2*MG2*12),0)+ROUND(IF(RZ2="null",0,RZ2*MN2*12),0)+ROUND(IF(SA2="null",0,SA2*NA2*12),0)+IF(ID2="N",IF(RT2="null",0,ROUND(RT2*MB2*12,0)),ROUND(IF(RU2="null",0,RU2*ME2*12),0)+ROUND(IF(RW2="null",0,RW2*(MB2-IF(ME2="null",0,ME2))*12),0))+IF(SB2="null",0,SB2)</f>
        <v>3691</v>
      </c>
      <c r="SD2" s="68">
        <f ca="1">ROUND(SC2*(1+NC2),0)</f>
        <v>3721</v>
      </c>
      <c r="SE2" s="568" t="str">
        <f>IF(RY2="null","null",ROUND(RY2*MG2*12,0)+IF(RV2="Null",0,ROUND(RV2*ME2*12,0)))</f>
        <v>null</v>
      </c>
      <c r="SF2" s="68" t="str">
        <f>IF(SE2="null","null",ROUND(SE2*(1+NC2),0))</f>
        <v>null</v>
      </c>
      <c r="SG2" s="68">
        <f ca="1">ROUND(SC2+IF(SE2="null",0,SE2),0)</f>
        <v>3691</v>
      </c>
      <c r="SH2" s="68">
        <f ca="1">ROUND(SD2+IF(SF2="null",0,SF2),0)</f>
        <v>3721</v>
      </c>
      <c r="SI2" s="68" t="str">
        <f>IF(RE2="null","null",MAX(0,RD2+RE2-SD2))</f>
        <v>null</v>
      </c>
      <c r="SJ2" s="68" t="str">
        <f>IF(RF2="null","null",ROUND(MAX(0,RF2+RG2-SF2),0))</f>
        <v>null</v>
      </c>
      <c r="SK2" s="68" t="str">
        <f>IF(RH2="null","null",ROUND(MAX(0,RH2-SH2),0))</f>
        <v>null</v>
      </c>
      <c r="SL2" s="125" t="str">
        <f>IF(SK2="null","null",PC34022CAR)</f>
        <v>null</v>
      </c>
      <c r="SM2" s="68" t="str">
        <f>IF(SK2="null","null",ROUND(SK2*SL2,0))</f>
        <v>null</v>
      </c>
      <c r="SN2" s="68" t="str">
        <f>IF(SM2="null","null",MIN(SI2,SM2))</f>
        <v>null</v>
      </c>
      <c r="SO2" s="68" t="str">
        <f>IF(SJ2="null","null",ROUND(MAX(0,MIN(SJ2,SM2-SN2)),0))</f>
        <v>null</v>
      </c>
      <c r="SP2" s="413" t="str">
        <f>IF(SN2="null","null",ROUND(SN2/NF2,6))</f>
        <v>null</v>
      </c>
      <c r="SQ2" s="413" t="str">
        <f>IF(SO2="null","null",ROUND(SO2/NH2,6))</f>
        <v>null</v>
      </c>
      <c r="SR2" s="273">
        <f ca="1">MAX(0,HT2-RS2)</f>
        <v>0</v>
      </c>
      <c r="SS2" s="273">
        <f ca="1">IF(IA2="null","null",MAX(0,IA2-RT2))</f>
        <v>0</v>
      </c>
      <c r="ST2" s="273">
        <f ca="1">IF(JQ2="null","null",MAX(0,JQ2-RU2))</f>
        <v>0</v>
      </c>
      <c r="SU2" s="273">
        <f ca="1">IF(JR2="null","null",MAX(0,JR2-RV2))</f>
        <v>0</v>
      </c>
      <c r="SV2" s="273">
        <f ca="1">IF(JS2="null","null",MAX(0,JS2-RW2))</f>
        <v>0</v>
      </c>
      <c r="SW2" s="273" t="str">
        <f>IF(JO2="null","null",JO2-RX2)</f>
        <v>null</v>
      </c>
      <c r="SX2" s="273" t="str">
        <f>IF(JP2="null","null",JP2-RY2)</f>
        <v>null</v>
      </c>
      <c r="SY2" s="273" t="str">
        <f>IF(IQ2="null","null",MAX(0,IQ2-RZ2))</f>
        <v>null</v>
      </c>
      <c r="SZ2" s="273" t="str">
        <f>IF(JU2="null","null",MAX(0,JU2-SA2))</f>
        <v>null</v>
      </c>
      <c r="TA2" s="68">
        <f>IF(FI2=0,"null",0)</f>
        <v>0</v>
      </c>
      <c r="TB2" s="568">
        <f ca="1">ROUND(SR2*LT2*12,0)+ROUND(IF(SW2="null",0,SW2*MG2*12),0)+ROUND(IF(SY2="null",0,SY2*MN2*12),0)+ROUND(IF(SZ2="null",0,SZ2*NA2*12),0)+IF(ID2="N",IF(SS2="null",0,ROUND(SS2*MB2*12,0)),ROUND(IF(ST2="null",0,ST2*ME2*12),0)+ROUND(IF(SV2="null",0,SV2*(MB2-IF(ME2="null",0,ME2))*12),0))+IF(TA2="null",0,TA2)</f>
        <v>0</v>
      </c>
      <c r="TC2" s="68">
        <f ca="1">ROUND(TB2*(1+NC2),0)</f>
        <v>0</v>
      </c>
      <c r="TD2" s="568" t="str">
        <f>IF(SX2="null","null",ROUND(SX2*MG2*12,0)+IF(SU2="null",0,ROUND(SU2*ME2*12,0)))</f>
        <v>null</v>
      </c>
      <c r="TE2" s="68" t="str">
        <f>IF(TD2="null","null",ROUND(TD2*(1+NC2),0))</f>
        <v>null</v>
      </c>
      <c r="TF2" s="68">
        <f ca="1">TB2+IF(TD2="null",0,TD2)</f>
        <v>0</v>
      </c>
      <c r="TG2" s="68">
        <f ca="1">TC2+IF(TE2="null",0,TE2)</f>
        <v>0</v>
      </c>
      <c r="TH2" s="166">
        <f ca="1">MAX(0,NI2-SG2)</f>
        <v>0</v>
      </c>
      <c r="TI2" s="166">
        <f ca="1">MAX(0,NJ2-SH2)</f>
        <v>0</v>
      </c>
      <c r="TJ2" s="413">
        <f>PC54044AR</f>
        <v>0</v>
      </c>
      <c r="TK2" s="507">
        <f>PC5AAR</f>
        <v>0.232181</v>
      </c>
      <c r="TL2" s="508">
        <f ca="1">NW2</f>
        <v>0</v>
      </c>
      <c r="TM2" s="508">
        <f ca="1">NX2</f>
        <v>0</v>
      </c>
      <c r="TN2" s="523">
        <f ca="1">TH2+TL2</f>
        <v>0</v>
      </c>
      <c r="TO2" s="523">
        <f ca="1">TI2+TM2</f>
        <v>0</v>
      </c>
      <c r="TP2" s="505">
        <f>SPARR</f>
        <v>4.9299999999999997E-2</v>
      </c>
      <c r="TQ2" s="68">
        <f ca="1">ROUND(TI2*TP2,0)</f>
        <v>0</v>
      </c>
      <c r="TR2" s="68">
        <f ca="1">IF(TI2=0,0,ROUND(TK2*TI2,0))</f>
        <v>0</v>
      </c>
      <c r="TS2" s="68">
        <f ca="1">IF(TR2="null","null",MIN(TR2,TC2))</f>
        <v>0</v>
      </c>
      <c r="TT2" s="68">
        <f ca="1">IF(TR2="null","null",TR2-TS2)</f>
        <v>0</v>
      </c>
      <c r="TU2" s="413">
        <f ca="1">IF(TC2=0,0,ROUND(MIN(1,TS2/TC2),6))</f>
        <v>0</v>
      </c>
      <c r="TV2" s="413" t="str">
        <f>IF(TE2="null","null",IF(TE2=0,0,IF(TC2=0,TK2,ROUND(MIN(1,TT2/TE2),6))))</f>
        <v>null</v>
      </c>
      <c r="TW2" s="273">
        <f ca="1">IF(SR2="null",0,ROUND(SR2*$TU2,2))</f>
        <v>0</v>
      </c>
      <c r="TX2" s="273">
        <f ca="1">IF(SS2="null","null",ROUND(SS2*$TU2,2))</f>
        <v>0</v>
      </c>
      <c r="TY2" s="273">
        <f ca="1">IF(TX2="null","null",IF(EH2&gt;=IC2,"null",0))</f>
        <v>0</v>
      </c>
      <c r="TZ2" s="273">
        <f ca="1">IF(SU2="null","null",ROUND(SU2*TK2,2))</f>
        <v>0</v>
      </c>
      <c r="UA2" s="273">
        <f ca="1">IF(SV2="null","null",ROUND(SV2*TK2,2))</f>
        <v>0</v>
      </c>
      <c r="UB2" s="273" t="str">
        <f>IF(SW2="null","null",ROUND(SW2*$TU2,2))</f>
        <v>null</v>
      </c>
      <c r="UC2" s="273" t="str">
        <f>IF(SX2="null","null",ROUND(SX2*$TV2,2))</f>
        <v>null</v>
      </c>
      <c r="UD2" s="273" t="str">
        <f>IF(SY2="null","null",ROUND(SY2*$TU2,2))</f>
        <v>null</v>
      </c>
      <c r="UE2" s="273" t="str">
        <f>IF(SZ2="null","null",ROUND(SZ2*$TU2,2))</f>
        <v>null</v>
      </c>
      <c r="UF2" s="273">
        <v>0</v>
      </c>
      <c r="UG2" s="571">
        <f ca="1">ROUND(TW2*LT2*12,0)+ROUND(IF(UB2="null",0,UB2*MG2*12),0)+ROUND(IF(UC2="null",0,UC2*MG2*12),0)+ROUND(IF(UD2="null",0,UD2*MN2*12),0)+ROUND(IF(UE2="null",0,UE2*NA2*12),0)+IF(ID2="N",IF(TX2="null",0,ROUND(TX2*MB2*12,0)),ROUND(IF(TY2="null",0,TY2*ME2*12),0)+ROUND(IF(UA2="null",0,UA2*(MB2-IF(ME2="null",0,ME2))*12),0))+IF(TZ2="null",0,ROUND(TZ2*ME2*12,0))+IF(UF2="null",0,UF2)</f>
        <v>0</v>
      </c>
      <c r="UH2" s="166">
        <f ca="1">ROUND(UG2*(1+NC2),0)</f>
        <v>0</v>
      </c>
      <c r="UI2" s="12">
        <f ca="1">TW2+RS2</f>
        <v>21.56</v>
      </c>
      <c r="UJ2" s="12"/>
      <c r="UK2" s="12">
        <f>IF(AND(F2="XRD",G2="V"),UJ2,UI2)</f>
        <v>0</v>
      </c>
      <c r="UL2" s="12" t="str">
        <f>HU2</f>
        <v>null</v>
      </c>
      <c r="UM2" s="12" t="str">
        <f>HV2</f>
        <v>null</v>
      </c>
      <c r="UN2" s="12">
        <f ca="1">HW2</f>
        <v>11.86</v>
      </c>
      <c r="UO2" s="12">
        <f ca="1">IF(FI2=0,"null",ROUND(UI2*LA2,2))</f>
        <v>11.86</v>
      </c>
      <c r="UP2" s="12">
        <f ca="1">IF(RT2="null","null",RT2+TX2)</f>
        <v>1.1299999999999999</v>
      </c>
      <c r="UQ2" s="12">
        <v>8.0399999999999991</v>
      </c>
      <c r="UR2" s="12">
        <f>IF(AND(F2="XRD",G2="V"),IF(UQ2="","null",UQ2),UP2)</f>
        <v>8.0399999999999991</v>
      </c>
      <c r="US2" s="12">
        <f ca="1">IF(RU2="null","null",RU2+IF(TY2="null",0,TY2))</f>
        <v>1.1299999999999999</v>
      </c>
      <c r="UT2" s="12">
        <f ca="1">IF(RV2="null","null",RV2+IF(TZ2="null",0,TZ2))</f>
        <v>0</v>
      </c>
      <c r="UU2" s="12">
        <f ca="1">IF(RW2="null","null",RW2+IF(UA2="null",0,UA2))</f>
        <v>1.1299999999999999</v>
      </c>
      <c r="UV2" s="70">
        <f>IF(FH2&lt;&gt;"0","null",UK2+IF(UR2="null",0,UR2))</f>
        <v>8.0399999999999991</v>
      </c>
      <c r="UW2" s="70" t="str">
        <f>"null"</f>
        <v>null</v>
      </c>
      <c r="UX2" s="12" t="str">
        <f>IF(RX2="null","null",RX2+UB2)</f>
        <v>null</v>
      </c>
      <c r="UY2" s="12" t="str">
        <f>IF(RY2="null","null",RY2+UC2)</f>
        <v>null</v>
      </c>
      <c r="UZ2" s="12" t="str">
        <f>IF(RZ2="null","null",RZ2+UD2)</f>
        <v>null</v>
      </c>
      <c r="VA2" s="12" t="str">
        <f>IF(SA2="null","null",SA2+UE2)</f>
        <v>null</v>
      </c>
      <c r="VB2" s="12">
        <f ca="1">IF(OR(FH2="2",DF2&gt;0),0,UN2)</f>
        <v>11.86</v>
      </c>
      <c r="VC2" s="21">
        <f ca="1">SG2+UG2</f>
        <v>3691</v>
      </c>
      <c r="VD2" s="21">
        <f ca="1">SH2+UH2</f>
        <v>3721</v>
      </c>
      <c r="VE2" s="11">
        <f>BC2</f>
        <v>25641</v>
      </c>
      <c r="VF2" s="11">
        <f>IF(E2="4","null",IF(OR(X2="S",X2="W"),"null",IF(AA2&gt;0,AA2,IF(AND(AP2&gt;DOPT,G2="V",OR(F2={"XRD","QPSA","QDRO"})),AF2,Z2))))</f>
        <v>24180</v>
      </c>
      <c r="VG2" s="11" t="str">
        <f>JV2</f>
        <v>null</v>
      </c>
      <c r="VH2" s="6">
        <f>IF(OR(VF2="null",VF2=""),0,[1]!anb(VF2,DOPT))</f>
        <v>48</v>
      </c>
      <c r="VI2" s="6">
        <f>EG2</f>
        <v>58</v>
      </c>
      <c r="VJ2" s="6">
        <f>IF(OR(VF2="null",VF2=""),0,IF(VF2=BC2,EI2,EF2))</f>
        <v>58</v>
      </c>
      <c r="VK2" s="276">
        <f>IF(VF2="null",0,IF(VF2&lt;Z2,(YEAR(Z2)-YEAR(VF2))-IF(Z2&gt;=DATE(YEAR(Z2),MONTH(VF2),DAY(VF2)),0,1),-(YEAR(VF2)-YEAR(Z2))+IF(VF2&gt;=DATE(YEAR(VF2),MONTH(Z2),DAY(Z2)),0,1)))</f>
        <v>0</v>
      </c>
      <c r="VL2" s="277">
        <f>IF(FH2="2",1,IF(VK2&lt;=5,0.95,IF(VK2&gt;0,MIN(1,0.95+0.005*(VK2-5)),0.95-0.005*(VK2-5))))</f>
        <v>0.95</v>
      </c>
      <c r="VM2" s="277">
        <f>ROUND(VL2/GP2,4)</f>
        <v>1</v>
      </c>
      <c r="VN2" s="273">
        <f ca="1">ROUND(UI2*VM2,2)</f>
        <v>21.56</v>
      </c>
      <c r="VO2" s="273"/>
      <c r="VP2" s="12">
        <f>IF(AND(F2="XRD",G2="V"),VO2,VN2)</f>
        <v>0</v>
      </c>
      <c r="VQ2" s="12">
        <f ca="1">IF(FH2&lt;&gt;"0","null",ROUND(ROUND(VN2/VL2,2)-VN2,2))</f>
        <v>1.1299999999999999</v>
      </c>
      <c r="VR2" s="12"/>
      <c r="VS2" s="12" t="str">
        <f>IF(AND(F2="XRD",G2="V"),IF(VR2="","null",VR2),VQ2)</f>
        <v>null</v>
      </c>
      <c r="VT2" s="273">
        <f ca="1">US2</f>
        <v>1.1299999999999999</v>
      </c>
      <c r="VU2" s="273">
        <f ca="1">UT2</f>
        <v>0</v>
      </c>
      <c r="VV2" s="273">
        <f ca="1">UU2</f>
        <v>1.1299999999999999</v>
      </c>
      <c r="VW2" s="7">
        <f>[1]!ATT(Z2,DOPT)</f>
        <v>47</v>
      </c>
      <c r="VX2" s="279">
        <f ca="1">ROUND([1]!NPVF2("MP",IF(FN2="JSP","JSC",FN2),"O",DOPT,IF(E2="4",AH2,U2),CN2,VI2,IF(VJ2="null",0,VJ2),HX2,FJ2,0,DOPT,DOPT,"P","",""),4)</f>
        <v>11.803800000000001</v>
      </c>
      <c r="VY2" s="279">
        <f>IF(FH2&lt;&gt;"0","null",ROUND([1]!NPVF2("MP","SLA","O",DOPT,U2,CN2,VI2,0,0,0,0,DOPT,DOPT,"P","",""),4))</f>
        <v>10.430899999999999</v>
      </c>
      <c r="VZ2" s="279">
        <f>IF(FH2&lt;&gt;"0","null",ROUND([1]!NPVF2("MP","JSJ","O",DOPT,U2,CN2,VI2,IF(VJ2="null",0,VJ2),0,0,0,DOPT,DOPT,"P","",""),4))</f>
        <v>7.9352999999999998</v>
      </c>
      <c r="WA2" s="279">
        <f>IF(FH2&lt;&gt;"0","null",VY2-VZ2)</f>
        <v>2.4955999999999996</v>
      </c>
      <c r="WB2" s="279">
        <f>IF(FH2&lt;&gt;"0","null",IF(EH2&gt;=IC2,"null",ROUND([1]!NPVF2("MP","SLA","O",DOPT,U2,CN2,VI2,0,0,0,MF2,DOPT,DOPT,"P","",""),4)))</f>
        <v>2.3662000000000001</v>
      </c>
      <c r="WC2" s="279">
        <f>IF(WB2="null","null",ROUND([1]!NPVF2("MP","JSJ","O",DOPT,U2,CN2,VI2,IF(VJ2="null",0,VJ2),0,0,MF2,DOPT,DOPT,"P","",""),4))</f>
        <v>2.3088000000000002</v>
      </c>
      <c r="WD2" s="6">
        <f>IF(WB2="null","null",ROUND(WB2-WC2,4))</f>
        <v>5.74E-2</v>
      </c>
      <c r="WE2" s="279">
        <f>IF(OR(MF2="null",MF2=0),"null",ROUND([1]!NPVF2("MP","SLA","O",DOPT,U2,CN2,VI2,0,0,0,MF2,DOPT,DOPT,"P","",""),4))</f>
        <v>2.3662000000000001</v>
      </c>
      <c r="WF2" s="7" t="str">
        <f>IF(IO2="N","null",ROUND([1]!NPVF2("MP","SLA","O",DOPT,U2,CN2,VI2,0,0,0,0,DOPT,DOPT,"P","",""),4))</f>
        <v>null</v>
      </c>
      <c r="WG2" s="7" t="str">
        <f>IF(IO2="N","null",IF(OR(MH2="null",MH2=0),"null",ROUND([1]!NPVF2("MP","SLA","O",DOPT,U2,CN2,VI2,0,0,0,MH2,DOPT,DOPT,"P","",""),4)))</f>
        <v>null</v>
      </c>
      <c r="WH2" s="7" t="str">
        <f>IF(IO2="N","null",ROUND([1]!NPVF2("MP","SLA","O",DOPT,U2,CN2,MAX(MK2,VI2),0,0,0,0,DOPT,DOPT,"P","",""),4))</f>
        <v>null</v>
      </c>
      <c r="WI2" s="7" t="str">
        <f>IF(IO2="N","null",WF2-IF(WG2="null",0,WG2))</f>
        <v>null</v>
      </c>
      <c r="WJ2" s="67" t="str">
        <f>IF(IO2="N","null",WH2)</f>
        <v>null</v>
      </c>
      <c r="WK2" s="67" t="str">
        <f>IF(IO2="N","null",WJ2-WI2)</f>
        <v>null</v>
      </c>
      <c r="WL2" s="7" t="str">
        <f>IF(IO2="N","null",IF(FH2="2","null",IF(EH2&gt;=VG2,0,[1]!COMPM(EH2,VG2))))</f>
        <v>null</v>
      </c>
      <c r="WM2" s="7" t="str">
        <f>IF(OR(FH2="2",IO2="N"),"null",ROUND([1]!NPVF2("MP","SLA","O",DOPT,IF(V2&gt;0,V2,IF(U2="M","F","M")),VH2,VJ2,0,0,0,0,DOPT,DOPT,"N","",""),4))</f>
        <v>null</v>
      </c>
      <c r="WN2" s="7" t="str">
        <f>IF(OR(FH2="2",IO2="N"),"null",ROUND([1]!NPVF2("MP","JSJ","O",DOPT,IF(V2&gt;0,V2,IF(U2="M","F","M")),VH2,VJ2,VI2,0,0,0,DOPT,DOPT,"N","",""),4))</f>
        <v>null</v>
      </c>
      <c r="WO2" s="7" t="str">
        <f>IF(OR(FH2="2",IO2="N"),"null",IF(WL2=0,0,ROUND([1]!NPVF2("MP","SLA","O",DOPT,IF(V2&gt;0,V2,IF(U2="M","F","M")),VH2,VJ2,0,0,0,WL2,DOPT,DOPT,"N","",""),4)))</f>
        <v>null</v>
      </c>
      <c r="WP2" s="7" t="str">
        <f>IF(OR(FH2="2",IO2="N"),"null",IF(WL2=0,0,ROUND([1]!NPVF2("MP","JSJ","O",DOPT,IF(V2&gt;0,V2,IF(U2="M","F","M")),VH2,VJ2,VI2,0,0,WL2,DOPT,DOPT,"N","",""),4)))</f>
        <v>null</v>
      </c>
      <c r="WQ2" s="7" t="str">
        <f>IF(WP2="null","null",ROUND(1-([1]!lx(DOPT,U2,EG2,"O")/[1]!lx(DOPT,U2,CN2,"O")),4))</f>
        <v>null</v>
      </c>
      <c r="WR2" s="7" t="str">
        <f>IF(OR(FH2="2",IO2="N"),"null",ROUND([1]!NPVF2("MP","SLA","O",DOPT,IF(V2&gt;0,V2,IF(U2="M","F","M")),VH2,MAX(MV2,VJ2),0,0,0,0,DOPT,DOPT,"P","",""),4))</f>
        <v>null</v>
      </c>
      <c r="WS2" s="7" t="str">
        <f>IF(OR(FH2="2",IO2="N"),"null",ROUND([1]!NPVF2("MP","JSJ","O",DOPT,IF(V2&gt;0,V2,IF(U2="M","F","M")),VH2,MAX(MV2,VJ2),MAX(MW2,VI2),0,0,0,DOPT,DOPT,"B","",""),4))</f>
        <v>null</v>
      </c>
      <c r="WT2" s="7" t="str">
        <f>IF(OR(FH2="2",IO2="N"),"null",ROUND(((WM2-WO2)-(WN2-WP2))*(1-WQ2),4))</f>
        <v>null</v>
      </c>
      <c r="WU2" s="67" t="str">
        <f>IF(OR(FH2="2",IO2="N"),"null",ROUND(WR2-WS2,4))</f>
        <v>null</v>
      </c>
      <c r="WV2" s="67" t="str">
        <f>IF(OR(FH2="2",IO2="N"),"null",ROUND(((WM2-WO2)-(WN2-WP2))*(1-WQ2),4))</f>
        <v>null</v>
      </c>
      <c r="WW2" s="569">
        <f ca="1">ROUND(VP2*VX2*12,0)+ROUND(IF(OR(WE2="null",UX2="null"),0,(UX2+UY2)*WE2*12),0)+ROUND(IF(WJ2="null",0,UZ2*WJ2*12),0)+ROUND(IF(WU2="null",0,VA2*WU2*12),0)+IF(ID2="N",IF(VS2="null",0,ROUND(VS2*WA2*12,0)),ROUND(IF(VT2="null",0,(VT2+VU2)*WD2*12),0)+ROUND(IF(VV2="null",0,VV2*(WA2-IF(WD2="null",0,WD2))*12),0))</f>
        <v>0</v>
      </c>
      <c r="WX2" s="7" t="str">
        <f ca="1">IF(WW2&gt;5000,"N","Y")</f>
        <v>Y</v>
      </c>
      <c r="WY2" s="69" t="str">
        <f>IF(EN2="Y",IF(OR(X2={"S","D","W"},E2="2"),"null",ROUND([1]!NPVF2("MP","SLA","O",DOPT,IF(U2="M","F","M"),CO2,EI2,0,0,0,0,DOPT,DOPT,"P","",""),4)),"null")</f>
        <v>null</v>
      </c>
      <c r="WZ2" s="68" t="str">
        <f>IF(WY2="null","null",IF(EN2="Y",ROUND(UN2*WY2*12,0)+IF(VA2="null",0,ROUND(VA2*WU2*12,0)),"null"))</f>
        <v>null</v>
      </c>
      <c r="XA2" s="166">
        <f ca="1">ROUND(CN2*VC2,0)</f>
        <v>177168</v>
      </c>
      <c r="XB2" s="166">
        <f ca="1">ROUND(EG2*VC2,0)</f>
        <v>214078</v>
      </c>
      <c r="XC2" s="276" t="str">
        <f>IF(AND(F2="XRD",G2="V"),"null","Y")</f>
        <v>null</v>
      </c>
      <c r="XD2" s="70">
        <f ca="1">IF(XC2="N","null",HR2)</f>
        <v>22.69</v>
      </c>
      <c r="XE2" s="399">
        <f ca="1">IF(XC2="N","null",[1]!PBGCOFA(DOPT,IF(EN2="Y",BC2,IF(E2="4",AF2,Z2)),0,0,"N",EH2,"MP","SLA",0,0,0,IF(EN2="Y",UN2,XD2),0,0,"SLA",0,0,0,0,0,0,0,0,IF(EN2="Y",IF(JU2="null",0,MAX(EH2,JV2)),IF(IR2="null",0,MAX(EH2,IR2))),IF(IQ2="null",0,IQ2),0,0,1))</f>
        <v>22.69</v>
      </c>
      <c r="XF2" s="399">
        <f ca="1">IF(XC2="N","null",[1]!PBGCOFA(DOPT,IF(EN2="Y",BC2,IF(E2="4",AF2,Z2)),0,0,"N",EH2,"MP","SLA",0,0,0,IF(EN2="Y",UN2,XD2),0,XE2,"5CC",0,0,0,0,0,0,0,0,IF(EN2="Y",IF(JU2="null",0,MAX(EH2,JV2)),IF(IR2="null",0,MAX(EH2,IR2))),IF(IQ2="null",0,IQ2),0,0,1))</f>
        <v>22.58</v>
      </c>
      <c r="XG2" s="399">
        <f ca="1">IF(XC2="N","null",[1]!PBGCOFA(DOPT,IF(EN2="Y",BC2,IF(E2="4",AF2,Z2)),0,0,"N",EH2,"MP","SLA",0,0,0,IF(EN2="Y",UN2,XD2),0,XE2,"10CC",0,0,0,0,0,0,0,0,IF(EN2="Y",IF(JU2="null",0,MAX(EH2,JV2)),IF(IR2="null",0,MAX(EH2,IR2))),IF(IQ2="null",0,IQ2),0,0,1))</f>
        <v>22.25</v>
      </c>
      <c r="XH2" s="399">
        <f ca="1">IF(XC2="N","null",[1]!PBGCOFA(DOPT,IF(EN2="Y",BC2,IF(E2="4",AF2,Z2)),0,0,"N",EH2,"MP","SLA",0,0,0,IF(EN2="Y",UN2,XD2),0,XE2,"15CC",0,0,0,0,0,0,0,0,IF(EN2="Y",IF(JU2="null",0,MAX(EH2,JV2)),IF(IR2="null",0,MAX(EH2,IR2))),IF(IQ2="null",0,IQ2),0,0,1))</f>
        <v>21.72</v>
      </c>
      <c r="XI2" s="70">
        <f ca="1">IF(OR(FH2="2",EN2="Y",BC2="null",XC2="N"),"null",HT2)</f>
        <v>21.56</v>
      </c>
      <c r="XJ2" s="70">
        <f ca="1">IF(OR(FH2="2",EN2="Y",BC2="null",XC2="N"),"null",UI2)</f>
        <v>21.56</v>
      </c>
      <c r="XK2" s="47" t="str">
        <f ca="1">IF(XI2="null","null",IF(OR(ID2="N",EH2&gt;=IY2,IY2="null"),"null",IF(JH2&lt;IF(JO2="null",0,JO2)+IF(HK2="null",0,HK2)+HR2,"Yes","No")))</f>
        <v>null</v>
      </c>
      <c r="XL2" s="70" t="str">
        <f ca="1">IF(XI2="null","null",IF(OR(ID2="N",EH2&gt;=IY2,IY2="null"),"null",IF(XK2="No","null",ROUND(HR2-HT2,2))))</f>
        <v>null</v>
      </c>
      <c r="XM2" s="47" t="str">
        <f ca="1">IF(XI2="null","null",IF(OR(ID2="N",EH2&gt;=IY2,IY2="null"),"null",IF(XK2="No","null",MF2)))</f>
        <v>null</v>
      </c>
      <c r="XN2" s="147" t="str">
        <f ca="1">IF(XI2="null","null",IF(OR(ID2="N",EH2&gt;=IY2,IY2="null"),"null",IF(XK2="No","null",[1]!NPVF2("MP","SLA","N",PBGCOptionalFormRate,"M",EJ2,EJ2,0,0,0,IF(XM2="null",0,XM2),MMORT,FMORT,"P","","")-[1]!NPVF2("MP","JSJ","N",PBGCOptionalFormRate,"M",EJ2,EJ2,IF(EL2="null",0,EL2),0,0,IF(XM2="null",0,XM2),MMORT,FMORT,"B","",""))))</f>
        <v>null</v>
      </c>
      <c r="XO2" s="70" t="str">
        <f ca="1">IF(XI2="null","null",IF(OR(ID2="N",EH2&gt;=IY2,IY2="null"),"null",IF(XK2="No","null",XL2*XN2*12)))</f>
        <v>null</v>
      </c>
      <c r="XP2" s="70" t="str">
        <f ca="1">IF(XI2="null","null",IF(OR(ID2="N",EH2&gt;=IY2,IY2="null"),"null",IF(XK2="No","null",ROUND(XO2/[1]!NPVF2("MP","JSC","N",PBGCOptionalFormRate,"M",EJ2,EJ2,IF(EL2="null",0,EL2),0.5,0,0,MMORT,FMORT,"P","","")/12,2))))</f>
        <v>null</v>
      </c>
      <c r="XQ2" s="70" t="str">
        <f ca="1">IF(XI2="null","null",IF(OR(ID2="N",EH2&gt;=IY2,IY2="null"),"null",IF(XK2="No","null",ROUND(XO2/[1]!NPVF2("MP","JSC","N",PBGCOptionalFormRate,"M",EJ2,EJ2,IF(EL2="null",0,EL2),0.75,0,0,MMORT,FMORT,"P","","")/12,2))))</f>
        <v>null</v>
      </c>
      <c r="XR2" s="70" t="str">
        <f ca="1">IF(XI2="null","null",IF(OR(ID2="N",EH2&gt;=IY2,IY2="null"),"null",IF(XK2="No","null",ROUND(XO2/[1]!NPVF2("MP","JSC","N",PBGCOptionalFormRate,"M",EJ2,EJ2,IF(EL2="null",0,EL2),1,0,0,MMORT,FMORT,"P","","")/12,2))))</f>
        <v>null</v>
      </c>
      <c r="XS2" s="70" t="str">
        <f ca="1">IF(XI2="null","null",IF(OR(ID2="N",EH2&gt;=IY2,IY2="null"),"null",IF(XK2="No","null",ROUND(XO2/([1]!NPVF2("MP","JSC","N",PBGCOptionalFormRate,"M",EJ2,EJ2,IF(EL2="null",0,EL2),0.5,0,0,MMORT,FMORT,"P","","")-[1]!NPVF2("MP","SLA","N",PBGCOptionalFormRate,"M",EJ2,EJ2,0,0,0,0,MMORT,FMORT,"P","","")+[1]!NPVF2("MP","JSJ","N",PBGCOptionalFormRate,"M",EJ2,EJ2,IF(EL2="null",0,EL2),0,0,0,MMORT,FMORT,"B","",""))/12,2))))</f>
        <v>null</v>
      </c>
      <c r="XT2" s="70">
        <f ca="1">IF(XI2="null","null",[1]!PBGCOFA(DOPT,Z2,BC2,BC2,IF(S2="Y",S2,"N"),EH2,"MP","JSP",HX2,0,0,XI2,XD2,XE2,"JS50",0,0,0,0,0,0,0,0,IF(IR2="null",0,MAX(EH2,IR2)),IF(IQ2="null",0,IQ2),IF(OR(S2="Y",JV2="null"),0,MAX(EH2,JV2)),IF(OR(S2="Y",JV2="null"),0,JU2),1)-IF(XP2="null",0,XP2))</f>
        <v>21.81</v>
      </c>
      <c r="XU2" s="70">
        <f ca="1">IF(XI2="null","null",[1]!PBGCOFA(DOPT,Z2,BC2,BC2,IF(S2="Y",S2,"N"),EH2,"MP","JSP",HX2,0,0,XI2,XD2,XE2,"JS75",0,0,0,0,0,0,0,0,IF(IR2="null",0,MAX(EH2,IR2)),IF(IQ2="null",0,IQ2),IF(OR(S2="Y",JV2="null"),0,MAX(EH2,JV2)),IF(OR(S2="Y",JV2="null"),0,JU2),1)-IF(XQ2="null",0,XQ2))</f>
        <v>21.05</v>
      </c>
      <c r="XV2" s="70">
        <f ca="1">IF(XI2="null","null",[1]!PBGCOFA(DOPT,Z2,BC2,BC2,IF(S2="Y",S2,"N"),EH2,"MP","JSP",HX2,0,0,XI2,XD2,XE2,"JS100",0,0,0,0,0,0,0,0,IF(IR2="null",0,MAX(EH2,IR2)),IF(IQ2="null",0,IQ2),IF(OR(S2="Y",JV2="null"),0,MAX(EH2,JV2)),IF(OR(S2="Y",JV2="null"),0,JU2),1)-IF(XR2="null",0,XR2))</f>
        <v>20.34</v>
      </c>
      <c r="XW2" s="70">
        <f ca="1">IF(XI2="null","null",[1]!PBGCOFA(DOPT,Z2,BC2,BC2,IF(S2="Y",S2,"N"),EH2,"MP","JSP",HX2,0,0,XI2,XD2,XE2,"JSPOP",0,0,0,0,0,0,0,0,IF(IR2="null",0,MAX(EH2,IR2)),IF(IQ2="null",0,IQ2),IF(OR(S2="Y",JV2="null"),0,MAX(EH2,JV2)),IF(OR(S2="Y",JV2="null"),0,JU2),1)-IF(XS2="null",0,XS2))</f>
        <v>21.73</v>
      </c>
      <c r="XX2" s="70" t="str">
        <f>IF(OR(AND(F2="XRD",G2="V"),AND(F2="XRD",G2="R",DH2=""),AND(F2="XRD",G2="R",DH2&gt;0,EP2&gt;0,FI2=0)),"null",IF(ES2="0",XD2,IF(ES2="1",XJ2,IF(EO2="2",XE2,IF(EO2="5",IF(EQ2=60,XF2,IF(EQ2=120,XG2,XH2)),IF(AND(ES2="3",XT2="null"),UI2,IF(EO2="0",XW2,IF(EP2=0.5,XT2,IF(EP2=0.75,XU2,XV2)))))))))</f>
        <v>null</v>
      </c>
      <c r="XY2" s="70" t="str">
        <f>IF(XX2="null","null",IF(OR(ES2="0",AND(EO2="2",ES2="3")),"null",IF(ES2="1",UN2,ROUND(IF(EO2="2",XE2,IF(EO2="5",IF(EQ2=60,XF2,IF(EQ2=120,XG2,XH2)),IF(EO2="0",XW2,IF(EP2=0.5,XT2,IF(EP2=0.75,XU2,XV2)))))*FI2,2))))</f>
        <v>null</v>
      </c>
      <c r="XZ2" s="70" t="str">
        <f>IF(OR(AND(F2="XRD",G2="V"),AND(F2="XRD",G2="R",DH2=""),AND(F2="XRD",G2="R",DH2&gt;0,EP2&gt;0,FI2=0)),"null",IF(OR(F2="DOR",F2="XRD"),IF(EH2&gt;=IC2,"null",ROUND(XX2+IF(UX2="null",0,UX2)+IF(UY2="null",0,UY2),2)),"null"))</f>
        <v>null</v>
      </c>
      <c r="YA2" s="70" t="str">
        <f>IF(OR(AND(F2="XRD",G2="V"),AND(F2="XRD",G2="R",DH2=""),AND(F2="XRD",G2="R",DH2&gt;0,EP2&gt;0,FI2=0)),"null",IF(OR(F2="DOR",F2="XRD"),IF(EH2&gt;=IK2,"null",XX2),"null"))</f>
        <v>null</v>
      </c>
      <c r="YB2" s="70" t="str">
        <f>IF(OR(AND(F2="XRD",G2="V"),AND(F2="XRD",G2="R",DH2=""),AND(F2="XRD",G2="R",DH2&gt;0,EP2&gt;0,FI2=0)),"null",IF(OR(F2="DOR",F2="XRD"),XX2+IF(ES2="3",0,IF(UZ2="null",0,UZ2)),"null"))</f>
        <v>null</v>
      </c>
      <c r="YC2" s="70" t="str">
        <f>IF(OR(AND(F2="XRD",G2="V"),AND(F2="XRD",G2="R",DH2=""),AND(F2="XRD",G2="R",DH2&gt;0,EP2&gt;0,FI2=0)),"null",IF(DK2&gt;0,UV2,"null"))</f>
        <v>null</v>
      </c>
      <c r="YD2" s="12" t="str">
        <f>IF(OR(AND(F2="XRD",G2="V"),AND(F2="XRD",G2="R",DH2=""),AND(F2="XRD",G2="R",DH2&gt;0,EP2&gt;0,FI2=0)),"null",IF(DH2&gt;0,DH2+IF(YF2="Pre-62",IB2,0),"null"))</f>
        <v>null</v>
      </c>
      <c r="YE2" s="12" t="str">
        <f>IF(OR(AND(F2="XRD",G2="V"),AND(F2="XRD",G2="R",DH2=""),AND(F2="XRD",G2="R",DH2&gt;0,EP2&gt;0,FI2=0)),"null",IF(DH2&gt;0,DH2+IF(YF2="Pre-62",IB2,0)+IF(YF2="Post-65",IL2,0),"null"))</f>
        <v>null</v>
      </c>
      <c r="YF2" s="12" t="str">
        <f>IF(XZ2="null",IF(YA2="null",IF(YC2="null","Post-65","Pop-Up"),"Level"),"Pre-62")</f>
        <v>Post-65</v>
      </c>
      <c r="YG2" s="12" t="str">
        <f>IF(OR(AND(F2="XRD",G2="V"),AND(F2="XRD",G2="R",DH2=""),AND(F2="XRD",G2="R",DH2&gt;0,EP2&gt;0,FI2=0)),"null",IF(YF2="Pop-Up",YC2,IF(YF2="Post-65",YB2,IF(YF2="Pre-62",XZ2,YA2))))</f>
        <v>null</v>
      </c>
      <c r="YH2" s="12" t="str">
        <f>IF(OR(AND(F2="XRD",G2="V"),AND(F2="XRD",G2="R",DH2=""),AND(F2="XRD",G2="R",DH2&gt;0,EP2&gt;0,FI2=0)),"null",IF(DH2&gt;0,ROUND(YG2-YE2,2),"null"))</f>
        <v>null</v>
      </c>
      <c r="YI2" s="98" t="str">
        <f>IF(OR(AND(F2="XRD",G2="V"),AND(F2="XRD",G2="R",DH2=""),AND(F2="XRD",G2="R",DH2&gt;0,EP2&gt;0,FI2=0)),"null",IF(DH2&gt;0,ROUND(ABS((YG2-YE2)/MIN(YG2,YE2)),4),"null"))</f>
        <v>null</v>
      </c>
      <c r="YJ2" s="12" t="str">
        <f>IF(OR(AND(F2="XRD",G2="V"),AND(F2="XRD",G2="R",DH2=""),AND(F2="XRD",G2="R",DH2&gt;0,EP2&gt;0,FI2=0)),"null",IF(DH2&gt;0,IF(FI2="PLAN",IF(ABS(YH2)&lt;MAX(5,0.05*MIN(YD2,XX2)),"Y","N"),IF(OR(YH2&gt;0,YH2&lt;-1),"N","Y")),"null"))</f>
        <v>null</v>
      </c>
      <c r="YK2" s="12" t="str">
        <f>IF(OR(AND(F2="XRD",G2="V"),AND(F2="XRD",G2="R",DH2=""),AND(F2="XRD",G2="R",DH2&gt;0,EP2&gt;0,FI2=0)),"null",IF(DH2&gt;0,IF(YH2=0,"M",IF(YJ2="Y","N",IF(YG2&gt;YE2,"I","D"))),"null"))</f>
        <v>null</v>
      </c>
      <c r="YL2" s="12" t="str">
        <f>IF(OR(AND(F2="XRD",G2="V"),AND(F2="XRD",G2="R",DH2=""),AND(F2="XRD",G2="R",DH2&gt;0,EP2&gt;0,FI2=0)),"null",IF(YJ2="N",YG2,YD2))</f>
        <v>null</v>
      </c>
      <c r="YM2" s="12" t="str">
        <f>IF(AND(F2="XRD",G2="V"),"null",IF(EN2="Y",IF(YJ2="Y",DH2,XY2),IF(EO2="5",YL2,IF(EO2="2","null",IF(ES2="3",ROUND(YL2*EP2,2),IF(OR(YK2={"I","D","M"}),UN2,"null"))))))</f>
        <v>null</v>
      </c>
      <c r="YN2" s="12" t="str">
        <f>IF(ZC2="N","null",IF(BK2="","Participant",IF(BL2&lt;&gt;"","Estate","Beneficiary")))</f>
        <v>Participant</v>
      </c>
      <c r="YO2" s="12" t="str">
        <f>IF(YJ2="null","null",IF(YK2="I",IF(YN2="Estate","The participant's","Your current")&amp;" monthly benefit of "&amp;DOLLAR(YD2,2)&amp;" will increase to "&amp;DOLLAR(YL2,2)&amp;". See the Benefit Calculation Section for further details.",IF(YK2="N",IF(YN2="Estate","The participant's","Your current")&amp;" monthly benefit of "&amp;DOLLAR(YD2,2)&amp;" will not change. Although the amount of the PBGC monthly benefit shown above is slightly "&amp;IF(YH2&lt;0,"less","more")&amp;" than the amount you are currently receiving, we will not change the amount of your current monthly benefit.",IF(YK2="D",IF(YN2="Estate","The participant's","Your current")&amp;" monthly benefit of "&amp;DOLLAR(YD2,2)&amp;" will decrease to "&amp;DOLLAR(YL2,2),IF(YK2="M",IF(YN2="Estate","The participant's","Your current")&amp;" monthly benefit of "&amp;DOLLAR(YD2,2)&amp;" will not change.","null")))))</f>
        <v>null</v>
      </c>
      <c r="YP2" s="12"/>
      <c r="YQ2" s="12" t="str">
        <f>IF(YK2="D",YO2&amp;" "&amp;YP2&amp;" See the Benefit Calculation section for further details.",YO2)</f>
        <v>null</v>
      </c>
      <c r="YR2" s="12"/>
      <c r="YS2" s="70" t="str">
        <f t="shared" ref="YS2:YX2" si="0">"N"</f>
        <v>N</v>
      </c>
      <c r="YT2" s="70" t="str">
        <f t="shared" si="0"/>
        <v>N</v>
      </c>
      <c r="YU2" s="70" t="str">
        <f t="shared" si="0"/>
        <v>N</v>
      </c>
      <c r="YV2" s="70" t="str">
        <f>IF(AND(BD2&lt;=DATE(1989,4,10),CJ2&gt;=30,AND(BH2&lt;62,BH2&gt;=55),IC2&gt;DOPT2),"Y","N")</f>
        <v>N</v>
      </c>
      <c r="YW2" s="70" t="str">
        <f t="shared" si="0"/>
        <v>N</v>
      </c>
      <c r="YX2" s="70" t="str">
        <f t="shared" si="0"/>
        <v>N</v>
      </c>
      <c r="YY2" s="70" t="s">
        <v>265</v>
      </c>
      <c r="YZ2" s="70" t="s">
        <v>265</v>
      </c>
      <c r="ZA2" s="120">
        <f>EF2</f>
        <v>58</v>
      </c>
      <c r="ZB2" s="120">
        <f>999</f>
        <v>999</v>
      </c>
      <c r="ZC2" s="8" t="str">
        <f>IF(AND(YJ2="Y",ER2="PLAN"),"N","Y")</f>
        <v>Y</v>
      </c>
      <c r="ZD2" s="8" t="str">
        <f>IF(DH2&gt;0,"N","Y")</f>
        <v>Y</v>
      </c>
      <c r="ZE2" s="6" t="str">
        <f>IF(ZC2="N","null","Entitled")</f>
        <v>Entitled</v>
      </c>
      <c r="ZF2" s="6" t="str">
        <f>IF(ZC2="N","null",IF(BK2="","Participant",IF(BL2&lt;&gt;"","Estate","Beneficiary")))</f>
        <v>Participant</v>
      </c>
      <c r="ZG2" s="6" t="str">
        <f>IF(ZF2&lt;&gt;"Estate","null",IF(EO2="2","Participant",IF(BL2&lt;BK2,"Participant","Beneficiary")))</f>
        <v>null</v>
      </c>
      <c r="ZH2" s="6" t="str">
        <f>IF(OR(DD2&lt;=DN2,DD2&lt;=EH2),"Yes","No")</f>
        <v>No</v>
      </c>
      <c r="ZI2" s="6" t="str">
        <f>IF(AND(ZH2="Yes",DF2=""),"RBD",IF(DF2&gt;0,"ARD",IF(DO2&lt;&gt;CY2,"EBSD","")&amp;IF(AND(DP2&lt;&gt;DO2,CR2&lt;&gt;CV2,IU2&gt;0),IF(CV2=65,"","EURD"),"")&amp;IF(DO2&lt;=CY2,"NRD","")))&amp;IF(AND(CW2&lt;=DN2,CZ2=1),"RRD","")</f>
        <v>EBSDNRD</v>
      </c>
      <c r="ZJ2" s="6" t="str">
        <f>IF(ZC2="N","null","Normal Retirement Date"&amp;IF(OR(SI2="Yes",MIN(PD2,PE2)&lt;&gt;PU2)," (NRD)","")&amp;":")</f>
        <v>Normal Retirement Date (NRD):</v>
      </c>
      <c r="ZK2" s="6" t="str">
        <f>IF(ZC2="N","null",IF(AND(DF2&gt;0,DF2&gt;=DD2),"Required Beginning Date (RBD):",IF(OR(ZF2="Participant",ZG2="Participant"),"Actual Retirement Date (ARD):","Benefit Starting Date (BSD):")))</f>
        <v>Actual Retirement Date (ARD):</v>
      </c>
      <c r="ZL2" t="str">
        <f>IF(ZC2="N","null",IF(AND(DF2&gt;0,DF2&gt;=DD2),"RBD",IF(EN2="Y","BSD","ARD")))</f>
        <v>ARD</v>
      </c>
      <c r="ZM2" t="str">
        <f>IF(ZC2="N","null",IF(MIN(PD2,PE2)=PU2,"ARD",IF(PC2&gt;PU2,"DOTE","NRD")))</f>
        <v>NRD</v>
      </c>
      <c r="ZN2" t="str">
        <f>IF(ZC2="N","null",IF(AND(DF2&gt;0,DF2&gt;=DD2),"RBD",IF(OR(EN2="Y",DG2&lt;&gt;""),"BSD","ARD")))</f>
        <v>ARD</v>
      </c>
      <c r="ZO2" t="str">
        <f ca="1">IF(ZC2="N","null",IF(SI2="Yes","after Barnes Offset",IF(ISNUMBER(SEARCH("BFCF",ZQ2,1)),"after BFCF",IF(ISNUMBER(SEARCH("ERF",ZQ2,1)),"after ERF",IF(ISNUMBER(SEARCH("LRF",ZQ2,1)),"after LRF",IF(ISNUMBER(SEARCH("PRSA",ZQ2,1)),"after PRSA","after AMB"))))))</f>
        <v>after BFCF</v>
      </c>
      <c r="ZP2" t="str">
        <f>IF(ZC2="N","null",IF(AND(DF2&gt;0,DF2&gt;=DD2),"RBD",IF(EN2="Y","BSD","ARD")))</f>
        <v>ARD</v>
      </c>
      <c r="ZQ2" s="6" t="str">
        <f ca="1">IF(OR(GA2="",GA2="null"),"",IF(GA2&lt;1,"PRSA",""))&amp;IF(GF2="null","",IF(GF2&lt;1,"ERF",""))&amp;IF(GL2="null","",IF(GL2&gt;1,"LRF",""))&amp;IF(GP2="null","",IF(OR(GP2&lt;1,GP2&gt;1),"BFCF",""))</f>
        <v>ERFBFCF</v>
      </c>
      <c r="ZR2" s="6" t="str">
        <f>IF(DX2&gt;0,IF(HD2="null","",IF(HD2&lt;1,"PRSA",""))&amp;IF(HH2="null","",IF(HH2&lt;1,"ERF",""))&amp;IF(HJ2="null","",IF(HJ2&gt;1,"LRF",""))&amp;IF(GP2="null","",IF(OR(GP2&lt;1,GP2&gt;1),"BFCF","")),"")</f>
        <v/>
      </c>
      <c r="ZS2" s="6" t="str">
        <f>"null"</f>
        <v>null</v>
      </c>
      <c r="ZT2" s="6" t="str">
        <f>"null"</f>
        <v>null</v>
      </c>
      <c r="ZU2" s="584" t="str">
        <f>IF(AND(OR(N2&lt;&gt;"",Q2&lt;&gt;""),OR(EO2="0",EO2="9",FH2="0",FH2="9")),"Yes","No")</f>
        <v>No</v>
      </c>
      <c r="ZV2" s="6" t="str">
        <f>IF(ZC2="N","null",IF(AND(AV2="Y",AY2="N",AR2&gt;0),"QDRO1","QDRO"))</f>
        <v>QDRO</v>
      </c>
      <c r="ZW2" s="6" t="str">
        <f>IF(BK2&gt;0,BK2,"null")</f>
        <v>null</v>
      </c>
      <c r="ZX2" s="6" t="str">
        <f>IF(BL2&gt;0,BL2,"null")</f>
        <v>null</v>
      </c>
      <c r="ZY2" t="str">
        <f>IF(IO2="N","null",IF([1]!NRD(AA2,65)&lt;DF2,"MS8","MS7"))</f>
        <v>null</v>
      </c>
      <c r="ZZ2" s="11" t="str">
        <f>IF(DF2&gt;0,DF2,"null")</f>
        <v>null</v>
      </c>
      <c r="AAA2" s="11">
        <f>CY2</f>
        <v>47939</v>
      </c>
      <c r="AAB2" s="11">
        <f ca="1">TODAY()</f>
        <v>46219</v>
      </c>
      <c r="AAC2" s="11" t="str">
        <f>LM2</f>
        <v>null</v>
      </c>
      <c r="AAD2" s="11" t="str">
        <f>LP2</f>
        <v>null</v>
      </c>
    </row>
    <row r="3" spans="1:706" s="13" customFormat="1" x14ac:dyDescent="0.2">
      <c r="A3" s="6"/>
      <c r="B3" s="3"/>
      <c r="C3" s="3"/>
      <c r="D3" s="3"/>
      <c r="E3" s="3"/>
      <c r="F3" s="3"/>
      <c r="G3"/>
      <c r="H3"/>
      <c r="I3" s="3"/>
      <c r="J3" s="3"/>
      <c r="K3" s="3"/>
      <c r="L3" s="3"/>
      <c r="M3"/>
      <c r="N3"/>
      <c r="O3"/>
      <c r="P3"/>
      <c r="Q3"/>
      <c r="R3"/>
      <c r="S3"/>
      <c r="T3"/>
      <c r="U3" s="3"/>
      <c r="V3"/>
      <c r="W3"/>
      <c r="X3" s="89"/>
      <c r="Y3" s="90"/>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270"/>
      <c r="BI3" s="92"/>
      <c r="BJ3" s="269"/>
      <c r="BK3" s="92"/>
      <c r="BL3" s="92"/>
      <c r="BM3" s="92"/>
      <c r="BN3" s="91"/>
      <c r="BO3" s="91"/>
      <c r="BP3" s="91"/>
      <c r="BQ3" s="91"/>
      <c r="BR3"/>
      <c r="BS3" s="323"/>
      <c r="BT3" s="91"/>
      <c r="BU3" s="91"/>
      <c r="BV3" s="91"/>
      <c r="BW3" s="91"/>
      <c r="BX3" s="91"/>
      <c r="BY3" s="91"/>
      <c r="BZ3" s="91"/>
      <c r="CA3" s="91"/>
      <c r="CB3" s="91"/>
      <c r="CC3" s="91"/>
      <c r="CD3" s="91"/>
      <c r="CE3" s="91"/>
      <c r="CF3" s="91"/>
      <c r="CG3" s="91"/>
      <c r="CH3" s="91"/>
      <c r="CI3" s="91"/>
      <c r="CJ3" s="91"/>
      <c r="CK3" s="91"/>
      <c r="CL3" s="270"/>
      <c r="CM3" s="7"/>
      <c r="CN3" s="7"/>
      <c r="CO3" s="7"/>
      <c r="CP3" s="270"/>
      <c r="CQ3" s="272"/>
      <c r="CR3" s="270"/>
      <c r="CS3" s="272"/>
      <c r="CT3" s="270"/>
      <c r="CU3" s="272"/>
      <c r="CV3" s="270"/>
      <c r="CW3" s="272"/>
      <c r="CX3" s="7"/>
      <c r="CY3" s="269"/>
      <c r="CZ3" s="274"/>
      <c r="DA3" s="269"/>
      <c r="DB3" s="269"/>
      <c r="DC3" s="272"/>
      <c r="DD3" s="272"/>
      <c r="DE3" s="272"/>
      <c r="DF3" s="272"/>
      <c r="DG3" s="272"/>
      <c r="DH3" s="272"/>
      <c r="DI3" s="70"/>
      <c r="DJ3" s="70"/>
      <c r="DK3" s="70"/>
      <c r="DL3" s="70"/>
      <c r="DM3" s="70"/>
      <c r="DN3" s="272"/>
      <c r="DO3" s="269"/>
      <c r="DP3" s="11"/>
      <c r="DQ3"/>
      <c r="DR3"/>
      <c r="DS3"/>
      <c r="DT3"/>
      <c r="DU3" s="273"/>
      <c r="DV3" s="12"/>
      <c r="DW3" s="11"/>
      <c r="DX3" s="273"/>
      <c r="DY3" s="273"/>
      <c r="DZ3" s="273"/>
      <c r="EA3" s="6"/>
      <c r="EB3" s="330"/>
      <c r="EC3" s="165"/>
      <c r="ED3" s="165"/>
      <c r="EE3" s="269"/>
      <c r="EF3" s="7"/>
      <c r="EG3" s="7"/>
      <c r="EH3" s="269"/>
      <c r="EI3" s="7"/>
      <c r="EJ3" s="7"/>
      <c r="EK3" s="7"/>
      <c r="EL3" s="274"/>
      <c r="EM3" s="7"/>
      <c r="EN3" s="21"/>
      <c r="EO3" s="7"/>
      <c r="EP3" s="7"/>
      <c r="EQ3" s="7"/>
      <c r="ER3" s="272"/>
      <c r="ES3" s="7"/>
      <c r="ET3" s="8"/>
      <c r="EU3" s="275"/>
      <c r="EV3" s="276"/>
      <c r="EW3" s="8"/>
      <c r="EX3" s="275"/>
      <c r="EY3" s="276"/>
      <c r="EZ3" s="8"/>
      <c r="FA3" s="7"/>
      <c r="FB3" s="7"/>
      <c r="FC3" s="8"/>
      <c r="FD3" s="275"/>
      <c r="FE3" s="276"/>
      <c r="FF3" s="7"/>
      <c r="FG3" s="7"/>
      <c r="FH3" s="7"/>
      <c r="FI3" s="7"/>
      <c r="FJ3" s="7"/>
      <c r="FK3" s="7"/>
      <c r="FL3" s="7"/>
      <c r="FM3" s="7"/>
      <c r="FN3" s="7"/>
      <c r="FO3" s="7"/>
      <c r="FP3" s="7"/>
      <c r="FQ3" s="7"/>
      <c r="FR3" s="7"/>
      <c r="FS3" s="7"/>
      <c r="FT3" s="7"/>
      <c r="FU3" s="7"/>
      <c r="FV3" s="7"/>
      <c r="FW3" s="269"/>
      <c r="FX3" s="269"/>
      <c r="FY3" s="7"/>
      <c r="FZ3" s="7"/>
      <c r="GA3" s="7"/>
      <c r="GB3" s="7"/>
      <c r="GC3" s="8"/>
      <c r="GD3" s="269"/>
      <c r="GE3" s="7"/>
      <c r="GF3" s="277"/>
      <c r="GG3" s="277"/>
      <c r="GH3" s="276"/>
      <c r="GI3" s="277"/>
      <c r="GJ3" s="7"/>
      <c r="GK3" s="277"/>
      <c r="GL3" s="278"/>
      <c r="GM3" s="12"/>
      <c r="GN3" s="12"/>
      <c r="GO3" s="274"/>
      <c r="GP3" s="277"/>
      <c r="GQ3" s="277"/>
      <c r="GR3" s="273"/>
      <c r="GS3" s="273"/>
      <c r="GT3" s="273"/>
      <c r="GU3" s="273"/>
      <c r="GV3" s="273"/>
      <c r="GW3" s="273"/>
      <c r="GX3" s="273"/>
      <c r="GY3" s="269"/>
      <c r="GZ3" s="269"/>
      <c r="HA3" s="268"/>
      <c r="HB3" s="274"/>
      <c r="HC3" s="274"/>
      <c r="HD3" s="283"/>
      <c r="HE3" s="273"/>
      <c r="HF3" s="273"/>
      <c r="HG3" s="276"/>
      <c r="HH3" s="277"/>
      <c r="HI3" s="277"/>
      <c r="HJ3" s="277"/>
      <c r="HK3" s="273"/>
      <c r="HL3" s="273"/>
      <c r="HM3" s="273"/>
      <c r="HN3" s="273"/>
      <c r="HO3" s="273"/>
      <c r="HP3" s="273"/>
      <c r="HQ3" s="12"/>
      <c r="HR3" s="12"/>
      <c r="HS3" s="12"/>
      <c r="HT3" s="12"/>
      <c r="HU3" s="273"/>
      <c r="HV3" s="273"/>
      <c r="HW3" s="273"/>
      <c r="HX3" s="415"/>
      <c r="HY3" s="6"/>
      <c r="HZ3" s="8"/>
      <c r="IA3" s="8"/>
      <c r="IB3" s="8"/>
      <c r="IC3" s="269"/>
      <c r="ID3" s="8"/>
      <c r="IE3" s="8"/>
      <c r="IF3" s="269"/>
      <c r="IG3" s="269"/>
      <c r="IH3" s="273"/>
      <c r="II3" s="269"/>
      <c r="IJ3" s="7"/>
      <c r="IK3" s="269"/>
      <c r="IL3" s="7"/>
      <c r="IM3" s="7"/>
      <c r="IN3" s="7"/>
      <c r="IO3" s="8"/>
      <c r="IP3" s="277"/>
      <c r="IQ3" s="12"/>
      <c r="IR3" s="269"/>
      <c r="IS3" s="269"/>
      <c r="IT3" s="277"/>
      <c r="IU3" s="277"/>
      <c r="IV3" s="11"/>
      <c r="IW3" s="12"/>
      <c r="IX3" s="12"/>
      <c r="IY3" s="11"/>
      <c r="IZ3" s="11"/>
      <c r="JA3" s="12"/>
      <c r="JB3" s="12"/>
      <c r="JC3" s="11"/>
      <c r="JD3" s="11"/>
      <c r="JE3" s="11"/>
      <c r="JF3" s="12"/>
      <c r="JG3" s="12"/>
      <c r="JH3" s="416"/>
      <c r="JI3" s="12"/>
      <c r="JJ3" s="273"/>
      <c r="JK3" s="273"/>
      <c r="JL3" s="273"/>
      <c r="JM3" s="273"/>
      <c r="JN3" s="273"/>
      <c r="JO3" s="273"/>
      <c r="JP3" s="273"/>
      <c r="JQ3" s="273"/>
      <c r="JR3" s="273"/>
      <c r="JS3" s="273"/>
      <c r="JT3" s="8"/>
      <c r="JU3" s="273"/>
      <c r="JV3" s="126"/>
      <c r="JW3" s="126"/>
      <c r="JX3" s="269"/>
      <c r="JY3" s="126"/>
      <c r="JZ3" s="126"/>
      <c r="KA3" s="67"/>
      <c r="KB3" s="67"/>
      <c r="KC3" s="417"/>
      <c r="KD3" s="67"/>
      <c r="KE3" s="417"/>
      <c r="KF3" s="417"/>
      <c r="KG3" s="417"/>
      <c r="KH3" s="67"/>
      <c r="KI3" s="417"/>
      <c r="KJ3" s="417"/>
      <c r="KK3" s="417"/>
      <c r="KL3" s="67"/>
      <c r="KM3" s="126"/>
      <c r="KN3" s="126"/>
      <c r="KO3" s="417"/>
      <c r="KP3" s="269"/>
      <c r="KQ3" s="67"/>
      <c r="KR3" s="279"/>
      <c r="KS3" s="273"/>
      <c r="KT3" s="273"/>
      <c r="KU3" s="273"/>
      <c r="KV3" s="273"/>
      <c r="KW3" s="273"/>
      <c r="KX3" s="273"/>
      <c r="KY3" s="273"/>
      <c r="KZ3" s="273"/>
      <c r="LA3" s="415"/>
      <c r="LB3" s="418"/>
      <c r="LC3" s="249"/>
      <c r="LD3" s="12"/>
      <c r="LE3" s="273"/>
      <c r="LF3" s="273"/>
      <c r="LG3" s="126"/>
      <c r="LH3" s="126"/>
      <c r="LI3" s="269"/>
      <c r="LJ3" s="273"/>
      <c r="LK3" s="67"/>
      <c r="LL3" s="67"/>
      <c r="LM3" s="126"/>
      <c r="LN3" s="126"/>
      <c r="LO3" s="67"/>
      <c r="LP3" s="126"/>
      <c r="LQ3" s="67"/>
      <c r="LR3" s="67"/>
      <c r="LS3" s="67"/>
      <c r="LT3" s="67"/>
      <c r="LU3" s="67"/>
      <c r="LV3" s="67"/>
      <c r="LW3" s="67"/>
      <c r="LX3" s="67"/>
      <c r="LY3" s="67"/>
      <c r="LZ3" s="6"/>
      <c r="MA3" s="6"/>
      <c r="MB3" s="6"/>
      <c r="MC3" s="6"/>
      <c r="MD3" s="6"/>
      <c r="ME3" s="6"/>
      <c r="MF3" s="67"/>
      <c r="MG3" s="67"/>
      <c r="MH3" s="67"/>
      <c r="MI3" s="67"/>
      <c r="MJ3" s="67"/>
      <c r="MK3" s="67"/>
      <c r="ML3" s="67"/>
      <c r="MM3" s="67"/>
      <c r="MN3" s="67"/>
      <c r="MO3" s="67"/>
      <c r="MP3" s="67"/>
      <c r="MQ3" s="67"/>
      <c r="MR3" s="67"/>
      <c r="MS3" s="67"/>
      <c r="MT3" s="67"/>
      <c r="MU3" s="67"/>
      <c r="MV3" s="67"/>
      <c r="MW3" s="67"/>
      <c r="MX3" s="67"/>
      <c r="MY3" s="67"/>
      <c r="MZ3" s="67"/>
      <c r="NA3" s="67"/>
      <c r="NB3" s="67"/>
      <c r="NC3" s="125"/>
      <c r="ND3" s="68"/>
      <c r="NE3" s="68"/>
      <c r="NF3" s="68"/>
      <c r="NG3" s="68"/>
      <c r="NH3" s="68"/>
      <c r="NI3" s="68"/>
      <c r="NJ3" s="68"/>
      <c r="NK3" s="68"/>
      <c r="NL3" s="68"/>
      <c r="NM3" s="68"/>
      <c r="NN3" s="68"/>
      <c r="NO3" s="68"/>
      <c r="NP3" s="68"/>
      <c r="NQ3" s="68"/>
      <c r="NR3" s="68"/>
      <c r="NS3" s="68"/>
      <c r="NT3" s="68"/>
      <c r="NU3" s="419"/>
      <c r="NV3" s="68"/>
      <c r="NW3" s="68"/>
      <c r="NX3" s="68"/>
      <c r="NY3" s="68"/>
      <c r="NZ3" s="68"/>
      <c r="OA3" s="68"/>
      <c r="OB3" s="6"/>
      <c r="OC3" s="12"/>
      <c r="OD3" s="12"/>
      <c r="OE3" s="12"/>
      <c r="OF3" s="12"/>
      <c r="OG3" s="12"/>
      <c r="OH3" s="12"/>
      <c r="OI3" s="12"/>
      <c r="OJ3" s="12"/>
      <c r="OK3" s="12"/>
      <c r="OL3" s="12"/>
      <c r="OM3" s="271"/>
      <c r="ON3" s="21"/>
      <c r="OO3" s="21"/>
      <c r="OP3" s="21"/>
      <c r="OQ3" s="6"/>
      <c r="OR3" s="6"/>
      <c r="OS3" s="6"/>
      <c r="OT3" s="6"/>
      <c r="OU3" s="6"/>
      <c r="OV3" s="6"/>
      <c r="OW3" s="6"/>
      <c r="OX3" s="6"/>
      <c r="OY3" s="248"/>
      <c r="OZ3" s="11"/>
      <c r="PA3" s="6"/>
      <c r="PB3" s="11"/>
      <c r="PC3" s="12"/>
      <c r="PD3" s="12"/>
      <c r="PE3" s="269"/>
      <c r="PF3" s="6"/>
      <c r="PG3" s="277"/>
      <c r="PH3" s="6"/>
      <c r="PI3" s="249"/>
      <c r="PJ3" s="6"/>
      <c r="PK3" s="249"/>
      <c r="PL3" s="249"/>
      <c r="PM3" s="6"/>
      <c r="PN3" s="277"/>
      <c r="PO3" s="6"/>
      <c r="PP3" s="12"/>
      <c r="PQ3" s="8"/>
      <c r="PR3" s="276"/>
      <c r="PS3" s="277"/>
      <c r="PT3" s="277"/>
      <c r="PU3" s="273"/>
      <c r="PV3" s="273"/>
      <c r="PW3" s="273"/>
      <c r="PX3" s="273"/>
      <c r="PY3" s="273"/>
      <c r="PZ3" s="6"/>
      <c r="QA3" s="6"/>
      <c r="QB3" s="12"/>
      <c r="QC3" s="12"/>
      <c r="QD3" s="12"/>
      <c r="QE3" s="12"/>
      <c r="QF3" s="12"/>
      <c r="QG3" s="12"/>
      <c r="QH3" s="12"/>
      <c r="QI3" s="12"/>
      <c r="QJ3" s="12"/>
      <c r="QK3" s="12"/>
      <c r="QL3" s="12"/>
      <c r="QM3" s="12"/>
      <c r="QN3" s="12"/>
      <c r="QO3" s="98"/>
      <c r="QP3" s="6"/>
      <c r="QQ3" s="420"/>
      <c r="QR3" s="12"/>
      <c r="QS3" s="12"/>
      <c r="QU3" s="6"/>
      <c r="QV3" s="6"/>
      <c r="QW3" s="250"/>
      <c r="QX3" s="250"/>
      <c r="QY3" s="250"/>
      <c r="QZ3" s="250"/>
      <c r="RA3" s="250"/>
      <c r="RB3" s="250"/>
      <c r="RC3" s="271"/>
      <c r="RD3" s="271"/>
      <c r="RE3" s="271"/>
      <c r="RF3" s="271"/>
      <c r="RG3" s="271"/>
      <c r="RH3" s="271"/>
      <c r="RI3" s="271"/>
      <c r="RJ3" s="271"/>
      <c r="RK3" s="421"/>
      <c r="RL3" s="271"/>
      <c r="RM3" s="271"/>
      <c r="RN3" s="271"/>
      <c r="RO3" s="271"/>
      <c r="RP3" s="421"/>
      <c r="RQ3" s="421"/>
      <c r="RR3" s="12"/>
      <c r="RS3" s="165"/>
      <c r="RT3" s="165"/>
      <c r="RU3" s="165"/>
      <c r="RV3" s="165"/>
      <c r="RW3" s="165"/>
      <c r="RX3" s="165"/>
      <c r="RY3" s="165"/>
      <c r="RZ3" s="165"/>
      <c r="SA3" s="165"/>
      <c r="SB3" s="166"/>
      <c r="SC3" s="68"/>
      <c r="SD3" s="68"/>
      <c r="SE3" s="68"/>
      <c r="SF3" s="68"/>
      <c r="SG3" s="68"/>
      <c r="SH3" s="68"/>
      <c r="SI3" s="68"/>
      <c r="SJ3" s="68"/>
      <c r="SK3" s="68"/>
      <c r="SL3" s="125"/>
      <c r="SM3" s="68"/>
      <c r="SN3" s="68"/>
      <c r="SO3" s="68"/>
      <c r="SP3" s="413"/>
      <c r="SQ3" s="413"/>
      <c r="SR3" s="273"/>
      <c r="SS3" s="273"/>
      <c r="ST3" s="273"/>
      <c r="SU3" s="273"/>
      <c r="SV3" s="273"/>
      <c r="SW3" s="273"/>
      <c r="SX3" s="273"/>
      <c r="SY3" s="273"/>
      <c r="SZ3" s="273"/>
      <c r="TA3" s="273"/>
      <c r="TB3" s="273"/>
      <c r="TC3" s="273"/>
      <c r="TD3" s="273"/>
      <c r="TE3" s="273"/>
      <c r="TF3" s="273"/>
      <c r="TG3" s="273"/>
      <c r="TH3" s="166"/>
      <c r="TI3" s="166"/>
      <c r="TJ3" s="165"/>
      <c r="TK3" s="422"/>
      <c r="TL3" s="414"/>
      <c r="TM3" s="414"/>
      <c r="TN3" s="523"/>
      <c r="TO3" s="523"/>
      <c r="TP3" s="422"/>
      <c r="TQ3" s="273"/>
      <c r="TR3" s="273"/>
      <c r="TS3" s="273"/>
      <c r="TT3" s="273"/>
      <c r="TU3" s="273"/>
      <c r="TV3" s="125"/>
      <c r="TW3" s="273"/>
      <c r="TX3" s="273"/>
      <c r="TY3" s="273"/>
      <c r="TZ3" s="273"/>
      <c r="UA3" s="273"/>
      <c r="UB3" s="273"/>
      <c r="UC3" s="273"/>
      <c r="UD3" s="273"/>
      <c r="UE3" s="273"/>
      <c r="UF3" s="273"/>
      <c r="UG3" s="166"/>
      <c r="UH3" s="166"/>
      <c r="UI3" s="12"/>
      <c r="UJ3" s="12"/>
      <c r="UK3" s="12"/>
      <c r="UL3" s="12"/>
      <c r="UM3" s="12"/>
      <c r="UN3" s="12"/>
      <c r="UO3" s="12"/>
      <c r="UP3" s="12"/>
      <c r="UQ3" s="12"/>
      <c r="UR3" s="12"/>
      <c r="US3" s="12"/>
      <c r="UT3" s="12"/>
      <c r="UU3" s="12"/>
      <c r="UV3" s="70"/>
      <c r="UW3" s="70"/>
      <c r="UX3" s="12"/>
      <c r="UY3" s="12"/>
      <c r="UZ3" s="12"/>
      <c r="VA3" s="12"/>
      <c r="VB3" s="12"/>
      <c r="VC3" s="21"/>
      <c r="VD3" s="21"/>
      <c r="VE3" s="21"/>
      <c r="VF3" s="11"/>
      <c r="VG3" s="11"/>
      <c r="VH3" s="6"/>
      <c r="VI3" s="6"/>
      <c r="VJ3" s="6"/>
      <c r="VK3" s="276"/>
      <c r="VL3" s="277"/>
      <c r="VM3" s="277"/>
      <c r="VN3" s="273"/>
      <c r="VO3" s="273"/>
      <c r="VP3" s="273"/>
      <c r="VQ3" s="273"/>
      <c r="VR3" s="273"/>
      <c r="VS3" s="273"/>
      <c r="VT3" s="273"/>
      <c r="VU3" s="273"/>
      <c r="VV3" s="273"/>
      <c r="VW3" s="7"/>
      <c r="VX3" s="279"/>
      <c r="VY3" s="279"/>
      <c r="VZ3" s="279"/>
      <c r="WA3" s="279"/>
      <c r="WB3" s="279"/>
      <c r="WC3" s="279"/>
      <c r="WD3" s="6"/>
      <c r="WE3" s="279"/>
      <c r="WF3" s="7"/>
      <c r="WG3" s="7"/>
      <c r="WH3" s="7"/>
      <c r="WI3" s="7"/>
      <c r="WJ3" s="67"/>
      <c r="WK3" s="67"/>
      <c r="WL3" s="7"/>
      <c r="WM3" s="7"/>
      <c r="WN3" s="7"/>
      <c r="WO3" s="7"/>
      <c r="WP3" s="7"/>
      <c r="WQ3" s="7"/>
      <c r="WR3" s="7"/>
      <c r="WS3" s="7"/>
      <c r="WT3" s="7"/>
      <c r="WU3" s="67"/>
      <c r="WV3" s="67"/>
      <c r="WW3" s="21"/>
      <c r="WX3" s="7"/>
      <c r="WY3" s="69"/>
      <c r="WZ3" s="68"/>
      <c r="XA3" s="166"/>
      <c r="XB3" s="166"/>
      <c r="XC3" s="276"/>
      <c r="XD3" s="70"/>
      <c r="XE3" s="70"/>
      <c r="XF3" s="70"/>
      <c r="XG3" s="70"/>
      <c r="XH3" s="70"/>
      <c r="XI3" s="70"/>
      <c r="XJ3" s="70"/>
      <c r="XK3" s="47"/>
      <c r="XL3" s="70"/>
      <c r="XM3" s="47"/>
      <c r="XN3" s="147"/>
      <c r="XO3" s="70"/>
      <c r="XP3" s="70"/>
      <c r="XQ3" s="70"/>
      <c r="XR3" s="70"/>
      <c r="XS3" s="70"/>
      <c r="XT3" s="70"/>
      <c r="XU3" s="70"/>
      <c r="XV3" s="70"/>
      <c r="XW3" s="70"/>
      <c r="XX3" s="70"/>
      <c r="XY3" s="70"/>
      <c r="XZ3" s="70"/>
      <c r="YA3" s="70"/>
      <c r="YB3" s="70"/>
      <c r="YC3" s="70"/>
      <c r="YD3" s="12"/>
      <c r="YE3" s="12"/>
      <c r="YF3" s="12"/>
      <c r="YG3" s="12"/>
      <c r="YH3" s="12"/>
      <c r="YI3" s="98"/>
      <c r="YJ3" s="12"/>
      <c r="YK3" s="12"/>
      <c r="YL3" s="12"/>
      <c r="YM3" s="12"/>
      <c r="YN3" s="12"/>
      <c r="YO3" s="12"/>
      <c r="YP3" s="12"/>
      <c r="YQ3" s="12"/>
      <c r="YR3" s="12"/>
      <c r="YS3" s="70"/>
      <c r="YT3" s="70"/>
      <c r="YU3" s="70"/>
      <c r="YV3" s="70"/>
      <c r="YW3" s="70"/>
      <c r="YX3" s="70"/>
      <c r="YY3" s="70"/>
      <c r="YZ3" s="70"/>
      <c r="ZA3" s="120"/>
      <c r="ZB3" s="120"/>
      <c r="ZC3" s="8"/>
      <c r="ZD3" s="8"/>
      <c r="ZL3" s="6" t="str">
        <f>IF(ZC3="N","null",IF(AND(DF3&gt;0,DF3&gt;=DD3),"RBD","ARD"))</f>
        <v>ARD</v>
      </c>
      <c r="ZM3" s="6" t="str">
        <f>IF(ZC3="N","null",IF(MIN(PD3,PE3)=PU3,"ARD",IF(PC3&gt;PU3,"DOTE","NRD")))</f>
        <v>ARD</v>
      </c>
      <c r="ZN3" s="6" t="str">
        <f>IF(ZC3="N","null",IF(AND(DF3&gt;0,DF3&gt;=DD3),"RBD",IF(DG3&lt;&gt;"","BSD","ARD")))</f>
        <v>ARD</v>
      </c>
      <c r="ZO3" s="6" t="str">
        <f>IF(ZC3="N","null",IF(SI3="Yes","after Barnes Offset",IF(ISNUMBER(SEARCH("BFCF",ZQ3,1)),"after BFCF",IF(ISNUMBER(SEARCH("ERF",ZQ3,1)),"after ERF",IF(ISNUMBER(SEARCH("LRF",ZQ3,1)),"after LRF",IF(ISNUMBER(SEARCH("PRSA",ZQ3,1)),"after PRSA","after AMB"))))))</f>
        <v>after AMB</v>
      </c>
      <c r="ZP3" s="6" t="str">
        <f>IF(ZC3="N","null",IF(AND(DF3&gt;0,DF3&gt;=DD3),"RBD","ARD"))</f>
        <v>ARD</v>
      </c>
      <c r="ZZ3" s="577"/>
    </row>
    <row r="4" spans="1:706" s="13" customFormat="1" x14ac:dyDescent="0.2">
      <c r="A4" s="6"/>
      <c r="B4" s="3"/>
      <c r="C4" s="3"/>
      <c r="D4" s="3"/>
      <c r="E4" s="3"/>
      <c r="F4" s="3"/>
      <c r="G4"/>
      <c r="H4"/>
      <c r="I4" s="3"/>
      <c r="J4" s="3"/>
      <c r="K4" s="3"/>
      <c r="L4" s="3"/>
      <c r="M4"/>
      <c r="N4"/>
      <c r="O4"/>
      <c r="P4"/>
      <c r="Q4"/>
      <c r="R4"/>
      <c r="S4"/>
      <c r="T4"/>
      <c r="U4" s="3"/>
      <c r="V4"/>
      <c r="W4"/>
      <c r="X4" s="89"/>
      <c r="Y4" s="90"/>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269"/>
      <c r="BD4" s="92"/>
      <c r="BE4" s="92"/>
      <c r="BF4" s="92"/>
      <c r="BG4" s="92"/>
      <c r="BH4" s="270"/>
      <c r="BI4" s="92"/>
      <c r="BJ4" s="269"/>
      <c r="BK4" s="92"/>
      <c r="BL4" s="92"/>
      <c r="BM4" s="92"/>
      <c r="BN4" s="91"/>
      <c r="BO4" s="91"/>
      <c r="BP4" s="91"/>
      <c r="BQ4" s="91"/>
      <c r="BR4"/>
      <c r="BS4" s="91"/>
      <c r="BT4" s="91"/>
      <c r="BU4" s="91"/>
      <c r="BV4" s="91"/>
      <c r="BW4" s="91"/>
      <c r="BX4" s="91"/>
      <c r="BY4" s="91"/>
      <c r="BZ4" s="91"/>
      <c r="CA4" s="91"/>
      <c r="CB4" s="91"/>
      <c r="CC4" s="91"/>
      <c r="CD4" s="91"/>
      <c r="CE4" s="91"/>
      <c r="CF4" s="91"/>
      <c r="CG4" s="91"/>
      <c r="CH4" s="91"/>
      <c r="CI4" s="91"/>
      <c r="CJ4" s="91"/>
      <c r="CK4" s="270"/>
      <c r="CL4" s="270"/>
      <c r="CM4" s="7"/>
      <c r="CN4" s="7"/>
      <c r="CO4" s="7"/>
      <c r="CP4" s="270"/>
      <c r="CQ4" s="272"/>
      <c r="CR4" s="270"/>
      <c r="CS4" s="272"/>
      <c r="CT4" s="270"/>
      <c r="CU4" s="272"/>
      <c r="CV4" s="270"/>
      <c r="CW4" s="423"/>
      <c r="CX4" s="7"/>
      <c r="CY4" s="269"/>
      <c r="CZ4" s="274"/>
      <c r="DA4" s="274"/>
      <c r="DB4" s="274"/>
      <c r="DC4" s="274"/>
      <c r="DD4" s="272"/>
      <c r="DE4" s="272"/>
      <c r="DF4" s="272"/>
      <c r="DG4" s="272"/>
      <c r="DH4" s="272"/>
      <c r="DI4" s="70"/>
      <c r="DJ4" s="70"/>
      <c r="DK4" s="70"/>
      <c r="DL4" s="70"/>
      <c r="DM4" s="70"/>
      <c r="DN4" s="272"/>
      <c r="DO4" s="272"/>
      <c r="DP4" s="272"/>
      <c r="DQ4"/>
      <c r="DR4"/>
      <c r="DS4"/>
      <c r="DT4"/>
      <c r="DU4" s="273"/>
      <c r="DV4" s="12"/>
      <c r="DW4" s="11"/>
      <c r="DX4" s="273"/>
      <c r="DY4" s="273"/>
      <c r="DZ4" s="273"/>
      <c r="EA4" s="11"/>
      <c r="EB4" s="11"/>
      <c r="EC4" s="11"/>
      <c r="ED4" s="11"/>
      <c r="EE4" s="269"/>
      <c r="EF4" s="7"/>
      <c r="EG4" s="7"/>
      <c r="EH4" s="269"/>
      <c r="EI4" s="7"/>
      <c r="EJ4" s="7"/>
      <c r="EK4" s="7"/>
      <c r="EL4" s="7"/>
      <c r="EM4" s="7"/>
      <c r="EN4" s="21"/>
      <c r="EO4" s="7"/>
      <c r="EP4" s="7"/>
      <c r="EQ4" s="7"/>
      <c r="ER4" s="272"/>
      <c r="ES4" s="7"/>
      <c r="ET4" s="8"/>
      <c r="EU4" s="275"/>
      <c r="EV4" s="276"/>
      <c r="EW4" s="8"/>
      <c r="EX4" s="275"/>
      <c r="EY4" s="276"/>
      <c r="EZ4" s="8"/>
      <c r="FA4" s="7"/>
      <c r="FB4" s="7"/>
      <c r="FC4" s="8"/>
      <c r="FD4" s="275"/>
      <c r="FE4" s="276"/>
      <c r="FF4" s="7"/>
      <c r="FG4" s="7"/>
      <c r="FH4" s="16"/>
      <c r="FI4" s="275"/>
      <c r="FJ4" s="7"/>
      <c r="FK4" s="7"/>
      <c r="FL4" s="7"/>
      <c r="FM4" s="7"/>
      <c r="FN4" s="7"/>
      <c r="FO4" s="7"/>
      <c r="FP4" s="7"/>
      <c r="FQ4" s="7"/>
      <c r="FR4" s="7"/>
      <c r="FS4" s="7"/>
      <c r="FT4" s="7"/>
      <c r="FU4" s="7"/>
      <c r="FV4" s="7"/>
      <c r="FW4" s="7"/>
      <c r="FX4" s="7"/>
      <c r="FY4" s="7"/>
      <c r="FZ4" s="7"/>
      <c r="GA4" s="7"/>
      <c r="GB4" s="7"/>
      <c r="GC4" s="7"/>
      <c r="GD4" s="7"/>
      <c r="GE4" s="7"/>
      <c r="GF4" s="277"/>
      <c r="GG4" s="277"/>
      <c r="GH4" s="276"/>
      <c r="GI4" s="277"/>
      <c r="GJ4" s="7"/>
      <c r="GK4" s="277"/>
      <c r="GL4" s="278"/>
      <c r="GM4" s="12"/>
      <c r="GN4" s="12"/>
      <c r="GO4" s="274"/>
      <c r="GP4" s="277"/>
      <c r="GQ4" s="277"/>
      <c r="GR4" s="273"/>
      <c r="GS4" s="273"/>
      <c r="GT4" s="273"/>
      <c r="GU4" s="273"/>
      <c r="GV4" s="273"/>
      <c r="GW4" s="273"/>
      <c r="GX4" s="273"/>
      <c r="GY4" s="269"/>
      <c r="GZ4" s="269"/>
      <c r="HA4" s="269"/>
      <c r="HB4" s="274"/>
      <c r="HC4" s="274"/>
      <c r="HD4" s="277"/>
      <c r="HE4" s="273"/>
      <c r="HF4" s="273"/>
      <c r="HG4" s="276"/>
      <c r="HH4" s="277"/>
      <c r="HI4" s="277"/>
      <c r="HJ4" s="277"/>
      <c r="HK4" s="273"/>
      <c r="HL4" s="273"/>
      <c r="HM4" s="273"/>
      <c r="HN4" s="273"/>
      <c r="HO4" s="273"/>
      <c r="HP4" s="273"/>
      <c r="HQ4" s="12"/>
      <c r="HR4" s="12"/>
      <c r="HS4" s="12"/>
      <c r="HT4" s="12"/>
      <c r="HU4" s="273"/>
      <c r="HV4" s="273"/>
      <c r="HW4" s="273"/>
      <c r="HX4" s="415"/>
      <c r="HY4" s="415"/>
      <c r="HZ4" s="8"/>
      <c r="IA4" s="8"/>
      <c r="IB4" s="8"/>
      <c r="IC4" s="7"/>
      <c r="ID4" s="8"/>
      <c r="IE4" s="8"/>
      <c r="IF4" s="8"/>
      <c r="IG4" s="8"/>
      <c r="IH4" s="273"/>
      <c r="II4" s="269"/>
      <c r="IJ4" s="7"/>
      <c r="IK4" s="7"/>
      <c r="IL4" s="7"/>
      <c r="IM4" s="7"/>
      <c r="IN4" s="7"/>
      <c r="IO4" s="12"/>
      <c r="IP4" s="277"/>
      <c r="IQ4" s="12"/>
      <c r="IR4" s="269"/>
      <c r="IS4" s="269"/>
      <c r="IT4" s="277"/>
      <c r="IU4" s="277"/>
      <c r="IV4" s="11"/>
      <c r="IW4" s="11"/>
      <c r="IX4" s="12"/>
      <c r="IY4" s="11"/>
      <c r="IZ4" s="11"/>
      <c r="JA4" s="11"/>
      <c r="JB4" s="12"/>
      <c r="JC4" s="12"/>
      <c r="JD4" s="11"/>
      <c r="JE4" s="11"/>
      <c r="JF4" s="11"/>
      <c r="JG4" s="12"/>
      <c r="JH4" s="12"/>
      <c r="JI4" s="12"/>
      <c r="JJ4" s="273"/>
      <c r="JK4" s="273"/>
      <c r="JL4" s="273"/>
      <c r="JM4" s="273"/>
      <c r="JN4" s="273"/>
      <c r="JO4" s="273"/>
      <c r="JP4" s="273"/>
      <c r="JQ4" s="273"/>
      <c r="JR4" s="273"/>
      <c r="JS4" s="273"/>
      <c r="JT4" s="8"/>
      <c r="JU4" s="273"/>
      <c r="JV4" s="126"/>
      <c r="JW4" s="126"/>
      <c r="JX4" s="41"/>
      <c r="JY4" s="126"/>
      <c r="JZ4" s="126"/>
      <c r="KA4" s="273"/>
      <c r="KB4" s="273"/>
      <c r="KC4" s="273"/>
      <c r="KD4" s="273"/>
      <c r="KE4" s="273"/>
      <c r="KF4" s="273"/>
      <c r="KG4" s="273"/>
      <c r="KH4" s="273"/>
      <c r="KI4" s="273"/>
      <c r="KJ4" s="273"/>
      <c r="KK4" s="273"/>
      <c r="KL4" s="273"/>
      <c r="KM4" s="273"/>
      <c r="KN4" s="273"/>
      <c r="KO4" s="273"/>
      <c r="KP4" s="273"/>
      <c r="KQ4" s="273"/>
      <c r="KR4" s="273"/>
      <c r="KS4" s="273"/>
      <c r="KT4" s="273"/>
      <c r="KU4" s="273"/>
      <c r="KV4" s="273"/>
      <c r="KW4" s="273"/>
      <c r="KX4" s="273"/>
      <c r="KY4" s="273"/>
      <c r="KZ4" s="273"/>
      <c r="LA4" s="273"/>
      <c r="LB4" s="273"/>
      <c r="LC4" s="415"/>
      <c r="LD4" s="415"/>
      <c r="LE4" s="273"/>
      <c r="LF4" s="273"/>
      <c r="LG4" s="273"/>
      <c r="LH4" s="273"/>
      <c r="LI4" s="273"/>
      <c r="LJ4" s="273"/>
      <c r="LK4" s="273"/>
      <c r="LL4" s="273"/>
      <c r="LM4" s="273"/>
      <c r="LN4" s="273"/>
      <c r="LO4" s="273"/>
      <c r="LP4" s="273"/>
      <c r="LQ4" s="273"/>
      <c r="LR4" s="273"/>
      <c r="LS4" s="273"/>
      <c r="LT4" s="67"/>
      <c r="LU4" s="67"/>
      <c r="LV4" s="67"/>
      <c r="LW4" s="67"/>
      <c r="LX4" s="67"/>
      <c r="LY4" s="67"/>
      <c r="LZ4" s="6"/>
      <c r="MA4" s="6"/>
      <c r="MB4" s="6"/>
      <c r="MC4" s="6"/>
      <c r="MD4" s="6"/>
      <c r="ME4" s="6"/>
      <c r="MF4" s="67"/>
      <c r="MG4" s="67"/>
      <c r="MH4" s="67"/>
      <c r="MI4" s="67"/>
      <c r="MJ4" s="67"/>
      <c r="MK4" s="67"/>
      <c r="ML4" s="67"/>
      <c r="MM4" s="67"/>
      <c r="MN4" s="67"/>
      <c r="MO4" s="67"/>
      <c r="MP4" s="67"/>
      <c r="MQ4" s="67"/>
      <c r="MR4" s="67"/>
      <c r="MS4" s="67"/>
      <c r="MT4" s="67"/>
      <c r="MU4" s="67"/>
      <c r="MV4" s="67"/>
      <c r="MW4" s="67"/>
      <c r="MX4" s="67"/>
      <c r="MY4" s="67"/>
      <c r="MZ4" s="67"/>
      <c r="NA4" s="67"/>
      <c r="NB4" s="67"/>
      <c r="NC4" s="125"/>
      <c r="ND4" s="125"/>
      <c r="NE4" s="125"/>
      <c r="NF4" s="125"/>
      <c r="NG4" s="424"/>
      <c r="NH4" s="424"/>
      <c r="NI4" s="424"/>
      <c r="NJ4" s="424"/>
      <c r="NK4" s="125"/>
      <c r="NL4" s="125"/>
      <c r="NM4" s="125"/>
      <c r="NN4" s="125"/>
      <c r="NO4" s="125"/>
      <c r="NP4" s="125"/>
      <c r="NQ4" s="125"/>
      <c r="NR4" s="125"/>
      <c r="NS4" s="125"/>
      <c r="NT4" s="125"/>
      <c r="NU4" s="125"/>
      <c r="NV4" s="125"/>
      <c r="NW4" s="125"/>
      <c r="NX4" s="125"/>
      <c r="NY4" s="273"/>
      <c r="NZ4" s="273"/>
      <c r="OA4" s="273"/>
      <c r="OB4" s="6"/>
      <c r="OC4" s="12"/>
      <c r="OD4" s="12"/>
      <c r="OE4" s="12"/>
      <c r="OF4" s="12"/>
      <c r="OG4" s="12"/>
      <c r="OH4" s="12"/>
      <c r="OI4" s="12"/>
      <c r="OJ4" s="12"/>
      <c r="OK4" s="12"/>
      <c r="OL4" s="12"/>
      <c r="OM4" s="12"/>
      <c r="ON4" s="21"/>
      <c r="OO4" s="21"/>
      <c r="OP4" s="21"/>
      <c r="OQ4" s="6"/>
      <c r="OR4" s="6"/>
      <c r="OS4" s="6"/>
      <c r="OT4" s="6"/>
      <c r="OU4" s="6"/>
      <c r="OV4" s="6"/>
      <c r="OW4" s="6"/>
      <c r="OX4" s="6"/>
      <c r="OY4" s="248"/>
      <c r="OZ4" s="11"/>
      <c r="PA4" s="6"/>
      <c r="PB4" s="11"/>
      <c r="PC4" s="12"/>
      <c r="PD4" s="11"/>
      <c r="PE4" s="6"/>
      <c r="PF4" s="6"/>
      <c r="PG4" s="6"/>
      <c r="PH4" s="6"/>
      <c r="PI4" s="6"/>
      <c r="PJ4" s="6"/>
      <c r="PK4" s="249"/>
      <c r="PL4" s="6"/>
      <c r="PM4" s="6"/>
      <c r="PN4" s="277"/>
      <c r="PO4" s="6"/>
      <c r="PP4" s="6"/>
      <c r="PQ4" s="6"/>
      <c r="PR4" s="276"/>
      <c r="PS4" s="277"/>
      <c r="PT4" s="277"/>
      <c r="PU4" s="273"/>
      <c r="PV4" s="273"/>
      <c r="PW4" s="273"/>
      <c r="PX4" s="273"/>
      <c r="PY4" s="273"/>
      <c r="PZ4" s="6"/>
      <c r="QA4" s="6"/>
      <c r="QB4" s="12"/>
      <c r="QC4" s="12"/>
      <c r="QD4" s="12"/>
      <c r="QE4" s="12"/>
      <c r="QF4" s="12"/>
      <c r="QG4" s="12"/>
      <c r="QH4" s="12"/>
      <c r="QI4" s="12"/>
      <c r="QJ4" s="12"/>
      <c r="QK4" s="12"/>
      <c r="QL4" s="12"/>
      <c r="QM4" s="12"/>
      <c r="QN4" s="12"/>
      <c r="QO4" s="12"/>
      <c r="QP4" s="12"/>
      <c r="QQ4" s="12"/>
      <c r="QR4" s="12"/>
      <c r="QS4" s="12"/>
      <c r="QU4" s="6"/>
      <c r="QV4" s="6"/>
      <c r="QW4" s="250"/>
      <c r="QX4" s="250"/>
      <c r="QY4" s="250"/>
      <c r="QZ4" s="250"/>
      <c r="RA4" s="250"/>
      <c r="RB4" s="250"/>
      <c r="RC4" s="250"/>
      <c r="RD4" s="250"/>
      <c r="RE4" s="250"/>
      <c r="RF4" s="250"/>
      <c r="RG4" s="250"/>
      <c r="RH4" s="250"/>
      <c r="RI4" s="250"/>
      <c r="RJ4" s="250"/>
      <c r="RK4" s="250"/>
      <c r="RL4" s="250"/>
      <c r="RM4" s="250"/>
      <c r="RN4" s="250"/>
      <c r="RO4" s="250"/>
      <c r="RP4" s="250"/>
      <c r="RQ4" s="250"/>
      <c r="RR4" s="250"/>
      <c r="RS4" s="165"/>
      <c r="RT4" s="165"/>
      <c r="RU4" s="165"/>
      <c r="RV4" s="165"/>
      <c r="RW4" s="165"/>
      <c r="RX4" s="165"/>
      <c r="RY4" s="165"/>
      <c r="RZ4" s="165"/>
      <c r="SA4" s="165"/>
      <c r="SB4" s="166"/>
      <c r="SC4" s="166"/>
      <c r="SD4" s="166"/>
      <c r="SE4" s="166"/>
      <c r="SF4" s="166"/>
      <c r="SG4" s="273"/>
      <c r="SH4" s="166"/>
      <c r="SI4" s="166"/>
      <c r="SJ4" s="166"/>
      <c r="SK4" s="166"/>
      <c r="SL4" s="166"/>
      <c r="SM4" s="166"/>
      <c r="SN4" s="166"/>
      <c r="SO4" s="166"/>
      <c r="SP4" s="166"/>
      <c r="SQ4" s="166"/>
      <c r="SR4" s="273"/>
      <c r="SS4" s="273"/>
      <c r="ST4" s="273"/>
      <c r="SU4" s="273"/>
      <c r="SV4" s="273"/>
      <c r="SW4" s="273"/>
      <c r="SX4" s="273"/>
      <c r="SY4" s="273"/>
      <c r="SZ4" s="273"/>
      <c r="TA4" s="273"/>
      <c r="TB4" s="273"/>
      <c r="TC4" s="273"/>
      <c r="TD4" s="273"/>
      <c r="TE4" s="273"/>
      <c r="TF4" s="273"/>
      <c r="TG4" s="273"/>
      <c r="TH4" s="166"/>
      <c r="TI4" s="166"/>
      <c r="TJ4" s="165"/>
      <c r="TK4" s="422"/>
      <c r="TL4" s="414"/>
      <c r="TM4" s="414"/>
      <c r="TN4" s="527"/>
      <c r="TO4" s="527"/>
      <c r="TP4" s="422"/>
      <c r="TQ4" s="273"/>
      <c r="TR4" s="273"/>
      <c r="TS4" s="273"/>
      <c r="TT4" s="273"/>
      <c r="TU4" s="273"/>
      <c r="TV4" s="273"/>
      <c r="TW4" s="273"/>
      <c r="TX4" s="273"/>
      <c r="TY4" s="273"/>
      <c r="TZ4" s="273"/>
      <c r="UA4" s="273"/>
      <c r="UB4" s="273"/>
      <c r="UC4" s="273"/>
      <c r="UD4" s="273"/>
      <c r="UE4" s="273"/>
      <c r="UF4" s="273"/>
      <c r="UG4" s="166"/>
      <c r="UH4" s="166"/>
      <c r="UI4" s="12"/>
      <c r="UJ4" s="12"/>
      <c r="UK4" s="12"/>
      <c r="UL4" s="12"/>
      <c r="UM4" s="12"/>
      <c r="UN4" s="12"/>
      <c r="UO4" s="12"/>
      <c r="UP4" s="12"/>
      <c r="UQ4" s="12"/>
      <c r="UR4" s="12"/>
      <c r="US4" s="12"/>
      <c r="UT4" s="12"/>
      <c r="UU4" s="12"/>
      <c r="UV4" s="70"/>
      <c r="UW4" s="70"/>
      <c r="UX4" s="12"/>
      <c r="UY4" s="12"/>
      <c r="UZ4" s="12"/>
      <c r="VA4" s="12"/>
      <c r="VB4" s="12"/>
      <c r="VC4" s="21"/>
      <c r="VD4" s="21"/>
      <c r="VE4" s="21"/>
      <c r="VF4" s="11"/>
      <c r="VG4" s="11"/>
      <c r="VH4" s="6"/>
      <c r="VI4" s="6"/>
      <c r="VJ4" s="6"/>
      <c r="VK4" s="276"/>
      <c r="VL4" s="277"/>
      <c r="VM4" s="277"/>
      <c r="VN4" s="273"/>
      <c r="VO4" s="273"/>
      <c r="VP4" s="273"/>
      <c r="VQ4" s="273"/>
      <c r="VR4" s="273"/>
      <c r="VS4" s="273"/>
      <c r="VT4" s="273"/>
      <c r="VU4" s="273"/>
      <c r="VV4" s="273"/>
      <c r="VW4" s="7"/>
      <c r="VX4" s="279"/>
      <c r="VY4" s="279"/>
      <c r="VZ4" s="279"/>
      <c r="WA4" s="279"/>
      <c r="WB4" s="279"/>
      <c r="WC4" s="279"/>
      <c r="WD4" s="279"/>
      <c r="WE4" s="279"/>
      <c r="WF4" s="7"/>
      <c r="WG4" s="7"/>
      <c r="WH4" s="7"/>
      <c r="WI4" s="7"/>
      <c r="WJ4" s="67"/>
      <c r="WK4" s="67"/>
      <c r="WL4" s="7"/>
      <c r="WM4" s="7"/>
      <c r="WN4" s="7"/>
      <c r="WO4" s="7"/>
      <c r="WP4" s="7"/>
      <c r="WQ4" s="7"/>
      <c r="WR4" s="7"/>
      <c r="WS4" s="7"/>
      <c r="WT4" s="7"/>
      <c r="WU4" s="67"/>
      <c r="WV4" s="67"/>
      <c r="WW4" s="21"/>
      <c r="WX4" s="7"/>
      <c r="WY4" s="69"/>
      <c r="WZ4" s="68"/>
      <c r="XA4" s="166"/>
      <c r="XB4" s="166"/>
      <c r="XC4" s="276"/>
      <c r="XD4" s="70"/>
      <c r="XE4" s="70"/>
      <c r="XF4" s="70"/>
      <c r="XG4" s="70"/>
      <c r="XH4" s="70"/>
      <c r="XI4" s="70"/>
      <c r="XJ4" s="70"/>
      <c r="XK4" s="47"/>
      <c r="XL4" s="70"/>
      <c r="XM4" s="47"/>
      <c r="XN4" s="147"/>
      <c r="XO4" s="70"/>
      <c r="XP4" s="70"/>
      <c r="XQ4" s="70"/>
      <c r="XR4" s="70"/>
      <c r="XS4" s="70"/>
      <c r="XT4" s="70"/>
      <c r="XU4" s="70"/>
      <c r="XV4" s="70"/>
      <c r="XW4" s="70"/>
      <c r="XX4" s="70"/>
      <c r="XY4" s="70"/>
      <c r="XZ4" s="70"/>
      <c r="YA4" s="70"/>
      <c r="YB4" s="70"/>
      <c r="YC4" s="70"/>
      <c r="YD4" s="12"/>
      <c r="YE4" s="12"/>
      <c r="YF4" s="12"/>
      <c r="YG4" s="12"/>
      <c r="YH4" s="12"/>
      <c r="YI4" s="98"/>
      <c r="YJ4" s="12"/>
      <c r="YK4" s="12"/>
      <c r="YL4" s="12"/>
      <c r="YM4" s="12"/>
      <c r="YN4" s="12"/>
      <c r="YO4" s="12"/>
      <c r="YP4" s="12"/>
      <c r="YQ4" s="12"/>
      <c r="YR4" s="12"/>
      <c r="YS4" s="70"/>
      <c r="YT4" s="70"/>
      <c r="YU4" s="70"/>
      <c r="YV4" s="70"/>
      <c r="YW4" s="70"/>
      <c r="YX4" s="70"/>
      <c r="YY4" s="70"/>
      <c r="YZ4" s="70"/>
      <c r="ZA4" s="120"/>
      <c r="ZB4" s="120"/>
      <c r="ZC4" s="8"/>
      <c r="ZD4" s="8"/>
      <c r="ZE4" s="6"/>
      <c r="ZF4" s="6"/>
      <c r="ZG4" s="6"/>
      <c r="ZH4" s="6"/>
      <c r="ZI4" s="6"/>
      <c r="ZJ4" s="6"/>
      <c r="ZK4" s="6"/>
      <c r="ZL4" s="6"/>
      <c r="ZM4" s="6"/>
      <c r="ZN4" s="6"/>
      <c r="ZO4" s="6"/>
      <c r="ZP4" s="6"/>
      <c r="ZQ4" s="6"/>
      <c r="ZR4" s="6"/>
      <c r="ZS4" s="6"/>
      <c r="ZT4" s="6"/>
      <c r="ZU4" s="6"/>
      <c r="ZV4" s="6"/>
      <c r="ZW4" s="6"/>
      <c r="ZX4" s="6"/>
      <c r="ZY4" s="6"/>
      <c r="ZZ4" s="11"/>
      <c r="AAA4" s="6"/>
      <c r="AAB4" s="6"/>
      <c r="AAC4" s="6"/>
      <c r="AAD4" s="6"/>
    </row>
    <row r="5" spans="1:706" s="41" customFormat="1" x14ac:dyDescent="0.2">
      <c r="A5" s="361"/>
      <c r="B5" s="373"/>
      <c r="C5" s="373"/>
      <c r="D5" s="373"/>
      <c r="E5" s="373"/>
      <c r="F5" s="373"/>
      <c r="G5" s="373"/>
      <c r="H5" s="373"/>
      <c r="I5" s="373"/>
      <c r="J5" s="374"/>
      <c r="K5" s="374"/>
      <c r="L5" s="374"/>
      <c r="M5" s="374"/>
      <c r="N5" s="374"/>
      <c r="O5" s="374"/>
      <c r="P5" s="374"/>
      <c r="Q5" s="374"/>
      <c r="R5" s="374"/>
      <c r="S5" s="374"/>
      <c r="T5" s="374"/>
      <c r="U5" s="374"/>
      <c r="V5" s="361"/>
      <c r="W5" s="361"/>
      <c r="X5" s="361"/>
      <c r="Y5" s="361"/>
      <c r="Z5" s="375"/>
      <c r="AA5" s="375"/>
      <c r="AB5" s="375"/>
      <c r="AC5" s="375"/>
      <c r="AD5" s="375"/>
      <c r="AE5" s="375"/>
      <c r="AF5" s="375"/>
      <c r="AG5" s="375"/>
      <c r="AH5" s="375"/>
      <c r="AI5" s="375"/>
      <c r="AJ5" s="375"/>
      <c r="AK5" s="375"/>
      <c r="AL5" s="375"/>
      <c r="AM5" s="375"/>
      <c r="AN5" s="375"/>
      <c r="AO5" s="375"/>
      <c r="AP5" s="375"/>
      <c r="AQ5" s="375"/>
      <c r="AR5" s="375"/>
      <c r="AS5" s="375"/>
      <c r="AT5" s="375"/>
      <c r="AU5" s="375"/>
      <c r="AV5" s="375"/>
      <c r="AW5" s="375"/>
      <c r="AX5" s="375"/>
      <c r="AY5" s="375"/>
      <c r="AZ5" s="375"/>
      <c r="BA5" s="375"/>
      <c r="BB5" s="375"/>
      <c r="BC5" s="375"/>
      <c r="BD5" s="375"/>
      <c r="BE5" s="375"/>
      <c r="BF5" s="375"/>
      <c r="BG5" s="376"/>
      <c r="BH5" s="376"/>
      <c r="BI5" s="376"/>
      <c r="BJ5" s="113"/>
      <c r="BK5" s="376"/>
      <c r="BL5" s="376"/>
      <c r="BM5" s="376"/>
      <c r="BN5" s="376"/>
      <c r="BO5" s="376"/>
      <c r="BP5" s="376"/>
      <c r="BQ5" s="376"/>
      <c r="BR5" s="376"/>
      <c r="BS5" s="376"/>
      <c r="BT5" s="376"/>
      <c r="BU5" s="376"/>
      <c r="BV5" s="376"/>
      <c r="BW5" s="376"/>
      <c r="BX5" s="376"/>
      <c r="BY5" s="376"/>
      <c r="BZ5" s="376"/>
      <c r="CA5" s="376"/>
      <c r="CB5" s="376"/>
      <c r="CC5" s="376"/>
      <c r="CD5" s="376"/>
      <c r="CE5" s="376"/>
      <c r="CF5" s="376"/>
      <c r="CG5" s="376"/>
      <c r="CH5" s="376"/>
      <c r="CI5" s="376"/>
      <c r="CJ5" s="376"/>
      <c r="CK5" s="376"/>
      <c r="CL5" s="376"/>
      <c r="CM5" s="361"/>
      <c r="CN5" s="361"/>
      <c r="CO5" s="361"/>
      <c r="CP5" s="373"/>
      <c r="CQ5" s="376"/>
      <c r="CR5" s="376"/>
      <c r="CS5" s="376"/>
      <c r="CT5" s="376"/>
      <c r="CU5" s="376"/>
      <c r="CV5" s="376"/>
      <c r="CW5" s="376"/>
      <c r="CX5" s="361"/>
      <c r="CY5" s="375"/>
      <c r="CZ5" s="375"/>
      <c r="DA5" s="375"/>
      <c r="DB5" s="375"/>
      <c r="DC5" s="376"/>
      <c r="DD5" s="376"/>
      <c r="DE5" s="376"/>
      <c r="DF5" s="376"/>
      <c r="DG5" s="376"/>
      <c r="DH5" s="376"/>
      <c r="DI5" s="366"/>
      <c r="DJ5" s="366"/>
      <c r="DK5" s="366"/>
      <c r="DL5" s="366"/>
      <c r="DM5" s="366"/>
      <c r="DN5" s="376"/>
      <c r="DO5" s="377"/>
      <c r="DP5" s="375"/>
      <c r="DQ5" s="366"/>
      <c r="DR5" s="366"/>
      <c r="DS5" s="366"/>
      <c r="DT5" s="366"/>
      <c r="DU5" s="366"/>
      <c r="DV5" s="366"/>
      <c r="DW5" s="375"/>
      <c r="DX5" s="366"/>
      <c r="DY5" s="366"/>
      <c r="DZ5" s="366"/>
      <c r="EA5" s="375"/>
      <c r="EB5" s="375"/>
      <c r="EC5" s="375"/>
      <c r="ED5" s="375"/>
      <c r="EE5" s="377"/>
      <c r="EF5" s="113"/>
      <c r="EG5" s="113"/>
      <c r="EH5" s="377"/>
      <c r="EI5" s="113"/>
      <c r="EJ5" s="377"/>
      <c r="EK5" s="377"/>
      <c r="EL5" s="377"/>
      <c r="EM5" s="113"/>
      <c r="EN5" s="378"/>
      <c r="EO5" s="113"/>
      <c r="EP5" s="113"/>
      <c r="EQ5" s="113"/>
      <c r="ER5" s="376"/>
      <c r="ES5" s="113"/>
      <c r="ET5" s="361"/>
      <c r="EU5" s="361"/>
      <c r="EV5" s="366"/>
      <c r="EW5" s="378"/>
      <c r="EX5" s="366"/>
      <c r="EY5" s="366"/>
      <c r="EZ5" s="113"/>
      <c r="FA5" s="113"/>
      <c r="FB5" s="113"/>
      <c r="FC5" s="113"/>
      <c r="FD5" s="113"/>
      <c r="FE5" s="113"/>
      <c r="FF5" s="361"/>
      <c r="FG5" s="361"/>
      <c r="FH5" s="361"/>
      <c r="FI5" s="379"/>
      <c r="FJ5" s="361"/>
      <c r="FK5" s="361"/>
      <c r="FL5" s="361"/>
      <c r="FM5" s="361"/>
      <c r="FN5" s="361"/>
      <c r="FO5" s="361"/>
      <c r="FP5" s="361"/>
      <c r="FQ5" s="361"/>
      <c r="FR5" s="361"/>
      <c r="FS5" s="361"/>
      <c r="FT5" s="361"/>
      <c r="FU5" s="361"/>
      <c r="FV5" s="361"/>
      <c r="FW5" s="361"/>
      <c r="FX5" s="361"/>
      <c r="FY5" s="361"/>
      <c r="FZ5" s="361"/>
      <c r="GA5" s="361"/>
      <c r="GB5" s="361"/>
      <c r="GC5" s="361"/>
      <c r="GD5" s="256" t="s">
        <v>630</v>
      </c>
      <c r="GE5" s="256" t="s">
        <v>630</v>
      </c>
      <c r="GF5" s="256" t="s">
        <v>630</v>
      </c>
      <c r="GG5" s="256" t="s">
        <v>630</v>
      </c>
      <c r="GH5" s="257" t="s">
        <v>631</v>
      </c>
      <c r="GI5" s="257" t="s">
        <v>631</v>
      </c>
      <c r="GJ5" s="257" t="s">
        <v>631</v>
      </c>
      <c r="GK5" s="257" t="s">
        <v>631</v>
      </c>
      <c r="GL5" s="257" t="s">
        <v>631</v>
      </c>
      <c r="GM5" s="425" t="s">
        <v>1098</v>
      </c>
      <c r="GN5" s="425" t="s">
        <v>1098</v>
      </c>
      <c r="GO5" s="267" t="s">
        <v>632</v>
      </c>
      <c r="GP5" s="267" t="s">
        <v>632</v>
      </c>
      <c r="GQ5" s="267" t="s">
        <v>632</v>
      </c>
      <c r="GR5" s="426" t="s">
        <v>1269</v>
      </c>
      <c r="GS5" s="426" t="s">
        <v>1269</v>
      </c>
      <c r="GT5" s="366"/>
      <c r="GU5" s="366"/>
      <c r="GV5" s="366"/>
      <c r="GW5" s="366"/>
      <c r="GX5" s="366"/>
      <c r="GY5" s="427" t="s">
        <v>990</v>
      </c>
      <c r="GZ5" s="427" t="s">
        <v>990</v>
      </c>
      <c r="HA5" s="427" t="s">
        <v>990</v>
      </c>
      <c r="HB5" s="427" t="s">
        <v>990</v>
      </c>
      <c r="HC5" s="427" t="s">
        <v>990</v>
      </c>
      <c r="HD5" s="427" t="s">
        <v>990</v>
      </c>
      <c r="HE5" s="427" t="s">
        <v>990</v>
      </c>
      <c r="HF5" s="427" t="s">
        <v>990</v>
      </c>
      <c r="HG5" s="256" t="s">
        <v>630</v>
      </c>
      <c r="HH5" s="256" t="s">
        <v>630</v>
      </c>
      <c r="HI5" s="256" t="s">
        <v>630</v>
      </c>
      <c r="HJ5" s="257" t="s">
        <v>631</v>
      </c>
      <c r="HK5" s="425" t="s">
        <v>1098</v>
      </c>
      <c r="HL5" s="425" t="s">
        <v>1098</v>
      </c>
      <c r="HM5" s="267" t="s">
        <v>632</v>
      </c>
      <c r="HN5" s="426" t="s">
        <v>1269</v>
      </c>
      <c r="HO5" s="426" t="s">
        <v>1269</v>
      </c>
      <c r="HP5" s="366"/>
      <c r="HQ5" s="12"/>
      <c r="HR5" s="12"/>
      <c r="HS5" s="366"/>
      <c r="HT5" s="366"/>
      <c r="HU5" s="428" t="s">
        <v>1270</v>
      </c>
      <c r="HV5" s="428" t="s">
        <v>1270</v>
      </c>
      <c r="HW5" s="428" t="s">
        <v>1270</v>
      </c>
      <c r="HX5" s="428" t="s">
        <v>1270</v>
      </c>
      <c r="HY5" s="429" t="s">
        <v>1271</v>
      </c>
      <c r="HZ5" s="261" t="s">
        <v>633</v>
      </c>
      <c r="IA5" s="261" t="s">
        <v>633</v>
      </c>
      <c r="IB5" s="430" t="s">
        <v>772</v>
      </c>
      <c r="IC5" s="430" t="s">
        <v>772</v>
      </c>
      <c r="ID5" s="259" t="s">
        <v>772</v>
      </c>
      <c r="IE5" s="259" t="s">
        <v>772</v>
      </c>
      <c r="IF5" s="259" t="s">
        <v>772</v>
      </c>
      <c r="IG5" s="259" t="s">
        <v>772</v>
      </c>
      <c r="IH5" s="259" t="s">
        <v>772</v>
      </c>
      <c r="II5" s="259" t="s">
        <v>772</v>
      </c>
      <c r="IJ5" s="259" t="s">
        <v>772</v>
      </c>
      <c r="IK5" s="113"/>
      <c r="IL5" s="260" t="s">
        <v>896</v>
      </c>
      <c r="IM5" s="260" t="s">
        <v>896</v>
      </c>
      <c r="IN5" s="260" t="s">
        <v>896</v>
      </c>
      <c r="IO5" s="260" t="s">
        <v>896</v>
      </c>
      <c r="IP5" s="289" t="s">
        <v>896</v>
      </c>
      <c r="IQ5" s="260" t="s">
        <v>896</v>
      </c>
      <c r="IR5" s="260" t="s">
        <v>896</v>
      </c>
      <c r="IS5" s="260" t="s">
        <v>896</v>
      </c>
      <c r="IT5" s="260" t="s">
        <v>896</v>
      </c>
      <c r="IU5" s="260" t="s">
        <v>896</v>
      </c>
      <c r="IV5" s="375"/>
      <c r="IW5" s="375"/>
      <c r="IX5" s="366"/>
      <c r="IY5" s="375"/>
      <c r="IZ5" s="375"/>
      <c r="JA5" s="375"/>
      <c r="JB5" s="366"/>
      <c r="JC5" s="366"/>
      <c r="JD5" s="375"/>
      <c r="JE5" s="375"/>
      <c r="JF5" s="375"/>
      <c r="JG5" s="366"/>
      <c r="JH5" s="431" t="s">
        <v>171</v>
      </c>
      <c r="JI5" s="366"/>
      <c r="JJ5" s="366"/>
      <c r="JK5" s="366"/>
      <c r="JL5" s="366"/>
      <c r="JM5" s="366"/>
      <c r="JN5" s="366"/>
      <c r="JO5" s="259" t="s">
        <v>772</v>
      </c>
      <c r="JP5" s="259" t="s">
        <v>772</v>
      </c>
      <c r="JQ5" s="566" t="s">
        <v>1838</v>
      </c>
      <c r="JR5" s="566" t="s">
        <v>1838</v>
      </c>
      <c r="JS5" s="567" t="s">
        <v>1839</v>
      </c>
      <c r="JT5" s="431" t="s">
        <v>171</v>
      </c>
      <c r="JU5" s="365" t="s">
        <v>895</v>
      </c>
      <c r="JV5" s="365" t="s">
        <v>895</v>
      </c>
      <c r="JW5" s="365" t="s">
        <v>895</v>
      </c>
      <c r="JX5" s="365" t="s">
        <v>895</v>
      </c>
      <c r="JY5" s="432"/>
      <c r="JZ5" s="366"/>
      <c r="KA5" s="366"/>
      <c r="KB5" s="366"/>
      <c r="KC5" s="366"/>
      <c r="KD5" s="366"/>
      <c r="KE5" s="366"/>
      <c r="KF5" s="366"/>
      <c r="KG5" s="366"/>
      <c r="KH5" s="366"/>
      <c r="KI5" s="366"/>
      <c r="KJ5" s="366"/>
      <c r="KK5" s="366"/>
      <c r="KL5" s="366"/>
      <c r="KM5" s="366"/>
      <c r="KN5" s="366"/>
      <c r="KO5" s="366"/>
      <c r="KP5" s="366"/>
      <c r="KQ5" s="256" t="s">
        <v>630</v>
      </c>
      <c r="KR5" s="256" t="s">
        <v>630</v>
      </c>
      <c r="KS5" s="425" t="s">
        <v>1098</v>
      </c>
      <c r="KT5" s="426" t="s">
        <v>1269</v>
      </c>
      <c r="KU5" s="360" t="s">
        <v>770</v>
      </c>
      <c r="KV5" s="360" t="s">
        <v>770</v>
      </c>
      <c r="KW5" s="360" t="s">
        <v>770</v>
      </c>
      <c r="KX5" s="360" t="s">
        <v>770</v>
      </c>
      <c r="KY5" s="428" t="s">
        <v>1270</v>
      </c>
      <c r="KZ5" s="428" t="s">
        <v>1270</v>
      </c>
      <c r="LA5" s="428" t="s">
        <v>1270</v>
      </c>
      <c r="LB5" s="429" t="s">
        <v>1271</v>
      </c>
      <c r="LC5" s="433"/>
      <c r="LD5" s="429" t="s">
        <v>1272</v>
      </c>
      <c r="LE5" s="261" t="s">
        <v>633</v>
      </c>
      <c r="LF5" s="261" t="s">
        <v>633</v>
      </c>
      <c r="LG5" s="259" t="s">
        <v>772</v>
      </c>
      <c r="LH5" s="259" t="s">
        <v>772</v>
      </c>
      <c r="LI5" s="259" t="s">
        <v>772</v>
      </c>
      <c r="LJ5" s="259" t="s">
        <v>772</v>
      </c>
      <c r="LK5" s="260" t="s">
        <v>1273</v>
      </c>
      <c r="LL5" s="260" t="s">
        <v>1273</v>
      </c>
      <c r="LM5" s="260" t="s">
        <v>1273</v>
      </c>
      <c r="LN5" s="260" t="s">
        <v>1273</v>
      </c>
      <c r="LO5" s="365" t="s">
        <v>895</v>
      </c>
      <c r="LP5" s="365" t="s">
        <v>895</v>
      </c>
      <c r="LQ5" s="365" t="s">
        <v>895</v>
      </c>
      <c r="LR5" s="273"/>
      <c r="LS5" s="273"/>
      <c r="LT5" s="360" t="s">
        <v>770</v>
      </c>
      <c r="LU5" s="434" t="s">
        <v>490</v>
      </c>
      <c r="LV5" s="434" t="s">
        <v>490</v>
      </c>
      <c r="LW5" s="434" t="s">
        <v>490</v>
      </c>
      <c r="LX5" s="434" t="s">
        <v>490</v>
      </c>
      <c r="LY5" s="434" t="s">
        <v>490</v>
      </c>
      <c r="LZ5" s="261" t="s">
        <v>633</v>
      </c>
      <c r="MA5" s="261" t="s">
        <v>633</v>
      </c>
      <c r="MB5" s="261" t="s">
        <v>633</v>
      </c>
      <c r="MC5" s="566" t="s">
        <v>1838</v>
      </c>
      <c r="MD5" s="566" t="s">
        <v>1838</v>
      </c>
      <c r="ME5" s="566" t="s">
        <v>1838</v>
      </c>
      <c r="MF5" s="259" t="s">
        <v>772</v>
      </c>
      <c r="MG5" s="259" t="s">
        <v>772</v>
      </c>
      <c r="MH5" s="260" t="s">
        <v>896</v>
      </c>
      <c r="MI5" s="260" t="s">
        <v>896</v>
      </c>
      <c r="MJ5" s="260" t="s">
        <v>896</v>
      </c>
      <c r="MK5" s="260"/>
      <c r="ML5" s="260"/>
      <c r="MM5" s="260"/>
      <c r="MN5" s="260" t="s">
        <v>896</v>
      </c>
      <c r="MO5" s="260"/>
      <c r="MP5" s="365" t="s">
        <v>895</v>
      </c>
      <c r="MQ5" s="365" t="s">
        <v>895</v>
      </c>
      <c r="MR5" s="365" t="s">
        <v>895</v>
      </c>
      <c r="MS5" s="365" t="s">
        <v>895</v>
      </c>
      <c r="MT5" s="365" t="s">
        <v>895</v>
      </c>
      <c r="MU5" s="365" t="s">
        <v>895</v>
      </c>
      <c r="MV5" s="365"/>
      <c r="MW5" s="365"/>
      <c r="MX5" s="365"/>
      <c r="MY5" s="365"/>
      <c r="MZ5" s="365"/>
      <c r="NA5" s="365" t="s">
        <v>895</v>
      </c>
      <c r="NB5" s="365"/>
      <c r="NC5" s="388"/>
      <c r="ND5" s="151" t="s">
        <v>344</v>
      </c>
      <c r="NE5" s="151" t="s">
        <v>344</v>
      </c>
      <c r="NF5" s="151" t="s">
        <v>344</v>
      </c>
      <c r="NG5" s="151" t="s">
        <v>344</v>
      </c>
      <c r="NH5" s="151" t="s">
        <v>344</v>
      </c>
      <c r="NI5" s="151" t="s">
        <v>344</v>
      </c>
      <c r="NJ5" s="151" t="s">
        <v>344</v>
      </c>
      <c r="NK5" s="151"/>
      <c r="NL5" s="151"/>
      <c r="NM5" s="151"/>
      <c r="NN5" s="151"/>
      <c r="NO5" s="151"/>
      <c r="NP5" s="151"/>
      <c r="NQ5" s="151" t="s">
        <v>344</v>
      </c>
      <c r="NR5" s="151" t="s">
        <v>344</v>
      </c>
      <c r="NS5" s="151" t="s">
        <v>344</v>
      </c>
      <c r="NT5" s="151"/>
      <c r="NU5" s="388"/>
      <c r="NV5" s="151" t="s">
        <v>344</v>
      </c>
      <c r="NW5" s="151" t="s">
        <v>344</v>
      </c>
      <c r="NX5" s="151" t="s">
        <v>344</v>
      </c>
      <c r="NY5" s="366"/>
      <c r="NZ5" s="366"/>
      <c r="OA5" s="366"/>
      <c r="OB5" s="360" t="s">
        <v>770</v>
      </c>
      <c r="OC5" s="360" t="s">
        <v>770</v>
      </c>
      <c r="OD5" s="360" t="s">
        <v>1152</v>
      </c>
      <c r="OE5" s="261" t="s">
        <v>633</v>
      </c>
      <c r="OF5" s="261" t="s">
        <v>633</v>
      </c>
      <c r="OG5" s="566" t="s">
        <v>1838</v>
      </c>
      <c r="OH5" s="567" t="s">
        <v>1839</v>
      </c>
      <c r="OI5" s="259" t="s">
        <v>772</v>
      </c>
      <c r="OJ5" s="260" t="s">
        <v>896</v>
      </c>
      <c r="OK5" s="365" t="s">
        <v>895</v>
      </c>
      <c r="OL5" s="366"/>
      <c r="OW5" s="361"/>
      <c r="OX5" s="361"/>
      <c r="PE5" s="256" t="s">
        <v>630</v>
      </c>
      <c r="PF5" s="256" t="s">
        <v>630</v>
      </c>
      <c r="PG5" s="256" t="s">
        <v>630</v>
      </c>
      <c r="PH5" s="257" t="s">
        <v>631</v>
      </c>
      <c r="PI5" s="257" t="s">
        <v>631</v>
      </c>
      <c r="PJ5" s="257" t="s">
        <v>631</v>
      </c>
      <c r="PK5" s="257" t="s">
        <v>631</v>
      </c>
      <c r="PL5" s="257" t="s">
        <v>631</v>
      </c>
      <c r="PM5" s="360" t="s">
        <v>770</v>
      </c>
      <c r="PN5" s="267" t="s">
        <v>632</v>
      </c>
      <c r="PO5" s="360" t="s">
        <v>770</v>
      </c>
      <c r="PP5" s="258" t="s">
        <v>635</v>
      </c>
      <c r="PQ5" s="258" t="s">
        <v>635</v>
      </c>
      <c r="PR5" s="258" t="s">
        <v>635</v>
      </c>
      <c r="PS5" s="258" t="s">
        <v>635</v>
      </c>
      <c r="PT5" s="258" t="s">
        <v>635</v>
      </c>
      <c r="PU5" s="258" t="s">
        <v>635</v>
      </c>
      <c r="PV5" s="258" t="s">
        <v>635</v>
      </c>
      <c r="PW5" s="258"/>
      <c r="PX5" s="360" t="s">
        <v>770</v>
      </c>
      <c r="PY5" s="360" t="s">
        <v>770</v>
      </c>
      <c r="PZ5" s="259" t="s">
        <v>772</v>
      </c>
      <c r="QA5" s="260" t="s">
        <v>896</v>
      </c>
      <c r="QB5" s="12"/>
      <c r="QC5" s="259" t="s">
        <v>772</v>
      </c>
      <c r="QD5" s="259" t="s">
        <v>772</v>
      </c>
      <c r="QE5" s="259" t="s">
        <v>772</v>
      </c>
      <c r="QF5" s="260" t="s">
        <v>896</v>
      </c>
      <c r="QG5" s="260" t="s">
        <v>896</v>
      </c>
      <c r="QH5" s="260" t="s">
        <v>896</v>
      </c>
      <c r="QI5" s="12"/>
      <c r="QJ5" s="360" t="s">
        <v>770</v>
      </c>
      <c r="QK5" s="360" t="s">
        <v>770</v>
      </c>
      <c r="QL5" s="113"/>
      <c r="QM5" s="113"/>
      <c r="QN5" s="113"/>
      <c r="QO5" s="429" t="s">
        <v>1274</v>
      </c>
      <c r="QP5" s="429" t="s">
        <v>1274</v>
      </c>
      <c r="QQ5" s="429" t="s">
        <v>1274</v>
      </c>
      <c r="QR5" s="429" t="s">
        <v>1274</v>
      </c>
      <c r="QS5" s="261" t="s">
        <v>633</v>
      </c>
      <c r="QT5" s="259" t="s">
        <v>772</v>
      </c>
      <c r="QU5" s="259" t="s">
        <v>772</v>
      </c>
      <c r="QV5" s="259" t="s">
        <v>772</v>
      </c>
      <c r="QW5" s="260" t="s">
        <v>896</v>
      </c>
      <c r="QX5" s="365" t="s">
        <v>895</v>
      </c>
      <c r="QY5" s="566" t="s">
        <v>1838</v>
      </c>
      <c r="QZ5" s="566" t="s">
        <v>1838</v>
      </c>
      <c r="RA5" s="567" t="s">
        <v>1839</v>
      </c>
      <c r="RB5" s="435"/>
      <c r="RC5" s="435"/>
      <c r="RD5" s="435"/>
      <c r="RE5" s="435"/>
      <c r="RF5" s="435"/>
      <c r="RG5" s="435"/>
      <c r="RH5" s="435"/>
      <c r="RI5" s="435"/>
      <c r="RJ5" s="435"/>
      <c r="RK5" s="435"/>
      <c r="RL5" s="435"/>
      <c r="RM5" s="435"/>
      <c r="RN5" s="435"/>
      <c r="RO5" s="435"/>
      <c r="RP5" s="435"/>
      <c r="RQ5" s="435"/>
      <c r="RR5" s="435"/>
      <c r="RS5" s="360" t="s">
        <v>770</v>
      </c>
      <c r="RT5" s="261" t="s">
        <v>633</v>
      </c>
      <c r="RU5" s="566" t="s">
        <v>1838</v>
      </c>
      <c r="RV5" s="566" t="s">
        <v>1838</v>
      </c>
      <c r="RW5" s="567" t="s">
        <v>1839</v>
      </c>
      <c r="RX5" s="259" t="s">
        <v>772</v>
      </c>
      <c r="RY5" s="259" t="s">
        <v>772</v>
      </c>
      <c r="RZ5" s="260" t="s">
        <v>896</v>
      </c>
      <c r="SA5" s="365" t="s">
        <v>895</v>
      </c>
      <c r="SB5" s="366"/>
      <c r="SC5" s="366"/>
      <c r="SD5" s="366"/>
      <c r="SE5" s="366"/>
      <c r="SF5" s="366"/>
      <c r="SG5" s="366"/>
      <c r="SH5" s="366"/>
      <c r="SI5" s="366"/>
      <c r="SJ5" s="366"/>
      <c r="SK5" s="366"/>
      <c r="SL5" s="366"/>
      <c r="SM5" s="366"/>
      <c r="SN5" s="366"/>
      <c r="SO5" s="366"/>
      <c r="SP5" s="366"/>
      <c r="SQ5" s="366"/>
      <c r="SR5" s="360" t="s">
        <v>770</v>
      </c>
      <c r="SS5" s="261" t="s">
        <v>633</v>
      </c>
      <c r="ST5" s="566" t="s">
        <v>1838</v>
      </c>
      <c r="SU5" s="566" t="s">
        <v>1838</v>
      </c>
      <c r="SV5" s="567" t="s">
        <v>1839</v>
      </c>
      <c r="SW5" s="430" t="s">
        <v>772</v>
      </c>
      <c r="SX5" s="430" t="s">
        <v>772</v>
      </c>
      <c r="SY5" s="260" t="s">
        <v>896</v>
      </c>
      <c r="SZ5" s="365" t="s">
        <v>895</v>
      </c>
      <c r="TA5" s="366"/>
      <c r="TB5" s="366"/>
      <c r="TC5" s="366"/>
      <c r="TD5" s="366"/>
      <c r="TE5" s="366"/>
      <c r="TF5" s="366"/>
      <c r="TG5" s="366"/>
      <c r="TH5" s="366"/>
      <c r="TI5" s="366"/>
      <c r="TJ5" s="366"/>
      <c r="TK5" s="436"/>
      <c r="TL5" s="436"/>
      <c r="TM5" s="436"/>
      <c r="TN5" s="436"/>
      <c r="TO5" s="436"/>
      <c r="TP5" s="436"/>
      <c r="TQ5" s="366"/>
      <c r="TR5" s="366"/>
      <c r="TS5" s="366"/>
      <c r="TT5" s="366"/>
      <c r="TU5" s="366"/>
      <c r="TV5" s="366"/>
      <c r="TW5" s="360" t="s">
        <v>770</v>
      </c>
      <c r="TX5" s="261" t="s">
        <v>633</v>
      </c>
      <c r="TY5" s="566" t="s">
        <v>1838</v>
      </c>
      <c r="TZ5" s="566" t="s">
        <v>1838</v>
      </c>
      <c r="UA5" s="567" t="s">
        <v>1839</v>
      </c>
      <c r="UB5" s="259" t="s">
        <v>772</v>
      </c>
      <c r="UC5" s="259" t="s">
        <v>772</v>
      </c>
      <c r="UD5" s="260" t="s">
        <v>896</v>
      </c>
      <c r="UE5" s="365" t="s">
        <v>895</v>
      </c>
      <c r="UF5" s="365"/>
      <c r="UG5" s="366"/>
      <c r="UH5" s="366"/>
      <c r="UI5" s="360" t="s">
        <v>770</v>
      </c>
      <c r="UJ5" s="360" t="s">
        <v>770</v>
      </c>
      <c r="UK5" s="360" t="s">
        <v>770</v>
      </c>
      <c r="UL5" s="437" t="s">
        <v>1114</v>
      </c>
      <c r="UM5" s="437" t="s">
        <v>1114</v>
      </c>
      <c r="UN5" s="438" t="s">
        <v>1114</v>
      </c>
      <c r="UO5" s="366"/>
      <c r="UP5" s="261" t="s">
        <v>633</v>
      </c>
      <c r="UQ5" s="261" t="s">
        <v>633</v>
      </c>
      <c r="UR5" s="261" t="s">
        <v>633</v>
      </c>
      <c r="US5" s="566" t="s">
        <v>1838</v>
      </c>
      <c r="UT5" s="566" t="s">
        <v>1838</v>
      </c>
      <c r="UU5" s="567" t="s">
        <v>1839</v>
      </c>
      <c r="UV5" s="366"/>
      <c r="UW5" s="440"/>
      <c r="UX5" s="259" t="s">
        <v>772</v>
      </c>
      <c r="UY5" s="259" t="s">
        <v>772</v>
      </c>
      <c r="UZ5" s="260" t="s">
        <v>896</v>
      </c>
      <c r="VA5" s="365" t="s">
        <v>895</v>
      </c>
      <c r="VB5" s="366"/>
      <c r="VC5" s="366"/>
      <c r="VD5" s="366"/>
      <c r="VE5" s="366"/>
      <c r="VF5" s="366"/>
      <c r="VG5" s="366"/>
      <c r="VH5" s="361"/>
      <c r="VI5" s="361"/>
      <c r="VJ5" s="361"/>
      <c r="VK5" s="366"/>
      <c r="VL5" s="366"/>
      <c r="VM5" s="366"/>
      <c r="VN5" s="360" t="s">
        <v>770</v>
      </c>
      <c r="VO5" s="360" t="s">
        <v>770</v>
      </c>
      <c r="VP5" s="360" t="s">
        <v>770</v>
      </c>
      <c r="VQ5" s="261" t="s">
        <v>633</v>
      </c>
      <c r="VR5" s="261" t="s">
        <v>633</v>
      </c>
      <c r="VS5" s="261" t="s">
        <v>633</v>
      </c>
      <c r="VT5" s="566" t="s">
        <v>1838</v>
      </c>
      <c r="VU5" s="566" t="s">
        <v>1838</v>
      </c>
      <c r="VV5" s="567" t="s">
        <v>1839</v>
      </c>
      <c r="VW5" s="385"/>
      <c r="VX5" s="360" t="s">
        <v>770</v>
      </c>
      <c r="VY5" s="261" t="s">
        <v>633</v>
      </c>
      <c r="VZ5" s="261" t="s">
        <v>633</v>
      </c>
      <c r="WA5" s="261" t="s">
        <v>633</v>
      </c>
      <c r="WB5" s="566" t="s">
        <v>1838</v>
      </c>
      <c r="WC5" s="566" t="s">
        <v>1838</v>
      </c>
      <c r="WD5" s="566" t="s">
        <v>1838</v>
      </c>
      <c r="WE5" s="259" t="s">
        <v>772</v>
      </c>
      <c r="WF5" s="260" t="s">
        <v>896</v>
      </c>
      <c r="WG5" s="260" t="s">
        <v>896</v>
      </c>
      <c r="WH5" s="260"/>
      <c r="WI5" s="260"/>
      <c r="WJ5" s="260" t="s">
        <v>896</v>
      </c>
      <c r="WK5" s="260"/>
      <c r="WL5" s="365" t="s">
        <v>895</v>
      </c>
      <c r="WM5" s="365" t="s">
        <v>895</v>
      </c>
      <c r="WN5" s="365" t="s">
        <v>895</v>
      </c>
      <c r="WO5" s="365" t="s">
        <v>895</v>
      </c>
      <c r="WP5" s="365" t="s">
        <v>895</v>
      </c>
      <c r="WQ5" s="365" t="s">
        <v>895</v>
      </c>
      <c r="WR5" s="365"/>
      <c r="WS5" s="365"/>
      <c r="WT5" s="365"/>
      <c r="WU5" s="365" t="s">
        <v>895</v>
      </c>
      <c r="WV5" s="365"/>
      <c r="WW5" s="378"/>
      <c r="WX5" s="361"/>
      <c r="WY5" s="378"/>
      <c r="WZ5" s="378"/>
      <c r="XA5" s="378"/>
      <c r="XB5" s="378"/>
      <c r="XC5" s="386"/>
      <c r="XD5" s="366"/>
      <c r="XE5" s="387"/>
      <c r="XF5" s="366"/>
      <c r="XG5" s="366"/>
      <c r="XH5" s="366"/>
      <c r="XI5" s="366"/>
      <c r="XJ5" s="366"/>
      <c r="XK5" s="439"/>
      <c r="XL5" s="366"/>
      <c r="XM5" s="366"/>
      <c r="XN5" s="366"/>
      <c r="XO5" s="366"/>
      <c r="XP5" s="366"/>
      <c r="XQ5" s="366"/>
      <c r="XR5" s="366"/>
      <c r="XS5" s="366"/>
      <c r="XT5" s="366"/>
      <c r="XU5" s="366"/>
      <c r="XV5" s="366"/>
      <c r="XW5" s="366"/>
      <c r="XX5" s="440"/>
      <c r="XY5" s="440"/>
      <c r="XZ5" s="366"/>
      <c r="YA5" s="366"/>
      <c r="YB5" s="366"/>
      <c r="YC5" s="366"/>
      <c r="YD5" s="366"/>
      <c r="YE5" s="366"/>
      <c r="YF5" s="366"/>
      <c r="YG5" s="366"/>
      <c r="YH5" s="366"/>
      <c r="YI5" s="388"/>
      <c r="YJ5" s="366"/>
      <c r="YK5" s="366"/>
      <c r="YL5" s="366"/>
      <c r="YM5" s="366"/>
      <c r="YN5" s="366"/>
      <c r="YO5" s="366"/>
      <c r="YP5" s="366"/>
      <c r="YQ5" s="366"/>
      <c r="YR5" s="366"/>
      <c r="YS5" s="366"/>
      <c r="YT5" s="366"/>
      <c r="YU5" s="366"/>
      <c r="YV5" s="366"/>
      <c r="YW5" s="366"/>
      <c r="YX5" s="366"/>
      <c r="YY5" s="366"/>
      <c r="YZ5" s="366"/>
      <c r="ZA5" s="361"/>
      <c r="ZB5" s="361"/>
      <c r="ZC5" s="366"/>
      <c r="ZD5" s="366"/>
      <c r="ZE5" s="6"/>
      <c r="ZF5" s="6"/>
      <c r="ZG5" s="6"/>
      <c r="ZH5" s="6"/>
      <c r="ZI5" s="6"/>
      <c r="ZJ5" s="318" t="s">
        <v>1066</v>
      </c>
      <c r="ZK5" s="316" t="s">
        <v>1062</v>
      </c>
      <c r="ZL5" s="247" t="s">
        <v>1065</v>
      </c>
      <c r="ZM5" s="317" t="s">
        <v>1064</v>
      </c>
      <c r="ZN5" s="317" t="s">
        <v>1064</v>
      </c>
      <c r="ZO5" s="317" t="s">
        <v>1064</v>
      </c>
      <c r="ZP5" s="317" t="s">
        <v>1064</v>
      </c>
      <c r="ZQ5" s="317" t="s">
        <v>1064</v>
      </c>
      <c r="ZR5" s="317" t="s">
        <v>1064</v>
      </c>
      <c r="ZS5" s="317" t="s">
        <v>1064</v>
      </c>
      <c r="ZT5" s="317" t="s">
        <v>1064</v>
      </c>
      <c r="ZU5" s="6"/>
      <c r="ZV5" s="6"/>
      <c r="ZW5" s="6"/>
      <c r="ZX5" s="6"/>
      <c r="ZY5" s="6"/>
      <c r="ZZ5" s="11"/>
      <c r="AAA5" s="6"/>
      <c r="AAB5" s="6"/>
      <c r="AAC5" s="6"/>
      <c r="AAD5" s="6"/>
    </row>
    <row r="6" spans="1:706" s="41" customFormat="1" x14ac:dyDescent="0.2">
      <c r="A6" s="374"/>
      <c r="B6" s="361"/>
      <c r="C6" s="361"/>
      <c r="D6" s="361"/>
      <c r="E6" s="361"/>
      <c r="F6" s="361"/>
      <c r="G6" s="361"/>
      <c r="H6" s="361"/>
      <c r="I6" s="361"/>
      <c r="J6" s="361"/>
      <c r="K6" s="361"/>
      <c r="L6" s="361"/>
      <c r="M6" s="361"/>
      <c r="N6" s="361"/>
      <c r="O6" s="361"/>
      <c r="P6" s="361"/>
      <c r="Q6" s="361"/>
      <c r="R6" s="361"/>
      <c r="S6" s="361"/>
      <c r="T6" s="361"/>
      <c r="U6" s="361"/>
      <c r="V6" s="361"/>
      <c r="W6" s="361"/>
      <c r="X6" s="361"/>
      <c r="Y6" s="361"/>
      <c r="Z6" s="361"/>
      <c r="AA6" s="361"/>
      <c r="AB6" s="361"/>
      <c r="AC6" s="127" t="s">
        <v>613</v>
      </c>
      <c r="AD6" s="127" t="s">
        <v>613</v>
      </c>
      <c r="AE6" s="127" t="s">
        <v>613</v>
      </c>
      <c r="AF6" s="127" t="s">
        <v>613</v>
      </c>
      <c r="AG6" s="127" t="s">
        <v>613</v>
      </c>
      <c r="AH6" s="127" t="s">
        <v>613</v>
      </c>
      <c r="AI6" s="127" t="s">
        <v>613</v>
      </c>
      <c r="AJ6" s="127" t="s">
        <v>613</v>
      </c>
      <c r="AK6" s="127" t="s">
        <v>613</v>
      </c>
      <c r="AL6" s="127" t="s">
        <v>613</v>
      </c>
      <c r="AM6" s="127" t="s">
        <v>613</v>
      </c>
      <c r="AN6" s="127" t="s">
        <v>613</v>
      </c>
      <c r="AO6" s="127" t="s">
        <v>613</v>
      </c>
      <c r="AP6" s="127" t="s">
        <v>613</v>
      </c>
      <c r="AQ6" s="127" t="s">
        <v>613</v>
      </c>
      <c r="AR6" s="127" t="s">
        <v>613</v>
      </c>
      <c r="AS6" s="127" t="s">
        <v>613</v>
      </c>
      <c r="AT6" s="127" t="s">
        <v>613</v>
      </c>
      <c r="AU6" s="127" t="s">
        <v>613</v>
      </c>
      <c r="AV6" s="127" t="s">
        <v>613</v>
      </c>
      <c r="AW6" s="127" t="s">
        <v>613</v>
      </c>
      <c r="AX6" s="127" t="s">
        <v>613</v>
      </c>
      <c r="AY6" s="127" t="s">
        <v>613</v>
      </c>
      <c r="AZ6" s="127" t="s">
        <v>613</v>
      </c>
      <c r="BA6" s="127" t="s">
        <v>613</v>
      </c>
      <c r="BB6" s="127" t="s">
        <v>613</v>
      </c>
      <c r="BC6" s="361"/>
      <c r="BD6" s="361"/>
      <c r="BE6" s="361"/>
      <c r="BF6" s="361"/>
      <c r="BG6" s="361"/>
      <c r="BH6" s="361"/>
      <c r="BI6" s="361"/>
      <c r="BJ6" s="113"/>
      <c r="BK6" s="361"/>
      <c r="BL6" s="361"/>
      <c r="BM6" s="361"/>
      <c r="BN6" s="361"/>
      <c r="BO6" s="361"/>
      <c r="BP6" s="361"/>
      <c r="BQ6" s="361"/>
      <c r="BR6" s="361"/>
      <c r="BS6" s="361"/>
      <c r="BT6" s="361"/>
      <c r="BU6" s="361" t="s">
        <v>1275</v>
      </c>
      <c r="BV6" s="361"/>
      <c r="BW6" s="361"/>
      <c r="BX6" s="361"/>
      <c r="BY6" s="361"/>
      <c r="BZ6" s="361"/>
      <c r="CA6" s="361"/>
      <c r="CB6" s="361"/>
      <c r="CC6" s="361"/>
      <c r="CD6" s="361"/>
      <c r="CE6" s="361"/>
      <c r="CF6" s="361"/>
      <c r="CG6" s="361"/>
      <c r="CH6" s="361"/>
      <c r="CI6" s="361"/>
      <c r="CJ6" s="361"/>
      <c r="CK6" s="361"/>
      <c r="CL6" s="361"/>
      <c r="CM6" s="361"/>
      <c r="CN6" s="361"/>
      <c r="CO6" s="361"/>
      <c r="CP6" s="361"/>
      <c r="CQ6" s="361"/>
      <c r="CR6" s="361"/>
      <c r="CS6" s="361"/>
      <c r="CT6" s="361"/>
      <c r="CU6" s="361"/>
      <c r="CV6" s="361"/>
      <c r="CW6" s="361"/>
      <c r="CX6" s="361"/>
      <c r="CY6" s="361"/>
      <c r="CZ6" s="361"/>
      <c r="DA6" s="361"/>
      <c r="DB6" s="361"/>
      <c r="DC6" s="361"/>
      <c r="DD6" s="361"/>
      <c r="DE6" s="361"/>
      <c r="DF6" s="361"/>
      <c r="DG6" s="361"/>
      <c r="DH6" s="361"/>
      <c r="DN6" s="361"/>
      <c r="DO6" s="361"/>
      <c r="DP6" s="361"/>
      <c r="DQ6" s="361"/>
      <c r="DR6" s="361"/>
      <c r="DS6" s="361"/>
      <c r="DT6" s="361"/>
      <c r="DU6" s="113"/>
      <c r="DV6" s="361"/>
      <c r="DW6" s="375"/>
      <c r="DX6" s="258" t="s">
        <v>635</v>
      </c>
      <c r="DY6" s="258" t="s">
        <v>635</v>
      </c>
      <c r="DZ6" s="258" t="s">
        <v>635</v>
      </c>
      <c r="EA6" s="258" t="s">
        <v>635</v>
      </c>
      <c r="EB6" s="258" t="s">
        <v>635</v>
      </c>
      <c r="EC6" s="258" t="s">
        <v>635</v>
      </c>
      <c r="ED6" s="375"/>
      <c r="EE6" s="361"/>
      <c r="EF6" s="361"/>
      <c r="EG6" s="361"/>
      <c r="EH6" s="361"/>
      <c r="EI6" s="361"/>
      <c r="EJ6" s="361"/>
      <c r="EK6" s="361"/>
      <c r="EL6" s="361"/>
      <c r="EM6" s="361"/>
      <c r="EN6" s="361"/>
      <c r="EO6" s="266" t="s">
        <v>267</v>
      </c>
      <c r="EP6" s="266" t="s">
        <v>267</v>
      </c>
      <c r="EQ6" s="266" t="s">
        <v>267</v>
      </c>
      <c r="ER6" s="266" t="s">
        <v>267</v>
      </c>
      <c r="ES6" s="266" t="s">
        <v>267</v>
      </c>
      <c r="ET6" s="252" t="s">
        <v>140</v>
      </c>
      <c r="EU6" s="252" t="s">
        <v>140</v>
      </c>
      <c r="EV6" s="252" t="s">
        <v>140</v>
      </c>
      <c r="EW6" s="253" t="s">
        <v>141</v>
      </c>
      <c r="EX6" s="253" t="s">
        <v>141</v>
      </c>
      <c r="EY6" s="253" t="s">
        <v>141</v>
      </c>
      <c r="EZ6" s="251" t="s">
        <v>490</v>
      </c>
      <c r="FA6" s="251" t="s">
        <v>490</v>
      </c>
      <c r="FB6" s="251" t="s">
        <v>490</v>
      </c>
      <c r="FC6" s="251" t="s">
        <v>490</v>
      </c>
      <c r="FD6" s="251" t="s">
        <v>490</v>
      </c>
      <c r="FE6" s="251" t="s">
        <v>490</v>
      </c>
      <c r="FF6" s="113"/>
      <c r="FG6" s="113"/>
      <c r="FH6" s="254" t="s">
        <v>43</v>
      </c>
      <c r="FI6" s="254" t="s">
        <v>43</v>
      </c>
      <c r="FJ6" s="254" t="s">
        <v>43</v>
      </c>
      <c r="FK6" s="255" t="s">
        <v>491</v>
      </c>
      <c r="FL6" s="255" t="s">
        <v>491</v>
      </c>
      <c r="FM6" s="255" t="s">
        <v>491</v>
      </c>
      <c r="FN6" s="255" t="s">
        <v>491</v>
      </c>
      <c r="FO6" s="255" t="s">
        <v>491</v>
      </c>
      <c r="FP6" s="255"/>
      <c r="FQ6" s="127" t="s">
        <v>613</v>
      </c>
      <c r="FR6" s="127" t="s">
        <v>613</v>
      </c>
      <c r="FS6" s="127" t="s">
        <v>613</v>
      </c>
      <c r="FT6" s="127" t="s">
        <v>613</v>
      </c>
      <c r="FU6" s="127" t="s">
        <v>613</v>
      </c>
      <c r="FV6" s="127" t="s">
        <v>613</v>
      </c>
      <c r="FW6" s="585" t="s">
        <v>1276</v>
      </c>
      <c r="FX6" s="586"/>
      <c r="FY6" s="586"/>
      <c r="FZ6" s="586"/>
      <c r="GA6" s="586"/>
      <c r="GB6" s="586"/>
      <c r="GC6" s="587"/>
      <c r="GD6" s="441" t="s">
        <v>1277</v>
      </c>
      <c r="GE6" s="441" t="s">
        <v>1277</v>
      </c>
      <c r="GF6" s="441" t="s">
        <v>1277</v>
      </c>
      <c r="GG6" s="441" t="s">
        <v>1277</v>
      </c>
      <c r="GH6" s="441" t="s">
        <v>1277</v>
      </c>
      <c r="GI6" s="441" t="s">
        <v>1277</v>
      </c>
      <c r="GJ6" s="441" t="s">
        <v>1277</v>
      </c>
      <c r="GK6" s="441" t="s">
        <v>1277</v>
      </c>
      <c r="GL6" s="441" t="s">
        <v>1277</v>
      </c>
      <c r="GM6" s="441" t="s">
        <v>1277</v>
      </c>
      <c r="GN6" s="441" t="s">
        <v>1277</v>
      </c>
      <c r="GO6" s="441" t="s">
        <v>1277</v>
      </c>
      <c r="GP6" s="441" t="s">
        <v>1277</v>
      </c>
      <c r="GQ6" s="441" t="s">
        <v>1277</v>
      </c>
      <c r="GR6" s="441" t="s">
        <v>1277</v>
      </c>
      <c r="GS6" s="441" t="s">
        <v>1277</v>
      </c>
      <c r="GT6" s="113"/>
      <c r="GU6" s="113"/>
      <c r="GV6" s="258" t="s">
        <v>635</v>
      </c>
      <c r="GW6" s="258" t="s">
        <v>635</v>
      </c>
      <c r="GX6" s="258" t="s">
        <v>635</v>
      </c>
      <c r="GY6" s="258" t="s">
        <v>635</v>
      </c>
      <c r="GZ6" s="258" t="s">
        <v>635</v>
      </c>
      <c r="HA6" s="258" t="s">
        <v>635</v>
      </c>
      <c r="HB6" s="258" t="s">
        <v>635</v>
      </c>
      <c r="HC6" s="258" t="s">
        <v>635</v>
      </c>
      <c r="HD6" s="258" t="s">
        <v>635</v>
      </c>
      <c r="HE6" s="258" t="s">
        <v>635</v>
      </c>
      <c r="HF6" s="258" t="s">
        <v>635</v>
      </c>
      <c r="HG6" s="258" t="s">
        <v>635</v>
      </c>
      <c r="HH6" s="258" t="s">
        <v>635</v>
      </c>
      <c r="HI6" s="258" t="s">
        <v>635</v>
      </c>
      <c r="HJ6" s="258" t="s">
        <v>635</v>
      </c>
      <c r="HK6" s="258" t="s">
        <v>635</v>
      </c>
      <c r="HL6" s="258" t="s">
        <v>635</v>
      </c>
      <c r="HM6" s="258" t="s">
        <v>635</v>
      </c>
      <c r="HN6" s="258" t="s">
        <v>635</v>
      </c>
      <c r="HO6" s="258" t="s">
        <v>635</v>
      </c>
      <c r="HP6" s="360" t="s">
        <v>770</v>
      </c>
      <c r="HQ6" s="12"/>
      <c r="HR6" s="360" t="s">
        <v>770</v>
      </c>
      <c r="HS6" s="360" t="s">
        <v>770</v>
      </c>
      <c r="HT6" s="360" t="s">
        <v>770</v>
      </c>
      <c r="HU6" s="441" t="s">
        <v>1277</v>
      </c>
      <c r="HV6" s="441" t="s">
        <v>1277</v>
      </c>
      <c r="HW6" s="441" t="s">
        <v>1277</v>
      </c>
      <c r="HX6" s="441" t="s">
        <v>1277</v>
      </c>
      <c r="HY6" s="441" t="s">
        <v>1277</v>
      </c>
      <c r="HZ6" s="441" t="s">
        <v>1277</v>
      </c>
      <c r="IA6" s="441" t="s">
        <v>1277</v>
      </c>
      <c r="IB6" s="8"/>
      <c r="IC6" s="441" t="s">
        <v>1277</v>
      </c>
      <c r="ID6" s="441" t="s">
        <v>1277</v>
      </c>
      <c r="IE6" s="441" t="s">
        <v>1277</v>
      </c>
      <c r="IF6" s="441" t="s">
        <v>1277</v>
      </c>
      <c r="IG6" s="441" t="s">
        <v>1277</v>
      </c>
      <c r="IH6" s="441" t="s">
        <v>1277</v>
      </c>
      <c r="II6" s="441" t="s">
        <v>1277</v>
      </c>
      <c r="IJ6" s="441" t="s">
        <v>1277</v>
      </c>
      <c r="IK6" s="113"/>
      <c r="IL6" s="113"/>
      <c r="IM6" s="113"/>
      <c r="IN6" s="113"/>
      <c r="IO6" s="441" t="s">
        <v>1277</v>
      </c>
      <c r="IP6" s="441" t="s">
        <v>1277</v>
      </c>
      <c r="IQ6" s="441" t="s">
        <v>1277</v>
      </c>
      <c r="IR6" s="441" t="s">
        <v>1277</v>
      </c>
      <c r="IS6" s="441" t="s">
        <v>1277</v>
      </c>
      <c r="IT6" s="441" t="s">
        <v>1277</v>
      </c>
      <c r="IU6" s="441" t="s">
        <v>1277</v>
      </c>
      <c r="IV6" s="441" t="s">
        <v>1277</v>
      </c>
      <c r="IW6" s="441" t="s">
        <v>1277</v>
      </c>
      <c r="IX6" s="441" t="s">
        <v>1277</v>
      </c>
      <c r="IY6" s="441" t="s">
        <v>1277</v>
      </c>
      <c r="IZ6" s="441" t="s">
        <v>1277</v>
      </c>
      <c r="JA6" s="441" t="s">
        <v>1277</v>
      </c>
      <c r="JB6" s="441" t="s">
        <v>1277</v>
      </c>
      <c r="JC6" s="441" t="s">
        <v>1277</v>
      </c>
      <c r="JD6" s="441" t="s">
        <v>1277</v>
      </c>
      <c r="JE6" s="441" t="s">
        <v>1277</v>
      </c>
      <c r="JF6" s="441" t="s">
        <v>1277</v>
      </c>
      <c r="JG6" s="441" t="s">
        <v>1277</v>
      </c>
      <c r="JH6" s="441" t="s">
        <v>1277</v>
      </c>
      <c r="JI6" s="441" t="s">
        <v>1277</v>
      </c>
      <c r="JJ6" s="441" t="s">
        <v>1277</v>
      </c>
      <c r="JK6" s="441" t="s">
        <v>1277</v>
      </c>
      <c r="JL6" s="441" t="s">
        <v>1277</v>
      </c>
      <c r="JM6" s="441" t="s">
        <v>1277</v>
      </c>
      <c r="JN6" s="441" t="s">
        <v>1277</v>
      </c>
      <c r="JO6" s="441" t="s">
        <v>1277</v>
      </c>
      <c r="JP6" s="441" t="s">
        <v>1277</v>
      </c>
      <c r="JQ6" s="441" t="s">
        <v>1277</v>
      </c>
      <c r="JR6" s="441" t="s">
        <v>1277</v>
      </c>
      <c r="JS6" s="441" t="s">
        <v>1277</v>
      </c>
      <c r="JT6" s="441" t="s">
        <v>1277</v>
      </c>
      <c r="JU6" s="441" t="s">
        <v>1277</v>
      </c>
      <c r="JV6" s="441" t="s">
        <v>1277</v>
      </c>
      <c r="JW6" s="441" t="s">
        <v>1277</v>
      </c>
      <c r="JX6" s="441" t="s">
        <v>1277</v>
      </c>
      <c r="JY6" s="432"/>
      <c r="JZ6" s="442" t="s">
        <v>1278</v>
      </c>
      <c r="KA6" s="442" t="s">
        <v>1278</v>
      </c>
      <c r="KB6" s="442" t="s">
        <v>1278</v>
      </c>
      <c r="KC6" s="442" t="s">
        <v>1278</v>
      </c>
      <c r="KD6" s="442" t="s">
        <v>1278</v>
      </c>
      <c r="KE6" s="442" t="s">
        <v>1278</v>
      </c>
      <c r="KF6" s="442" t="s">
        <v>1278</v>
      </c>
      <c r="KG6" s="442" t="s">
        <v>1278</v>
      </c>
      <c r="KH6" s="442" t="s">
        <v>1278</v>
      </c>
      <c r="KI6" s="442" t="s">
        <v>1278</v>
      </c>
      <c r="KJ6" s="442" t="s">
        <v>1278</v>
      </c>
      <c r="KK6" s="442" t="s">
        <v>1278</v>
      </c>
      <c r="KL6" s="442" t="s">
        <v>1278</v>
      </c>
      <c r="KM6" s="442" t="s">
        <v>1278</v>
      </c>
      <c r="KN6" s="442" t="s">
        <v>1278</v>
      </c>
      <c r="KO6" s="442" t="s">
        <v>1278</v>
      </c>
      <c r="KP6" s="442" t="s">
        <v>1278</v>
      </c>
      <c r="KQ6" s="442" t="s">
        <v>1278</v>
      </c>
      <c r="KR6" s="442" t="s">
        <v>1278</v>
      </c>
      <c r="KS6" s="442" t="s">
        <v>1278</v>
      </c>
      <c r="KT6" s="442" t="s">
        <v>1278</v>
      </c>
      <c r="KU6" s="442" t="s">
        <v>1278</v>
      </c>
      <c r="KV6" s="442" t="s">
        <v>1278</v>
      </c>
      <c r="KW6" s="442" t="s">
        <v>1278</v>
      </c>
      <c r="KX6" s="442" t="s">
        <v>1278</v>
      </c>
      <c r="KY6" s="442" t="s">
        <v>1278</v>
      </c>
      <c r="KZ6" s="442" t="s">
        <v>1278</v>
      </c>
      <c r="LA6" s="442" t="s">
        <v>1278</v>
      </c>
      <c r="LB6" s="442" t="s">
        <v>1278</v>
      </c>
      <c r="LC6" s="429" t="s">
        <v>1271</v>
      </c>
      <c r="LD6" s="442" t="s">
        <v>1278</v>
      </c>
      <c r="LE6" s="442" t="s">
        <v>1278</v>
      </c>
      <c r="LF6" s="442" t="s">
        <v>1278</v>
      </c>
      <c r="LG6" s="442" t="s">
        <v>1278</v>
      </c>
      <c r="LH6" s="442" t="s">
        <v>1278</v>
      </c>
      <c r="LI6" s="442" t="s">
        <v>1278</v>
      </c>
      <c r="LJ6" s="442" t="s">
        <v>1278</v>
      </c>
      <c r="LK6" s="442" t="s">
        <v>1278</v>
      </c>
      <c r="LL6" s="442" t="s">
        <v>1278</v>
      </c>
      <c r="LM6" s="442" t="s">
        <v>1278</v>
      </c>
      <c r="LN6" s="442" t="s">
        <v>1278</v>
      </c>
      <c r="LO6" s="442" t="s">
        <v>1278</v>
      </c>
      <c r="LP6" s="442" t="s">
        <v>1278</v>
      </c>
      <c r="LQ6" s="442" t="s">
        <v>1278</v>
      </c>
      <c r="LR6" s="273"/>
      <c r="LS6" s="273"/>
      <c r="LT6" s="443" t="s">
        <v>771</v>
      </c>
      <c r="LU6" s="443" t="s">
        <v>771</v>
      </c>
      <c r="LV6" s="443" t="s">
        <v>771</v>
      </c>
      <c r="LW6" s="443" t="s">
        <v>771</v>
      </c>
      <c r="LX6" s="443" t="s">
        <v>771</v>
      </c>
      <c r="LY6" s="443" t="s">
        <v>771</v>
      </c>
      <c r="LZ6" s="443" t="s">
        <v>771</v>
      </c>
      <c r="MA6" s="443" t="s">
        <v>771</v>
      </c>
      <c r="MB6" s="443" t="s">
        <v>771</v>
      </c>
      <c r="MC6" s="443" t="s">
        <v>771</v>
      </c>
      <c r="MD6" s="443" t="s">
        <v>771</v>
      </c>
      <c r="ME6" s="443" t="s">
        <v>771</v>
      </c>
      <c r="MF6" s="443" t="s">
        <v>771</v>
      </c>
      <c r="MG6" s="443" t="s">
        <v>771</v>
      </c>
      <c r="MH6" s="361"/>
      <c r="MI6" s="443" t="s">
        <v>771</v>
      </c>
      <c r="MJ6" s="443" t="s">
        <v>771</v>
      </c>
      <c r="MK6" s="443"/>
      <c r="ML6" s="443"/>
      <c r="MM6" s="443"/>
      <c r="MN6" s="443" t="s">
        <v>771</v>
      </c>
      <c r="MO6" s="443"/>
      <c r="MP6" s="361"/>
      <c r="MQ6" s="443" t="s">
        <v>771</v>
      </c>
      <c r="MR6" s="443" t="s">
        <v>771</v>
      </c>
      <c r="MS6" s="443" t="s">
        <v>771</v>
      </c>
      <c r="MT6" s="443" t="s">
        <v>771</v>
      </c>
      <c r="MU6" s="443" t="s">
        <v>771</v>
      </c>
      <c r="MV6" s="443"/>
      <c r="MW6" s="443"/>
      <c r="MX6" s="443"/>
      <c r="MY6" s="443"/>
      <c r="MZ6" s="443"/>
      <c r="NA6" s="443" t="s">
        <v>771</v>
      </c>
      <c r="NB6" s="443"/>
      <c r="NC6" s="388"/>
      <c r="ND6" s="441" t="s">
        <v>1277</v>
      </c>
      <c r="NE6" s="441" t="s">
        <v>1277</v>
      </c>
      <c r="NF6" s="441" t="s">
        <v>1277</v>
      </c>
      <c r="NG6" s="441" t="s">
        <v>1277</v>
      </c>
      <c r="NH6" s="441" t="s">
        <v>1277</v>
      </c>
      <c r="NI6" s="441" t="s">
        <v>1277</v>
      </c>
      <c r="NJ6" s="441" t="s">
        <v>1277</v>
      </c>
      <c r="NK6" s="442"/>
      <c r="NL6" s="442"/>
      <c r="NM6" s="442"/>
      <c r="NN6" s="442"/>
      <c r="NO6" s="442"/>
      <c r="NP6" s="442"/>
      <c r="NQ6" s="442" t="s">
        <v>1278</v>
      </c>
      <c r="NR6" s="442" t="s">
        <v>1278</v>
      </c>
      <c r="NS6" s="442" t="s">
        <v>1278</v>
      </c>
      <c r="NT6" s="442"/>
      <c r="NU6" s="388"/>
      <c r="NV6" s="442" t="s">
        <v>1278</v>
      </c>
      <c r="NW6" s="442" t="s">
        <v>1278</v>
      </c>
      <c r="NX6" s="442" t="s">
        <v>1278</v>
      </c>
      <c r="NY6" s="151" t="s">
        <v>344</v>
      </c>
      <c r="NZ6" s="151" t="s">
        <v>344</v>
      </c>
      <c r="OA6" s="151" t="s">
        <v>344</v>
      </c>
      <c r="OB6" s="359" t="s">
        <v>720</v>
      </c>
      <c r="OC6" s="359" t="s">
        <v>720</v>
      </c>
      <c r="OD6" s="359" t="s">
        <v>720</v>
      </c>
      <c r="OE6" s="359" t="s">
        <v>720</v>
      </c>
      <c r="OF6" s="359" t="s">
        <v>720</v>
      </c>
      <c r="OG6" s="359" t="s">
        <v>720</v>
      </c>
      <c r="OH6" s="359" t="s">
        <v>720</v>
      </c>
      <c r="OI6" s="359" t="s">
        <v>720</v>
      </c>
      <c r="OJ6" s="359" t="s">
        <v>720</v>
      </c>
      <c r="OK6" s="359" t="s">
        <v>720</v>
      </c>
      <c r="OL6" s="359" t="s">
        <v>720</v>
      </c>
      <c r="OM6" s="359" t="s">
        <v>720</v>
      </c>
      <c r="ON6" s="359" t="s">
        <v>720</v>
      </c>
      <c r="OO6" s="359" t="s">
        <v>720</v>
      </c>
      <c r="OP6" s="359" t="s">
        <v>720</v>
      </c>
      <c r="OQ6" s="311" t="s">
        <v>733</v>
      </c>
      <c r="OR6" s="311" t="s">
        <v>733</v>
      </c>
      <c r="OS6" s="311" t="s">
        <v>733</v>
      </c>
      <c r="OT6" s="311" t="s">
        <v>733</v>
      </c>
      <c r="OU6" s="311" t="s">
        <v>733</v>
      </c>
      <c r="OV6" s="311" t="s">
        <v>733</v>
      </c>
      <c r="OW6" s="311" t="s">
        <v>733</v>
      </c>
      <c r="OX6" s="311" t="s">
        <v>733</v>
      </c>
      <c r="OY6" s="311" t="s">
        <v>733</v>
      </c>
      <c r="OZ6" s="311" t="s">
        <v>733</v>
      </c>
      <c r="PA6" s="311" t="s">
        <v>733</v>
      </c>
      <c r="PB6" s="311" t="s">
        <v>733</v>
      </c>
      <c r="PC6" s="311" t="s">
        <v>733</v>
      </c>
      <c r="PD6" s="311" t="s">
        <v>733</v>
      </c>
      <c r="PE6" s="311"/>
      <c r="PF6" s="311" t="s">
        <v>733</v>
      </c>
      <c r="PG6" s="311" t="s">
        <v>733</v>
      </c>
      <c r="PH6" s="311" t="s">
        <v>733</v>
      </c>
      <c r="PI6" s="311" t="s">
        <v>733</v>
      </c>
      <c r="PJ6" s="311" t="s">
        <v>733</v>
      </c>
      <c r="PK6" s="311" t="s">
        <v>733</v>
      </c>
      <c r="PL6" s="311" t="s">
        <v>733</v>
      </c>
      <c r="PM6" s="311" t="s">
        <v>733</v>
      </c>
      <c r="PN6" s="311" t="s">
        <v>733</v>
      </c>
      <c r="PO6" s="311" t="s">
        <v>733</v>
      </c>
      <c r="PP6" s="311" t="s">
        <v>733</v>
      </c>
      <c r="PQ6" s="311" t="s">
        <v>733</v>
      </c>
      <c r="PR6" s="311" t="s">
        <v>733</v>
      </c>
      <c r="PS6" s="311" t="s">
        <v>733</v>
      </c>
      <c r="PT6" s="311" t="s">
        <v>733</v>
      </c>
      <c r="PU6" s="311" t="s">
        <v>733</v>
      </c>
      <c r="PV6" s="311" t="s">
        <v>733</v>
      </c>
      <c r="PW6" s="311"/>
      <c r="PX6" s="311" t="s">
        <v>733</v>
      </c>
      <c r="PY6" s="311" t="s">
        <v>733</v>
      </c>
      <c r="PZ6" s="311" t="s">
        <v>733</v>
      </c>
      <c r="QA6" s="311" t="s">
        <v>733</v>
      </c>
      <c r="QB6" s="311" t="s">
        <v>733</v>
      </c>
      <c r="QC6" s="311" t="s">
        <v>733</v>
      </c>
      <c r="QD6" s="311" t="s">
        <v>733</v>
      </c>
      <c r="QE6" s="311" t="s">
        <v>733</v>
      </c>
      <c r="QF6" s="311" t="s">
        <v>733</v>
      </c>
      <c r="QG6" s="311" t="s">
        <v>733</v>
      </c>
      <c r="QH6" s="311" t="s">
        <v>733</v>
      </c>
      <c r="QI6" s="311" t="s">
        <v>733</v>
      </c>
      <c r="QJ6" s="311" t="s">
        <v>733</v>
      </c>
      <c r="QK6" s="311" t="s">
        <v>733</v>
      </c>
      <c r="QL6" s="311" t="s">
        <v>733</v>
      </c>
      <c r="QM6" s="311" t="s">
        <v>733</v>
      </c>
      <c r="QN6" s="311" t="s">
        <v>733</v>
      </c>
      <c r="QO6" s="311" t="s">
        <v>733</v>
      </c>
      <c r="QP6" s="311" t="s">
        <v>733</v>
      </c>
      <c r="QQ6" s="311" t="s">
        <v>733</v>
      </c>
      <c r="QR6" s="311" t="s">
        <v>733</v>
      </c>
      <c r="QS6" s="311" t="s">
        <v>733</v>
      </c>
      <c r="QT6" s="311" t="s">
        <v>733</v>
      </c>
      <c r="QU6" s="311" t="s">
        <v>733</v>
      </c>
      <c r="QV6" s="311" t="s">
        <v>733</v>
      </c>
      <c r="QW6" s="311" t="s">
        <v>733</v>
      </c>
      <c r="QX6" s="311" t="s">
        <v>733</v>
      </c>
      <c r="QY6" s="311" t="s">
        <v>733</v>
      </c>
      <c r="QZ6" s="311" t="s">
        <v>733</v>
      </c>
      <c r="RA6" s="311" t="s">
        <v>733</v>
      </c>
      <c r="RB6" s="311" t="s">
        <v>733</v>
      </c>
      <c r="RC6" s="311" t="s">
        <v>733</v>
      </c>
      <c r="RD6" s="311" t="s">
        <v>733</v>
      </c>
      <c r="RE6" s="311" t="s">
        <v>733</v>
      </c>
      <c r="RF6" s="311" t="s">
        <v>733</v>
      </c>
      <c r="RG6" s="311" t="s">
        <v>733</v>
      </c>
      <c r="RH6" s="311" t="s">
        <v>733</v>
      </c>
      <c r="RI6" s="311" t="s">
        <v>733</v>
      </c>
      <c r="RJ6" s="444" t="s">
        <v>1012</v>
      </c>
      <c r="RK6" s="311" t="s">
        <v>733</v>
      </c>
      <c r="RL6" s="311" t="s">
        <v>733</v>
      </c>
      <c r="RM6" s="311" t="s">
        <v>733</v>
      </c>
      <c r="RN6" s="311" t="s">
        <v>733</v>
      </c>
      <c r="RO6" s="435"/>
      <c r="RP6" s="435"/>
      <c r="RQ6" s="435"/>
      <c r="RR6" s="435"/>
      <c r="RS6" s="153" t="s">
        <v>345</v>
      </c>
      <c r="RT6" s="153" t="s">
        <v>345</v>
      </c>
      <c r="RU6" s="153" t="s">
        <v>345</v>
      </c>
      <c r="RV6" s="153" t="s">
        <v>345</v>
      </c>
      <c r="RW6" s="153" t="s">
        <v>345</v>
      </c>
      <c r="RX6" s="153" t="s">
        <v>345</v>
      </c>
      <c r="RY6" s="153" t="s">
        <v>345</v>
      </c>
      <c r="RZ6" s="153" t="s">
        <v>345</v>
      </c>
      <c r="SA6" s="153" t="s">
        <v>345</v>
      </c>
      <c r="SB6" s="153" t="s">
        <v>345</v>
      </c>
      <c r="SC6" s="153" t="s">
        <v>345</v>
      </c>
      <c r="SD6" s="153" t="s">
        <v>345</v>
      </c>
      <c r="SE6" s="153" t="s">
        <v>345</v>
      </c>
      <c r="SF6" s="153" t="s">
        <v>345</v>
      </c>
      <c r="SG6" s="153" t="s">
        <v>345</v>
      </c>
      <c r="SH6" s="153" t="s">
        <v>345</v>
      </c>
      <c r="SI6" s="311" t="s">
        <v>733</v>
      </c>
      <c r="SJ6" s="311" t="s">
        <v>733</v>
      </c>
      <c r="SK6" s="311" t="s">
        <v>733</v>
      </c>
      <c r="SL6" s="311" t="s">
        <v>733</v>
      </c>
      <c r="SM6" s="311" t="s">
        <v>733</v>
      </c>
      <c r="SN6" s="311" t="s">
        <v>733</v>
      </c>
      <c r="SO6" s="311" t="s">
        <v>733</v>
      </c>
      <c r="SP6" s="311" t="s">
        <v>733</v>
      </c>
      <c r="SQ6" s="311" t="s">
        <v>733</v>
      </c>
      <c r="SR6" s="152" t="s">
        <v>839</v>
      </c>
      <c r="SS6" s="152" t="s">
        <v>839</v>
      </c>
      <c r="ST6" s="152" t="s">
        <v>839</v>
      </c>
      <c r="SU6" s="152" t="s">
        <v>839</v>
      </c>
      <c r="SV6" s="152" t="s">
        <v>839</v>
      </c>
      <c r="SW6" s="152" t="s">
        <v>839</v>
      </c>
      <c r="SX6" s="152" t="s">
        <v>839</v>
      </c>
      <c r="SY6" s="152" t="s">
        <v>839</v>
      </c>
      <c r="SZ6" s="152" t="s">
        <v>839</v>
      </c>
      <c r="TA6" s="152" t="s">
        <v>839</v>
      </c>
      <c r="TB6" s="152" t="s">
        <v>839</v>
      </c>
      <c r="TC6" s="152" t="s">
        <v>839</v>
      </c>
      <c r="TD6" s="152" t="s">
        <v>839</v>
      </c>
      <c r="TE6" s="152" t="s">
        <v>839</v>
      </c>
      <c r="TF6" s="152" t="s">
        <v>839</v>
      </c>
      <c r="TG6" s="152" t="s">
        <v>839</v>
      </c>
      <c r="TH6" s="152" t="s">
        <v>839</v>
      </c>
      <c r="TI6" s="152" t="s">
        <v>839</v>
      </c>
      <c r="TJ6" s="152" t="s">
        <v>1279</v>
      </c>
      <c r="TK6" s="152" t="s">
        <v>1279</v>
      </c>
      <c r="TL6" s="156" t="s">
        <v>686</v>
      </c>
      <c r="TM6" s="156" t="s">
        <v>686</v>
      </c>
      <c r="TN6" s="529" t="s">
        <v>1693</v>
      </c>
      <c r="TO6" s="529" t="s">
        <v>1693</v>
      </c>
      <c r="TP6" s="152" t="s">
        <v>132</v>
      </c>
      <c r="TQ6" s="152" t="s">
        <v>132</v>
      </c>
      <c r="TR6" s="226" t="s">
        <v>674</v>
      </c>
      <c r="TS6" s="226" t="s">
        <v>674</v>
      </c>
      <c r="TT6" s="226" t="s">
        <v>674</v>
      </c>
      <c r="TU6" s="226" t="s">
        <v>674</v>
      </c>
      <c r="TV6" s="226" t="s">
        <v>674</v>
      </c>
      <c r="TW6" s="226" t="s">
        <v>674</v>
      </c>
      <c r="TX6" s="226" t="s">
        <v>674</v>
      </c>
      <c r="TY6" s="226" t="s">
        <v>674</v>
      </c>
      <c r="TZ6" s="226" t="s">
        <v>674</v>
      </c>
      <c r="UA6" s="226" t="s">
        <v>674</v>
      </c>
      <c r="UB6" s="226" t="s">
        <v>674</v>
      </c>
      <c r="UC6" s="226" t="s">
        <v>674</v>
      </c>
      <c r="UD6" s="226" t="s">
        <v>674</v>
      </c>
      <c r="UE6" s="226" t="s">
        <v>674</v>
      </c>
      <c r="UF6" s="226"/>
      <c r="UG6" s="226" t="s">
        <v>674</v>
      </c>
      <c r="UH6" s="226" t="s">
        <v>674</v>
      </c>
      <c r="UI6" s="154" t="s">
        <v>347</v>
      </c>
      <c r="UJ6" s="154" t="s">
        <v>347</v>
      </c>
      <c r="UK6" s="154" t="s">
        <v>347</v>
      </c>
      <c r="UL6" s="154" t="s">
        <v>347</v>
      </c>
      <c r="UM6" s="154" t="s">
        <v>347</v>
      </c>
      <c r="UN6" s="154" t="s">
        <v>347</v>
      </c>
      <c r="UO6" s="154"/>
      <c r="UP6" s="154" t="s">
        <v>347</v>
      </c>
      <c r="UQ6" s="154" t="s">
        <v>347</v>
      </c>
      <c r="UR6" s="154" t="s">
        <v>347</v>
      </c>
      <c r="US6" s="154" t="s">
        <v>347</v>
      </c>
      <c r="UT6" s="154" t="s">
        <v>347</v>
      </c>
      <c r="UU6" s="154" t="s">
        <v>347</v>
      </c>
      <c r="UX6" s="154" t="s">
        <v>347</v>
      </c>
      <c r="UY6" s="154" t="s">
        <v>347</v>
      </c>
      <c r="UZ6" s="154" t="s">
        <v>347</v>
      </c>
      <c r="VA6" s="154" t="s">
        <v>347</v>
      </c>
      <c r="VB6" s="154" t="s">
        <v>347</v>
      </c>
      <c r="VC6" s="154" t="s">
        <v>347</v>
      </c>
      <c r="VD6" s="154" t="s">
        <v>347</v>
      </c>
      <c r="VE6" s="154"/>
      <c r="VF6" s="262" t="s">
        <v>637</v>
      </c>
      <c r="VG6" s="262" t="s">
        <v>637</v>
      </c>
      <c r="VH6" s="262" t="s">
        <v>637</v>
      </c>
      <c r="VI6" s="262" t="s">
        <v>637</v>
      </c>
      <c r="VJ6" s="262" t="s">
        <v>637</v>
      </c>
      <c r="VK6" s="262" t="s">
        <v>637</v>
      </c>
      <c r="VL6" s="262" t="s">
        <v>637</v>
      </c>
      <c r="VM6" s="262" t="s">
        <v>637</v>
      </c>
      <c r="VN6" s="262" t="s">
        <v>637</v>
      </c>
      <c r="VO6" s="262" t="s">
        <v>637</v>
      </c>
      <c r="VP6" s="262" t="s">
        <v>637</v>
      </c>
      <c r="VQ6" s="262" t="s">
        <v>637</v>
      </c>
      <c r="VR6" s="262" t="s">
        <v>637</v>
      </c>
      <c r="VS6" s="262" t="s">
        <v>637</v>
      </c>
      <c r="VT6" s="262" t="s">
        <v>637</v>
      </c>
      <c r="VU6" s="262" t="s">
        <v>637</v>
      </c>
      <c r="VV6" s="262" t="s">
        <v>637</v>
      </c>
      <c r="VW6" s="262" t="s">
        <v>637</v>
      </c>
      <c r="VX6" s="262" t="s">
        <v>637</v>
      </c>
      <c r="VY6" s="262" t="s">
        <v>637</v>
      </c>
      <c r="VZ6" s="262" t="s">
        <v>637</v>
      </c>
      <c r="WA6" s="262" t="s">
        <v>637</v>
      </c>
      <c r="WB6" s="262" t="s">
        <v>637</v>
      </c>
      <c r="WC6" s="262" t="s">
        <v>637</v>
      </c>
      <c r="WD6" s="262" t="s">
        <v>637</v>
      </c>
      <c r="WE6" s="262" t="s">
        <v>637</v>
      </c>
      <c r="WF6" s="262" t="s">
        <v>637</v>
      </c>
      <c r="WG6" s="262" t="s">
        <v>637</v>
      </c>
      <c r="WH6" s="262"/>
      <c r="WI6" s="262"/>
      <c r="WJ6" s="262" t="s">
        <v>637</v>
      </c>
      <c r="WK6" s="262"/>
      <c r="WL6" s="262" t="s">
        <v>637</v>
      </c>
      <c r="WM6" s="262" t="s">
        <v>637</v>
      </c>
      <c r="WN6" s="262" t="s">
        <v>637</v>
      </c>
      <c r="WO6" s="262" t="s">
        <v>637</v>
      </c>
      <c r="WP6" s="262" t="s">
        <v>637</v>
      </c>
      <c r="WQ6" s="7"/>
      <c r="WR6" s="7"/>
      <c r="WS6" s="7"/>
      <c r="WT6" s="7"/>
      <c r="WU6" s="262" t="s">
        <v>637</v>
      </c>
      <c r="WV6" s="262"/>
      <c r="WW6" s="262" t="s">
        <v>637</v>
      </c>
      <c r="WX6" s="262" t="s">
        <v>637</v>
      </c>
      <c r="WY6" s="262" t="s">
        <v>637</v>
      </c>
      <c r="WZ6" s="262" t="s">
        <v>637</v>
      </c>
      <c r="XA6" s="361"/>
      <c r="XB6" s="361"/>
      <c r="XC6" s="263" t="s">
        <v>638</v>
      </c>
      <c r="XD6" s="263" t="s">
        <v>638</v>
      </c>
      <c r="XE6" s="264" t="s">
        <v>161</v>
      </c>
      <c r="XF6" s="264" t="s">
        <v>162</v>
      </c>
      <c r="XG6" s="264" t="s">
        <v>163</v>
      </c>
      <c r="XH6" s="264" t="s">
        <v>164</v>
      </c>
      <c r="XI6" s="263" t="s">
        <v>638</v>
      </c>
      <c r="XJ6" s="263"/>
      <c r="XK6" s="263" t="s">
        <v>638</v>
      </c>
      <c r="XL6" s="263" t="s">
        <v>638</v>
      </c>
      <c r="XM6" s="263" t="s">
        <v>638</v>
      </c>
      <c r="XN6" s="263" t="s">
        <v>638</v>
      </c>
      <c r="XO6" s="263" t="s">
        <v>638</v>
      </c>
      <c r="XP6" s="264" t="s">
        <v>166</v>
      </c>
      <c r="XQ6" s="264" t="s">
        <v>167</v>
      </c>
      <c r="XR6" s="264" t="s">
        <v>168</v>
      </c>
      <c r="XS6" s="264" t="s">
        <v>169</v>
      </c>
      <c r="XT6" s="264" t="s">
        <v>166</v>
      </c>
      <c r="XU6" s="264" t="s">
        <v>167</v>
      </c>
      <c r="XV6" s="264" t="s">
        <v>168</v>
      </c>
      <c r="XW6" s="264" t="s">
        <v>169</v>
      </c>
      <c r="YD6" s="363" t="s">
        <v>291</v>
      </c>
      <c r="YE6" s="363" t="s">
        <v>291</v>
      </c>
      <c r="YF6" s="363" t="s">
        <v>291</v>
      </c>
      <c r="YG6" s="363"/>
      <c r="YH6" s="363" t="s">
        <v>291</v>
      </c>
      <c r="YI6" s="364" t="s">
        <v>291</v>
      </c>
      <c r="YJ6" s="363" t="s">
        <v>291</v>
      </c>
      <c r="YK6" s="363" t="s">
        <v>291</v>
      </c>
      <c r="YL6" s="363" t="s">
        <v>291</v>
      </c>
      <c r="YM6" s="363" t="s">
        <v>291</v>
      </c>
      <c r="YN6" s="363"/>
      <c r="YO6" s="363"/>
      <c r="YP6" s="363"/>
      <c r="YQ6" s="363"/>
      <c r="YR6" s="363"/>
      <c r="ZC6" s="361"/>
      <c r="ZD6" s="361"/>
      <c r="ZE6" s="281" t="s">
        <v>792</v>
      </c>
      <c r="ZF6" s="281" t="s">
        <v>792</v>
      </c>
      <c r="ZG6" s="281" t="s">
        <v>792</v>
      </c>
      <c r="ZH6" s="281"/>
      <c r="ZI6" s="281" t="s">
        <v>792</v>
      </c>
      <c r="ZJ6" s="281" t="s">
        <v>792</v>
      </c>
      <c r="ZK6" s="281" t="s">
        <v>792</v>
      </c>
      <c r="ZL6" s="281" t="s">
        <v>792</v>
      </c>
      <c r="ZM6" s="281" t="s">
        <v>792</v>
      </c>
      <c r="ZN6" s="281" t="s">
        <v>792</v>
      </c>
      <c r="ZO6" s="281" t="s">
        <v>792</v>
      </c>
      <c r="ZP6" s="281" t="s">
        <v>792</v>
      </c>
      <c r="ZQ6" s="281" t="s">
        <v>792</v>
      </c>
      <c r="ZR6" s="281" t="s">
        <v>792</v>
      </c>
      <c r="ZS6" s="281" t="s">
        <v>792</v>
      </c>
      <c r="ZT6" s="281" t="s">
        <v>792</v>
      </c>
      <c r="ZU6" s="281" t="s">
        <v>792</v>
      </c>
      <c r="ZV6" s="281" t="s">
        <v>792</v>
      </c>
      <c r="ZW6" s="281"/>
      <c r="ZX6" s="281"/>
      <c r="ZY6" s="281"/>
      <c r="ZZ6" s="581"/>
      <c r="AAA6" s="281"/>
      <c r="AAB6" s="281"/>
      <c r="AAC6" s="281"/>
      <c r="AAD6" s="281"/>
    </row>
    <row r="7" spans="1:706" s="50" customFormat="1" ht="108.7" x14ac:dyDescent="0.2">
      <c r="A7" s="50" t="s">
        <v>18</v>
      </c>
      <c r="B7" s="50">
        <v>22386400</v>
      </c>
      <c r="AJ7" s="50" t="s">
        <v>1280</v>
      </c>
      <c r="AK7" s="50" t="s">
        <v>1281</v>
      </c>
      <c r="AL7" s="50" t="s">
        <v>1282</v>
      </c>
      <c r="AM7" s="50" t="s">
        <v>1283</v>
      </c>
      <c r="AN7" s="50" t="s">
        <v>1284</v>
      </c>
      <c r="AO7" s="50" t="s">
        <v>1285</v>
      </c>
      <c r="AP7" s="50" t="s">
        <v>1286</v>
      </c>
      <c r="AQ7" s="50" t="s">
        <v>1287</v>
      </c>
      <c r="AR7" s="50" t="s">
        <v>1288</v>
      </c>
      <c r="AS7" s="50" t="s">
        <v>1289</v>
      </c>
      <c r="AT7" s="50" t="s">
        <v>954</v>
      </c>
      <c r="AU7" s="50" t="s">
        <v>1290</v>
      </c>
      <c r="AV7" s="50" t="s">
        <v>1291</v>
      </c>
      <c r="AW7" s="50" t="s">
        <v>1292</v>
      </c>
      <c r="AX7" s="50" t="s">
        <v>1293</v>
      </c>
      <c r="AY7" s="50" t="s">
        <v>1294</v>
      </c>
      <c r="AZ7" s="50" t="s">
        <v>1295</v>
      </c>
      <c r="BA7" s="50" t="s">
        <v>1296</v>
      </c>
      <c r="BB7" s="50" t="s">
        <v>1297</v>
      </c>
      <c r="BD7" s="361"/>
      <c r="BE7" s="50" t="s">
        <v>1298</v>
      </c>
      <c r="BF7" s="50" t="s">
        <v>1299</v>
      </c>
      <c r="BO7" s="50" t="s">
        <v>693</v>
      </c>
      <c r="BP7" s="50" t="s">
        <v>1300</v>
      </c>
      <c r="BQ7" s="50" t="s">
        <v>696</v>
      </c>
      <c r="BR7" s="50" t="s">
        <v>1301</v>
      </c>
      <c r="BS7" s="50" t="s">
        <v>694</v>
      </c>
      <c r="BT7" s="50" t="s">
        <v>1302</v>
      </c>
      <c r="BU7" s="50" t="s">
        <v>1303</v>
      </c>
      <c r="BV7" s="50" t="s">
        <v>1304</v>
      </c>
      <c r="BW7" s="50" t="s">
        <v>1305</v>
      </c>
      <c r="BX7" s="50" t="s">
        <v>1306</v>
      </c>
      <c r="BY7" s="50" t="s">
        <v>1307</v>
      </c>
      <c r="BZ7" s="50" t="s">
        <v>1308</v>
      </c>
      <c r="CA7" s="50" t="s">
        <v>1309</v>
      </c>
      <c r="CB7" s="50" t="s">
        <v>1310</v>
      </c>
      <c r="CC7" s="50" t="s">
        <v>1311</v>
      </c>
      <c r="CD7" s="50" t="s">
        <v>1312</v>
      </c>
      <c r="CE7" s="50" t="s">
        <v>1313</v>
      </c>
      <c r="CF7" s="50" t="s">
        <v>1314</v>
      </c>
      <c r="CG7" s="50" t="s">
        <v>1315</v>
      </c>
      <c r="CH7" s="50" t="s">
        <v>1316</v>
      </c>
      <c r="CI7" s="50" t="s">
        <v>1317</v>
      </c>
      <c r="CJ7" s="50" t="s">
        <v>1318</v>
      </c>
      <c r="CK7" s="50" t="s">
        <v>942</v>
      </c>
      <c r="CM7" s="50" t="s">
        <v>873</v>
      </c>
      <c r="CN7" s="50" t="s">
        <v>1319</v>
      </c>
      <c r="CP7" s="50" t="s">
        <v>664</v>
      </c>
      <c r="CQ7" s="50" t="s">
        <v>664</v>
      </c>
      <c r="CR7" s="50" t="s">
        <v>665</v>
      </c>
      <c r="CS7" s="50" t="s">
        <v>665</v>
      </c>
      <c r="CT7" s="50" t="s">
        <v>654</v>
      </c>
      <c r="CU7" s="50" t="s">
        <v>654</v>
      </c>
      <c r="CV7" s="50" t="s">
        <v>666</v>
      </c>
      <c r="CW7" s="50" t="s">
        <v>666</v>
      </c>
      <c r="CX7" s="50" t="s">
        <v>655</v>
      </c>
      <c r="CY7" s="50" t="s">
        <v>655</v>
      </c>
      <c r="CZ7" s="50" t="s">
        <v>656</v>
      </c>
      <c r="DA7" s="52" t="s">
        <v>780</v>
      </c>
      <c r="DB7" s="52" t="s">
        <v>779</v>
      </c>
      <c r="DC7" s="52" t="s">
        <v>134</v>
      </c>
      <c r="DD7" s="50" t="s">
        <v>810</v>
      </c>
      <c r="DE7" s="445" t="s">
        <v>1320</v>
      </c>
      <c r="DJ7" s="50" t="s">
        <v>1321</v>
      </c>
      <c r="DK7" s="50" t="s">
        <v>1322</v>
      </c>
      <c r="DL7" s="50" t="s">
        <v>1323</v>
      </c>
      <c r="DM7" s="50" t="s">
        <v>2773</v>
      </c>
      <c r="DN7" s="50" t="s">
        <v>2772</v>
      </c>
      <c r="DO7" s="50" t="s">
        <v>667</v>
      </c>
      <c r="DP7" s="50" t="s">
        <v>668</v>
      </c>
      <c r="DQ7" s="50" t="s">
        <v>137</v>
      </c>
      <c r="DR7" s="445" t="s">
        <v>1324</v>
      </c>
      <c r="DS7" s="50" t="s">
        <v>680</v>
      </c>
      <c r="DT7" s="50" t="s">
        <v>1324</v>
      </c>
      <c r="DU7" s="50" t="s">
        <v>589</v>
      </c>
      <c r="DV7" s="50" t="s">
        <v>138</v>
      </c>
      <c r="DW7" s="155" t="s">
        <v>1325</v>
      </c>
      <c r="DX7" s="50" t="s">
        <v>658</v>
      </c>
      <c r="DY7" s="50" t="s">
        <v>870</v>
      </c>
      <c r="DZ7" s="50" t="s">
        <v>659</v>
      </c>
      <c r="EA7" s="155" t="s">
        <v>1326</v>
      </c>
      <c r="EB7" s="155" t="s">
        <v>1327</v>
      </c>
      <c r="EC7" s="155" t="s">
        <v>1328</v>
      </c>
      <c r="ED7" s="155" t="s">
        <v>1329</v>
      </c>
      <c r="EF7" s="50" t="s">
        <v>1330</v>
      </c>
      <c r="EG7" s="50" t="s">
        <v>1331</v>
      </c>
      <c r="EJ7" s="50" t="s">
        <v>1332</v>
      </c>
      <c r="EK7" s="50" t="s">
        <v>1333</v>
      </c>
      <c r="EO7" s="50" t="s">
        <v>675</v>
      </c>
      <c r="EP7" s="50" t="s">
        <v>773</v>
      </c>
      <c r="EQ7" s="50" t="s">
        <v>774</v>
      </c>
      <c r="ES7" s="50" t="s">
        <v>775</v>
      </c>
      <c r="ET7" s="50" t="s">
        <v>675</v>
      </c>
      <c r="EU7" s="50" t="s">
        <v>773</v>
      </c>
      <c r="EV7" s="50" t="s">
        <v>774</v>
      </c>
      <c r="EW7" s="50" t="s">
        <v>675</v>
      </c>
      <c r="EX7" s="50" t="s">
        <v>773</v>
      </c>
      <c r="EY7" s="50" t="s">
        <v>774</v>
      </c>
      <c r="FH7" s="50" t="s">
        <v>675</v>
      </c>
      <c r="FI7" s="50" t="s">
        <v>773</v>
      </c>
      <c r="FJ7" s="50" t="s">
        <v>774</v>
      </c>
      <c r="FK7" s="50" t="s">
        <v>1334</v>
      </c>
      <c r="FL7" s="50" t="s">
        <v>1335</v>
      </c>
      <c r="FQ7" s="50" t="s">
        <v>1336</v>
      </c>
      <c r="FR7" s="50" t="s">
        <v>1337</v>
      </c>
      <c r="FS7" s="50" t="s">
        <v>1338</v>
      </c>
      <c r="FU7" s="50" t="s">
        <v>1339</v>
      </c>
      <c r="FV7" s="50" t="s">
        <v>1340</v>
      </c>
      <c r="FW7" s="50" t="s">
        <v>258</v>
      </c>
      <c r="FX7" s="50" t="s">
        <v>660</v>
      </c>
      <c r="FY7" s="50" t="s">
        <v>1341</v>
      </c>
      <c r="FZ7" s="50" t="s">
        <v>1342</v>
      </c>
      <c r="GA7" s="50" t="s">
        <v>1343</v>
      </c>
      <c r="GB7" s="50" t="s">
        <v>869</v>
      </c>
      <c r="GC7" s="50" t="s">
        <v>1344</v>
      </c>
      <c r="GD7" s="52" t="s">
        <v>1345</v>
      </c>
      <c r="GE7" s="52" t="s">
        <v>747</v>
      </c>
      <c r="GF7" s="50" t="s">
        <v>232</v>
      </c>
      <c r="GG7" s="50" t="s">
        <v>830</v>
      </c>
      <c r="GH7" s="50" t="s">
        <v>888</v>
      </c>
      <c r="GI7" s="50" t="s">
        <v>889</v>
      </c>
      <c r="GJ7" s="50" t="s">
        <v>1346</v>
      </c>
      <c r="GK7" s="50" t="s">
        <v>1347</v>
      </c>
      <c r="GL7" s="50" t="s">
        <v>1348</v>
      </c>
      <c r="GM7" s="50" t="s">
        <v>219</v>
      </c>
      <c r="GN7" s="50" t="s">
        <v>829</v>
      </c>
      <c r="GO7" s="50" t="s">
        <v>622</v>
      </c>
      <c r="GP7" s="50" t="s">
        <v>233</v>
      </c>
      <c r="GQ7" s="50" t="s">
        <v>828</v>
      </c>
      <c r="GR7" s="50" t="s">
        <v>181</v>
      </c>
      <c r="GS7" s="50" t="s">
        <v>827</v>
      </c>
      <c r="GT7" s="50" t="s">
        <v>872</v>
      </c>
      <c r="GU7" s="50" t="s">
        <v>865</v>
      </c>
      <c r="GV7" s="50" t="s">
        <v>1338</v>
      </c>
      <c r="GW7" s="50" t="s">
        <v>1339</v>
      </c>
      <c r="GX7" s="50" t="s">
        <v>1349</v>
      </c>
      <c r="GY7" s="50" t="s">
        <v>258</v>
      </c>
      <c r="GZ7" s="50" t="s">
        <v>660</v>
      </c>
      <c r="HA7" s="50" t="s">
        <v>1350</v>
      </c>
      <c r="HB7" s="50" t="s">
        <v>1341</v>
      </c>
      <c r="HC7" s="50" t="s">
        <v>1351</v>
      </c>
      <c r="HD7" s="50" t="s">
        <v>255</v>
      </c>
      <c r="HE7" s="50" t="s">
        <v>186</v>
      </c>
      <c r="HF7" s="50" t="s">
        <v>832</v>
      </c>
      <c r="HG7" s="50" t="s">
        <v>661</v>
      </c>
      <c r="HH7" s="50" t="s">
        <v>193</v>
      </c>
      <c r="HI7" s="50" t="s">
        <v>824</v>
      </c>
      <c r="HJ7" s="50" t="s">
        <v>1352</v>
      </c>
      <c r="HK7" s="50" t="s">
        <v>184</v>
      </c>
      <c r="HL7" s="50" t="s">
        <v>825</v>
      </c>
      <c r="HM7" s="50" t="s">
        <v>826</v>
      </c>
      <c r="HN7" s="50" t="s">
        <v>185</v>
      </c>
      <c r="HO7" s="50" t="s">
        <v>836</v>
      </c>
      <c r="HP7" s="50" t="s">
        <v>1353</v>
      </c>
      <c r="HQ7" s="52" t="s">
        <v>1354</v>
      </c>
      <c r="HR7" s="50" t="s">
        <v>1355</v>
      </c>
      <c r="HS7" s="50" t="s">
        <v>1356</v>
      </c>
      <c r="HT7" s="50" t="s">
        <v>1357</v>
      </c>
      <c r="HU7" s="50" t="s">
        <v>1358</v>
      </c>
      <c r="HV7" s="50" t="s">
        <v>1089</v>
      </c>
      <c r="HW7" s="50" t="s">
        <v>1153</v>
      </c>
      <c r="HX7" s="50" t="s">
        <v>356</v>
      </c>
      <c r="HY7" s="50" t="s">
        <v>911</v>
      </c>
      <c r="HZ7" s="50" t="s">
        <v>315</v>
      </c>
      <c r="IA7" s="50" t="s">
        <v>663</v>
      </c>
      <c r="IB7" s="50" t="s">
        <v>1359</v>
      </c>
      <c r="IC7" s="155" t="s">
        <v>1360</v>
      </c>
      <c r="ID7" s="50" t="s">
        <v>170</v>
      </c>
      <c r="IE7" s="50" t="s">
        <v>2748</v>
      </c>
      <c r="IF7" s="50" t="s">
        <v>763</v>
      </c>
      <c r="IG7" s="50" t="s">
        <v>765</v>
      </c>
      <c r="IH7" s="50" t="s">
        <v>173</v>
      </c>
      <c r="II7" s="50" t="s">
        <v>176</v>
      </c>
      <c r="IJ7" s="50" t="s">
        <v>778</v>
      </c>
      <c r="IK7" s="50" t="s">
        <v>1361</v>
      </c>
      <c r="IL7" s="50" t="s">
        <v>1362</v>
      </c>
      <c r="IM7" s="50" t="s">
        <v>1363</v>
      </c>
      <c r="IN7" s="50" t="s">
        <v>1363</v>
      </c>
      <c r="IO7" s="50" t="s">
        <v>157</v>
      </c>
      <c r="IP7" s="6"/>
      <c r="IQ7" s="50" t="s">
        <v>121</v>
      </c>
      <c r="IR7" s="50" t="s">
        <v>657</v>
      </c>
      <c r="IS7" s="50" t="s">
        <v>769</v>
      </c>
      <c r="IT7" s="50" t="s">
        <v>776</v>
      </c>
      <c r="IU7" s="50" t="s">
        <v>777</v>
      </c>
      <c r="IV7" s="50" t="s">
        <v>591</v>
      </c>
      <c r="IW7" s="50" t="s">
        <v>1364</v>
      </c>
      <c r="IX7" s="265" t="s">
        <v>1365</v>
      </c>
      <c r="IY7" s="50" t="s">
        <v>592</v>
      </c>
      <c r="IZ7" s="50" t="s">
        <v>651</v>
      </c>
      <c r="JA7" s="50" t="s">
        <v>1366</v>
      </c>
      <c r="JB7" s="265" t="s">
        <v>1367</v>
      </c>
      <c r="JC7" s="50" t="s">
        <v>1368</v>
      </c>
      <c r="JD7" s="50" t="s">
        <v>511</v>
      </c>
      <c r="JE7" s="50" t="s">
        <v>512</v>
      </c>
      <c r="JF7" s="50" t="s">
        <v>1369</v>
      </c>
      <c r="JG7" s="265" t="s">
        <v>1370</v>
      </c>
      <c r="JH7" s="50" t="s">
        <v>172</v>
      </c>
      <c r="JI7" s="50" t="s">
        <v>1371</v>
      </c>
      <c r="JJ7" s="104" t="s">
        <v>593</v>
      </c>
      <c r="JK7" s="50" t="s">
        <v>1372</v>
      </c>
      <c r="JL7" s="104" t="s">
        <v>529</v>
      </c>
      <c r="JM7" s="50" t="s">
        <v>1373</v>
      </c>
      <c r="JN7" s="104" t="s">
        <v>530</v>
      </c>
      <c r="JO7" s="52" t="s">
        <v>758</v>
      </c>
      <c r="JP7" s="52" t="s">
        <v>1374</v>
      </c>
      <c r="JQ7" s="52" t="s">
        <v>1832</v>
      </c>
      <c r="JR7" s="52" t="s">
        <v>1833</v>
      </c>
      <c r="JS7" s="52" t="s">
        <v>1834</v>
      </c>
      <c r="JT7" s="50" t="s">
        <v>174</v>
      </c>
      <c r="JU7" s="50" t="s">
        <v>535</v>
      </c>
      <c r="JV7" s="50" t="s">
        <v>1375</v>
      </c>
      <c r="JW7" s="50" t="s">
        <v>1376</v>
      </c>
      <c r="JX7" s="52" t="s">
        <v>1051</v>
      </c>
      <c r="JZ7" s="50" t="s">
        <v>1377</v>
      </c>
      <c r="KA7" s="50" t="s">
        <v>1378</v>
      </c>
      <c r="KB7" s="50" t="s">
        <v>1379</v>
      </c>
      <c r="KC7" s="50" t="s">
        <v>1380</v>
      </c>
      <c r="KD7" s="50" t="s">
        <v>1381</v>
      </c>
      <c r="KE7" s="50" t="s">
        <v>1382</v>
      </c>
      <c r="KF7" s="50" t="s">
        <v>1383</v>
      </c>
      <c r="KG7" s="50" t="s">
        <v>1384</v>
      </c>
      <c r="KH7" s="50" t="s">
        <v>1385</v>
      </c>
      <c r="KI7" s="50" t="s">
        <v>1386</v>
      </c>
      <c r="KJ7" s="50" t="s">
        <v>1387</v>
      </c>
      <c r="KK7" s="50" t="s">
        <v>1388</v>
      </c>
      <c r="KL7" s="50" t="s">
        <v>1389</v>
      </c>
      <c r="KM7" s="50" t="s">
        <v>1390</v>
      </c>
      <c r="KN7" s="50" t="s">
        <v>1391</v>
      </c>
      <c r="KO7" s="50" t="s">
        <v>1392</v>
      </c>
      <c r="KQ7" s="50" t="s">
        <v>747</v>
      </c>
      <c r="KR7" s="50" t="s">
        <v>630</v>
      </c>
      <c r="KS7" s="50" t="s">
        <v>1393</v>
      </c>
      <c r="KT7" s="50" t="s">
        <v>1394</v>
      </c>
      <c r="KU7" s="50" t="s">
        <v>1353</v>
      </c>
      <c r="KV7" s="50" t="s">
        <v>1355</v>
      </c>
      <c r="KW7" s="50" t="s">
        <v>1356</v>
      </c>
      <c r="KX7" s="50" t="s">
        <v>1357</v>
      </c>
      <c r="KY7" s="50" t="s">
        <v>1395</v>
      </c>
      <c r="KZ7" s="50" t="s">
        <v>1153</v>
      </c>
      <c r="LA7" s="50" t="s">
        <v>1396</v>
      </c>
      <c r="LB7" s="50" t="s">
        <v>911</v>
      </c>
      <c r="LC7" s="50" t="s">
        <v>1397</v>
      </c>
      <c r="LD7" s="50" t="s">
        <v>1398</v>
      </c>
      <c r="LE7" s="50" t="s">
        <v>315</v>
      </c>
      <c r="LF7" s="50" t="s">
        <v>663</v>
      </c>
      <c r="LG7" s="50" t="s">
        <v>1399</v>
      </c>
      <c r="LH7" s="50" t="s">
        <v>1400</v>
      </c>
      <c r="LI7" s="50" t="s">
        <v>1401</v>
      </c>
      <c r="LJ7" s="50" t="s">
        <v>173</v>
      </c>
      <c r="LK7" s="50" t="s">
        <v>1402</v>
      </c>
      <c r="LL7" s="50" t="s">
        <v>121</v>
      </c>
      <c r="LM7" s="50" t="s">
        <v>1403</v>
      </c>
      <c r="LN7" s="50" t="s">
        <v>769</v>
      </c>
      <c r="LO7" s="50" t="s">
        <v>318</v>
      </c>
      <c r="LP7" s="50" t="s">
        <v>475</v>
      </c>
      <c r="LQ7" s="50" t="s">
        <v>1376</v>
      </c>
      <c r="LR7" s="50" t="s">
        <v>1697</v>
      </c>
      <c r="LS7" s="50" t="s">
        <v>1698</v>
      </c>
      <c r="LT7" s="50" t="s">
        <v>1072</v>
      </c>
      <c r="LU7" s="50" t="s">
        <v>441</v>
      </c>
      <c r="LV7" s="50" t="s">
        <v>538</v>
      </c>
      <c r="LW7" s="50" t="s">
        <v>442</v>
      </c>
      <c r="LZ7" s="50" t="s">
        <v>308</v>
      </c>
      <c r="MA7" s="50" t="s">
        <v>309</v>
      </c>
      <c r="MB7" s="50" t="s">
        <v>650</v>
      </c>
      <c r="MC7" s="50" t="s">
        <v>1835</v>
      </c>
      <c r="MD7" s="50" t="s">
        <v>1836</v>
      </c>
      <c r="ME7" s="50" t="s">
        <v>1837</v>
      </c>
      <c r="MF7" s="50" t="s">
        <v>536</v>
      </c>
      <c r="MG7" s="50" t="s">
        <v>1404</v>
      </c>
      <c r="MH7" s="50" t="s">
        <v>537</v>
      </c>
      <c r="MI7" s="50" t="s">
        <v>874</v>
      </c>
      <c r="MJ7" s="50" t="s">
        <v>875</v>
      </c>
      <c r="MK7" s="50" t="s">
        <v>2759</v>
      </c>
      <c r="ML7" s="50" t="s">
        <v>874</v>
      </c>
      <c r="MM7" s="50" t="s">
        <v>1042</v>
      </c>
      <c r="MN7" s="50" t="s">
        <v>1042</v>
      </c>
      <c r="MO7" s="50" t="s">
        <v>2762</v>
      </c>
      <c r="MP7" s="50" t="s">
        <v>306</v>
      </c>
      <c r="MQ7" s="50" t="s">
        <v>642</v>
      </c>
      <c r="MR7" s="50" t="s">
        <v>307</v>
      </c>
      <c r="MS7" s="50" t="s">
        <v>643</v>
      </c>
      <c r="MT7" s="50" t="s">
        <v>644</v>
      </c>
      <c r="MU7" s="50" t="s">
        <v>1405</v>
      </c>
      <c r="MV7" s="50" t="s">
        <v>2764</v>
      </c>
      <c r="MW7" s="50" t="s">
        <v>2765</v>
      </c>
      <c r="MX7" s="50" t="s">
        <v>642</v>
      </c>
      <c r="MY7" s="50" t="s">
        <v>307</v>
      </c>
      <c r="MZ7" s="50" t="s">
        <v>640</v>
      </c>
      <c r="NA7" s="50" t="s">
        <v>640</v>
      </c>
      <c r="NB7" s="50" t="s">
        <v>2762</v>
      </c>
      <c r="NC7" s="50" t="s">
        <v>331</v>
      </c>
      <c r="ND7" s="50" t="s">
        <v>1406</v>
      </c>
      <c r="NE7" s="50" t="s">
        <v>1407</v>
      </c>
      <c r="NF7" s="50" t="s">
        <v>1408</v>
      </c>
      <c r="NG7" s="50" t="s">
        <v>1407</v>
      </c>
      <c r="NH7" s="50" t="s">
        <v>1408</v>
      </c>
      <c r="NI7" s="50" t="s">
        <v>1407</v>
      </c>
      <c r="NJ7" s="50" t="s">
        <v>1408</v>
      </c>
      <c r="NK7" s="50" t="s">
        <v>1409</v>
      </c>
      <c r="NL7" s="50" t="s">
        <v>772</v>
      </c>
      <c r="NM7" s="50" t="s">
        <v>1410</v>
      </c>
      <c r="NN7" s="50" t="s">
        <v>1411</v>
      </c>
      <c r="NO7" s="50" t="s">
        <v>1412</v>
      </c>
      <c r="NP7" s="50" t="s">
        <v>1413</v>
      </c>
      <c r="NQ7" s="50" t="s">
        <v>1414</v>
      </c>
      <c r="NR7" s="50" t="s">
        <v>1415</v>
      </c>
      <c r="NS7" s="50" t="s">
        <v>1416</v>
      </c>
      <c r="NT7" s="50" t="s">
        <v>1417</v>
      </c>
      <c r="NU7" s="50" t="s">
        <v>1418</v>
      </c>
      <c r="NV7" s="50" t="s">
        <v>1419</v>
      </c>
      <c r="NW7" s="50" t="s">
        <v>1420</v>
      </c>
      <c r="NX7" s="50" t="s">
        <v>1421</v>
      </c>
      <c r="NY7" s="50" t="s">
        <v>458</v>
      </c>
      <c r="NZ7" s="50" t="s">
        <v>459</v>
      </c>
      <c r="OA7" s="50" t="s">
        <v>338</v>
      </c>
      <c r="OB7" s="52" t="s">
        <v>1422</v>
      </c>
      <c r="OC7" s="52" t="s">
        <v>1150</v>
      </c>
      <c r="OD7" s="50" t="s">
        <v>1153</v>
      </c>
      <c r="OE7" s="50" t="s">
        <v>315</v>
      </c>
      <c r="OF7" s="50" t="s">
        <v>663</v>
      </c>
      <c r="OG7" s="52" t="s">
        <v>1832</v>
      </c>
      <c r="OH7" s="52" t="s">
        <v>1834</v>
      </c>
      <c r="OI7" s="50" t="s">
        <v>732</v>
      </c>
      <c r="OJ7" s="50" t="s">
        <v>721</v>
      </c>
      <c r="OK7" s="50" t="s">
        <v>535</v>
      </c>
      <c r="OL7" s="52" t="s">
        <v>1150</v>
      </c>
      <c r="OM7" s="52" t="s">
        <v>728</v>
      </c>
      <c r="ON7" s="52" t="s">
        <v>726</v>
      </c>
      <c r="OO7" s="52" t="s">
        <v>1159</v>
      </c>
      <c r="OP7" s="52" t="s">
        <v>727</v>
      </c>
      <c r="OQ7" s="52" t="s">
        <v>900</v>
      </c>
      <c r="OR7" s="52" t="s">
        <v>735</v>
      </c>
      <c r="OS7" s="52" t="s">
        <v>736</v>
      </c>
      <c r="OT7" s="52" t="s">
        <v>737</v>
      </c>
      <c r="OU7" s="52" t="s">
        <v>69</v>
      </c>
      <c r="OV7" s="52" t="s">
        <v>738</v>
      </c>
      <c r="OW7" s="52" t="s">
        <v>740</v>
      </c>
      <c r="OX7" s="52" t="s">
        <v>739</v>
      </c>
      <c r="OY7" s="52" t="s">
        <v>692</v>
      </c>
      <c r="OZ7" s="52" t="s">
        <v>127</v>
      </c>
      <c r="PA7" s="52" t="s">
        <v>741</v>
      </c>
      <c r="PB7" s="52" t="s">
        <v>143</v>
      </c>
      <c r="PC7" s="52"/>
      <c r="PD7" s="50" t="s">
        <v>1423</v>
      </c>
      <c r="PE7" s="52" t="s">
        <v>1345</v>
      </c>
      <c r="PF7" s="52" t="s">
        <v>747</v>
      </c>
      <c r="PG7" s="52" t="s">
        <v>748</v>
      </c>
      <c r="PH7" s="52" t="s">
        <v>1424</v>
      </c>
      <c r="PI7" s="52" t="s">
        <v>1425</v>
      </c>
      <c r="PJ7" s="52" t="s">
        <v>751</v>
      </c>
      <c r="PK7" s="52" t="s">
        <v>631</v>
      </c>
      <c r="PL7" s="52"/>
      <c r="PM7" s="52" t="s">
        <v>1426</v>
      </c>
      <c r="PN7" s="50" t="s">
        <v>233</v>
      </c>
      <c r="PO7" s="52" t="s">
        <v>1427</v>
      </c>
      <c r="PP7" s="52" t="s">
        <v>659</v>
      </c>
      <c r="PQ7" s="50" t="s">
        <v>186</v>
      </c>
      <c r="PR7" s="50" t="s">
        <v>661</v>
      </c>
      <c r="PS7" s="50" t="s">
        <v>193</v>
      </c>
      <c r="PT7" s="50" t="s">
        <v>231</v>
      </c>
      <c r="PU7" s="50" t="s">
        <v>184</v>
      </c>
      <c r="PV7" s="50" t="s">
        <v>185</v>
      </c>
      <c r="PW7" s="50" t="s">
        <v>1428</v>
      </c>
      <c r="PX7" s="50" t="s">
        <v>215</v>
      </c>
      <c r="PY7" s="50" t="s">
        <v>180</v>
      </c>
      <c r="PZ7" s="52" t="s">
        <v>754</v>
      </c>
      <c r="QA7" s="52" t="s">
        <v>1429</v>
      </c>
      <c r="QB7" s="50" t="s">
        <v>1430</v>
      </c>
      <c r="QC7" s="50" t="s">
        <v>1431</v>
      </c>
      <c r="QD7" s="50" t="s">
        <v>1432</v>
      </c>
      <c r="QE7" s="50" t="s">
        <v>1203</v>
      </c>
      <c r="QF7" s="50" t="s">
        <v>1433</v>
      </c>
      <c r="QG7" s="50" t="s">
        <v>1434</v>
      </c>
      <c r="QH7" s="50" t="s">
        <v>1203</v>
      </c>
      <c r="QI7" s="50" t="s">
        <v>1435</v>
      </c>
      <c r="QJ7" s="50" t="s">
        <v>215</v>
      </c>
      <c r="QK7" s="50" t="s">
        <v>180</v>
      </c>
      <c r="QL7" s="50" t="s">
        <v>904</v>
      </c>
      <c r="QM7" s="50" t="s">
        <v>903</v>
      </c>
      <c r="QN7" s="50" t="s">
        <v>919</v>
      </c>
      <c r="QO7" s="50" t="s">
        <v>1396</v>
      </c>
      <c r="QP7" s="50" t="s">
        <v>911</v>
      </c>
      <c r="QQ7" s="50" t="s">
        <v>921</v>
      </c>
      <c r="QR7" s="50" t="s">
        <v>1436</v>
      </c>
      <c r="QS7" s="50" t="s">
        <v>663</v>
      </c>
      <c r="QT7" s="52" t="s">
        <v>755</v>
      </c>
      <c r="QU7" s="52" t="s">
        <v>758</v>
      </c>
      <c r="QV7" s="52" t="s">
        <v>759</v>
      </c>
      <c r="QW7" s="52" t="s">
        <v>761</v>
      </c>
      <c r="QX7" s="52" t="s">
        <v>535</v>
      </c>
      <c r="QY7" s="52" t="s">
        <v>1832</v>
      </c>
      <c r="QZ7" s="52" t="s">
        <v>1833</v>
      </c>
      <c r="RA7" s="52" t="s">
        <v>1834</v>
      </c>
      <c r="RB7" s="52" t="s">
        <v>1437</v>
      </c>
      <c r="RC7" s="50" t="s">
        <v>1438</v>
      </c>
      <c r="RD7" s="50" t="s">
        <v>1010</v>
      </c>
      <c r="RE7" s="50" t="s">
        <v>1439</v>
      </c>
      <c r="RF7" s="50" t="s">
        <v>1010</v>
      </c>
      <c r="RG7" s="50" t="s">
        <v>1439</v>
      </c>
      <c r="RH7" s="52" t="s">
        <v>1440</v>
      </c>
      <c r="RI7" s="52" t="s">
        <v>1134</v>
      </c>
      <c r="RJ7" s="52" t="s">
        <v>1441</v>
      </c>
      <c r="RK7" s="52" t="s">
        <v>1442</v>
      </c>
      <c r="RL7" s="52" t="s">
        <v>1443</v>
      </c>
      <c r="RM7" s="52" t="s">
        <v>1443</v>
      </c>
      <c r="RN7" s="52" t="s">
        <v>1443</v>
      </c>
      <c r="RO7" s="52" t="s">
        <v>1444</v>
      </c>
      <c r="RP7" s="52" t="s">
        <v>1445</v>
      </c>
      <c r="RQ7" s="52" t="s">
        <v>1445</v>
      </c>
      <c r="RR7" s="52" t="s">
        <v>1446</v>
      </c>
      <c r="RS7" s="52" t="s">
        <v>729</v>
      </c>
      <c r="RT7" s="50" t="s">
        <v>663</v>
      </c>
      <c r="RU7" s="52" t="s">
        <v>1832</v>
      </c>
      <c r="RV7" s="52" t="s">
        <v>1833</v>
      </c>
      <c r="RW7" s="52" t="s">
        <v>1834</v>
      </c>
      <c r="RX7" s="52" t="s">
        <v>758</v>
      </c>
      <c r="RY7" s="52" t="s">
        <v>759</v>
      </c>
      <c r="RZ7" s="50" t="s">
        <v>731</v>
      </c>
      <c r="SA7" s="50" t="s">
        <v>722</v>
      </c>
      <c r="SB7" s="50" t="s">
        <v>723</v>
      </c>
      <c r="SC7" s="50" t="s">
        <v>1447</v>
      </c>
      <c r="SD7" s="50" t="s">
        <v>1448</v>
      </c>
      <c r="SE7" s="50" t="s">
        <v>1449</v>
      </c>
      <c r="SF7" s="50" t="s">
        <v>1450</v>
      </c>
      <c r="SG7" s="50" t="s">
        <v>724</v>
      </c>
      <c r="SH7" s="50" t="s">
        <v>725</v>
      </c>
      <c r="SI7" s="50" t="s">
        <v>1451</v>
      </c>
      <c r="SJ7" s="50" t="s">
        <v>1452</v>
      </c>
      <c r="SK7" s="50" t="s">
        <v>1453</v>
      </c>
      <c r="SL7" s="50" t="s">
        <v>1454</v>
      </c>
      <c r="SM7" s="50" t="s">
        <v>1455</v>
      </c>
      <c r="SN7" s="50" t="s">
        <v>1456</v>
      </c>
      <c r="SO7" s="50" t="s">
        <v>1457</v>
      </c>
      <c r="SP7" s="50" t="s">
        <v>1458</v>
      </c>
      <c r="SQ7" s="50" t="s">
        <v>1459</v>
      </c>
      <c r="SR7" s="50" t="s">
        <v>1047</v>
      </c>
      <c r="SS7" s="50" t="s">
        <v>663</v>
      </c>
      <c r="ST7" s="52" t="s">
        <v>1832</v>
      </c>
      <c r="SU7" s="52" t="s">
        <v>1833</v>
      </c>
      <c r="SV7" s="52" t="s">
        <v>1834</v>
      </c>
      <c r="SW7" s="52" t="s">
        <v>758</v>
      </c>
      <c r="SX7" s="52" t="s">
        <v>1374</v>
      </c>
      <c r="SY7" s="50" t="s">
        <v>121</v>
      </c>
      <c r="SZ7" s="50" t="s">
        <v>121</v>
      </c>
      <c r="TA7" s="50" t="s">
        <v>723</v>
      </c>
      <c r="TB7" s="50" t="s">
        <v>1447</v>
      </c>
      <c r="TC7" s="50" t="s">
        <v>1448</v>
      </c>
      <c r="TD7" s="50" t="s">
        <v>1449</v>
      </c>
      <c r="TE7" s="50" t="s">
        <v>1450</v>
      </c>
      <c r="TF7" s="50" t="s">
        <v>1460</v>
      </c>
      <c r="TG7" s="50" t="s">
        <v>1461</v>
      </c>
      <c r="TH7" s="50" t="s">
        <v>1460</v>
      </c>
      <c r="TI7" s="50" t="s">
        <v>1461</v>
      </c>
      <c r="TJ7" s="50" t="s">
        <v>1462</v>
      </c>
      <c r="TK7" s="50" t="s">
        <v>1463</v>
      </c>
      <c r="TL7" s="50" t="s">
        <v>690</v>
      </c>
      <c r="TM7" s="50" t="s">
        <v>691</v>
      </c>
      <c r="TN7" s="50" t="s">
        <v>1711</v>
      </c>
      <c r="TO7" s="50" t="s">
        <v>1712</v>
      </c>
      <c r="TP7" s="50" t="s">
        <v>132</v>
      </c>
      <c r="TQ7" s="50" t="s">
        <v>343</v>
      </c>
      <c r="TR7" s="50" t="s">
        <v>562</v>
      </c>
      <c r="TS7" s="50" t="s">
        <v>563</v>
      </c>
      <c r="TT7" s="50" t="s">
        <v>564</v>
      </c>
      <c r="TU7" s="50" t="s">
        <v>565</v>
      </c>
      <c r="TV7" s="50" t="s">
        <v>566</v>
      </c>
      <c r="TW7" s="50" t="s">
        <v>567</v>
      </c>
      <c r="TX7" s="50" t="s">
        <v>663</v>
      </c>
      <c r="TY7" s="52" t="s">
        <v>1832</v>
      </c>
      <c r="TZ7" s="52" t="s">
        <v>1833</v>
      </c>
      <c r="UA7" s="52" t="s">
        <v>1834</v>
      </c>
      <c r="UB7" s="50" t="s">
        <v>1464</v>
      </c>
      <c r="UC7" s="50" t="s">
        <v>1465</v>
      </c>
      <c r="UD7" s="50" t="s">
        <v>568</v>
      </c>
      <c r="UE7" s="52" t="s">
        <v>535</v>
      </c>
      <c r="UF7" s="52"/>
      <c r="UG7" s="50" t="s">
        <v>569</v>
      </c>
      <c r="UH7" s="50" t="s">
        <v>570</v>
      </c>
      <c r="UI7" s="50" t="s">
        <v>571</v>
      </c>
      <c r="UJ7" s="50" t="s">
        <v>1466</v>
      </c>
      <c r="UK7" s="50" t="s">
        <v>571</v>
      </c>
      <c r="UL7" s="50" t="s">
        <v>1467</v>
      </c>
      <c r="UM7" s="50" t="s">
        <v>1468</v>
      </c>
      <c r="UN7" s="50" t="s">
        <v>1469</v>
      </c>
      <c r="UO7" s="50" t="s">
        <v>1470</v>
      </c>
      <c r="UP7" s="50" t="s">
        <v>663</v>
      </c>
      <c r="UQ7" s="50" t="s">
        <v>1471</v>
      </c>
      <c r="UR7" s="50" t="s">
        <v>663</v>
      </c>
      <c r="US7" s="52" t="s">
        <v>1832</v>
      </c>
      <c r="UT7" s="52" t="s">
        <v>1833</v>
      </c>
      <c r="UU7" s="52" t="s">
        <v>1834</v>
      </c>
      <c r="UV7" s="50" t="s">
        <v>2750</v>
      </c>
      <c r="UX7" s="50" t="s">
        <v>1472</v>
      </c>
      <c r="UY7" s="50" t="s">
        <v>1472</v>
      </c>
      <c r="UZ7" s="50" t="s">
        <v>893</v>
      </c>
      <c r="VA7" s="50" t="s">
        <v>893</v>
      </c>
      <c r="VC7" s="50" t="s">
        <v>463</v>
      </c>
      <c r="VD7" s="50" t="s">
        <v>464</v>
      </c>
      <c r="VE7" s="50" t="s">
        <v>19</v>
      </c>
      <c r="VF7" s="50" t="s">
        <v>148</v>
      </c>
      <c r="VG7" s="50" t="s">
        <v>475</v>
      </c>
      <c r="VH7" s="50" t="s">
        <v>35</v>
      </c>
      <c r="VI7" s="50" t="s">
        <v>42</v>
      </c>
      <c r="VJ7" s="50" t="s">
        <v>44</v>
      </c>
      <c r="VK7" s="50" t="s">
        <v>624</v>
      </c>
      <c r="VN7" s="50" t="s">
        <v>1473</v>
      </c>
      <c r="VO7" s="50" t="s">
        <v>1474</v>
      </c>
      <c r="VP7" s="50" t="s">
        <v>1473</v>
      </c>
      <c r="VQ7" s="50" t="s">
        <v>1475</v>
      </c>
      <c r="VR7" s="50" t="s">
        <v>1476</v>
      </c>
      <c r="VS7" s="50" t="s">
        <v>1475</v>
      </c>
      <c r="VT7" s="52" t="s">
        <v>1832</v>
      </c>
      <c r="VU7" s="52" t="s">
        <v>1833</v>
      </c>
      <c r="VV7" s="52" t="s">
        <v>1834</v>
      </c>
      <c r="VX7" s="50" t="s">
        <v>149</v>
      </c>
      <c r="VY7" s="50" t="s">
        <v>308</v>
      </c>
      <c r="VZ7" s="50" t="s">
        <v>309</v>
      </c>
      <c r="WA7" s="50" t="s">
        <v>155</v>
      </c>
      <c r="WB7" s="50" t="s">
        <v>1835</v>
      </c>
      <c r="WC7" s="50" t="s">
        <v>1836</v>
      </c>
      <c r="WD7" s="50" t="s">
        <v>1837</v>
      </c>
      <c r="WE7" s="50" t="s">
        <v>1404</v>
      </c>
      <c r="WF7" s="50" t="s">
        <v>652</v>
      </c>
      <c r="WG7" s="50" t="s">
        <v>653</v>
      </c>
      <c r="WH7" s="50" t="s">
        <v>652</v>
      </c>
      <c r="WI7" s="50" t="s">
        <v>156</v>
      </c>
      <c r="WJ7" s="50" t="s">
        <v>156</v>
      </c>
      <c r="WK7" s="50" t="s">
        <v>2762</v>
      </c>
      <c r="WL7" s="50" t="s">
        <v>210</v>
      </c>
      <c r="WM7" s="50" t="s">
        <v>646</v>
      </c>
      <c r="WN7" s="50" t="s">
        <v>647</v>
      </c>
      <c r="WO7" s="50" t="s">
        <v>648</v>
      </c>
      <c r="WP7" s="50" t="s">
        <v>649</v>
      </c>
      <c r="WQ7" s="50" t="s">
        <v>1405</v>
      </c>
      <c r="WR7" s="50" t="s">
        <v>646</v>
      </c>
      <c r="WS7" s="50" t="s">
        <v>647</v>
      </c>
      <c r="WT7" s="50" t="s">
        <v>641</v>
      </c>
      <c r="WU7" s="50" t="s">
        <v>641</v>
      </c>
      <c r="WV7" s="50" t="s">
        <v>2762</v>
      </c>
      <c r="WY7" s="50" t="s">
        <v>160</v>
      </c>
      <c r="XA7" s="50" t="s">
        <v>579</v>
      </c>
      <c r="XB7" s="50" t="s">
        <v>580</v>
      </c>
      <c r="XC7" s="263" t="s">
        <v>217</v>
      </c>
      <c r="XD7" s="263" t="s">
        <v>116</v>
      </c>
      <c r="XE7" s="263" t="s">
        <v>165</v>
      </c>
      <c r="XF7" s="263" t="s">
        <v>165</v>
      </c>
      <c r="XG7" s="263" t="s">
        <v>165</v>
      </c>
      <c r="XH7" s="263" t="s">
        <v>165</v>
      </c>
      <c r="XI7" s="263" t="s">
        <v>581</v>
      </c>
      <c r="XJ7" s="263"/>
      <c r="XK7" s="263" t="s">
        <v>242</v>
      </c>
      <c r="XL7" s="263" t="s">
        <v>241</v>
      </c>
      <c r="XM7" s="263" t="s">
        <v>244</v>
      </c>
      <c r="XN7" s="263" t="s">
        <v>245</v>
      </c>
      <c r="XO7" s="263" t="s">
        <v>243</v>
      </c>
      <c r="XP7" s="263" t="s">
        <v>246</v>
      </c>
      <c r="XQ7" s="263" t="s">
        <v>247</v>
      </c>
      <c r="XR7" s="263" t="s">
        <v>248</v>
      </c>
      <c r="XS7" s="263" t="s">
        <v>249</v>
      </c>
      <c r="XT7" s="263" t="s">
        <v>165</v>
      </c>
      <c r="XU7" s="263" t="s">
        <v>165</v>
      </c>
      <c r="XV7" s="263" t="s">
        <v>165</v>
      </c>
      <c r="XW7" s="263" t="s">
        <v>165</v>
      </c>
      <c r="XX7" s="50" t="s">
        <v>585</v>
      </c>
      <c r="XY7" s="50" t="s">
        <v>1477</v>
      </c>
      <c r="XZ7" s="50" t="s">
        <v>586</v>
      </c>
      <c r="YA7" s="50" t="s">
        <v>587</v>
      </c>
      <c r="YB7" s="50" t="s">
        <v>588</v>
      </c>
      <c r="YC7" s="52" t="s">
        <v>1478</v>
      </c>
      <c r="YD7" s="52" t="s">
        <v>329</v>
      </c>
      <c r="YE7" s="52" t="s">
        <v>1479</v>
      </c>
      <c r="YF7" s="50" t="s">
        <v>672</v>
      </c>
      <c r="YG7" s="50" t="s">
        <v>673</v>
      </c>
      <c r="YH7" s="50" t="s">
        <v>292</v>
      </c>
      <c r="YI7" s="50" t="s">
        <v>293</v>
      </c>
      <c r="YJ7" s="50" t="s">
        <v>294</v>
      </c>
      <c r="YK7" s="50" t="s">
        <v>295</v>
      </c>
      <c r="YL7" s="50" t="s">
        <v>623</v>
      </c>
      <c r="YM7" s="50" t="s">
        <v>1480</v>
      </c>
      <c r="YP7" s="50" t="s">
        <v>1481</v>
      </c>
      <c r="YS7" s="50" t="s">
        <v>1036</v>
      </c>
      <c r="YT7" s="50" t="s">
        <v>1037</v>
      </c>
      <c r="YU7" s="50" t="s">
        <v>1038</v>
      </c>
      <c r="YV7" s="50" t="s">
        <v>1039</v>
      </c>
      <c r="YW7" s="50" t="s">
        <v>1040</v>
      </c>
      <c r="YX7" s="50" t="s">
        <v>1041</v>
      </c>
      <c r="ZE7" s="50" t="s">
        <v>793</v>
      </c>
      <c r="ZF7" s="50" t="s">
        <v>1056</v>
      </c>
      <c r="ZG7" s="50" t="s">
        <v>1057</v>
      </c>
      <c r="ZH7" s="50" t="s">
        <v>1482</v>
      </c>
      <c r="ZI7" s="50" t="s">
        <v>1483</v>
      </c>
      <c r="ZJ7" s="50" t="s">
        <v>1067</v>
      </c>
      <c r="ZK7" s="50" t="s">
        <v>1061</v>
      </c>
      <c r="ZL7" s="50" t="s">
        <v>1058</v>
      </c>
      <c r="ZM7" s="50" t="s">
        <v>1069</v>
      </c>
      <c r="ZN7" s="50" t="s">
        <v>1068</v>
      </c>
      <c r="ZO7" s="50" t="s">
        <v>1060</v>
      </c>
      <c r="ZP7" s="50" t="s">
        <v>1059</v>
      </c>
      <c r="ZQ7" s="50" t="s">
        <v>794</v>
      </c>
      <c r="ZR7" s="50" t="s">
        <v>795</v>
      </c>
      <c r="ZS7" s="50" t="s">
        <v>796</v>
      </c>
      <c r="ZT7" s="50" t="s">
        <v>797</v>
      </c>
      <c r="ZU7" s="50" t="s">
        <v>1820</v>
      </c>
      <c r="ZV7" s="50" t="s">
        <v>1680</v>
      </c>
      <c r="ZW7" s="50" t="s">
        <v>75</v>
      </c>
      <c r="ZX7" s="50" t="s">
        <v>108</v>
      </c>
      <c r="ZY7" s="50" t="s">
        <v>2789</v>
      </c>
      <c r="ZZ7" s="155" t="s">
        <v>136</v>
      </c>
      <c r="AAA7" s="50" t="s">
        <v>37</v>
      </c>
      <c r="AAB7" s="50" t="s">
        <v>2792</v>
      </c>
      <c r="AAC7" s="50" t="s">
        <v>2781</v>
      </c>
      <c r="AAD7" s="50" t="s">
        <v>2782</v>
      </c>
    </row>
    <row r="8" spans="1:706" s="41" customFormat="1" x14ac:dyDescent="0.2">
      <c r="A8" s="446" t="s">
        <v>15</v>
      </c>
      <c r="B8" s="447" t="s">
        <v>669</v>
      </c>
      <c r="D8" s="361"/>
      <c r="E8" s="361"/>
      <c r="F8" s="361"/>
      <c r="G8" s="361"/>
      <c r="H8" s="361"/>
      <c r="I8" s="361"/>
      <c r="J8" s="361"/>
      <c r="K8" s="361"/>
      <c r="L8" s="361"/>
      <c r="M8" s="361"/>
      <c r="N8" s="361"/>
      <c r="O8" s="361"/>
      <c r="P8" s="361"/>
      <c r="Q8" s="361"/>
      <c r="R8" s="361"/>
      <c r="S8" s="361"/>
      <c r="T8" s="361"/>
      <c r="U8" s="361"/>
      <c r="V8" s="361"/>
      <c r="W8" s="361"/>
      <c r="X8" s="361"/>
      <c r="Y8" s="361"/>
      <c r="Z8" s="361"/>
      <c r="AA8" s="361"/>
      <c r="AB8" s="361"/>
      <c r="AC8" s="361"/>
      <c r="AD8" s="361"/>
      <c r="AE8" s="361"/>
      <c r="AF8" s="361"/>
      <c r="AG8" s="361"/>
      <c r="AH8" s="361"/>
      <c r="AI8" s="361"/>
      <c r="AJ8" s="361"/>
      <c r="AK8" s="361"/>
      <c r="AL8" s="361"/>
      <c r="AM8" s="361"/>
      <c r="AN8" s="361"/>
      <c r="AO8" s="361"/>
      <c r="AP8" s="361"/>
      <c r="AQ8" s="361"/>
      <c r="AR8" s="361"/>
      <c r="AS8" s="361"/>
      <c r="AT8" s="361"/>
      <c r="AU8" s="361"/>
      <c r="AV8" s="361"/>
      <c r="AW8" s="361"/>
      <c r="AX8" s="361"/>
      <c r="AY8" s="361"/>
      <c r="AZ8" s="361"/>
      <c r="BA8" s="361"/>
      <c r="BB8" s="361"/>
      <c r="BC8" s="361"/>
      <c r="BD8" s="361"/>
      <c r="BE8" s="361"/>
      <c r="BF8" s="361"/>
      <c r="BG8" s="361"/>
      <c r="BH8" s="361"/>
      <c r="BI8" s="361"/>
      <c r="BJ8" s="113"/>
      <c r="BK8" s="361"/>
      <c r="BL8" s="361"/>
      <c r="BM8" s="361"/>
      <c r="BN8" s="361"/>
      <c r="BO8" s="361"/>
      <c r="BP8" s="361"/>
      <c r="BQ8" s="361"/>
      <c r="BR8" s="361"/>
      <c r="BS8" s="361"/>
      <c r="BT8" s="361"/>
      <c r="BU8" s="448">
        <v>2010</v>
      </c>
      <c r="BV8" s="448">
        <v>2010</v>
      </c>
      <c r="BW8" s="448">
        <v>2010</v>
      </c>
      <c r="BX8" s="448">
        <v>2010</v>
      </c>
      <c r="BY8" s="448">
        <v>2010</v>
      </c>
      <c r="BZ8" s="360">
        <v>2011</v>
      </c>
      <c r="CA8" s="360">
        <v>2011</v>
      </c>
      <c r="CB8" s="360">
        <v>2011</v>
      </c>
      <c r="CC8" s="360">
        <v>2011</v>
      </c>
      <c r="CD8" s="449">
        <v>2012</v>
      </c>
      <c r="CE8" s="449">
        <v>2012</v>
      </c>
      <c r="CF8" s="449">
        <v>2012</v>
      </c>
      <c r="CG8" s="449">
        <v>2012</v>
      </c>
      <c r="CH8" s="450">
        <v>2013</v>
      </c>
      <c r="CI8" s="6"/>
      <c r="CJ8" s="361"/>
      <c r="CK8" s="361"/>
      <c r="CL8" s="361"/>
      <c r="CM8" s="361"/>
      <c r="CN8" s="361"/>
      <c r="CO8" s="361"/>
      <c r="CP8" s="361"/>
      <c r="CQ8" s="361"/>
      <c r="CR8" s="361"/>
      <c r="CS8" s="361"/>
      <c r="CT8" s="361"/>
      <c r="CU8" s="361"/>
      <c r="CV8" s="361"/>
      <c r="CW8" s="361"/>
      <c r="CX8" s="361"/>
      <c r="CY8" s="375"/>
      <c r="CZ8" s="375"/>
      <c r="DA8" s="375"/>
      <c r="DB8" s="375"/>
      <c r="DC8" s="361"/>
      <c r="DD8" s="361"/>
      <c r="DE8" s="361"/>
      <c r="DF8" s="361"/>
      <c r="DG8" s="361"/>
      <c r="DH8" s="361"/>
      <c r="DN8" s="361"/>
      <c r="DO8" s="361"/>
      <c r="DP8" s="361"/>
      <c r="DQ8" s="79"/>
      <c r="DR8" s="79"/>
      <c r="DS8" s="79"/>
      <c r="DT8" s="79"/>
      <c r="DU8" s="79"/>
      <c r="DV8" s="361"/>
      <c r="DW8" s="375"/>
      <c r="DX8" s="361"/>
      <c r="DY8" s="361"/>
      <c r="DZ8" s="361"/>
      <c r="EA8" s="375"/>
      <c r="EB8" s="375"/>
      <c r="EC8" s="375"/>
      <c r="ED8" s="375"/>
      <c r="EE8" s="361"/>
      <c r="EF8" s="361"/>
      <c r="EG8" s="361"/>
      <c r="EH8" s="361"/>
      <c r="EI8" s="361"/>
      <c r="EJ8" s="361"/>
      <c r="EK8" s="361"/>
      <c r="EL8" s="361"/>
      <c r="EM8" s="361"/>
      <c r="EN8" s="361"/>
      <c r="EO8" s="361"/>
      <c r="EP8" s="361"/>
      <c r="EQ8" s="361"/>
      <c r="ER8" s="361"/>
      <c r="ES8" s="361"/>
      <c r="EZ8" s="361"/>
      <c r="FA8" s="361"/>
      <c r="FB8" s="361"/>
      <c r="FC8" s="361"/>
      <c r="FD8" s="361"/>
      <c r="FE8" s="361"/>
      <c r="FF8" s="361"/>
      <c r="FG8" s="361"/>
      <c r="FH8" s="361"/>
      <c r="FI8" s="361"/>
      <c r="FJ8" s="361"/>
      <c r="FK8" s="361"/>
      <c r="FL8" s="361"/>
      <c r="FM8" s="361"/>
      <c r="FN8" s="361"/>
      <c r="FO8" s="361"/>
      <c r="FP8" s="361"/>
      <c r="FQ8" s="361"/>
      <c r="FR8" s="361"/>
      <c r="FS8" s="361"/>
      <c r="FT8" s="361"/>
      <c r="FU8" s="361"/>
      <c r="FV8" s="361"/>
      <c r="FW8" s="361"/>
      <c r="FX8" s="361"/>
      <c r="FY8" s="361"/>
      <c r="FZ8" s="361"/>
      <c r="GA8" s="361"/>
      <c r="GB8" s="361"/>
      <c r="GC8" s="361"/>
      <c r="GD8" s="361"/>
      <c r="GE8" s="79"/>
      <c r="GF8" s="361"/>
      <c r="GG8" s="361"/>
      <c r="GH8" s="361"/>
      <c r="GI8" s="451"/>
      <c r="GJ8" s="451"/>
      <c r="GK8" s="451"/>
      <c r="GL8" s="361"/>
      <c r="GM8" s="361"/>
      <c r="GN8" s="361"/>
      <c r="GO8" s="79"/>
      <c r="GP8" s="361"/>
      <c r="GQ8" s="361"/>
      <c r="GR8" s="361"/>
      <c r="GS8" s="361"/>
      <c r="GT8" s="361"/>
      <c r="GU8" s="361"/>
      <c r="GV8" s="361"/>
      <c r="GW8" s="361"/>
      <c r="GX8" s="361"/>
      <c r="GY8" s="361"/>
      <c r="GZ8" s="361"/>
      <c r="HA8" s="361"/>
      <c r="HB8" s="361"/>
      <c r="HC8" s="361"/>
      <c r="HD8" s="361"/>
      <c r="HE8" s="361"/>
      <c r="HF8" s="361"/>
      <c r="HG8" s="361"/>
      <c r="HH8" s="361"/>
      <c r="HI8" s="361"/>
      <c r="HJ8" s="451"/>
      <c r="HK8" s="452"/>
      <c r="HL8" s="452"/>
      <c r="HM8" s="452"/>
      <c r="HN8" s="452"/>
      <c r="HO8" s="452"/>
      <c r="HP8" s="79"/>
      <c r="HQ8" s="361"/>
      <c r="HR8" s="361"/>
      <c r="HS8" s="361"/>
      <c r="HT8" s="361"/>
      <c r="HU8" s="361"/>
      <c r="HV8" s="361"/>
      <c r="HW8" s="361"/>
      <c r="HX8" s="433"/>
      <c r="HY8" s="433"/>
      <c r="HZ8" s="366"/>
      <c r="IA8" s="366"/>
      <c r="IB8" s="366"/>
      <c r="IC8" s="377"/>
      <c r="ID8" s="113"/>
      <c r="IE8" s="113"/>
      <c r="IF8" s="113"/>
      <c r="IG8" s="113"/>
      <c r="IH8" s="113"/>
      <c r="II8" s="361"/>
      <c r="IJ8" s="361"/>
      <c r="IK8" s="361"/>
      <c r="IL8" s="361"/>
      <c r="IM8" s="361"/>
      <c r="IN8" s="361"/>
      <c r="IO8" s="113"/>
      <c r="IP8" s="6"/>
      <c r="IQ8" s="389"/>
      <c r="IR8" s="389"/>
      <c r="IS8" s="389"/>
      <c r="IT8" s="361"/>
      <c r="IU8" s="361"/>
      <c r="IV8" s="375"/>
      <c r="IW8" s="375"/>
      <c r="IX8" s="361"/>
      <c r="IY8" s="375"/>
      <c r="IZ8" s="375"/>
      <c r="JA8" s="375"/>
      <c r="JB8" s="361"/>
      <c r="JC8" s="361"/>
      <c r="JD8" s="375"/>
      <c r="JE8" s="375"/>
      <c r="JF8" s="375"/>
      <c r="JG8" s="361"/>
      <c r="JH8" s="361"/>
      <c r="JI8" s="361"/>
      <c r="JJ8" s="361"/>
      <c r="JK8" s="361"/>
      <c r="JL8" s="361"/>
      <c r="JM8" s="361"/>
      <c r="JN8" s="361"/>
      <c r="JO8" s="453"/>
      <c r="JP8" s="361"/>
      <c r="JQ8" s="361"/>
      <c r="JR8" s="361"/>
      <c r="JS8" s="361"/>
      <c r="JT8" s="361"/>
      <c r="JU8" s="361"/>
      <c r="JV8" s="375"/>
      <c r="JW8" s="375"/>
      <c r="JX8" s="77"/>
      <c r="JY8" s="375"/>
      <c r="JZ8" s="361"/>
      <c r="KA8" s="361"/>
      <c r="KB8" s="361"/>
      <c r="KC8" s="361"/>
      <c r="KD8" s="361"/>
      <c r="KE8" s="361"/>
      <c r="KF8" s="361"/>
      <c r="KG8" s="361"/>
      <c r="KH8" s="361"/>
      <c r="KI8" s="361"/>
      <c r="KJ8" s="361"/>
      <c r="KK8" s="361"/>
      <c r="KL8" s="361"/>
      <c r="KM8" s="361"/>
      <c r="KN8" s="361"/>
      <c r="KO8" s="113"/>
      <c r="KP8" s="113"/>
      <c r="KQ8" s="361"/>
      <c r="KR8" s="361"/>
      <c r="KS8" s="361"/>
      <c r="KT8" s="361"/>
      <c r="KU8" s="361"/>
      <c r="KV8" s="361"/>
      <c r="KW8" s="361"/>
      <c r="KX8" s="361"/>
      <c r="KY8" s="361"/>
      <c r="KZ8" s="361"/>
      <c r="LA8" s="361"/>
      <c r="LB8" s="361"/>
      <c r="LC8" s="433"/>
      <c r="LD8" s="433"/>
      <c r="LE8" s="361"/>
      <c r="LF8" s="361"/>
      <c r="LG8" s="361"/>
      <c r="LH8" s="361"/>
      <c r="LI8" s="361"/>
      <c r="LJ8" s="361"/>
      <c r="LK8" s="361"/>
      <c r="LL8" s="361"/>
      <c r="LM8" s="361"/>
      <c r="LN8" s="361"/>
      <c r="LO8" s="361"/>
      <c r="LP8" s="361"/>
      <c r="LQ8" s="361"/>
      <c r="LR8" s="361"/>
      <c r="LS8" s="361"/>
      <c r="LT8" s="361"/>
      <c r="LU8" s="361"/>
      <c r="LV8" s="361"/>
      <c r="LW8" s="361"/>
      <c r="LX8" s="361"/>
      <c r="LY8" s="361"/>
      <c r="LZ8" s="361"/>
      <c r="MA8" s="361"/>
      <c r="MB8" s="361"/>
      <c r="MF8" s="361"/>
      <c r="MG8" s="361"/>
      <c r="MH8" s="361"/>
      <c r="MI8" s="574" t="s">
        <v>2751</v>
      </c>
      <c r="MJ8" s="574" t="s">
        <v>2751</v>
      </c>
      <c r="MK8" s="574" t="s">
        <v>2753</v>
      </c>
      <c r="ML8" s="574" t="s">
        <v>2753</v>
      </c>
      <c r="MM8" s="574" t="s">
        <v>2751</v>
      </c>
      <c r="MN8" s="574" t="s">
        <v>2753</v>
      </c>
      <c r="MO8" s="361"/>
      <c r="MP8" s="361"/>
      <c r="MQ8" s="574" t="s">
        <v>2751</v>
      </c>
      <c r="MR8" s="574" t="s">
        <v>2751</v>
      </c>
      <c r="MS8" s="574" t="s">
        <v>2751</v>
      </c>
      <c r="MT8" s="574" t="s">
        <v>2751</v>
      </c>
      <c r="MU8" s="574" t="s">
        <v>2751</v>
      </c>
      <c r="MV8" s="574" t="s">
        <v>2753</v>
      </c>
      <c r="MW8" s="574" t="s">
        <v>2753</v>
      </c>
      <c r="MX8" s="574" t="s">
        <v>2753</v>
      </c>
      <c r="MY8" s="574" t="s">
        <v>2753</v>
      </c>
      <c r="MZ8" s="574" t="s">
        <v>2751</v>
      </c>
      <c r="NA8" s="574" t="s">
        <v>2753</v>
      </c>
      <c r="NC8" s="388"/>
      <c r="ND8" s="454" t="s">
        <v>1484</v>
      </c>
      <c r="NE8" s="454" t="s">
        <v>1484</v>
      </c>
      <c r="NF8" s="454" t="s">
        <v>1484</v>
      </c>
      <c r="NG8" s="455" t="s">
        <v>1485</v>
      </c>
      <c r="NH8" s="455" t="s">
        <v>1485</v>
      </c>
      <c r="NI8" s="456" t="s">
        <v>1486</v>
      </c>
      <c r="NJ8" s="456" t="s">
        <v>1486</v>
      </c>
      <c r="NK8" s="388"/>
      <c r="NL8" s="388"/>
      <c r="NM8" s="388"/>
      <c r="NN8" s="388"/>
      <c r="NO8" s="388"/>
      <c r="NP8" s="388"/>
      <c r="NQ8" s="388"/>
      <c r="NR8" s="388"/>
      <c r="NS8" s="388"/>
      <c r="NT8" s="388"/>
      <c r="NU8" s="388"/>
      <c r="NV8" s="388"/>
      <c r="NW8" s="388"/>
      <c r="NX8" s="388"/>
      <c r="NY8" s="361"/>
      <c r="NZ8" s="361"/>
      <c r="OA8" s="361"/>
      <c r="OB8" s="457"/>
      <c r="OC8" s="361"/>
      <c r="OD8" s="361"/>
      <c r="OE8" s="361"/>
      <c r="OF8" s="361"/>
      <c r="OG8" s="361"/>
      <c r="OH8" s="361"/>
      <c r="OI8" s="361"/>
      <c r="OJ8" s="361"/>
      <c r="OK8" s="361"/>
      <c r="OL8" s="361"/>
      <c r="OM8" s="361"/>
      <c r="ON8" s="361"/>
      <c r="OO8" s="361"/>
      <c r="OP8" s="361"/>
      <c r="OQ8" s="361"/>
      <c r="OR8" s="361"/>
      <c r="OS8" s="361"/>
      <c r="OT8" s="361"/>
      <c r="OU8" s="361"/>
      <c r="OV8" s="361"/>
      <c r="OW8" s="361"/>
      <c r="OX8" s="361"/>
      <c r="OY8" s="361"/>
      <c r="OZ8" s="361"/>
      <c r="PA8" s="361"/>
      <c r="PB8" s="361"/>
      <c r="PC8" s="361"/>
      <c r="PD8" s="361"/>
      <c r="PE8" s="361"/>
      <c r="PF8" s="361"/>
      <c r="PG8" s="361"/>
      <c r="PH8" s="361"/>
      <c r="PI8" s="361"/>
      <c r="PJ8" s="361"/>
      <c r="PK8" s="361"/>
      <c r="PL8" s="361"/>
      <c r="PM8" s="361"/>
      <c r="PN8" s="361"/>
      <c r="PO8" s="361"/>
      <c r="PP8" s="113" t="s">
        <v>1487</v>
      </c>
      <c r="PQ8" s="113" t="s">
        <v>1487</v>
      </c>
      <c r="PR8" s="113" t="s">
        <v>1487</v>
      </c>
      <c r="PS8" s="113" t="s">
        <v>1487</v>
      </c>
      <c r="PT8" s="113" t="s">
        <v>1487</v>
      </c>
      <c r="PU8" s="113" t="s">
        <v>1487</v>
      </c>
      <c r="PV8" s="113" t="s">
        <v>1487</v>
      </c>
      <c r="PW8" s="113"/>
      <c r="PX8" s="361"/>
      <c r="PY8" s="361"/>
      <c r="PZ8" s="361"/>
      <c r="QA8" s="361"/>
      <c r="QB8" s="361"/>
      <c r="QC8" s="361"/>
      <c r="QD8" s="361"/>
      <c r="QE8" s="361"/>
      <c r="QF8" s="361"/>
      <c r="QG8" s="361"/>
      <c r="QH8" s="361"/>
      <c r="QI8" s="361"/>
      <c r="QJ8" s="361"/>
      <c r="QK8" s="361"/>
      <c r="QL8" s="361"/>
      <c r="QM8" s="12"/>
      <c r="QN8" s="361"/>
      <c r="QO8" s="361"/>
      <c r="QP8" s="361"/>
      <c r="QQ8" s="361"/>
      <c r="QR8" s="361"/>
      <c r="QS8" s="361"/>
      <c r="QT8" s="361"/>
      <c r="QU8" s="454" t="s">
        <v>1484</v>
      </c>
      <c r="QV8" s="455" t="s">
        <v>1485</v>
      </c>
      <c r="QW8" s="361"/>
      <c r="QX8" s="361"/>
      <c r="QY8" s="361"/>
      <c r="QZ8" s="361"/>
      <c r="RA8" s="361"/>
      <c r="RB8" s="361"/>
      <c r="RC8" s="454" t="s">
        <v>1484</v>
      </c>
      <c r="RD8" s="454" t="s">
        <v>1484</v>
      </c>
      <c r="RE8" s="454" t="s">
        <v>1484</v>
      </c>
      <c r="RF8" s="455" t="s">
        <v>1485</v>
      </c>
      <c r="RG8" s="455" t="s">
        <v>1485</v>
      </c>
      <c r="RH8" s="361"/>
      <c r="RI8" s="361"/>
      <c r="RJ8" s="361"/>
      <c r="RK8" s="361"/>
      <c r="RL8" s="456" t="s">
        <v>1486</v>
      </c>
      <c r="RM8" s="454" t="s">
        <v>1484</v>
      </c>
      <c r="RN8" s="455" t="s">
        <v>1485</v>
      </c>
      <c r="RO8" s="455"/>
      <c r="RP8" s="454" t="s">
        <v>1484</v>
      </c>
      <c r="RQ8" s="455" t="s">
        <v>1485</v>
      </c>
      <c r="RR8" s="455"/>
      <c r="RS8" s="361"/>
      <c r="RT8" s="361"/>
      <c r="RU8" s="361"/>
      <c r="RV8" s="361"/>
      <c r="RW8" s="361"/>
      <c r="RX8" s="454" t="s">
        <v>1484</v>
      </c>
      <c r="RY8" s="455" t="s">
        <v>1485</v>
      </c>
      <c r="RZ8" s="361"/>
      <c r="SA8" s="361"/>
      <c r="SB8" s="361"/>
      <c r="SC8" s="454" t="s">
        <v>1484</v>
      </c>
      <c r="SD8" s="454" t="s">
        <v>1484</v>
      </c>
      <c r="SE8" s="455" t="s">
        <v>1485</v>
      </c>
      <c r="SF8" s="455" t="s">
        <v>1485</v>
      </c>
      <c r="SG8" s="361"/>
      <c r="SH8" s="361"/>
      <c r="SI8" s="454" t="s">
        <v>1484</v>
      </c>
      <c r="SJ8" s="455" t="s">
        <v>1485</v>
      </c>
      <c r="SK8" s="361"/>
      <c r="SL8" s="361"/>
      <c r="SM8" s="361"/>
      <c r="SN8" s="454" t="s">
        <v>1484</v>
      </c>
      <c r="SO8" s="455" t="s">
        <v>1485</v>
      </c>
      <c r="SP8" s="454" t="s">
        <v>1484</v>
      </c>
      <c r="SQ8" s="455" t="s">
        <v>1485</v>
      </c>
      <c r="SR8" s="436"/>
      <c r="SS8" s="436"/>
      <c r="ST8" s="436"/>
      <c r="SU8" s="436"/>
      <c r="SV8" s="436"/>
      <c r="SW8" s="436"/>
      <c r="SX8" s="436"/>
      <c r="SY8" s="436"/>
      <c r="SZ8" s="436"/>
      <c r="TA8" s="436"/>
      <c r="TB8" s="454" t="s">
        <v>1484</v>
      </c>
      <c r="TC8" s="454" t="s">
        <v>1484</v>
      </c>
      <c r="TD8" s="455" t="s">
        <v>1485</v>
      </c>
      <c r="TE8" s="455" t="s">
        <v>1485</v>
      </c>
      <c r="TF8" s="455"/>
      <c r="TG8" s="455"/>
      <c r="TH8" s="436"/>
      <c r="TI8" s="436"/>
      <c r="TJ8" s="436"/>
      <c r="TK8" s="436"/>
      <c r="TL8" s="436"/>
      <c r="TM8" s="436"/>
      <c r="TN8" s="436"/>
      <c r="TO8" s="436"/>
      <c r="TP8" s="436"/>
      <c r="TQ8" s="436"/>
      <c r="TR8" s="436"/>
      <c r="TS8" s="436"/>
      <c r="TT8" s="436"/>
      <c r="TU8" s="436"/>
      <c r="TV8" s="436"/>
      <c r="TW8" s="361"/>
      <c r="TX8" s="361"/>
      <c r="TY8" s="361"/>
      <c r="TZ8" s="361"/>
      <c r="UA8" s="361"/>
      <c r="UB8" s="454" t="s">
        <v>1484</v>
      </c>
      <c r="UC8" s="455" t="s">
        <v>1485</v>
      </c>
      <c r="UD8" s="361"/>
      <c r="UE8" s="361"/>
      <c r="UF8" s="361"/>
      <c r="UG8" s="361"/>
      <c r="UH8" s="361"/>
      <c r="UI8" s="361"/>
      <c r="UJ8" s="361"/>
      <c r="UK8" s="361"/>
      <c r="UL8" s="361"/>
      <c r="UM8" s="361"/>
      <c r="UN8" s="361"/>
      <c r="UO8" s="361"/>
      <c r="UP8" s="361"/>
      <c r="UQ8" s="361"/>
      <c r="UR8" s="361"/>
      <c r="US8" s="361"/>
      <c r="UT8" s="361"/>
      <c r="UU8" s="361"/>
      <c r="UX8" s="454" t="s">
        <v>1484</v>
      </c>
      <c r="UY8" s="455" t="s">
        <v>1485</v>
      </c>
      <c r="UZ8" s="361"/>
      <c r="VA8" s="361"/>
      <c r="VB8" s="361"/>
      <c r="VC8" s="361"/>
      <c r="VD8" s="361"/>
      <c r="VE8" s="361"/>
      <c r="VF8" s="361"/>
      <c r="VG8" s="361"/>
      <c r="VH8" s="361"/>
      <c r="VI8" s="361"/>
      <c r="VJ8" s="361"/>
      <c r="VK8" s="361"/>
      <c r="VL8" s="361"/>
      <c r="VM8" s="361"/>
      <c r="VN8" s="385"/>
      <c r="VO8" s="385"/>
      <c r="VP8" s="385"/>
      <c r="VQ8" s="385"/>
      <c r="VR8" s="385"/>
      <c r="VS8" s="385"/>
      <c r="VT8" s="361"/>
      <c r="VU8" s="361"/>
      <c r="VV8" s="361"/>
      <c r="VW8" s="385"/>
      <c r="VX8" s="79"/>
      <c r="VY8" s="113"/>
      <c r="VZ8" s="113"/>
      <c r="WA8" s="79"/>
      <c r="WB8" s="79"/>
      <c r="WC8" s="79"/>
      <c r="WD8" s="79"/>
      <c r="WE8" s="453"/>
      <c r="WF8" s="128" t="s">
        <v>2766</v>
      </c>
      <c r="WG8" s="128" t="s">
        <v>2766</v>
      </c>
      <c r="WH8" s="128" t="s">
        <v>2767</v>
      </c>
      <c r="WI8" s="128" t="s">
        <v>2766</v>
      </c>
      <c r="WJ8" s="128" t="s">
        <v>2767</v>
      </c>
      <c r="WK8" s="389"/>
      <c r="WL8" s="576" t="s">
        <v>2766</v>
      </c>
      <c r="WM8" s="576" t="s">
        <v>2766</v>
      </c>
      <c r="WN8" s="576" t="s">
        <v>2766</v>
      </c>
      <c r="WO8" s="576" t="s">
        <v>2766</v>
      </c>
      <c r="WP8" s="576" t="s">
        <v>2766</v>
      </c>
      <c r="WQ8" s="576" t="s">
        <v>2766</v>
      </c>
      <c r="WR8" s="576" t="s">
        <v>2767</v>
      </c>
      <c r="WS8" s="576" t="s">
        <v>2767</v>
      </c>
      <c r="WT8" s="576" t="s">
        <v>2766</v>
      </c>
      <c r="WU8" s="128" t="s">
        <v>2767</v>
      </c>
      <c r="WV8" s="458"/>
      <c r="WW8" s="361"/>
      <c r="WX8" s="361"/>
      <c r="WY8" s="361"/>
      <c r="WZ8" s="361"/>
      <c r="XA8" s="361"/>
      <c r="XB8" s="361"/>
      <c r="XC8" s="361"/>
      <c r="XK8" s="85"/>
      <c r="XL8" s="85"/>
      <c r="XM8" s="85"/>
      <c r="XN8" s="85"/>
      <c r="XO8" s="85"/>
      <c r="XP8" s="85"/>
      <c r="XQ8" s="85"/>
      <c r="XR8" s="85"/>
      <c r="XS8" s="85"/>
      <c r="YD8" s="361"/>
      <c r="YE8" s="361"/>
      <c r="YF8" s="361"/>
      <c r="YG8" s="361"/>
      <c r="YH8" s="361"/>
      <c r="YI8" s="388"/>
      <c r="YJ8" s="361"/>
      <c r="YK8" s="361"/>
      <c r="YL8" s="361"/>
      <c r="YM8" s="361"/>
      <c r="YN8" s="361"/>
      <c r="YO8" s="361"/>
      <c r="YP8" s="459"/>
      <c r="YQ8" s="361"/>
      <c r="YR8" s="361"/>
      <c r="ZC8" s="361"/>
      <c r="ZD8" s="361"/>
      <c r="ZE8" s="13"/>
      <c r="ZF8" s="13"/>
      <c r="ZG8" s="13"/>
      <c r="ZH8" s="13"/>
      <c r="ZI8" s="13"/>
      <c r="ZJ8" s="13"/>
      <c r="ZK8" s="13"/>
      <c r="ZL8" s="13"/>
      <c r="ZM8" s="13"/>
      <c r="ZN8" s="13"/>
      <c r="ZO8" s="13"/>
      <c r="ZP8" s="13"/>
      <c r="ZQ8" s="47" t="s">
        <v>798</v>
      </c>
      <c r="ZR8" s="47" t="s">
        <v>784</v>
      </c>
      <c r="ZS8" s="13"/>
      <c r="ZT8" s="13"/>
      <c r="ZU8" s="13"/>
      <c r="ZV8" s="13"/>
      <c r="ZW8" s="13"/>
      <c r="ZX8" s="13"/>
      <c r="ZY8" s="13"/>
      <c r="ZZ8" s="577"/>
      <c r="AAA8" s="13"/>
      <c r="AAB8" s="13"/>
      <c r="AAC8" s="13"/>
      <c r="AAD8" s="13"/>
    </row>
    <row r="9" spans="1:706" s="13" customFormat="1" x14ac:dyDescent="0.2">
      <c r="A9" s="15" t="s">
        <v>16</v>
      </c>
      <c r="B9" s="5" t="s">
        <v>670</v>
      </c>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7"/>
      <c r="BK9" s="6"/>
      <c r="BL9" s="6"/>
      <c r="BM9" s="6"/>
      <c r="BN9" s="6"/>
      <c r="BO9" s="6"/>
      <c r="BP9" s="6"/>
      <c r="BQ9" s="6"/>
      <c r="BR9" s="6"/>
      <c r="BS9" s="6"/>
      <c r="BT9" s="6"/>
      <c r="BU9" s="6" t="s">
        <v>1488</v>
      </c>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N9" s="6"/>
      <c r="DO9" s="6"/>
      <c r="DP9" s="6"/>
      <c r="DQ9" s="49"/>
      <c r="DR9" s="49"/>
      <c r="DS9" s="49"/>
      <c r="DT9" s="49"/>
      <c r="DU9" s="49"/>
      <c r="DV9" s="6"/>
      <c r="DW9" s="11"/>
      <c r="DX9" s="6"/>
      <c r="DY9" s="6"/>
      <c r="DZ9" s="6"/>
      <c r="EA9" s="11"/>
      <c r="EB9" s="11"/>
      <c r="EC9" s="11"/>
      <c r="ED9" s="11"/>
      <c r="EE9" s="6"/>
      <c r="EF9" s="6"/>
      <c r="EG9" s="6"/>
      <c r="EH9" s="6"/>
      <c r="EI9" s="6"/>
      <c r="EJ9" s="6"/>
      <c r="EK9" s="6"/>
      <c r="EL9" s="6"/>
      <c r="EM9" s="6"/>
      <c r="EN9" s="6"/>
      <c r="EO9" s="6"/>
      <c r="EP9" s="6"/>
      <c r="EQ9" s="6"/>
      <c r="ER9" s="6"/>
      <c r="ES9" s="6"/>
      <c r="EZ9" s="6"/>
      <c r="FA9" s="6"/>
      <c r="FB9" s="6"/>
      <c r="FC9" s="6"/>
      <c r="FD9" s="6"/>
      <c r="FE9" s="6"/>
      <c r="FF9" s="6"/>
      <c r="FG9" s="6"/>
      <c r="FH9" s="6"/>
      <c r="FI9" s="6"/>
      <c r="FJ9" s="6"/>
      <c r="FK9" s="6"/>
      <c r="FL9" s="6"/>
      <c r="FM9" s="6"/>
      <c r="FN9" s="6"/>
      <c r="FO9" s="6"/>
      <c r="FP9" s="6"/>
      <c r="FQ9" s="6"/>
      <c r="FR9" s="6"/>
      <c r="FS9" s="6"/>
      <c r="FT9" s="6"/>
      <c r="FU9" s="6"/>
      <c r="FV9" s="6"/>
      <c r="GB9" s="6"/>
      <c r="GC9" s="6"/>
      <c r="GD9" s="6"/>
      <c r="GE9" s="79"/>
      <c r="GF9" s="6"/>
      <c r="GG9" s="6"/>
      <c r="GH9" s="6"/>
      <c r="GI9" s="84"/>
      <c r="GJ9" s="84"/>
      <c r="GK9" s="84"/>
      <c r="GL9" s="6"/>
      <c r="GM9" s="6"/>
      <c r="GN9" s="6"/>
      <c r="GO9" s="49"/>
      <c r="GP9" s="6"/>
      <c r="GQ9" s="6"/>
      <c r="GR9" s="6"/>
      <c r="GS9" s="6"/>
      <c r="GT9" s="6"/>
      <c r="GU9" s="6"/>
      <c r="GV9" s="6"/>
      <c r="GW9" s="6"/>
      <c r="GX9" s="6"/>
      <c r="GY9" s="6"/>
      <c r="GZ9" s="6"/>
      <c r="HA9" s="6"/>
      <c r="HB9" s="6"/>
      <c r="HC9" s="6"/>
      <c r="HD9" s="6"/>
      <c r="HE9" s="6"/>
      <c r="HF9" s="6"/>
      <c r="HG9" s="6"/>
      <c r="HH9" s="6"/>
      <c r="HI9" s="6"/>
      <c r="HJ9" s="84"/>
      <c r="HK9" s="6"/>
      <c r="HL9" s="6"/>
      <c r="HM9" s="6"/>
      <c r="HN9" s="6"/>
      <c r="HO9" s="6"/>
      <c r="HP9" s="49"/>
      <c r="HQ9" s="6"/>
      <c r="HR9" s="6"/>
      <c r="HS9" s="6"/>
      <c r="HT9" s="6"/>
      <c r="HU9" s="6"/>
      <c r="HV9" s="6"/>
      <c r="HW9" s="6"/>
      <c r="HX9" s="460"/>
      <c r="HY9" s="460"/>
      <c r="HZ9" s="12"/>
      <c r="IA9" s="12"/>
      <c r="IB9" s="12"/>
      <c r="IC9" s="269"/>
      <c r="ID9" s="7"/>
      <c r="IE9" s="7"/>
      <c r="IF9" s="7"/>
      <c r="IG9" s="7"/>
      <c r="IH9" s="7"/>
      <c r="II9" s="6"/>
      <c r="IJ9" s="6"/>
      <c r="IK9" s="6"/>
      <c r="IL9" s="6"/>
      <c r="IM9" s="6"/>
      <c r="IN9" s="6"/>
      <c r="IO9" s="7"/>
      <c r="IP9" s="11"/>
      <c r="IQ9" s="6"/>
      <c r="IR9" s="6"/>
      <c r="IS9" s="6"/>
      <c r="IT9" s="6"/>
      <c r="IU9" s="6"/>
      <c r="IV9" s="11"/>
      <c r="IW9" s="11"/>
      <c r="IX9" s="6"/>
      <c r="IY9" s="11"/>
      <c r="IZ9" s="11"/>
      <c r="JA9" s="11"/>
      <c r="JB9" s="6"/>
      <c r="JC9" s="6"/>
      <c r="JD9" s="11"/>
      <c r="JE9" s="11"/>
      <c r="JF9" s="11"/>
      <c r="JG9" s="6"/>
      <c r="JH9" s="6"/>
      <c r="JI9" s="6"/>
      <c r="JJ9" s="6"/>
      <c r="JK9" s="6"/>
      <c r="JL9" s="6"/>
      <c r="JM9" s="6"/>
      <c r="JN9" s="6"/>
      <c r="JO9" s="73"/>
      <c r="JP9" s="6"/>
      <c r="JQ9" s="164"/>
      <c r="JR9" s="164"/>
      <c r="JS9" s="164"/>
      <c r="JT9" s="6"/>
      <c r="JU9" s="6"/>
      <c r="JV9" s="11"/>
      <c r="JW9" s="11"/>
      <c r="JX9" s="6"/>
      <c r="JY9" s="11"/>
      <c r="JZ9" s="6"/>
      <c r="KA9" s="6"/>
      <c r="KB9" s="6"/>
      <c r="KC9" s="6"/>
      <c r="KD9" s="6"/>
      <c r="KE9" s="6"/>
      <c r="KF9" s="6"/>
      <c r="KG9" s="6"/>
      <c r="KH9" s="6"/>
      <c r="KI9" s="6"/>
      <c r="KJ9" s="6"/>
      <c r="KK9" s="6"/>
      <c r="KL9" s="6"/>
      <c r="KM9" s="6"/>
      <c r="KN9" s="6"/>
      <c r="KO9" s="6"/>
      <c r="KP9" s="6"/>
      <c r="KQ9" s="6"/>
      <c r="KR9" s="6"/>
      <c r="KS9" s="6"/>
      <c r="KT9" s="6"/>
      <c r="KU9" s="6"/>
      <c r="KV9" s="6"/>
      <c r="KW9" s="6"/>
      <c r="KX9" s="6"/>
      <c r="KY9" s="6"/>
      <c r="KZ9" s="6"/>
      <c r="LA9" s="6"/>
      <c r="LB9" s="6"/>
      <c r="LC9" s="460"/>
      <c r="LD9" s="460"/>
      <c r="LE9" s="6"/>
      <c r="LF9" s="6"/>
      <c r="LG9" s="6"/>
      <c r="LH9" s="6"/>
      <c r="LI9" s="6"/>
      <c r="LJ9" s="6"/>
      <c r="LK9" s="6"/>
      <c r="LL9" s="6"/>
      <c r="LM9" s="6"/>
      <c r="LN9" s="6"/>
      <c r="LO9" s="6">
        <f>COUNT(LO34:LO161)</f>
        <v>0</v>
      </c>
      <c r="LP9" s="6"/>
      <c r="LQ9" s="6"/>
      <c r="LR9" s="6"/>
      <c r="LS9" s="6"/>
      <c r="LT9" s="6"/>
      <c r="LU9" s="6"/>
      <c r="LV9" s="6"/>
      <c r="LW9" s="6"/>
      <c r="LX9" s="6"/>
      <c r="LY9" s="6"/>
      <c r="LZ9" s="6"/>
      <c r="MA9" s="6"/>
      <c r="MB9" s="6"/>
      <c r="MC9" s="361"/>
      <c r="MD9" s="361"/>
      <c r="ME9" s="361"/>
      <c r="MF9" s="6"/>
      <c r="MG9" s="6"/>
      <c r="MH9" s="6"/>
      <c r="MI9" s="6"/>
      <c r="MJ9" s="6"/>
      <c r="MK9" s="6"/>
      <c r="ML9" s="6"/>
      <c r="MM9" s="6"/>
      <c r="MN9" s="6"/>
      <c r="MO9" s="6"/>
      <c r="MP9" s="6"/>
      <c r="MQ9" s="6"/>
      <c r="MR9" s="6"/>
      <c r="MS9" s="6"/>
      <c r="MT9" s="6"/>
      <c r="MU9" s="6"/>
      <c r="MV9" s="6"/>
      <c r="MW9" s="6"/>
      <c r="MX9" s="6"/>
      <c r="MY9" s="6"/>
      <c r="MZ9" s="6"/>
      <c r="NA9" s="6"/>
      <c r="NB9" s="6"/>
      <c r="NC9" s="98"/>
      <c r="ND9" s="98"/>
      <c r="NE9" s="98"/>
      <c r="NF9" s="98"/>
      <c r="NG9" s="98"/>
      <c r="NH9" s="98"/>
      <c r="NI9" s="98"/>
      <c r="NJ9" s="98"/>
      <c r="NK9" s="98"/>
      <c r="NL9" s="98"/>
      <c r="NM9" s="98"/>
      <c r="NN9" s="98"/>
      <c r="NO9" s="98"/>
      <c r="NP9" s="98"/>
      <c r="NQ9" s="98"/>
      <c r="NR9" s="98"/>
      <c r="NS9" s="98"/>
      <c r="NT9" s="98"/>
      <c r="NU9" s="98"/>
      <c r="NV9" s="98"/>
      <c r="NW9" s="98"/>
      <c r="NX9" s="98"/>
      <c r="NY9" s="6"/>
      <c r="NZ9" s="6"/>
      <c r="OA9" s="6"/>
      <c r="OB9" s="6"/>
      <c r="OC9" s="6"/>
      <c r="OD9" s="6"/>
      <c r="OE9" s="6"/>
      <c r="OF9" s="6"/>
      <c r="OG9" s="164"/>
      <c r="OH9" s="164"/>
      <c r="OI9" s="6"/>
      <c r="OJ9" s="6"/>
      <c r="OK9" s="6"/>
      <c r="OL9" s="6"/>
      <c r="OM9" s="6"/>
      <c r="ON9" s="6"/>
      <c r="OO9" s="6"/>
      <c r="OP9" s="6"/>
      <c r="OQ9" s="6"/>
      <c r="OR9" s="6"/>
      <c r="OS9" s="6"/>
      <c r="OT9" s="6"/>
      <c r="OU9" s="6"/>
      <c r="OV9" s="6"/>
      <c r="OW9" s="6"/>
      <c r="OX9" s="6"/>
      <c r="OY9" s="6"/>
      <c r="OZ9" s="6"/>
      <c r="PA9" s="6"/>
      <c r="PB9" s="6"/>
      <c r="PC9" s="6"/>
      <c r="PD9" s="6"/>
      <c r="PE9" s="6"/>
      <c r="PF9" s="6"/>
      <c r="PG9" s="6"/>
      <c r="PH9" s="6"/>
      <c r="PI9" s="6"/>
      <c r="PJ9" s="6"/>
      <c r="PK9" s="6"/>
      <c r="PL9" s="6"/>
      <c r="PM9" s="6"/>
      <c r="PN9" s="6"/>
      <c r="PO9" s="6"/>
      <c r="PP9" s="6"/>
      <c r="PQ9" s="6"/>
      <c r="PR9" s="6"/>
      <c r="PS9" s="6"/>
      <c r="PT9" s="6"/>
      <c r="PU9" s="6"/>
      <c r="PV9" s="6"/>
      <c r="PW9" s="6"/>
      <c r="PX9" s="6"/>
      <c r="PY9" s="6"/>
      <c r="PZ9" s="6"/>
      <c r="QA9" s="6"/>
      <c r="QB9" s="6"/>
      <c r="QC9" s="6"/>
      <c r="QD9" s="6"/>
      <c r="QE9" s="6"/>
      <c r="QF9" s="6"/>
      <c r="QG9" s="6"/>
      <c r="QH9" s="6"/>
      <c r="QI9" s="6"/>
      <c r="QJ9" s="6"/>
      <c r="QK9" s="6"/>
      <c r="QL9" s="6"/>
      <c r="QM9" s="6"/>
      <c r="QN9" s="6"/>
      <c r="QO9" s="6"/>
      <c r="QP9" s="6"/>
      <c r="QQ9" s="6"/>
      <c r="QR9" s="6"/>
      <c r="QS9" s="6"/>
      <c r="QT9" s="6"/>
      <c r="QU9" s="6"/>
      <c r="QV9" s="6"/>
      <c r="QW9" s="6"/>
      <c r="QX9" s="6"/>
      <c r="QY9" s="164"/>
      <c r="QZ9" s="164"/>
      <c r="RA9" s="164"/>
      <c r="RB9" s="6"/>
      <c r="RC9" s="6"/>
      <c r="RD9" s="6"/>
      <c r="RE9" s="6"/>
      <c r="RF9" s="6"/>
      <c r="RG9" s="6"/>
      <c r="RH9" s="6"/>
      <c r="RI9" s="6"/>
      <c r="RJ9" s="6"/>
      <c r="RK9" s="6"/>
      <c r="RL9" s="6"/>
      <c r="RM9" s="6"/>
      <c r="RN9" s="6"/>
      <c r="RO9" s="6"/>
      <c r="RP9" s="6"/>
      <c r="RQ9" s="6"/>
      <c r="RR9" s="6"/>
      <c r="RS9" s="6"/>
      <c r="RT9" s="6"/>
      <c r="RU9" s="164"/>
      <c r="RV9" s="164"/>
      <c r="RW9" s="164"/>
      <c r="RX9" s="6"/>
      <c r="RY9" s="6"/>
      <c r="RZ9" s="6"/>
      <c r="SA9" s="6"/>
      <c r="SB9" s="6"/>
      <c r="SC9" s="6"/>
      <c r="SD9" s="6"/>
      <c r="SE9" s="6"/>
      <c r="SF9" s="6"/>
      <c r="SG9" s="6"/>
      <c r="SH9" s="6"/>
      <c r="SI9" s="6"/>
      <c r="SJ9" s="6"/>
      <c r="SK9" s="6"/>
      <c r="SL9" s="6"/>
      <c r="SM9" s="6"/>
      <c r="SN9" s="6"/>
      <c r="SO9" s="6"/>
      <c r="SP9" s="6"/>
      <c r="SQ9" s="6"/>
      <c r="SR9" s="6"/>
      <c r="SS9" s="6"/>
      <c r="ST9" s="164"/>
      <c r="SU9" s="164"/>
      <c r="SV9" s="164"/>
      <c r="SW9" s="6"/>
      <c r="SX9" s="6"/>
      <c r="SY9" s="6"/>
      <c r="SZ9" s="6"/>
      <c r="TA9" s="6"/>
      <c r="TB9" s="6"/>
      <c r="TC9" s="6"/>
      <c r="TD9" s="6"/>
      <c r="TE9" s="6"/>
      <c r="TF9" s="6"/>
      <c r="TG9" s="6"/>
      <c r="TH9" s="6"/>
      <c r="TI9" s="6"/>
      <c r="TJ9" s="6"/>
      <c r="TK9" s="401"/>
      <c r="TL9" s="401"/>
      <c r="TM9" s="401"/>
      <c r="TN9" s="531"/>
      <c r="TO9" s="531"/>
      <c r="TP9" s="401"/>
      <c r="TQ9" s="6"/>
      <c r="TR9" s="6"/>
      <c r="TS9" s="6"/>
      <c r="TT9" s="6"/>
      <c r="TU9" s="6"/>
      <c r="TV9" s="6"/>
      <c r="TW9" s="6"/>
      <c r="TX9" s="6"/>
      <c r="TY9" s="164"/>
      <c r="TZ9" s="164"/>
      <c r="UA9" s="164"/>
      <c r="UB9" s="6"/>
      <c r="UC9" s="6"/>
      <c r="UD9" s="6"/>
      <c r="UE9" s="6"/>
      <c r="UF9" s="6"/>
      <c r="UG9" s="6"/>
      <c r="UH9" s="6"/>
      <c r="UI9" s="6"/>
      <c r="UJ9" s="6"/>
      <c r="UK9" s="6"/>
      <c r="UL9" s="6"/>
      <c r="UM9" s="6"/>
      <c r="UN9" s="6"/>
      <c r="UO9" s="6"/>
      <c r="UP9" s="6"/>
      <c r="UQ9" s="6"/>
      <c r="UR9" s="6"/>
      <c r="US9" s="164"/>
      <c r="UT9" s="164"/>
      <c r="UU9" s="164"/>
      <c r="UX9" s="6"/>
      <c r="UY9" s="6"/>
      <c r="UZ9" s="6"/>
      <c r="VA9" s="6"/>
      <c r="VB9" s="6"/>
      <c r="VC9" s="6"/>
      <c r="VD9" s="6"/>
      <c r="VE9" s="6"/>
      <c r="VF9" s="6"/>
      <c r="VG9" s="6"/>
      <c r="VH9" s="6"/>
      <c r="VI9" s="6"/>
      <c r="VJ9" s="6"/>
      <c r="VK9" s="6"/>
      <c r="VL9" s="6"/>
      <c r="VM9" s="6"/>
      <c r="VN9" s="8"/>
      <c r="VO9" s="8"/>
      <c r="VP9" s="8"/>
      <c r="VQ9" s="8"/>
      <c r="VR9" s="8"/>
      <c r="VS9" s="8"/>
      <c r="VT9" s="164"/>
      <c r="VU9" s="164"/>
      <c r="VV9" s="164"/>
      <c r="VW9" s="8"/>
      <c r="VX9" s="71"/>
      <c r="WA9" s="71"/>
      <c r="WB9" s="572"/>
      <c r="WC9" s="572"/>
      <c r="WD9" s="572"/>
      <c r="WE9" s="74"/>
      <c r="WF9" s="77"/>
      <c r="WG9" s="77"/>
      <c r="WH9" s="77"/>
      <c r="WI9" s="77"/>
      <c r="WJ9" s="77"/>
      <c r="WK9" s="77"/>
      <c r="WL9" s="75"/>
      <c r="WU9" s="75"/>
      <c r="WV9" s="75"/>
      <c r="WW9" s="6"/>
      <c r="WX9" s="6"/>
      <c r="WY9" s="6"/>
      <c r="WZ9" s="6"/>
      <c r="XA9" s="6"/>
      <c r="XB9" s="6"/>
      <c r="XC9" s="6"/>
      <c r="XK9" s="87"/>
      <c r="XL9" s="87"/>
      <c r="XM9" s="87"/>
      <c r="XN9" s="87"/>
      <c r="XO9" s="87"/>
      <c r="XP9" s="87"/>
      <c r="XQ9" s="87"/>
      <c r="XR9" s="87"/>
      <c r="XS9" s="87"/>
      <c r="YD9" s="6"/>
      <c r="YE9" s="6"/>
      <c r="YF9" s="6"/>
      <c r="YG9" s="6"/>
      <c r="YH9" s="6"/>
      <c r="YI9" s="98"/>
      <c r="YJ9" s="6"/>
      <c r="YK9" s="6"/>
      <c r="YL9" s="6"/>
      <c r="YM9" s="6"/>
      <c r="YN9" s="6"/>
      <c r="YO9" s="6"/>
      <c r="YP9" s="337"/>
      <c r="YQ9" s="6"/>
      <c r="YR9" s="6"/>
      <c r="ZC9" s="6"/>
      <c r="ZD9" s="6"/>
      <c r="ZZ9" s="577"/>
    </row>
    <row r="10" spans="1:706" s="13" customFormat="1" x14ac:dyDescent="0.2">
      <c r="A10" s="15" t="s">
        <v>11</v>
      </c>
      <c r="B10" s="23">
        <v>41639</v>
      </c>
      <c r="C10" s="21">
        <f>COUNTIFS(C33:C502,"2",AL33:AL502,"Y",E33:E502,"4")+COUNTIFS(C33:C502,"2",E33:E502,"1")</f>
        <v>0</v>
      </c>
      <c r="D10" s="6"/>
      <c r="E10" s="6"/>
      <c r="F10" s="6"/>
      <c r="G10" s="6"/>
      <c r="H10" s="6"/>
      <c r="I10" s="6"/>
      <c r="J10" s="6"/>
      <c r="K10" s="6"/>
      <c r="L10" s="6"/>
      <c r="M10" s="6"/>
      <c r="N10" s="6"/>
      <c r="O10" s="6"/>
      <c r="P10" s="6"/>
      <c r="Q10" s="6"/>
      <c r="R10" s="6"/>
      <c r="S10" s="6"/>
      <c r="T10" s="6"/>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6"/>
      <c r="BH10" s="6"/>
      <c r="BI10" s="6"/>
      <c r="BJ10" s="10"/>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9"/>
      <c r="CN10" s="9"/>
      <c r="CO10" s="9"/>
      <c r="CP10" s="6"/>
      <c r="CQ10" s="6"/>
      <c r="CR10" s="6"/>
      <c r="CS10" s="6"/>
      <c r="CT10" s="6"/>
      <c r="CU10" s="6"/>
      <c r="CV10" s="6"/>
      <c r="CW10" s="6"/>
      <c r="CX10" s="9"/>
      <c r="CY10" s="9"/>
      <c r="CZ10" s="9"/>
      <c r="DA10" s="9"/>
      <c r="DB10" s="9"/>
      <c r="DC10" s="6"/>
      <c r="DD10" s="6"/>
      <c r="DE10" s="6"/>
      <c r="DF10" s="6"/>
      <c r="DG10" s="6"/>
      <c r="DH10" s="6"/>
      <c r="DN10" s="6"/>
      <c r="DO10" s="6"/>
      <c r="DP10" s="6"/>
      <c r="DQ10" s="9"/>
      <c r="DR10" s="9"/>
      <c r="DS10" s="9"/>
      <c r="DT10" s="9"/>
      <c r="DU10" s="9"/>
      <c r="DV10" s="9"/>
      <c r="DW10" s="11"/>
      <c r="DX10" s="9"/>
      <c r="DY10" s="9"/>
      <c r="DZ10" s="9"/>
      <c r="EA10" s="11"/>
      <c r="EB10" s="11"/>
      <c r="EC10" s="11"/>
      <c r="ED10" s="11"/>
      <c r="EE10" s="6"/>
      <c r="EF10" s="9"/>
      <c r="EG10" s="9"/>
      <c r="EH10" s="9"/>
      <c r="EI10" s="9"/>
      <c r="EJ10" s="9"/>
      <c r="EK10" s="9"/>
      <c r="EL10" s="9"/>
      <c r="EM10" s="9"/>
      <c r="EN10" s="9"/>
      <c r="EO10" s="9"/>
      <c r="EP10" s="9"/>
      <c r="EQ10" s="9"/>
      <c r="ER10" s="6"/>
      <c r="ES10" s="9"/>
      <c r="EZ10" s="9"/>
      <c r="FA10" s="9"/>
      <c r="FB10" s="9"/>
      <c r="FC10" s="9"/>
      <c r="FD10" s="9"/>
      <c r="FE10" s="9"/>
      <c r="FF10" s="9"/>
      <c r="FG10" s="9"/>
      <c r="FH10" s="9"/>
      <c r="FI10" s="9"/>
      <c r="FJ10" s="9"/>
      <c r="FK10" s="9"/>
      <c r="FL10" s="9"/>
      <c r="FM10" s="9"/>
      <c r="FN10" s="9"/>
      <c r="FO10" s="9"/>
      <c r="FP10" s="9"/>
      <c r="FQ10" s="9"/>
      <c r="FR10" s="9"/>
      <c r="FS10" s="9"/>
      <c r="FT10" s="9"/>
      <c r="FU10" s="9"/>
      <c r="FV10" s="9"/>
      <c r="FW10" s="9"/>
      <c r="FX10" s="9"/>
      <c r="FY10" s="9"/>
      <c r="FZ10" s="9"/>
      <c r="GA10" s="9"/>
      <c r="GB10" s="9"/>
      <c r="GC10" s="9"/>
      <c r="GD10" s="9"/>
      <c r="GE10" s="9"/>
      <c r="GF10" s="9"/>
      <c r="GG10" s="9"/>
      <c r="GH10" s="9"/>
      <c r="GI10" s="88"/>
      <c r="GJ10" s="88"/>
      <c r="GK10" s="88"/>
      <c r="GL10" s="9"/>
      <c r="GM10" s="9"/>
      <c r="GN10" s="9"/>
      <c r="GO10" s="9"/>
      <c r="GP10" s="9"/>
      <c r="GQ10" s="9"/>
      <c r="GR10" s="9"/>
      <c r="GS10" s="9"/>
      <c r="GT10" s="9"/>
      <c r="GU10" s="9"/>
      <c r="GV10" s="9"/>
      <c r="GW10" s="9"/>
      <c r="GX10" s="9"/>
      <c r="GY10" s="9"/>
      <c r="GZ10" s="9"/>
      <c r="HA10" s="9"/>
      <c r="HB10" s="9"/>
      <c r="HC10" s="9"/>
      <c r="HD10" s="9"/>
      <c r="HE10" s="9"/>
      <c r="HF10" s="9"/>
      <c r="HG10" s="9"/>
      <c r="HH10" s="9"/>
      <c r="HI10" s="9"/>
      <c r="HJ10" s="88"/>
      <c r="HK10" s="9"/>
      <c r="HL10" s="9"/>
      <c r="HM10" s="9"/>
      <c r="HN10" s="9"/>
      <c r="HO10" s="9"/>
      <c r="HP10" s="71"/>
      <c r="HQ10" s="9"/>
      <c r="HR10" s="9"/>
      <c r="HS10" s="9"/>
      <c r="HT10" s="9"/>
      <c r="HU10" s="9"/>
      <c r="HV10" s="9"/>
      <c r="HW10" s="9"/>
      <c r="HX10" s="460"/>
      <c r="HY10" s="460"/>
      <c r="HZ10" s="12"/>
      <c r="IA10" s="12"/>
      <c r="IB10" s="12"/>
      <c r="IC10" s="11"/>
      <c r="ID10" s="9"/>
      <c r="IE10" s="9"/>
      <c r="IF10" s="9"/>
      <c r="IG10" s="9"/>
      <c r="IH10" s="9"/>
      <c r="II10" s="9"/>
      <c r="IJ10" s="6"/>
      <c r="IK10" s="6"/>
      <c r="IL10" s="6"/>
      <c r="IM10" s="6"/>
      <c r="IN10" s="6"/>
      <c r="IO10" s="9"/>
      <c r="IP10" s="17"/>
      <c r="IQ10" s="9"/>
      <c r="IR10" s="9"/>
      <c r="IS10" s="9"/>
      <c r="IT10" s="9"/>
      <c r="IU10" s="9"/>
      <c r="IV10" s="11"/>
      <c r="IW10" s="11"/>
      <c r="IX10" s="9"/>
      <c r="IY10" s="11"/>
      <c r="IZ10" s="11"/>
      <c r="JA10" s="11"/>
      <c r="JB10" s="9"/>
      <c r="JC10" s="9"/>
      <c r="JD10" s="11"/>
      <c r="JE10" s="11"/>
      <c r="JF10" s="11"/>
      <c r="JG10" s="9"/>
      <c r="JH10" s="9"/>
      <c r="JI10" s="9"/>
      <c r="JJ10" s="9"/>
      <c r="JK10" s="9"/>
      <c r="JL10" s="9"/>
      <c r="JM10" s="9"/>
      <c r="JN10" s="9"/>
      <c r="JO10" s="9"/>
      <c r="JP10" s="9"/>
      <c r="JQ10" s="9"/>
      <c r="JR10" s="9"/>
      <c r="JS10" s="9"/>
      <c r="JT10" s="9"/>
      <c r="JU10" s="9"/>
      <c r="JV10" s="11"/>
      <c r="JW10" s="11"/>
      <c r="JX10" s="9"/>
      <c r="JY10" s="11"/>
      <c r="JZ10" s="9"/>
      <c r="KA10" s="9"/>
      <c r="KB10" s="9"/>
      <c r="KC10" s="9"/>
      <c r="KD10" s="9"/>
      <c r="KE10" s="9"/>
      <c r="KF10" s="9"/>
      <c r="KG10" s="9"/>
      <c r="KH10" s="9"/>
      <c r="KI10" s="9"/>
      <c r="KJ10" s="9"/>
      <c r="KK10" s="9"/>
      <c r="KL10" s="9"/>
      <c r="KM10" s="9"/>
      <c r="KN10" s="9"/>
      <c r="KO10" s="9"/>
      <c r="KP10" s="9"/>
      <c r="KQ10" s="9"/>
      <c r="KR10" s="9"/>
      <c r="KS10" s="9"/>
      <c r="KT10" s="9"/>
      <c r="KU10" s="9"/>
      <c r="KV10" s="9"/>
      <c r="KW10" s="9"/>
      <c r="KX10" s="9"/>
      <c r="KY10" s="9"/>
      <c r="KZ10" s="9"/>
      <c r="LA10" s="9"/>
      <c r="LB10" s="9"/>
      <c r="LC10" s="460"/>
      <c r="LD10" s="460"/>
      <c r="LE10" s="9"/>
      <c r="LF10" s="9"/>
      <c r="LG10" s="9"/>
      <c r="LH10" s="9"/>
      <c r="LI10" s="9"/>
      <c r="LJ10" s="9"/>
      <c r="LK10" s="9"/>
      <c r="LL10" s="9"/>
      <c r="LM10" s="9"/>
      <c r="LN10" s="9"/>
      <c r="LO10" s="9"/>
      <c r="LP10" s="9"/>
      <c r="LQ10" s="9"/>
      <c r="LR10" s="9"/>
      <c r="LS10" s="9"/>
      <c r="LT10" s="6"/>
      <c r="LU10" s="6"/>
      <c r="LV10" s="6"/>
      <c r="LW10" s="6"/>
      <c r="LX10" s="6"/>
      <c r="LY10" s="6"/>
      <c r="LZ10" s="6"/>
      <c r="MA10" s="6"/>
      <c r="MB10" s="6"/>
      <c r="MC10" s="164"/>
      <c r="MD10" s="164"/>
      <c r="ME10" s="164"/>
      <c r="MF10" s="6"/>
      <c r="MG10" s="6"/>
      <c r="MH10" s="6"/>
      <c r="MI10" s="6"/>
      <c r="MJ10" s="6"/>
      <c r="MK10" s="6"/>
      <c r="ML10" s="6"/>
      <c r="MM10" s="6"/>
      <c r="MN10" s="6"/>
      <c r="MO10" s="6"/>
      <c r="MP10" s="6"/>
      <c r="MQ10" s="6"/>
      <c r="MR10" s="6"/>
      <c r="MS10" s="6"/>
      <c r="MT10" s="6"/>
      <c r="MU10" s="6"/>
      <c r="MV10" s="6"/>
      <c r="MW10" s="6"/>
      <c r="MX10" s="6"/>
      <c r="MY10" s="6"/>
      <c r="MZ10" s="6"/>
      <c r="NA10" s="6"/>
      <c r="NB10" s="6"/>
      <c r="NC10" s="98"/>
      <c r="ND10" s="98"/>
      <c r="NE10" s="98"/>
      <c r="NF10" s="98"/>
      <c r="NG10" s="98"/>
      <c r="NH10" s="98"/>
      <c r="NI10" s="98"/>
      <c r="NJ10" s="98"/>
      <c r="NK10" s="98"/>
      <c r="NL10" s="98"/>
      <c r="NM10" s="98"/>
      <c r="NN10" s="98"/>
      <c r="NO10" s="98"/>
      <c r="NP10" s="98"/>
      <c r="NQ10" s="98"/>
      <c r="NR10" s="98"/>
      <c r="NS10" s="98"/>
      <c r="NT10" s="98"/>
      <c r="NU10" s="98"/>
      <c r="NV10" s="98"/>
      <c r="NW10" s="98"/>
      <c r="NX10" s="98"/>
      <c r="NY10" s="9"/>
      <c r="NZ10" s="21">
        <f>SUMIF($C33:$C502,"2",NZ33:NZ502)</f>
        <v>0</v>
      </c>
      <c r="OA10" s="21">
        <f>SUMIF($C33:$C502,"2",OA33:OA502)</f>
        <v>0</v>
      </c>
      <c r="OB10" s="9"/>
      <c r="OC10" s="9"/>
      <c r="OD10" s="9"/>
      <c r="OE10" s="9"/>
      <c r="OF10" s="9"/>
      <c r="OG10" s="9"/>
      <c r="OH10" s="9"/>
      <c r="OI10" s="9"/>
      <c r="OJ10" s="9"/>
      <c r="OK10" s="9"/>
      <c r="OL10" s="9"/>
      <c r="OM10" s="9"/>
      <c r="ON10" s="21">
        <f>SUMIF($C33:$C502,"2",ON33:ON502)</f>
        <v>0</v>
      </c>
      <c r="OO10" s="9"/>
      <c r="OP10" s="21">
        <f>SUMIF($C33:$C502,"2",OP33:OP502)</f>
        <v>0</v>
      </c>
      <c r="OQ10" s="9"/>
      <c r="OR10" s="9"/>
      <c r="OS10" s="9"/>
      <c r="OT10" s="9"/>
      <c r="OU10" s="9"/>
      <c r="OV10" s="9"/>
      <c r="OW10" s="9"/>
      <c r="OX10" s="9"/>
      <c r="OY10" s="9"/>
      <c r="OZ10" s="9"/>
      <c r="PA10" s="9"/>
      <c r="PB10" s="9"/>
      <c r="PC10" s="9"/>
      <c r="PD10" s="9"/>
      <c r="PE10" s="9"/>
      <c r="PF10" s="9"/>
      <c r="PG10" s="9"/>
      <c r="PH10" s="9"/>
      <c r="PI10" s="9"/>
      <c r="PJ10" s="9"/>
      <c r="PK10" s="9"/>
      <c r="PL10" s="9"/>
      <c r="PM10" s="9"/>
      <c r="PN10" s="9"/>
      <c r="PO10" s="9"/>
      <c r="PP10" s="9"/>
      <c r="PQ10" s="9"/>
      <c r="PR10" s="9"/>
      <c r="PS10" s="9"/>
      <c r="PT10" s="9"/>
      <c r="PU10" s="9"/>
      <c r="PV10" s="9"/>
      <c r="PW10" s="9"/>
      <c r="PX10" s="9"/>
      <c r="PY10" s="9"/>
      <c r="PZ10" s="9"/>
      <c r="QA10" s="9"/>
      <c r="QB10" s="9"/>
      <c r="QC10" s="9"/>
      <c r="QD10" s="9"/>
      <c r="QE10" s="9"/>
      <c r="QF10" s="9"/>
      <c r="QG10" s="9"/>
      <c r="QH10" s="9"/>
      <c r="QI10" s="9"/>
      <c r="QJ10" s="9"/>
      <c r="QK10" s="9"/>
      <c r="QL10" s="9"/>
      <c r="QM10" s="9"/>
      <c r="QN10" s="9"/>
      <c r="QO10" s="9"/>
      <c r="QP10" s="9"/>
      <c r="QQ10" s="9"/>
      <c r="QR10" s="9"/>
      <c r="QS10" s="9"/>
      <c r="QT10" s="9"/>
      <c r="QU10" s="9"/>
      <c r="QV10" s="9"/>
      <c r="QW10" s="9"/>
      <c r="QX10" s="9"/>
      <c r="QY10" s="9"/>
      <c r="QZ10" s="9"/>
      <c r="RA10" s="9"/>
      <c r="RB10" s="9"/>
      <c r="RC10" s="9"/>
      <c r="RD10" s="21">
        <f t="shared" ref="RD10:RJ10" si="1">SUMIF($C33:$C502,"2",RD33:RD502)</f>
        <v>0</v>
      </c>
      <c r="RE10" s="21">
        <f t="shared" si="1"/>
        <v>0</v>
      </c>
      <c r="RF10" s="21">
        <f t="shared" si="1"/>
        <v>0</v>
      </c>
      <c r="RG10" s="21">
        <f t="shared" si="1"/>
        <v>0</v>
      </c>
      <c r="RH10" s="21">
        <f t="shared" si="1"/>
        <v>0</v>
      </c>
      <c r="RI10" s="21">
        <f t="shared" si="1"/>
        <v>0</v>
      </c>
      <c r="RJ10" s="21">
        <f t="shared" si="1"/>
        <v>0</v>
      </c>
      <c r="RK10" s="9"/>
      <c r="RL10" s="9"/>
      <c r="RM10" s="9"/>
      <c r="RN10" s="9"/>
      <c r="RO10" s="9"/>
      <c r="RP10" s="9"/>
      <c r="RQ10" s="9"/>
      <c r="RR10" s="9"/>
      <c r="RS10" s="9"/>
      <c r="RT10" s="9"/>
      <c r="RU10" s="9"/>
      <c r="RV10" s="9"/>
      <c r="RW10" s="9"/>
      <c r="RX10" s="9"/>
      <c r="RY10" s="9"/>
      <c r="RZ10" s="9"/>
      <c r="SA10" s="9"/>
      <c r="SB10" s="9"/>
      <c r="SC10" s="21">
        <f t="shared" ref="SC10:SH10" si="2">SUMIF($C33:$C502,"2",SC33:SC502)</f>
        <v>0</v>
      </c>
      <c r="SD10" s="21">
        <f t="shared" si="2"/>
        <v>0</v>
      </c>
      <c r="SE10" s="21">
        <f t="shared" si="2"/>
        <v>0</v>
      </c>
      <c r="SF10" s="21">
        <f t="shared" si="2"/>
        <v>0</v>
      </c>
      <c r="SG10" s="21">
        <f t="shared" si="2"/>
        <v>0</v>
      </c>
      <c r="SH10" s="21">
        <f t="shared" si="2"/>
        <v>0</v>
      </c>
      <c r="SI10" s="21"/>
      <c r="SJ10" s="21"/>
      <c r="SK10" s="21"/>
      <c r="SL10" s="21"/>
      <c r="SM10" s="21"/>
      <c r="SN10" s="21"/>
      <c r="SO10" s="21"/>
      <c r="SP10" s="21"/>
      <c r="SQ10" s="21"/>
      <c r="SR10" s="9"/>
      <c r="SS10" s="9"/>
      <c r="ST10" s="9"/>
      <c r="SU10" s="9"/>
      <c r="SV10" s="9"/>
      <c r="SW10" s="9"/>
      <c r="SX10" s="9"/>
      <c r="SY10" s="9"/>
      <c r="SZ10" s="9"/>
      <c r="TA10" s="9"/>
      <c r="TB10" s="21">
        <f>SUMIF($C33:$C502,"2",TB33:TB502)</f>
        <v>0</v>
      </c>
      <c r="TC10" s="21">
        <f>SUMIF($C33:$C502,"2",TC33:TC502)</f>
        <v>0</v>
      </c>
      <c r="TD10" s="21">
        <f>SUMIF($C33:$C502,"2",TD33:TD502)</f>
        <v>0</v>
      </c>
      <c r="TE10" s="21">
        <f>SUMIF($C33:$C502,"2",TE33:TE502)</f>
        <v>0</v>
      </c>
      <c r="TF10" s="9"/>
      <c r="TG10" s="9"/>
      <c r="TH10" s="21">
        <f>SUMIF($C33:$C502,"2",TH33:TH502)</f>
        <v>0</v>
      </c>
      <c r="TI10" s="21">
        <f>SUMIF($C33:$C502,"2",TI33:TI502)</f>
        <v>0</v>
      </c>
      <c r="TJ10" s="9"/>
      <c r="TK10" s="401"/>
      <c r="TL10" s="21">
        <f>SUMIF($C33:$C502,"2",TL33:TL502)</f>
        <v>0</v>
      </c>
      <c r="TM10" s="21">
        <f>SUMIF($C33:$C502,"2",TM33:TM502)</f>
        <v>0</v>
      </c>
      <c r="TN10" s="21">
        <f>SUMIF($C33:$C502,"2",TN33:TN502)</f>
        <v>0</v>
      </c>
      <c r="TO10" s="21">
        <f>SUMIF($C33:$C502,"2",TO33:TO502)</f>
        <v>0</v>
      </c>
      <c r="TP10" s="401"/>
      <c r="TQ10" s="9"/>
      <c r="TR10" s="9"/>
      <c r="TS10" s="9"/>
      <c r="TT10" s="9"/>
      <c r="TU10" s="9"/>
      <c r="TV10" s="9"/>
      <c r="TW10" s="9"/>
      <c r="TX10" s="9"/>
      <c r="TY10" s="9"/>
      <c r="TZ10" s="9"/>
      <c r="UA10" s="9"/>
      <c r="UB10" s="9"/>
      <c r="UC10" s="9"/>
      <c r="UD10" s="9"/>
      <c r="UE10" s="9"/>
      <c r="UF10" s="9"/>
      <c r="UG10" s="21">
        <f>SUMIF($C33:$C502,"2",UG33:UG502)</f>
        <v>0</v>
      </c>
      <c r="UH10" s="21">
        <f>SUMIF($C33:$C502,"2",UH33:UH502)</f>
        <v>0</v>
      </c>
      <c r="UI10" s="9"/>
      <c r="UJ10" s="9"/>
      <c r="UK10" s="9"/>
      <c r="UL10" s="9"/>
      <c r="UM10" s="9"/>
      <c r="UN10" s="9"/>
      <c r="UO10" s="9"/>
      <c r="UP10" s="9"/>
      <c r="UQ10" s="9"/>
      <c r="UR10" s="9"/>
      <c r="US10" s="9"/>
      <c r="UT10" s="9"/>
      <c r="UU10" s="9"/>
      <c r="UX10" s="9"/>
      <c r="UY10" s="9"/>
      <c r="UZ10" s="9"/>
      <c r="VA10" s="9"/>
      <c r="VB10" s="9"/>
      <c r="VC10" s="21">
        <f>SUMIF($C33:$C502,"2",VC33:VC502)</f>
        <v>0</v>
      </c>
      <c r="VD10" s="21">
        <f>SUMIF($C33:$C502,"2",VD33:VD502)</f>
        <v>0</v>
      </c>
      <c r="VE10" s="461"/>
      <c r="VF10" s="9"/>
      <c r="VG10" s="9"/>
      <c r="VH10" s="6"/>
      <c r="VI10" s="6"/>
      <c r="VJ10" s="6"/>
      <c r="VK10" s="9"/>
      <c r="VL10" s="9"/>
      <c r="VM10" s="9"/>
      <c r="VN10" s="7"/>
      <c r="VO10" s="7"/>
      <c r="VP10" s="7"/>
      <c r="VQ10" s="7"/>
      <c r="VR10" s="7"/>
      <c r="VS10" s="7"/>
      <c r="VT10" s="7"/>
      <c r="VU10" s="7"/>
      <c r="VV10" s="7"/>
      <c r="VW10" s="7"/>
      <c r="VX10" s="71"/>
      <c r="WA10" s="71"/>
      <c r="WB10" s="71"/>
      <c r="WC10" s="71"/>
      <c r="WD10" s="71"/>
      <c r="WE10" s="74"/>
      <c r="WF10" s="77"/>
      <c r="WG10" s="77"/>
      <c r="WH10" s="77"/>
      <c r="WI10" s="77"/>
      <c r="WJ10" s="77"/>
      <c r="WK10" s="77"/>
      <c r="WL10" s="75"/>
      <c r="WU10" s="75"/>
      <c r="WV10" s="75"/>
      <c r="WW10" s="21">
        <f>SUMIF($C33:$C502,"2",WW33:WW502)</f>
        <v>0</v>
      </c>
      <c r="WX10" s="9"/>
      <c r="WY10" s="9"/>
      <c r="WZ10" s="9"/>
      <c r="XA10" s="21">
        <f>SUMIF($C33:$C502,"2",XA33:XA502)</f>
        <v>0</v>
      </c>
      <c r="XB10" s="21">
        <f>SUMIF($C33:$C502,"2",XB33:XB502)</f>
        <v>0</v>
      </c>
      <c r="XC10" s="9"/>
      <c r="XK10" s="87"/>
      <c r="XL10" s="87"/>
      <c r="XM10" s="87"/>
      <c r="XN10" s="87"/>
      <c r="XO10" s="87"/>
      <c r="XP10" s="87"/>
      <c r="XQ10" s="87"/>
      <c r="XR10" s="87"/>
      <c r="XS10" s="87"/>
      <c r="YD10" s="9"/>
      <c r="YE10" s="9"/>
      <c r="YF10" s="9"/>
      <c r="YG10" s="9"/>
      <c r="YH10" s="9"/>
      <c r="YI10" s="98"/>
      <c r="YJ10" s="9"/>
      <c r="YK10" s="9"/>
      <c r="YL10" s="9"/>
      <c r="YM10" s="9"/>
      <c r="YN10" s="9"/>
      <c r="YO10" s="9"/>
      <c r="YP10" s="462"/>
      <c r="YQ10" s="9"/>
      <c r="YR10" s="9"/>
      <c r="ZC10" s="9"/>
      <c r="ZD10" s="9"/>
      <c r="ZZ10" s="577"/>
    </row>
    <row r="11" spans="1:706" s="13" customFormat="1" x14ac:dyDescent="0.2">
      <c r="A11" s="15"/>
      <c r="B11" s="23"/>
      <c r="C11" s="13">
        <f>COUNTIFS(C33:C502,"3",AL33:AL502,"Y",E33:E502,"4")+COUNTIFS(C33:C502,"3",E33:E502,"1")</f>
        <v>0</v>
      </c>
      <c r="D11" s="6"/>
      <c r="E11" s="6"/>
      <c r="F11" s="6"/>
      <c r="G11" s="6"/>
      <c r="H11" s="6"/>
      <c r="I11" s="6"/>
      <c r="J11" s="6"/>
      <c r="K11" s="6"/>
      <c r="L11" s="6"/>
      <c r="M11" s="6"/>
      <c r="N11" s="6"/>
      <c r="O11" s="6"/>
      <c r="P11" s="6"/>
      <c r="Q11" s="6"/>
      <c r="R11" s="6"/>
      <c r="S11" s="6"/>
      <c r="T11" s="6"/>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6"/>
      <c r="BH11" s="6"/>
      <c r="BI11" s="6"/>
      <c r="BJ11" s="10"/>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9"/>
      <c r="CN11" s="9"/>
      <c r="CO11" s="9"/>
      <c r="CP11" s="6"/>
      <c r="CQ11" s="6"/>
      <c r="CR11" s="6"/>
      <c r="CS11" s="6"/>
      <c r="CT11" s="6"/>
      <c r="CU11" s="6"/>
      <c r="CV11" s="6"/>
      <c r="CW11" s="6"/>
      <c r="CX11" s="9"/>
      <c r="CY11" s="9"/>
      <c r="CZ11" s="9"/>
      <c r="DA11" s="9"/>
      <c r="DB11" s="9"/>
      <c r="DC11" s="6"/>
      <c r="DD11" s="6"/>
      <c r="DE11" s="6"/>
      <c r="DF11" s="6"/>
      <c r="DG11" s="6"/>
      <c r="DH11" s="6"/>
      <c r="DN11" s="6"/>
      <c r="DO11" s="6"/>
      <c r="DP11" s="6"/>
      <c r="DQ11" s="9"/>
      <c r="DR11" s="9"/>
      <c r="DS11" s="9"/>
      <c r="DT11" s="9"/>
      <c r="DU11" s="9"/>
      <c r="DV11" s="9"/>
      <c r="DW11" s="11"/>
      <c r="DX11" s="9"/>
      <c r="DY11" s="9"/>
      <c r="DZ11" s="9"/>
      <c r="EA11" s="11"/>
      <c r="EB11" s="11"/>
      <c r="EC11" s="11"/>
      <c r="ED11" s="11"/>
      <c r="EE11" s="6"/>
      <c r="EF11" s="9"/>
      <c r="EG11" s="9"/>
      <c r="EH11" s="9"/>
      <c r="EI11" s="9"/>
      <c r="EJ11" s="9"/>
      <c r="EK11" s="9"/>
      <c r="EL11" s="9"/>
      <c r="EM11" s="9"/>
      <c r="EN11" s="9"/>
      <c r="EO11" s="9"/>
      <c r="EP11" s="9"/>
      <c r="EQ11" s="9"/>
      <c r="ER11" s="6"/>
      <c r="ES11" s="9"/>
      <c r="EZ11" s="9"/>
      <c r="FA11" s="9"/>
      <c r="FB11" s="9"/>
      <c r="FC11" s="9"/>
      <c r="FD11" s="9"/>
      <c r="FE11" s="9"/>
      <c r="FF11" s="9"/>
      <c r="FG11" s="9"/>
      <c r="FH11" s="9"/>
      <c r="FI11" s="9"/>
      <c r="FJ11" s="9"/>
      <c r="FK11" s="9"/>
      <c r="FL11" s="9"/>
      <c r="FM11" s="9"/>
      <c r="FN11" s="9"/>
      <c r="FO11" s="9"/>
      <c r="FP11" s="9"/>
      <c r="FQ11" s="9"/>
      <c r="FR11" s="9"/>
      <c r="FS11" s="9"/>
      <c r="FT11" s="9"/>
      <c r="FU11" s="9"/>
      <c r="FV11" s="9"/>
      <c r="FW11" s="9"/>
      <c r="FX11" s="9"/>
      <c r="FY11" s="9"/>
      <c r="FZ11" s="9"/>
      <c r="GA11" s="9"/>
      <c r="GB11" s="9"/>
      <c r="GC11" s="9"/>
      <c r="GD11" s="9"/>
      <c r="GE11" s="9"/>
      <c r="GF11" s="9"/>
      <c r="GG11" s="9"/>
      <c r="GH11" s="9"/>
      <c r="GI11" s="88"/>
      <c r="GJ11" s="88"/>
      <c r="GK11" s="88"/>
      <c r="GL11" s="9"/>
      <c r="GM11" s="9"/>
      <c r="GN11" s="9"/>
      <c r="GO11" s="9"/>
      <c r="GP11" s="9"/>
      <c r="GQ11" s="9"/>
      <c r="GR11" s="9"/>
      <c r="GS11" s="9"/>
      <c r="GT11" s="9"/>
      <c r="GU11" s="9"/>
      <c r="GV11" s="9"/>
      <c r="GW11" s="9"/>
      <c r="GX11" s="9"/>
      <c r="GY11" s="9"/>
      <c r="GZ11" s="9"/>
      <c r="HA11" s="9"/>
      <c r="HB11" s="9"/>
      <c r="HC11" s="9"/>
      <c r="HD11" s="9"/>
      <c r="HE11" s="9"/>
      <c r="HF11" s="9"/>
      <c r="HG11" s="9"/>
      <c r="HH11" s="9"/>
      <c r="HI11" s="9"/>
      <c r="HJ11" s="88"/>
      <c r="HK11" s="9"/>
      <c r="HL11" s="9"/>
      <c r="HM11" s="9"/>
      <c r="HN11" s="9"/>
      <c r="HO11" s="9"/>
      <c r="HP11" s="71"/>
      <c r="HQ11" s="16"/>
      <c r="HR11" s="16"/>
      <c r="HS11" s="9"/>
      <c r="HT11" s="9"/>
      <c r="HU11" s="9"/>
      <c r="HV11" s="9"/>
      <c r="HW11" s="9"/>
      <c r="HX11" s="460"/>
      <c r="HY11" s="460"/>
      <c r="HZ11" s="17"/>
      <c r="IA11" s="17"/>
      <c r="IB11" s="17"/>
      <c r="IC11" s="11"/>
      <c r="ID11" s="9"/>
      <c r="IE11" s="9"/>
      <c r="IF11" s="9"/>
      <c r="IG11" s="9"/>
      <c r="IH11" s="9"/>
      <c r="II11" s="9"/>
      <c r="IJ11" s="6"/>
      <c r="IK11" s="6"/>
      <c r="IL11" s="6"/>
      <c r="IM11" s="6"/>
      <c r="IN11" s="6"/>
      <c r="IO11" s="9"/>
      <c r="IP11" s="49"/>
      <c r="IQ11" s="9"/>
      <c r="IR11" s="9"/>
      <c r="IS11" s="9"/>
      <c r="IT11" s="9"/>
      <c r="IU11" s="9"/>
      <c r="IV11" s="11"/>
      <c r="IW11" s="11"/>
      <c r="IX11" s="9"/>
      <c r="IY11" s="11"/>
      <c r="IZ11" s="11"/>
      <c r="JA11" s="11"/>
      <c r="JB11" s="9"/>
      <c r="JC11" s="9"/>
      <c r="JD11" s="11"/>
      <c r="JE11" s="11"/>
      <c r="JF11" s="11"/>
      <c r="JG11" s="9"/>
      <c r="JH11" s="9"/>
      <c r="JI11" s="9"/>
      <c r="JJ11" s="9"/>
      <c r="JK11" s="9"/>
      <c r="JL11" s="9"/>
      <c r="JM11" s="9"/>
      <c r="JN11" s="9"/>
      <c r="JO11" s="9"/>
      <c r="JP11" s="9"/>
      <c r="JQ11" s="9"/>
      <c r="JR11" s="9"/>
      <c r="JS11" s="9"/>
      <c r="JT11" s="9"/>
      <c r="JU11" s="9"/>
      <c r="JV11" s="11"/>
      <c r="JW11" s="11"/>
      <c r="JX11" s="17"/>
      <c r="JY11" s="11"/>
      <c r="JZ11" s="9"/>
      <c r="KA11" s="9"/>
      <c r="KB11" s="9"/>
      <c r="KC11" s="9"/>
      <c r="KD11" s="9"/>
      <c r="KE11" s="9"/>
      <c r="KF11" s="9"/>
      <c r="KG11" s="9"/>
      <c r="KH11" s="9"/>
      <c r="KI11" s="9"/>
      <c r="KJ11" s="9"/>
      <c r="KK11" s="9"/>
      <c r="KL11" s="9"/>
      <c r="KM11" s="9"/>
      <c r="KN11" s="9"/>
      <c r="KO11" s="9"/>
      <c r="KP11" s="9"/>
      <c r="KQ11" s="9"/>
      <c r="KR11" s="9"/>
      <c r="KS11" s="9"/>
      <c r="KT11" s="9"/>
      <c r="KU11" s="9"/>
      <c r="KV11" s="9"/>
      <c r="KW11" s="9"/>
      <c r="KX11" s="9"/>
      <c r="KY11" s="9"/>
      <c r="KZ11" s="9"/>
      <c r="LA11" s="9"/>
      <c r="LB11" s="9"/>
      <c r="LC11" s="460"/>
      <c r="LD11" s="460"/>
      <c r="LE11" s="9"/>
      <c r="LF11" s="9"/>
      <c r="LG11" s="9"/>
      <c r="LH11" s="9"/>
      <c r="LI11" s="9"/>
      <c r="LJ11" s="9"/>
      <c r="LK11" s="9"/>
      <c r="LL11" s="9"/>
      <c r="LM11" s="9"/>
      <c r="LN11" s="9"/>
      <c r="LO11" s="9"/>
      <c r="LP11" s="9"/>
      <c r="LQ11" s="9"/>
      <c r="LR11" s="9"/>
      <c r="LS11" s="9"/>
      <c r="LT11" s="6"/>
      <c r="LU11" s="6"/>
      <c r="LV11" s="6"/>
      <c r="LW11" s="6"/>
      <c r="LX11" s="6"/>
      <c r="LY11" s="6"/>
      <c r="LZ11" s="6"/>
      <c r="MA11" s="6"/>
      <c r="MB11" s="6"/>
      <c r="MC11" s="6"/>
      <c r="MD11" s="6"/>
      <c r="ME11" s="6"/>
      <c r="MF11" s="6"/>
      <c r="MG11" s="6"/>
      <c r="MH11" s="6"/>
      <c r="MI11" s="6"/>
      <c r="MJ11" s="6"/>
      <c r="MK11" s="6"/>
      <c r="ML11" s="6"/>
      <c r="MM11" s="6"/>
      <c r="MN11" s="6"/>
      <c r="MO11" s="6"/>
      <c r="MP11" s="6"/>
      <c r="MQ11" s="6"/>
      <c r="MR11" s="6"/>
      <c r="MS11" s="6"/>
      <c r="MT11" s="6"/>
      <c r="MU11" s="6"/>
      <c r="MV11" s="6"/>
      <c r="MW11" s="6"/>
      <c r="MX11" s="6"/>
      <c r="MY11" s="6"/>
      <c r="MZ11" s="6"/>
      <c r="NA11" s="6"/>
      <c r="NB11" s="6"/>
      <c r="NC11" s="98"/>
      <c r="ND11" s="98"/>
      <c r="NE11" s="98"/>
      <c r="NF11" s="98"/>
      <c r="NG11" s="98"/>
      <c r="NH11" s="98"/>
      <c r="NI11" s="98"/>
      <c r="NJ11" s="98"/>
      <c r="NK11" s="98"/>
      <c r="NL11" s="98"/>
      <c r="NM11" s="98"/>
      <c r="NN11" s="98"/>
      <c r="NO11" s="98"/>
      <c r="NP11" s="98"/>
      <c r="NQ11" s="98"/>
      <c r="NR11" s="98"/>
      <c r="NS11" s="98"/>
      <c r="NT11" s="98"/>
      <c r="NU11" s="98"/>
      <c r="NV11" s="98"/>
      <c r="NW11" s="98"/>
      <c r="NX11" s="98"/>
      <c r="NY11" s="9"/>
      <c r="NZ11" s="21">
        <f>SUMIF($C33:$C502,"3",NZ33:NZ502)</f>
        <v>0</v>
      </c>
      <c r="OA11" s="21">
        <f>SUMIF($C33:$C502,"3",OA33:OA502)</f>
        <v>0</v>
      </c>
      <c r="OB11" s="16"/>
      <c r="OC11" s="16"/>
      <c r="OD11" s="16"/>
      <c r="OE11" s="16"/>
      <c r="OF11" s="16"/>
      <c r="OG11" s="16"/>
      <c r="OH11" s="16"/>
      <c r="OI11" s="16"/>
      <c r="OJ11" s="16"/>
      <c r="OK11" s="16"/>
      <c r="OL11" s="16"/>
      <c r="OM11" s="16"/>
      <c r="ON11" s="21">
        <f>SUMIF($C33:$C502,"3",ON33:ON502)</f>
        <v>0</v>
      </c>
      <c r="OO11" s="16"/>
      <c r="OP11" s="21">
        <f>SUMIF($C33:$C502,"3",OP33:OP502)</f>
        <v>0</v>
      </c>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49"/>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21">
        <f t="shared" ref="RD11:RJ11" si="3">SUMIF($C33:$C502,"3",RD33:RD502)</f>
        <v>0</v>
      </c>
      <c r="RE11" s="21">
        <f t="shared" si="3"/>
        <v>0</v>
      </c>
      <c r="RF11" s="21">
        <f t="shared" si="3"/>
        <v>0</v>
      </c>
      <c r="RG11" s="21">
        <f t="shared" si="3"/>
        <v>0</v>
      </c>
      <c r="RH11" s="21">
        <f t="shared" si="3"/>
        <v>0</v>
      </c>
      <c r="RI11" s="21">
        <f t="shared" si="3"/>
        <v>0</v>
      </c>
      <c r="RJ11" s="21">
        <f t="shared" si="3"/>
        <v>0</v>
      </c>
      <c r="RK11" s="16"/>
      <c r="RL11" s="16"/>
      <c r="RM11" s="16"/>
      <c r="RN11" s="16"/>
      <c r="RO11" s="16"/>
      <c r="RP11" s="16"/>
      <c r="RQ11" s="16"/>
      <c r="RR11" s="16"/>
      <c r="RS11" s="9"/>
      <c r="RT11" s="9"/>
      <c r="RU11" s="9"/>
      <c r="RV11" s="9"/>
      <c r="RW11" s="9"/>
      <c r="RX11" s="9"/>
      <c r="RY11" s="9"/>
      <c r="RZ11" s="9"/>
      <c r="SA11" s="9"/>
      <c r="SB11" s="9"/>
      <c r="SC11" s="21">
        <f t="shared" ref="SC11:SH11" si="4">SUMIF($C33:$C502,"3",SC33:SC502)</f>
        <v>0</v>
      </c>
      <c r="SD11" s="21">
        <f t="shared" si="4"/>
        <v>0</v>
      </c>
      <c r="SE11" s="21">
        <f t="shared" si="4"/>
        <v>0</v>
      </c>
      <c r="SF11" s="21">
        <f t="shared" si="4"/>
        <v>0</v>
      </c>
      <c r="SG11" s="21">
        <f t="shared" si="4"/>
        <v>0</v>
      </c>
      <c r="SH11" s="21">
        <f t="shared" si="4"/>
        <v>0</v>
      </c>
      <c r="SI11" s="21"/>
      <c r="SJ11" s="21"/>
      <c r="SK11" s="21"/>
      <c r="SL11" s="21"/>
      <c r="SM11" s="21"/>
      <c r="SN11" s="21"/>
      <c r="SO11" s="21"/>
      <c r="SP11" s="21"/>
      <c r="SQ11" s="21"/>
      <c r="SR11" s="9"/>
      <c r="SS11" s="9"/>
      <c r="ST11" s="9"/>
      <c r="SU11" s="9"/>
      <c r="SV11" s="9"/>
      <c r="SW11" s="9"/>
      <c r="SX11" s="9"/>
      <c r="SY11" s="9"/>
      <c r="SZ11" s="9"/>
      <c r="TA11" s="9"/>
      <c r="TB11" s="21">
        <f>SUMIF($C33:$C502,"3",TB33:TB502)</f>
        <v>0</v>
      </c>
      <c r="TC11" s="21">
        <f>SUMIF($C33:$C502,"3",TC33:TC502)</f>
        <v>0</v>
      </c>
      <c r="TD11" s="21">
        <f>SUMIF($C33:$C502,"3",TD33:TD502)</f>
        <v>0</v>
      </c>
      <c r="TE11" s="21">
        <f>SUMIF($C33:$C502,"3",TE33:TE502)</f>
        <v>0</v>
      </c>
      <c r="TF11" s="9"/>
      <c r="TG11" s="9"/>
      <c r="TH11" s="21">
        <f>SUMIF($C33:$C502,"3",TH33:TH502)</f>
        <v>0</v>
      </c>
      <c r="TI11" s="21">
        <f>SUMIF($C33:$C502,"3",TI33:TI502)</f>
        <v>0</v>
      </c>
      <c r="TJ11" s="9"/>
      <c r="TK11" s="401"/>
      <c r="TL11" s="21">
        <f>SUMIF($C33:$C502,"3",TL33:TL502)</f>
        <v>0</v>
      </c>
      <c r="TM11" s="21">
        <f>SUMIF($C33:$C502,"3",TM33:TM502)</f>
        <v>0</v>
      </c>
      <c r="TN11" s="21">
        <f>SUMIF($C33:$C502,"3",TN33:TN502)</f>
        <v>0</v>
      </c>
      <c r="TO11" s="21">
        <f>SUMIF($C33:$C502,"3",TO33:TO502)</f>
        <v>0</v>
      </c>
      <c r="TP11" s="401"/>
      <c r="TQ11" s="9"/>
      <c r="TR11" s="9"/>
      <c r="TS11" s="9"/>
      <c r="TT11" s="9"/>
      <c r="TU11" s="9"/>
      <c r="TV11" s="9"/>
      <c r="TW11" s="9"/>
      <c r="TX11" s="9"/>
      <c r="TY11" s="9"/>
      <c r="TZ11" s="9"/>
      <c r="UA11" s="9"/>
      <c r="UB11" s="9"/>
      <c r="UC11" s="9"/>
      <c r="UD11" s="9"/>
      <c r="UE11" s="9"/>
      <c r="UF11" s="9"/>
      <c r="UG11" s="21">
        <f>SUMIF($C33:$C502,"3",UG33:UG502)</f>
        <v>0</v>
      </c>
      <c r="UH11" s="21">
        <f>SUMIF($C33:$C502,"3",UH33:UH502)</f>
        <v>0</v>
      </c>
      <c r="UI11" s="9"/>
      <c r="UJ11" s="9"/>
      <c r="UK11" s="9"/>
      <c r="UL11" s="9"/>
      <c r="UM11" s="9"/>
      <c r="UN11" s="9"/>
      <c r="UO11" s="9"/>
      <c r="UP11" s="9"/>
      <c r="UQ11" s="9"/>
      <c r="UR11" s="9"/>
      <c r="US11" s="9"/>
      <c r="UT11" s="9"/>
      <c r="UU11" s="9"/>
      <c r="UX11" s="9"/>
      <c r="UY11" s="9"/>
      <c r="UZ11" s="9"/>
      <c r="VA11" s="9"/>
      <c r="VB11" s="9"/>
      <c r="VC11" s="21">
        <f>SUMIF($C33:$C502,"3",VC33:VC502)</f>
        <v>0</v>
      </c>
      <c r="VD11" s="21">
        <f>SUMIF($C33:$C502,"3",VD33:VD502)</f>
        <v>0</v>
      </c>
      <c r="VE11" s="461"/>
      <c r="VF11" s="9"/>
      <c r="VG11" s="9"/>
      <c r="VH11" s="6"/>
      <c r="VI11" s="6"/>
      <c r="VJ11" s="6"/>
      <c r="VK11" s="9"/>
      <c r="VL11" s="9"/>
      <c r="VM11" s="9"/>
      <c r="VN11" s="7"/>
      <c r="VO11" s="7"/>
      <c r="VP11" s="7"/>
      <c r="VQ11" s="7"/>
      <c r="VR11" s="7"/>
      <c r="VS11" s="7"/>
      <c r="VT11" s="7"/>
      <c r="VU11" s="7"/>
      <c r="VV11" s="7"/>
      <c r="VW11" s="7"/>
      <c r="VX11" s="71"/>
      <c r="VY11" s="74"/>
      <c r="VZ11" s="74"/>
      <c r="WA11" s="71"/>
      <c r="WB11" s="71"/>
      <c r="WC11" s="71"/>
      <c r="WD11" s="71"/>
      <c r="WE11" s="74"/>
      <c r="WF11" s="77"/>
      <c r="WG11" s="77"/>
      <c r="WH11" s="77"/>
      <c r="WI11" s="77"/>
      <c r="WJ11" s="77"/>
      <c r="WK11" s="77"/>
      <c r="WL11" s="75"/>
      <c r="WM11" s="75"/>
      <c r="WN11" s="75"/>
      <c r="WO11" s="75"/>
      <c r="WP11" s="75"/>
      <c r="WQ11" s="75"/>
      <c r="WR11" s="75"/>
      <c r="WS11" s="75"/>
      <c r="WT11" s="75"/>
      <c r="WU11" s="75"/>
      <c r="WV11" s="75"/>
      <c r="WW11" s="21">
        <f>SUMIF($C33:$C502,"3",WW33:WW502)</f>
        <v>0</v>
      </c>
      <c r="WX11" s="9"/>
      <c r="WY11" s="9"/>
      <c r="WZ11" s="9"/>
      <c r="XA11" s="21">
        <f>SUMIF($C33:$C502,"3",XA33:XA502)</f>
        <v>0</v>
      </c>
      <c r="XB11" s="21">
        <f>SUMIF($C33:$C502,"3",XB33:XB502)</f>
        <v>0</v>
      </c>
      <c r="XC11" s="9"/>
      <c r="XK11" s="86"/>
      <c r="XL11" s="86"/>
      <c r="XM11" s="86"/>
      <c r="XN11" s="86"/>
      <c r="XO11" s="86"/>
      <c r="XP11" s="86"/>
      <c r="XQ11" s="86"/>
      <c r="XR11" s="86"/>
      <c r="XS11" s="86"/>
      <c r="YD11" s="16"/>
      <c r="YE11" s="16"/>
      <c r="YF11" s="16"/>
      <c r="YG11" s="16"/>
      <c r="YH11" s="16"/>
      <c r="YI11" s="100"/>
      <c r="YJ11" s="16"/>
      <c r="YK11" s="16"/>
      <c r="YL11" s="16"/>
      <c r="YM11" s="16"/>
      <c r="YN11" s="16"/>
      <c r="YO11" s="16"/>
      <c r="YP11" s="464"/>
      <c r="YQ11" s="16"/>
      <c r="YR11" s="16"/>
      <c r="ZC11" s="9"/>
      <c r="ZD11" s="9"/>
      <c r="ZZ11" s="577"/>
    </row>
    <row r="12" spans="1:706" s="94" customFormat="1" x14ac:dyDescent="0.2">
      <c r="A12" s="113" t="s">
        <v>367</v>
      </c>
      <c r="B12" s="49" t="s">
        <v>13</v>
      </c>
      <c r="C12" s="49" t="s">
        <v>13</v>
      </c>
      <c r="D12" s="49" t="s">
        <v>13</v>
      </c>
      <c r="E12" s="49" t="s">
        <v>13</v>
      </c>
      <c r="F12" s="49" t="s">
        <v>59</v>
      </c>
      <c r="G12" s="49" t="s">
        <v>31</v>
      </c>
      <c r="H12" s="49" t="s">
        <v>13</v>
      </c>
      <c r="I12" s="49" t="s">
        <v>13</v>
      </c>
      <c r="J12" s="49" t="s">
        <v>13</v>
      </c>
      <c r="K12" s="49" t="s">
        <v>13</v>
      </c>
      <c r="L12" s="49" t="s">
        <v>59</v>
      </c>
      <c r="M12" s="49" t="s">
        <v>13</v>
      </c>
      <c r="N12" s="49" t="s">
        <v>13</v>
      </c>
      <c r="O12" s="49" t="s">
        <v>13</v>
      </c>
      <c r="P12" s="49" t="s">
        <v>13</v>
      </c>
      <c r="Q12" s="49" t="s">
        <v>13</v>
      </c>
      <c r="R12" s="49" t="s">
        <v>13</v>
      </c>
      <c r="S12" s="49" t="s">
        <v>13</v>
      </c>
      <c r="T12" s="49" t="s">
        <v>13</v>
      </c>
      <c r="U12" s="49" t="s">
        <v>13</v>
      </c>
      <c r="V12" s="49" t="s">
        <v>13</v>
      </c>
      <c r="W12" s="49" t="s">
        <v>13</v>
      </c>
      <c r="X12" s="49" t="s">
        <v>13</v>
      </c>
      <c r="Y12" s="49" t="s">
        <v>13</v>
      </c>
      <c r="Z12" s="49" t="s">
        <v>13</v>
      </c>
      <c r="AA12" s="49" t="s">
        <v>13</v>
      </c>
      <c r="AB12" s="49" t="s">
        <v>13</v>
      </c>
      <c r="AC12" s="49" t="s">
        <v>13</v>
      </c>
      <c r="AD12" s="49" t="s">
        <v>13</v>
      </c>
      <c r="AE12" s="49" t="s">
        <v>13</v>
      </c>
      <c r="AF12" s="49" t="s">
        <v>13</v>
      </c>
      <c r="AG12" s="49" t="s">
        <v>13</v>
      </c>
      <c r="AH12" s="49" t="s">
        <v>13</v>
      </c>
      <c r="AI12" s="49" t="s">
        <v>13</v>
      </c>
      <c r="AJ12" s="49" t="s">
        <v>13</v>
      </c>
      <c r="AK12" s="49" t="s">
        <v>13</v>
      </c>
      <c r="AL12" s="49" t="s">
        <v>13</v>
      </c>
      <c r="AM12" s="49" t="s">
        <v>59</v>
      </c>
      <c r="AN12" s="49" t="s">
        <v>13</v>
      </c>
      <c r="AO12" s="49" t="s">
        <v>13</v>
      </c>
      <c r="AP12" s="49" t="s">
        <v>13</v>
      </c>
      <c r="AQ12" s="49" t="s">
        <v>13</v>
      </c>
      <c r="AR12" s="49" t="s">
        <v>13</v>
      </c>
      <c r="AS12" s="49" t="s">
        <v>13</v>
      </c>
      <c r="AT12" s="49" t="s">
        <v>13</v>
      </c>
      <c r="AU12" s="49" t="s">
        <v>13</v>
      </c>
      <c r="AV12" s="49" t="s">
        <v>13</v>
      </c>
      <c r="AW12" s="49" t="s">
        <v>13</v>
      </c>
      <c r="AX12" s="49" t="s">
        <v>13</v>
      </c>
      <c r="AY12" s="49" t="s">
        <v>13</v>
      </c>
      <c r="AZ12" s="49" t="s">
        <v>13</v>
      </c>
      <c r="BA12" s="49" t="s">
        <v>13</v>
      </c>
      <c r="BB12" s="49" t="s">
        <v>13</v>
      </c>
      <c r="BC12" s="49" t="s">
        <v>20</v>
      </c>
      <c r="BD12" s="49" t="s">
        <v>13</v>
      </c>
      <c r="BE12" s="49" t="s">
        <v>13</v>
      </c>
      <c r="BF12" s="49" t="s">
        <v>13</v>
      </c>
      <c r="BG12" s="49" t="s">
        <v>13</v>
      </c>
      <c r="BH12" s="49" t="s">
        <v>20</v>
      </c>
      <c r="BI12" s="49" t="s">
        <v>13</v>
      </c>
      <c r="BJ12" s="49" t="s">
        <v>20</v>
      </c>
      <c r="BK12" s="49" t="s">
        <v>13</v>
      </c>
      <c r="BL12" s="49" t="s">
        <v>13</v>
      </c>
      <c r="BM12" s="49" t="s">
        <v>13</v>
      </c>
      <c r="BN12" s="49" t="s">
        <v>13</v>
      </c>
      <c r="BO12" s="49" t="s">
        <v>13</v>
      </c>
      <c r="BP12" s="49" t="s">
        <v>13</v>
      </c>
      <c r="BQ12" s="49" t="s">
        <v>13</v>
      </c>
      <c r="BR12" s="49" t="s">
        <v>20</v>
      </c>
      <c r="BS12" s="49" t="s">
        <v>20</v>
      </c>
      <c r="BT12" s="49" t="s">
        <v>20</v>
      </c>
      <c r="BU12" s="49" t="s">
        <v>59</v>
      </c>
      <c r="BV12" s="49" t="s">
        <v>59</v>
      </c>
      <c r="BW12" s="49" t="s">
        <v>59</v>
      </c>
      <c r="BX12" s="49" t="s">
        <v>59</v>
      </c>
      <c r="BY12" s="49" t="s">
        <v>59</v>
      </c>
      <c r="BZ12" s="49" t="s">
        <v>59</v>
      </c>
      <c r="CA12" s="49" t="s">
        <v>59</v>
      </c>
      <c r="CB12" s="49" t="s">
        <v>59</v>
      </c>
      <c r="CC12" s="49" t="s">
        <v>59</v>
      </c>
      <c r="CD12" s="49" t="s">
        <v>59</v>
      </c>
      <c r="CE12" s="49" t="s">
        <v>59</v>
      </c>
      <c r="CF12" s="49" t="s">
        <v>59</v>
      </c>
      <c r="CG12" s="49" t="s">
        <v>59</v>
      </c>
      <c r="CH12" s="49" t="s">
        <v>59</v>
      </c>
      <c r="CI12" s="49" t="s">
        <v>20</v>
      </c>
      <c r="CJ12" s="49" t="s">
        <v>20</v>
      </c>
      <c r="CK12" s="49" t="s">
        <v>20</v>
      </c>
      <c r="CL12" s="49" t="s">
        <v>20</v>
      </c>
      <c r="CM12" s="49" t="s">
        <v>20</v>
      </c>
      <c r="CN12" s="49" t="s">
        <v>20</v>
      </c>
      <c r="CO12" s="49" t="s">
        <v>20</v>
      </c>
      <c r="CP12" s="49" t="s">
        <v>20</v>
      </c>
      <c r="CQ12" s="49" t="s">
        <v>20</v>
      </c>
      <c r="CR12" s="49" t="s">
        <v>20</v>
      </c>
      <c r="CS12" s="49" t="s">
        <v>20</v>
      </c>
      <c r="CT12" s="49" t="s">
        <v>20</v>
      </c>
      <c r="CU12" s="49" t="s">
        <v>20</v>
      </c>
      <c r="CV12" s="49" t="s">
        <v>20</v>
      </c>
      <c r="CW12" s="49" t="s">
        <v>20</v>
      </c>
      <c r="CX12" s="49" t="s">
        <v>20</v>
      </c>
      <c r="CY12" s="49" t="s">
        <v>20</v>
      </c>
      <c r="CZ12" s="49" t="s">
        <v>20</v>
      </c>
      <c r="DA12" s="49" t="s">
        <v>59</v>
      </c>
      <c r="DB12" s="49" t="s">
        <v>59</v>
      </c>
      <c r="DC12" s="49" t="s">
        <v>20</v>
      </c>
      <c r="DD12" s="49" t="s">
        <v>20</v>
      </c>
      <c r="DE12" s="49" t="s">
        <v>59</v>
      </c>
      <c r="DF12" s="49" t="s">
        <v>13</v>
      </c>
      <c r="DG12" s="49" t="s">
        <v>13</v>
      </c>
      <c r="DH12" s="49" t="s">
        <v>13</v>
      </c>
      <c r="DI12" s="49" t="s">
        <v>59</v>
      </c>
      <c r="DJ12" s="49" t="s">
        <v>13</v>
      </c>
      <c r="DK12" s="49" t="s">
        <v>13</v>
      </c>
      <c r="DL12" s="49" t="s">
        <v>13</v>
      </c>
      <c r="DM12" s="49" t="s">
        <v>20</v>
      </c>
      <c r="DN12" s="49" t="s">
        <v>20</v>
      </c>
      <c r="DO12" s="49" t="s">
        <v>20</v>
      </c>
      <c r="DP12" s="49" t="s">
        <v>20</v>
      </c>
      <c r="DQ12" s="49" t="s">
        <v>13</v>
      </c>
      <c r="DR12" s="49" t="s">
        <v>59</v>
      </c>
      <c r="DS12" s="49" t="s">
        <v>20</v>
      </c>
      <c r="DT12" s="49" t="s">
        <v>13</v>
      </c>
      <c r="DU12" s="49" t="s">
        <v>20</v>
      </c>
      <c r="DV12" s="49" t="s">
        <v>20</v>
      </c>
      <c r="DW12" s="122" t="s">
        <v>20</v>
      </c>
      <c r="DX12" s="49" t="s">
        <v>13</v>
      </c>
      <c r="DY12" s="49" t="s">
        <v>13</v>
      </c>
      <c r="DZ12" s="49" t="s">
        <v>20</v>
      </c>
      <c r="EA12" s="122" t="s">
        <v>20</v>
      </c>
      <c r="EB12" s="122" t="s">
        <v>20</v>
      </c>
      <c r="EC12" s="122" t="s">
        <v>20</v>
      </c>
      <c r="ED12" s="122" t="s">
        <v>20</v>
      </c>
      <c r="EE12" s="49" t="s">
        <v>20</v>
      </c>
      <c r="EF12" s="49" t="s">
        <v>20</v>
      </c>
      <c r="EG12" s="49" t="s">
        <v>20</v>
      </c>
      <c r="EH12" s="49" t="s">
        <v>31</v>
      </c>
      <c r="EI12" s="49" t="s">
        <v>31</v>
      </c>
      <c r="EJ12" s="49" t="s">
        <v>20</v>
      </c>
      <c r="EK12" s="49" t="s">
        <v>20</v>
      </c>
      <c r="EL12" s="49" t="s">
        <v>20</v>
      </c>
      <c r="EM12" s="49" t="s">
        <v>20</v>
      </c>
      <c r="EN12" s="49" t="s">
        <v>13</v>
      </c>
      <c r="EO12" s="49" t="s">
        <v>13</v>
      </c>
      <c r="EP12" s="49" t="s">
        <v>13</v>
      </c>
      <c r="EQ12" s="49" t="s">
        <v>13</v>
      </c>
      <c r="ER12" s="49" t="s">
        <v>13</v>
      </c>
      <c r="ES12" s="49" t="s">
        <v>13</v>
      </c>
      <c r="ET12" s="93" t="s">
        <v>20</v>
      </c>
      <c r="EU12" s="49" t="s">
        <v>20</v>
      </c>
      <c r="EV12" s="49" t="s">
        <v>20</v>
      </c>
      <c r="EW12" s="49" t="s">
        <v>20</v>
      </c>
      <c r="EX12" s="49" t="s">
        <v>20</v>
      </c>
      <c r="EY12" s="49" t="s">
        <v>20</v>
      </c>
      <c r="EZ12" s="49" t="s">
        <v>20</v>
      </c>
      <c r="FA12" s="49" t="s">
        <v>20</v>
      </c>
      <c r="FB12" s="49" t="s">
        <v>20</v>
      </c>
      <c r="FC12" s="49" t="s">
        <v>20</v>
      </c>
      <c r="FD12" s="49" t="s">
        <v>20</v>
      </c>
      <c r="FE12" s="49" t="s">
        <v>20</v>
      </c>
      <c r="FF12" s="49" t="s">
        <v>13</v>
      </c>
      <c r="FG12" s="49" t="s">
        <v>13</v>
      </c>
      <c r="FH12" s="49" t="s">
        <v>31</v>
      </c>
      <c r="FI12" s="49" t="s">
        <v>31</v>
      </c>
      <c r="FJ12" s="49" t="s">
        <v>31</v>
      </c>
      <c r="FK12" s="49" t="s">
        <v>20</v>
      </c>
      <c r="FL12" s="49" t="s">
        <v>59</v>
      </c>
      <c r="FM12" s="49" t="s">
        <v>20</v>
      </c>
      <c r="FN12" s="49" t="s">
        <v>20</v>
      </c>
      <c r="FO12" s="49" t="s">
        <v>20</v>
      </c>
      <c r="FP12" s="49" t="s">
        <v>20</v>
      </c>
      <c r="FQ12" s="49" t="s">
        <v>20</v>
      </c>
      <c r="FR12" s="49" t="s">
        <v>20</v>
      </c>
      <c r="FS12" s="49" t="s">
        <v>20</v>
      </c>
      <c r="FT12" s="49" t="s">
        <v>20</v>
      </c>
      <c r="FU12" s="49" t="s">
        <v>20</v>
      </c>
      <c r="FV12" s="49" t="s">
        <v>20</v>
      </c>
      <c r="FW12" s="49" t="s">
        <v>20</v>
      </c>
      <c r="FX12" s="49" t="s">
        <v>20</v>
      </c>
      <c r="FY12" s="49" t="s">
        <v>59</v>
      </c>
      <c r="FZ12" s="49" t="s">
        <v>59</v>
      </c>
      <c r="GA12" s="49" t="s">
        <v>20</v>
      </c>
      <c r="GB12" s="49"/>
      <c r="GC12" s="49" t="s">
        <v>20</v>
      </c>
      <c r="GD12" s="49" t="s">
        <v>59</v>
      </c>
      <c r="GE12" s="49" t="s">
        <v>20</v>
      </c>
      <c r="GF12" s="49" t="s">
        <v>20</v>
      </c>
      <c r="GG12" s="49" t="s">
        <v>13</v>
      </c>
      <c r="GH12" s="49" t="s">
        <v>20</v>
      </c>
      <c r="GI12" s="49" t="s">
        <v>20</v>
      </c>
      <c r="GJ12" s="49" t="s">
        <v>20</v>
      </c>
      <c r="GK12" s="49" t="s">
        <v>20</v>
      </c>
      <c r="GL12" s="49" t="s">
        <v>20</v>
      </c>
      <c r="GM12" s="49" t="s">
        <v>20</v>
      </c>
      <c r="GN12" s="49"/>
      <c r="GO12" s="49" t="s">
        <v>20</v>
      </c>
      <c r="GP12" s="49" t="s">
        <v>20</v>
      </c>
      <c r="GQ12" s="49"/>
      <c r="GR12" s="49" t="s">
        <v>20</v>
      </c>
      <c r="GS12" s="49"/>
      <c r="GT12" s="49" t="s">
        <v>59</v>
      </c>
      <c r="GU12" s="49" t="s">
        <v>13</v>
      </c>
      <c r="GV12" s="49" t="s">
        <v>20</v>
      </c>
      <c r="GW12" s="49" t="s">
        <v>20</v>
      </c>
      <c r="GX12" s="49" t="s">
        <v>20</v>
      </c>
      <c r="GY12" s="49" t="s">
        <v>59</v>
      </c>
      <c r="GZ12" s="49" t="s">
        <v>59</v>
      </c>
      <c r="HA12" s="49" t="s">
        <v>20</v>
      </c>
      <c r="HB12" s="49" t="s">
        <v>59</v>
      </c>
      <c r="HC12" s="49" t="s">
        <v>59</v>
      </c>
      <c r="HD12" s="49" t="s">
        <v>20</v>
      </c>
      <c r="HE12" s="49" t="s">
        <v>20</v>
      </c>
      <c r="HF12" s="49"/>
      <c r="HG12" s="49" t="s">
        <v>20</v>
      </c>
      <c r="HH12" s="49" t="s">
        <v>20</v>
      </c>
      <c r="HI12" s="49"/>
      <c r="HJ12" s="49" t="s">
        <v>20</v>
      </c>
      <c r="HK12" s="49" t="s">
        <v>20</v>
      </c>
      <c r="HL12" s="49"/>
      <c r="HM12" s="49"/>
      <c r="HN12" s="49" t="s">
        <v>20</v>
      </c>
      <c r="HO12" s="49"/>
      <c r="HP12" s="49" t="s">
        <v>20</v>
      </c>
      <c r="HQ12" s="49" t="s">
        <v>20</v>
      </c>
      <c r="HR12" s="49" t="s">
        <v>20</v>
      </c>
      <c r="HS12" s="49" t="s">
        <v>20</v>
      </c>
      <c r="HT12" s="49" t="s">
        <v>20</v>
      </c>
      <c r="HU12" s="49" t="s">
        <v>20</v>
      </c>
      <c r="HV12" s="49" t="s">
        <v>20</v>
      </c>
      <c r="HW12" s="49" t="s">
        <v>20</v>
      </c>
      <c r="HX12" s="465" t="s">
        <v>20</v>
      </c>
      <c r="HY12" s="465" t="s">
        <v>20</v>
      </c>
      <c r="HZ12" s="93" t="s">
        <v>20</v>
      </c>
      <c r="IA12" s="93" t="s">
        <v>20</v>
      </c>
      <c r="IB12" s="93" t="s">
        <v>13</v>
      </c>
      <c r="IC12" s="122" t="s">
        <v>20</v>
      </c>
      <c r="ID12" s="49" t="s">
        <v>20</v>
      </c>
      <c r="IE12" s="49" t="s">
        <v>20</v>
      </c>
      <c r="IF12" s="49" t="s">
        <v>20</v>
      </c>
      <c r="IG12" s="49" t="s">
        <v>20</v>
      </c>
      <c r="IH12" s="49" t="s">
        <v>20</v>
      </c>
      <c r="II12" s="49" t="s">
        <v>20</v>
      </c>
      <c r="IJ12" s="49" t="s">
        <v>20</v>
      </c>
      <c r="IK12" s="49" t="s">
        <v>20</v>
      </c>
      <c r="IL12" s="49" t="s">
        <v>13</v>
      </c>
      <c r="IM12" s="49" t="s">
        <v>13</v>
      </c>
      <c r="IN12" s="49" t="s">
        <v>13</v>
      </c>
      <c r="IO12" s="49" t="s">
        <v>20</v>
      </c>
      <c r="IP12" s="49" t="s">
        <v>20</v>
      </c>
      <c r="IQ12" s="49" t="s">
        <v>20</v>
      </c>
      <c r="IR12" s="49" t="s">
        <v>20</v>
      </c>
      <c r="IS12" s="49" t="s">
        <v>20</v>
      </c>
      <c r="IT12" s="49" t="s">
        <v>59</v>
      </c>
      <c r="IU12" s="49" t="s">
        <v>20</v>
      </c>
      <c r="IV12" s="123" t="s">
        <v>59</v>
      </c>
      <c r="IW12" s="123" t="s">
        <v>59</v>
      </c>
      <c r="IX12" s="49" t="s">
        <v>20</v>
      </c>
      <c r="IY12" s="123" t="s">
        <v>59</v>
      </c>
      <c r="IZ12" s="122" t="s">
        <v>20</v>
      </c>
      <c r="JA12" s="123" t="s">
        <v>59</v>
      </c>
      <c r="JB12" s="49" t="s">
        <v>20</v>
      </c>
      <c r="JC12" s="94" t="s">
        <v>59</v>
      </c>
      <c r="JD12" s="122" t="s">
        <v>20</v>
      </c>
      <c r="JE12" s="122" t="s">
        <v>59</v>
      </c>
      <c r="JF12" s="123" t="s">
        <v>59</v>
      </c>
      <c r="JG12" s="49" t="s">
        <v>20</v>
      </c>
      <c r="JH12" s="49" t="s">
        <v>20</v>
      </c>
      <c r="JI12" s="123" t="s">
        <v>59</v>
      </c>
      <c r="JJ12" s="49" t="s">
        <v>20</v>
      </c>
      <c r="JK12" s="123" t="s">
        <v>59</v>
      </c>
      <c r="JL12" s="49" t="s">
        <v>20</v>
      </c>
      <c r="JM12" s="123" t="s">
        <v>59</v>
      </c>
      <c r="JN12" s="49" t="s">
        <v>20</v>
      </c>
      <c r="JO12" s="49" t="s">
        <v>20</v>
      </c>
      <c r="JP12" s="49" t="s">
        <v>20</v>
      </c>
      <c r="JQ12" s="49" t="s">
        <v>20</v>
      </c>
      <c r="JR12" s="49" t="s">
        <v>20</v>
      </c>
      <c r="JS12" s="49" t="s">
        <v>20</v>
      </c>
      <c r="JT12" s="49" t="s">
        <v>20</v>
      </c>
      <c r="JU12" s="49" t="s">
        <v>20</v>
      </c>
      <c r="JV12" s="49" t="s">
        <v>20</v>
      </c>
      <c r="JW12" s="49" t="s">
        <v>20</v>
      </c>
      <c r="JX12" s="49" t="s">
        <v>20</v>
      </c>
      <c r="JY12" s="49" t="s">
        <v>20</v>
      </c>
      <c r="JZ12" s="49" t="s">
        <v>59</v>
      </c>
      <c r="KA12" s="49" t="s">
        <v>59</v>
      </c>
      <c r="KB12" s="49" t="s">
        <v>59</v>
      </c>
      <c r="KC12" s="49" t="s">
        <v>59</v>
      </c>
      <c r="KD12" s="49" t="s">
        <v>20</v>
      </c>
      <c r="KE12" s="49" t="s">
        <v>20</v>
      </c>
      <c r="KF12" s="49" t="s">
        <v>59</v>
      </c>
      <c r="KG12" s="49" t="s">
        <v>59</v>
      </c>
      <c r="KH12" s="49" t="s">
        <v>20</v>
      </c>
      <c r="KI12" s="49" t="s">
        <v>20</v>
      </c>
      <c r="KJ12" s="49" t="s">
        <v>59</v>
      </c>
      <c r="KK12" s="49" t="s">
        <v>20</v>
      </c>
      <c r="KL12" s="49" t="s">
        <v>20</v>
      </c>
      <c r="KM12" s="49" t="s">
        <v>20</v>
      </c>
      <c r="KN12" s="49" t="s">
        <v>59</v>
      </c>
      <c r="KO12" s="49" t="s">
        <v>59</v>
      </c>
      <c r="KP12" s="49" t="s">
        <v>59</v>
      </c>
      <c r="KQ12" s="49" t="s">
        <v>20</v>
      </c>
      <c r="KR12" s="49" t="s">
        <v>20</v>
      </c>
      <c r="KS12" s="49" t="s">
        <v>20</v>
      </c>
      <c r="KT12" s="49" t="s">
        <v>20</v>
      </c>
      <c r="KU12" s="49" t="s">
        <v>20</v>
      </c>
      <c r="KV12" s="49" t="s">
        <v>20</v>
      </c>
      <c r="KW12" s="49" t="s">
        <v>20</v>
      </c>
      <c r="KX12" s="49" t="s">
        <v>20</v>
      </c>
      <c r="KY12" s="49" t="s">
        <v>20</v>
      </c>
      <c r="KZ12" s="49" t="s">
        <v>20</v>
      </c>
      <c r="LA12" s="49" t="s">
        <v>20</v>
      </c>
      <c r="LB12" s="49" t="s">
        <v>20</v>
      </c>
      <c r="LC12" s="465" t="s">
        <v>20</v>
      </c>
      <c r="LD12" s="465" t="s">
        <v>20</v>
      </c>
      <c r="LE12" s="49" t="s">
        <v>20</v>
      </c>
      <c r="LF12" s="49" t="s">
        <v>20</v>
      </c>
      <c r="LG12" s="49" t="s">
        <v>20</v>
      </c>
      <c r="LH12" s="49" t="s">
        <v>20</v>
      </c>
      <c r="LI12" s="49" t="s">
        <v>20</v>
      </c>
      <c r="LJ12" s="49" t="s">
        <v>20</v>
      </c>
      <c r="LK12" s="49" t="s">
        <v>20</v>
      </c>
      <c r="LL12" s="49" t="s">
        <v>20</v>
      </c>
      <c r="LM12" s="49" t="s">
        <v>20</v>
      </c>
      <c r="LN12" s="49" t="s">
        <v>20</v>
      </c>
      <c r="LO12" s="49" t="s">
        <v>20</v>
      </c>
      <c r="LP12" s="49" t="s">
        <v>20</v>
      </c>
      <c r="LQ12" s="49" t="s">
        <v>20</v>
      </c>
      <c r="LR12" s="49" t="s">
        <v>59</v>
      </c>
      <c r="LS12" s="49" t="s">
        <v>59</v>
      </c>
      <c r="LT12" s="49" t="s">
        <v>20</v>
      </c>
      <c r="LU12" s="49" t="s">
        <v>20</v>
      </c>
      <c r="LV12" s="49" t="s">
        <v>20</v>
      </c>
      <c r="LW12" s="49" t="s">
        <v>20</v>
      </c>
      <c r="LX12" s="49" t="s">
        <v>59</v>
      </c>
      <c r="LY12" s="49" t="s">
        <v>59</v>
      </c>
      <c r="LZ12" s="49" t="s">
        <v>20</v>
      </c>
      <c r="MA12" s="49" t="s">
        <v>20</v>
      </c>
      <c r="MB12" s="49" t="s">
        <v>20</v>
      </c>
      <c r="MC12" s="49" t="s">
        <v>20</v>
      </c>
      <c r="MD12" s="49" t="s">
        <v>20</v>
      </c>
      <c r="ME12" s="49" t="s">
        <v>20</v>
      </c>
      <c r="MF12" s="49" t="s">
        <v>20</v>
      </c>
      <c r="MG12" s="49" t="s">
        <v>20</v>
      </c>
      <c r="MH12" s="49" t="s">
        <v>20</v>
      </c>
      <c r="MJ12" s="49" t="s">
        <v>20</v>
      </c>
      <c r="MK12" s="49" t="s">
        <v>59</v>
      </c>
      <c r="ML12" s="49" t="s">
        <v>20</v>
      </c>
      <c r="MM12" s="49" t="s">
        <v>59</v>
      </c>
      <c r="MN12" s="49" t="s">
        <v>20</v>
      </c>
      <c r="MO12" s="49" t="s">
        <v>59</v>
      </c>
      <c r="MP12" s="49" t="s">
        <v>20</v>
      </c>
      <c r="MQ12" s="49" t="s">
        <v>59</v>
      </c>
      <c r="MR12" s="49" t="s">
        <v>59</v>
      </c>
      <c r="MS12" s="49" t="s">
        <v>59</v>
      </c>
      <c r="MT12" s="49" t="s">
        <v>59</v>
      </c>
      <c r="MU12" s="49" t="s">
        <v>59</v>
      </c>
      <c r="MV12" s="49" t="s">
        <v>59</v>
      </c>
      <c r="MW12" s="49" t="s">
        <v>59</v>
      </c>
      <c r="MX12" s="49" t="s">
        <v>20</v>
      </c>
      <c r="MY12" s="49" t="s">
        <v>20</v>
      </c>
      <c r="MZ12" s="49" t="s">
        <v>59</v>
      </c>
      <c r="NA12" s="49" t="s">
        <v>20</v>
      </c>
      <c r="NB12" s="49" t="s">
        <v>59</v>
      </c>
      <c r="NC12" s="101" t="s">
        <v>20</v>
      </c>
      <c r="ND12" s="101" t="s">
        <v>13</v>
      </c>
      <c r="NE12" s="101" t="s">
        <v>20</v>
      </c>
      <c r="NF12" s="101" t="s">
        <v>20</v>
      </c>
      <c r="NG12" s="101" t="s">
        <v>20</v>
      </c>
      <c r="NH12" s="101" t="s">
        <v>20</v>
      </c>
      <c r="NI12" s="101" t="s">
        <v>20</v>
      </c>
      <c r="NJ12" s="101" t="s">
        <v>20</v>
      </c>
      <c r="NK12" s="49" t="s">
        <v>59</v>
      </c>
      <c r="NL12" s="49" t="s">
        <v>59</v>
      </c>
      <c r="NM12" s="49" t="s">
        <v>59</v>
      </c>
      <c r="NN12" s="49" t="s">
        <v>59</v>
      </c>
      <c r="NO12" s="49" t="s">
        <v>59</v>
      </c>
      <c r="NP12" s="101" t="s">
        <v>20</v>
      </c>
      <c r="NQ12" s="49" t="s">
        <v>13</v>
      </c>
      <c r="NR12" s="101" t="s">
        <v>20</v>
      </c>
      <c r="NS12" s="101" t="s">
        <v>20</v>
      </c>
      <c r="NT12" s="49" t="s">
        <v>59</v>
      </c>
      <c r="NU12" s="101" t="s">
        <v>20</v>
      </c>
      <c r="NV12" s="101" t="s">
        <v>13</v>
      </c>
      <c r="NW12" s="101" t="s">
        <v>20</v>
      </c>
      <c r="NX12" s="101" t="s">
        <v>20</v>
      </c>
      <c r="NY12" s="49" t="s">
        <v>13</v>
      </c>
      <c r="NZ12" s="49" t="s">
        <v>20</v>
      </c>
      <c r="OA12" s="49" t="s">
        <v>20</v>
      </c>
      <c r="OB12" s="49" t="s">
        <v>20</v>
      </c>
      <c r="OC12" s="49" t="s">
        <v>20</v>
      </c>
      <c r="OD12" s="49" t="s">
        <v>20</v>
      </c>
      <c r="OE12" s="49" t="s">
        <v>20</v>
      </c>
      <c r="OF12" s="49" t="s">
        <v>20</v>
      </c>
      <c r="OG12" s="49" t="s">
        <v>20</v>
      </c>
      <c r="OH12" s="49" t="s">
        <v>20</v>
      </c>
      <c r="OI12" s="49" t="s">
        <v>20</v>
      </c>
      <c r="OJ12" s="49" t="s">
        <v>20</v>
      </c>
      <c r="OK12" s="49" t="s">
        <v>20</v>
      </c>
      <c r="OL12" s="49" t="s">
        <v>20</v>
      </c>
      <c r="OM12" s="49" t="s">
        <v>13</v>
      </c>
      <c r="ON12" s="49" t="s">
        <v>20</v>
      </c>
      <c r="OO12" s="49" t="s">
        <v>20</v>
      </c>
      <c r="OP12" s="49" t="s">
        <v>20</v>
      </c>
      <c r="OQ12" s="49" t="s">
        <v>20</v>
      </c>
      <c r="OR12" s="49" t="s">
        <v>20</v>
      </c>
      <c r="OS12" s="49" t="s">
        <v>20</v>
      </c>
      <c r="OT12" s="49" t="s">
        <v>20</v>
      </c>
      <c r="OU12" s="49" t="s">
        <v>20</v>
      </c>
      <c r="OV12" s="49" t="s">
        <v>59</v>
      </c>
      <c r="OW12" s="49" t="s">
        <v>20</v>
      </c>
      <c r="OX12" s="49" t="s">
        <v>20</v>
      </c>
      <c r="OY12" s="49" t="s">
        <v>20</v>
      </c>
      <c r="OZ12" s="49" t="s">
        <v>20</v>
      </c>
      <c r="PA12" s="49" t="s">
        <v>20</v>
      </c>
      <c r="PB12" s="49" t="s">
        <v>20</v>
      </c>
      <c r="PC12" s="49" t="s">
        <v>20</v>
      </c>
      <c r="PD12" s="49" t="s">
        <v>20</v>
      </c>
      <c r="PE12" s="49" t="s">
        <v>59</v>
      </c>
      <c r="PF12" s="49" t="s">
        <v>20</v>
      </c>
      <c r="PG12" s="49" t="s">
        <v>20</v>
      </c>
      <c r="PH12" s="49" t="s">
        <v>20</v>
      </c>
      <c r="PI12" s="49" t="s">
        <v>20</v>
      </c>
      <c r="PJ12" s="49" t="s">
        <v>20</v>
      </c>
      <c r="PK12" s="49" t="s">
        <v>20</v>
      </c>
      <c r="PL12" s="49" t="s">
        <v>20</v>
      </c>
      <c r="PM12" s="49" t="s">
        <v>20</v>
      </c>
      <c r="PN12" s="49" t="s">
        <v>20</v>
      </c>
      <c r="PO12" s="49" t="s">
        <v>20</v>
      </c>
      <c r="PP12" s="49" t="s">
        <v>59</v>
      </c>
      <c r="PQ12" s="49" t="s">
        <v>20</v>
      </c>
      <c r="PR12" s="49" t="s">
        <v>20</v>
      </c>
      <c r="PS12" s="49" t="s">
        <v>20</v>
      </c>
      <c r="PT12" s="49" t="s">
        <v>20</v>
      </c>
      <c r="PU12" s="49" t="s">
        <v>20</v>
      </c>
      <c r="PV12" s="49" t="s">
        <v>20</v>
      </c>
      <c r="PW12" s="49" t="s">
        <v>59</v>
      </c>
      <c r="PX12" s="49" t="s">
        <v>20</v>
      </c>
      <c r="PY12" s="49" t="s">
        <v>20</v>
      </c>
      <c r="PZ12" s="49" t="s">
        <v>20</v>
      </c>
      <c r="QA12" s="49" t="s">
        <v>20</v>
      </c>
      <c r="QB12" s="49" t="s">
        <v>20</v>
      </c>
      <c r="QC12" s="49" t="s">
        <v>59</v>
      </c>
      <c r="QD12" s="49" t="s">
        <v>59</v>
      </c>
      <c r="QE12" s="49" t="s">
        <v>59</v>
      </c>
      <c r="QF12" s="49" t="s">
        <v>59</v>
      </c>
      <c r="QG12" s="49" t="s">
        <v>59</v>
      </c>
      <c r="QH12" s="49" t="s">
        <v>59</v>
      </c>
      <c r="QI12" s="49" t="s">
        <v>20</v>
      </c>
      <c r="QJ12" s="49" t="s">
        <v>20</v>
      </c>
      <c r="QK12" s="49" t="s">
        <v>20</v>
      </c>
      <c r="QL12" s="49" t="s">
        <v>20</v>
      </c>
      <c r="QM12" s="49" t="s">
        <v>20</v>
      </c>
      <c r="QN12" s="49" t="s">
        <v>20</v>
      </c>
      <c r="QO12" s="49" t="s">
        <v>20</v>
      </c>
      <c r="QP12" s="49" t="s">
        <v>20</v>
      </c>
      <c r="QQ12" s="49" t="s">
        <v>20</v>
      </c>
      <c r="QR12" s="49" t="s">
        <v>20</v>
      </c>
      <c r="QS12" s="49" t="s">
        <v>20</v>
      </c>
      <c r="QT12" s="49" t="s">
        <v>20</v>
      </c>
      <c r="QU12" s="49" t="s">
        <v>20</v>
      </c>
      <c r="QV12" s="49" t="s">
        <v>20</v>
      </c>
      <c r="QW12" s="49" t="s">
        <v>20</v>
      </c>
      <c r="QX12" s="49" t="s">
        <v>20</v>
      </c>
      <c r="QY12" s="49" t="s">
        <v>20</v>
      </c>
      <c r="QZ12" s="49" t="s">
        <v>20</v>
      </c>
      <c r="RA12" s="49" t="s">
        <v>20</v>
      </c>
      <c r="RB12" s="49" t="s">
        <v>59</v>
      </c>
      <c r="RC12" s="49" t="s">
        <v>13</v>
      </c>
      <c r="RD12" s="49" t="s">
        <v>20</v>
      </c>
      <c r="RE12" s="49" t="s">
        <v>20</v>
      </c>
      <c r="RF12" s="49" t="s">
        <v>20</v>
      </c>
      <c r="RG12" s="49" t="s">
        <v>20</v>
      </c>
      <c r="RH12" s="49" t="s">
        <v>20</v>
      </c>
      <c r="RI12" s="49" t="s">
        <v>20</v>
      </c>
      <c r="RJ12" s="49" t="s">
        <v>59</v>
      </c>
      <c r="RK12" s="49" t="s">
        <v>59</v>
      </c>
      <c r="RL12" s="49" t="s">
        <v>59</v>
      </c>
      <c r="RM12" s="49" t="s">
        <v>59</v>
      </c>
      <c r="RN12" s="49" t="s">
        <v>59</v>
      </c>
      <c r="RO12" s="49" t="s">
        <v>59</v>
      </c>
      <c r="RP12" s="49" t="s">
        <v>20</v>
      </c>
      <c r="RQ12" s="49" t="s">
        <v>20</v>
      </c>
      <c r="RR12" s="49" t="s">
        <v>59</v>
      </c>
      <c r="RS12" s="49" t="s">
        <v>20</v>
      </c>
      <c r="RT12" s="49" t="s">
        <v>20</v>
      </c>
      <c r="RU12" s="49" t="s">
        <v>20</v>
      </c>
      <c r="RV12" s="49" t="s">
        <v>20</v>
      </c>
      <c r="RW12" s="49" t="s">
        <v>20</v>
      </c>
      <c r="RX12" s="49" t="s">
        <v>20</v>
      </c>
      <c r="RY12" s="49" t="s">
        <v>20</v>
      </c>
      <c r="RZ12" s="49" t="s">
        <v>20</v>
      </c>
      <c r="SA12" s="49" t="s">
        <v>20</v>
      </c>
      <c r="SB12" s="49" t="s">
        <v>13</v>
      </c>
      <c r="SC12" s="49" t="s">
        <v>20</v>
      </c>
      <c r="SD12" s="49" t="s">
        <v>20</v>
      </c>
      <c r="SE12" s="49" t="s">
        <v>20</v>
      </c>
      <c r="SF12" s="49" t="s">
        <v>20</v>
      </c>
      <c r="SG12" s="49" t="s">
        <v>20</v>
      </c>
      <c r="SH12" s="49" t="s">
        <v>20</v>
      </c>
      <c r="SI12" s="49" t="s">
        <v>59</v>
      </c>
      <c r="SJ12" s="49" t="s">
        <v>59</v>
      </c>
      <c r="SK12" s="49" t="s">
        <v>59</v>
      </c>
      <c r="SL12" s="49" t="s">
        <v>59</v>
      </c>
      <c r="SM12" s="49" t="s">
        <v>59</v>
      </c>
      <c r="SN12" s="49" t="s">
        <v>59</v>
      </c>
      <c r="SO12" s="49" t="s">
        <v>59</v>
      </c>
      <c r="SP12" s="49" t="s">
        <v>59</v>
      </c>
      <c r="SQ12" s="49" t="s">
        <v>59</v>
      </c>
      <c r="SR12" s="49" t="s">
        <v>59</v>
      </c>
      <c r="SS12" s="49" t="s">
        <v>59</v>
      </c>
      <c r="ST12" s="49" t="s">
        <v>20</v>
      </c>
      <c r="SU12" s="49" t="s">
        <v>20</v>
      </c>
      <c r="SV12" s="49" t="s">
        <v>20</v>
      </c>
      <c r="SW12" s="49" t="s">
        <v>59</v>
      </c>
      <c r="SX12" s="49" t="s">
        <v>20</v>
      </c>
      <c r="SY12" s="49" t="s">
        <v>59</v>
      </c>
      <c r="SZ12" s="49" t="s">
        <v>59</v>
      </c>
      <c r="TA12" s="49" t="s">
        <v>59</v>
      </c>
      <c r="TB12" s="49" t="s">
        <v>20</v>
      </c>
      <c r="TC12" s="49" t="s">
        <v>20</v>
      </c>
      <c r="TD12" s="49" t="s">
        <v>20</v>
      </c>
      <c r="TE12" s="49" t="s">
        <v>20</v>
      </c>
      <c r="TF12" s="49" t="s">
        <v>59</v>
      </c>
      <c r="TG12" s="49" t="s">
        <v>59</v>
      </c>
      <c r="TH12" s="49" t="s">
        <v>20</v>
      </c>
      <c r="TI12" s="49" t="s">
        <v>20</v>
      </c>
      <c r="TJ12" s="49" t="s">
        <v>20</v>
      </c>
      <c r="TK12" s="408" t="s">
        <v>20</v>
      </c>
      <c r="TL12" s="408" t="s">
        <v>20</v>
      </c>
      <c r="TM12" s="408" t="s">
        <v>20</v>
      </c>
      <c r="TN12" s="408" t="s">
        <v>20</v>
      </c>
      <c r="TO12" s="408" t="s">
        <v>20</v>
      </c>
      <c r="TP12" s="408" t="s">
        <v>20</v>
      </c>
      <c r="TQ12" s="49" t="s">
        <v>20</v>
      </c>
      <c r="TR12" s="49" t="s">
        <v>20</v>
      </c>
      <c r="TS12" s="49" t="s">
        <v>20</v>
      </c>
      <c r="TT12" s="49" t="s">
        <v>20</v>
      </c>
      <c r="TU12" s="49" t="s">
        <v>20</v>
      </c>
      <c r="TV12" s="49" t="s">
        <v>20</v>
      </c>
      <c r="TW12" s="49" t="s">
        <v>20</v>
      </c>
      <c r="TX12" s="49" t="s">
        <v>59</v>
      </c>
      <c r="TY12" s="49" t="s">
        <v>20</v>
      </c>
      <c r="TZ12" s="49" t="s">
        <v>20</v>
      </c>
      <c r="UA12" s="49" t="s">
        <v>20</v>
      </c>
      <c r="UB12" s="49" t="s">
        <v>59</v>
      </c>
      <c r="UC12" s="49" t="s">
        <v>20</v>
      </c>
      <c r="UD12" s="49" t="s">
        <v>20</v>
      </c>
      <c r="UE12" s="49" t="s">
        <v>59</v>
      </c>
      <c r="UF12" s="49" t="s">
        <v>13</v>
      </c>
      <c r="UG12" s="49" t="s">
        <v>20</v>
      </c>
      <c r="UH12" s="49" t="s">
        <v>20</v>
      </c>
      <c r="UI12" s="49" t="s">
        <v>20</v>
      </c>
      <c r="UJ12" s="49" t="s">
        <v>13</v>
      </c>
      <c r="UK12" s="49" t="s">
        <v>20</v>
      </c>
      <c r="UL12" s="49" t="s">
        <v>59</v>
      </c>
      <c r="UM12" s="49" t="s">
        <v>59</v>
      </c>
      <c r="UN12" s="49" t="s">
        <v>20</v>
      </c>
      <c r="UO12" s="49" t="s">
        <v>59</v>
      </c>
      <c r="UP12" s="49" t="s">
        <v>20</v>
      </c>
      <c r="UQ12" s="49" t="s">
        <v>13</v>
      </c>
      <c r="UR12" s="49" t="s">
        <v>20</v>
      </c>
      <c r="US12" s="49" t="s">
        <v>20</v>
      </c>
      <c r="UT12" s="49" t="s">
        <v>20</v>
      </c>
      <c r="UU12" s="49" t="s">
        <v>20</v>
      </c>
      <c r="UV12" s="49" t="s">
        <v>20</v>
      </c>
      <c r="UW12" s="49" t="s">
        <v>20</v>
      </c>
      <c r="UX12" s="49" t="s">
        <v>20</v>
      </c>
      <c r="UY12" s="49" t="s">
        <v>20</v>
      </c>
      <c r="UZ12" s="49" t="s">
        <v>20</v>
      </c>
      <c r="VA12" s="49" t="s">
        <v>20</v>
      </c>
      <c r="VB12" s="49" t="s">
        <v>13</v>
      </c>
      <c r="VC12" s="49" t="s">
        <v>20</v>
      </c>
      <c r="VD12" s="49" t="s">
        <v>20</v>
      </c>
      <c r="VE12" s="49"/>
      <c r="VF12" s="49" t="s">
        <v>31</v>
      </c>
      <c r="VG12" s="49" t="s">
        <v>59</v>
      </c>
      <c r="VH12" s="49" t="s">
        <v>59</v>
      </c>
      <c r="VI12" s="49" t="s">
        <v>59</v>
      </c>
      <c r="VJ12" s="49" t="s">
        <v>59</v>
      </c>
      <c r="VK12" s="93" t="s">
        <v>20</v>
      </c>
      <c r="VL12" s="93" t="s">
        <v>20</v>
      </c>
      <c r="VM12" s="93" t="s">
        <v>20</v>
      </c>
      <c r="VN12" s="93" t="s">
        <v>59</v>
      </c>
      <c r="VO12" s="93" t="s">
        <v>13</v>
      </c>
      <c r="VP12" s="93" t="s">
        <v>20</v>
      </c>
      <c r="VQ12" s="93" t="s">
        <v>59</v>
      </c>
      <c r="VR12" s="93" t="s">
        <v>13</v>
      </c>
      <c r="VS12" s="93" t="s">
        <v>20</v>
      </c>
      <c r="VT12" s="93" t="s">
        <v>20</v>
      </c>
      <c r="VU12" s="93" t="s">
        <v>20</v>
      </c>
      <c r="VV12" s="93" t="s">
        <v>20</v>
      </c>
      <c r="VW12" s="93" t="s">
        <v>20</v>
      </c>
      <c r="VX12" s="49" t="s">
        <v>20</v>
      </c>
      <c r="VY12" s="49" t="s">
        <v>20</v>
      </c>
      <c r="VZ12" s="49" t="s">
        <v>20</v>
      </c>
      <c r="WA12" s="72" t="s">
        <v>20</v>
      </c>
      <c r="WB12" s="72" t="s">
        <v>20</v>
      </c>
      <c r="WC12" s="72" t="s">
        <v>20</v>
      </c>
      <c r="WD12" s="72" t="s">
        <v>20</v>
      </c>
      <c r="WE12" s="49" t="s">
        <v>20</v>
      </c>
      <c r="WF12" s="49" t="s">
        <v>59</v>
      </c>
      <c r="WG12" s="49" t="s">
        <v>20</v>
      </c>
      <c r="WH12" s="49" t="s">
        <v>20</v>
      </c>
      <c r="WI12" s="49" t="s">
        <v>59</v>
      </c>
      <c r="WJ12" s="49" t="s">
        <v>20</v>
      </c>
      <c r="WK12" s="49" t="s">
        <v>59</v>
      </c>
      <c r="WL12" s="49" t="s">
        <v>20</v>
      </c>
      <c r="WM12" s="49" t="s">
        <v>59</v>
      </c>
      <c r="WN12" s="49" t="s">
        <v>59</v>
      </c>
      <c r="WO12" s="49" t="s">
        <v>20</v>
      </c>
      <c r="WP12" s="49" t="s">
        <v>20</v>
      </c>
      <c r="WQ12" s="72" t="s">
        <v>20</v>
      </c>
      <c r="WR12" s="49" t="s">
        <v>20</v>
      </c>
      <c r="WS12" s="49" t="s">
        <v>20</v>
      </c>
      <c r="WT12" s="72" t="s">
        <v>59</v>
      </c>
      <c r="WU12" s="49" t="s">
        <v>20</v>
      </c>
      <c r="WV12" s="49" t="s">
        <v>59</v>
      </c>
      <c r="WW12" s="49" t="s">
        <v>13</v>
      </c>
      <c r="WX12" s="49" t="s">
        <v>59</v>
      </c>
      <c r="WY12" s="49" t="s">
        <v>13</v>
      </c>
      <c r="WZ12" s="49" t="s">
        <v>13</v>
      </c>
      <c r="XA12" s="49" t="s">
        <v>20</v>
      </c>
      <c r="XB12" s="49" t="s">
        <v>20</v>
      </c>
      <c r="XC12" s="49" t="s">
        <v>20</v>
      </c>
      <c r="XD12" s="49" t="s">
        <v>214</v>
      </c>
      <c r="XE12" s="49" t="s">
        <v>214</v>
      </c>
      <c r="XF12" s="49" t="s">
        <v>214</v>
      </c>
      <c r="XG12" s="49" t="s">
        <v>214</v>
      </c>
      <c r="XH12" s="49" t="s">
        <v>214</v>
      </c>
      <c r="XI12" s="49" t="s">
        <v>59</v>
      </c>
      <c r="XJ12" s="49" t="s">
        <v>59</v>
      </c>
      <c r="XK12" s="49" t="s">
        <v>20</v>
      </c>
      <c r="XL12" s="49" t="s">
        <v>59</v>
      </c>
      <c r="XM12" s="49" t="s">
        <v>59</v>
      </c>
      <c r="XN12" s="49" t="s">
        <v>59</v>
      </c>
      <c r="XO12" s="49" t="s">
        <v>59</v>
      </c>
      <c r="XP12" s="49" t="s">
        <v>59</v>
      </c>
      <c r="XQ12" s="49" t="s">
        <v>59</v>
      </c>
      <c r="XR12" s="49" t="s">
        <v>59</v>
      </c>
      <c r="XS12" s="49" t="s">
        <v>59</v>
      </c>
      <c r="XT12" s="49" t="s">
        <v>20</v>
      </c>
      <c r="XU12" s="49" t="s">
        <v>20</v>
      </c>
      <c r="XV12" s="49" t="s">
        <v>20</v>
      </c>
      <c r="XW12" s="49" t="s">
        <v>20</v>
      </c>
      <c r="XX12" s="49" t="s">
        <v>59</v>
      </c>
      <c r="XY12" s="49" t="s">
        <v>59</v>
      </c>
      <c r="XZ12" s="49" t="s">
        <v>59</v>
      </c>
      <c r="YA12" s="49" t="s">
        <v>59</v>
      </c>
      <c r="YB12" s="49" t="s">
        <v>59</v>
      </c>
      <c r="YC12" s="49" t="s">
        <v>59</v>
      </c>
      <c r="YD12" s="49" t="s">
        <v>20</v>
      </c>
      <c r="YE12" s="49" t="s">
        <v>59</v>
      </c>
      <c r="YF12" s="49" t="s">
        <v>20</v>
      </c>
      <c r="YG12" s="49" t="s">
        <v>20</v>
      </c>
      <c r="YH12" s="49" t="s">
        <v>20</v>
      </c>
      <c r="YI12" s="101" t="s">
        <v>59</v>
      </c>
      <c r="YJ12" s="49" t="s">
        <v>13</v>
      </c>
      <c r="YK12" s="49" t="s">
        <v>13</v>
      </c>
      <c r="YL12" s="49" t="s">
        <v>20</v>
      </c>
      <c r="YM12" s="49" t="s">
        <v>20</v>
      </c>
      <c r="YN12" s="49" t="s">
        <v>59</v>
      </c>
      <c r="YO12" s="49" t="s">
        <v>59</v>
      </c>
      <c r="YP12" s="49" t="s">
        <v>59</v>
      </c>
      <c r="YQ12" s="49" t="s">
        <v>59</v>
      </c>
      <c r="YR12" s="49"/>
      <c r="YS12" s="49" t="s">
        <v>20</v>
      </c>
      <c r="YT12" s="49" t="s">
        <v>20</v>
      </c>
      <c r="YU12" s="49" t="s">
        <v>20</v>
      </c>
      <c r="YV12" s="49" t="s">
        <v>20</v>
      </c>
      <c r="YW12" s="49" t="s">
        <v>20</v>
      </c>
      <c r="YX12" s="49" t="s">
        <v>20</v>
      </c>
      <c r="YY12" s="49" t="s">
        <v>20</v>
      </c>
      <c r="YZ12" s="49" t="s">
        <v>20</v>
      </c>
      <c r="ZA12" s="49" t="s">
        <v>20</v>
      </c>
      <c r="ZB12" s="49" t="s">
        <v>20</v>
      </c>
      <c r="ZC12" s="49" t="s">
        <v>20</v>
      </c>
      <c r="ZD12" s="49" t="s">
        <v>20</v>
      </c>
      <c r="ZE12" s="49" t="s">
        <v>20</v>
      </c>
      <c r="ZF12" s="49" t="s">
        <v>20</v>
      </c>
      <c r="ZG12" s="49" t="s">
        <v>20</v>
      </c>
      <c r="ZH12" s="49" t="s">
        <v>59</v>
      </c>
      <c r="ZI12" s="49" t="s">
        <v>20</v>
      </c>
      <c r="ZJ12" s="49" t="s">
        <v>20</v>
      </c>
      <c r="ZK12" s="49" t="s">
        <v>20</v>
      </c>
      <c r="ZL12" s="49" t="s">
        <v>20</v>
      </c>
      <c r="ZM12" s="49" t="s">
        <v>20</v>
      </c>
      <c r="ZN12" s="49" t="s">
        <v>20</v>
      </c>
      <c r="ZO12" s="49" t="s">
        <v>20</v>
      </c>
      <c r="ZP12" s="49" t="s">
        <v>20</v>
      </c>
      <c r="ZQ12" s="49" t="s">
        <v>20</v>
      </c>
      <c r="ZR12" s="49" t="s">
        <v>20</v>
      </c>
      <c r="ZS12" s="49" t="s">
        <v>20</v>
      </c>
      <c r="ZT12" s="49" t="s">
        <v>20</v>
      </c>
      <c r="ZU12" s="49" t="s">
        <v>20</v>
      </c>
      <c r="ZV12" s="49" t="s">
        <v>20</v>
      </c>
      <c r="ZW12" s="49" t="s">
        <v>59</v>
      </c>
      <c r="ZX12" s="49" t="s">
        <v>59</v>
      </c>
      <c r="ZY12" s="49" t="s">
        <v>20</v>
      </c>
      <c r="ZZ12" s="122" t="s">
        <v>59</v>
      </c>
      <c r="AAA12" s="49" t="s">
        <v>59</v>
      </c>
      <c r="AAB12" s="49" t="s">
        <v>20</v>
      </c>
      <c r="AAC12" s="49" t="s">
        <v>20</v>
      </c>
      <c r="AAD12" s="49" t="s">
        <v>20</v>
      </c>
    </row>
    <row r="13" spans="1:706" s="26" customFormat="1" ht="12.1" customHeight="1" x14ac:dyDescent="0.25">
      <c r="A13" s="174" t="s">
        <v>368</v>
      </c>
      <c r="B13" s="175" t="s">
        <v>263</v>
      </c>
      <c r="C13" s="175" t="s">
        <v>1</v>
      </c>
      <c r="D13" s="175" t="s">
        <v>2</v>
      </c>
      <c r="E13" s="176" t="s">
        <v>3</v>
      </c>
      <c r="F13" s="176" t="s">
        <v>379</v>
      </c>
      <c r="G13" s="176" t="s">
        <v>122</v>
      </c>
      <c r="H13" s="176" t="s">
        <v>234</v>
      </c>
      <c r="I13" s="176" t="s">
        <v>77</v>
      </c>
      <c r="J13" s="177" t="s">
        <v>4</v>
      </c>
      <c r="K13" s="177" t="s">
        <v>5</v>
      </c>
      <c r="L13" s="177"/>
      <c r="M13" s="177" t="s">
        <v>71</v>
      </c>
      <c r="N13" s="177" t="s">
        <v>72</v>
      </c>
      <c r="O13" s="177" t="s">
        <v>73</v>
      </c>
      <c r="P13" s="177" t="s">
        <v>102</v>
      </c>
      <c r="Q13" s="177" t="s">
        <v>103</v>
      </c>
      <c r="R13" s="177" t="s">
        <v>104</v>
      </c>
      <c r="S13" s="177" t="s">
        <v>105</v>
      </c>
      <c r="T13" s="177" t="s">
        <v>110</v>
      </c>
      <c r="U13" s="177" t="s">
        <v>8</v>
      </c>
      <c r="V13" s="177" t="s">
        <v>9</v>
      </c>
      <c r="W13" s="177" t="s">
        <v>106</v>
      </c>
      <c r="X13" s="177" t="s">
        <v>21</v>
      </c>
      <c r="Y13" s="177" t="s">
        <v>254</v>
      </c>
      <c r="Z13" s="177" t="s">
        <v>6</v>
      </c>
      <c r="AA13" s="177" t="s">
        <v>7</v>
      </c>
      <c r="AB13" s="177" t="s">
        <v>107</v>
      </c>
      <c r="AC13" s="177" t="s">
        <v>600</v>
      </c>
      <c r="AD13" s="177" t="s">
        <v>601</v>
      </c>
      <c r="AE13" s="177" t="s">
        <v>602</v>
      </c>
      <c r="AF13" s="177" t="s">
        <v>603</v>
      </c>
      <c r="AG13" s="177" t="s">
        <v>604</v>
      </c>
      <c r="AH13" s="177" t="s">
        <v>605</v>
      </c>
      <c r="AI13" s="177" t="s">
        <v>606</v>
      </c>
      <c r="AJ13" s="177" t="s">
        <v>607</v>
      </c>
      <c r="AK13" s="177" t="s">
        <v>608</v>
      </c>
      <c r="AL13" s="177" t="s">
        <v>609</v>
      </c>
      <c r="AM13" s="177"/>
      <c r="AN13" s="177" t="s">
        <v>610</v>
      </c>
      <c r="AO13" s="177" t="s">
        <v>611</v>
      </c>
      <c r="AP13" s="177" t="s">
        <v>612</v>
      </c>
      <c r="AQ13" s="177" t="s">
        <v>614</v>
      </c>
      <c r="AR13" s="177" t="s">
        <v>1213</v>
      </c>
      <c r="AS13" s="177" t="s">
        <v>1214</v>
      </c>
      <c r="AT13" s="177" t="s">
        <v>1215</v>
      </c>
      <c r="AU13" s="177" t="s">
        <v>1216</v>
      </c>
      <c r="AV13" s="177" t="s">
        <v>1217</v>
      </c>
      <c r="AW13" s="177" t="s">
        <v>1218</v>
      </c>
      <c r="AX13" s="177" t="s">
        <v>1219</v>
      </c>
      <c r="AY13" s="177" t="s">
        <v>1220</v>
      </c>
      <c r="AZ13" s="177" t="s">
        <v>1221</v>
      </c>
      <c r="BA13" s="177" t="s">
        <v>1222</v>
      </c>
      <c r="BB13" s="177" t="s">
        <v>1223</v>
      </c>
      <c r="BC13" s="177" t="s">
        <v>19</v>
      </c>
      <c r="BD13" s="177" t="s">
        <v>22</v>
      </c>
      <c r="BE13" s="177" t="s">
        <v>1224</v>
      </c>
      <c r="BF13" s="177" t="s">
        <v>1225</v>
      </c>
      <c r="BG13" s="177" t="s">
        <v>23</v>
      </c>
      <c r="BH13" s="177" t="s">
        <v>117</v>
      </c>
      <c r="BI13" s="177" t="s">
        <v>867</v>
      </c>
      <c r="BJ13" s="177" t="s">
        <v>126</v>
      </c>
      <c r="BK13" s="177" t="s">
        <v>75</v>
      </c>
      <c r="BL13" s="177" t="s">
        <v>108</v>
      </c>
      <c r="BM13" s="177" t="s">
        <v>109</v>
      </c>
      <c r="BN13" s="177" t="s">
        <v>259</v>
      </c>
      <c r="BO13" s="177" t="s">
        <v>260</v>
      </c>
      <c r="BP13" s="177" t="s">
        <v>1022</v>
      </c>
      <c r="BQ13" s="177" t="s">
        <v>695</v>
      </c>
      <c r="BR13" s="177" t="s">
        <v>697</v>
      </c>
      <c r="BS13" s="177" t="s">
        <v>698</v>
      </c>
      <c r="BT13" s="177" t="s">
        <v>692</v>
      </c>
      <c r="BU13" s="177"/>
      <c r="BV13" s="177"/>
      <c r="BW13" s="177"/>
      <c r="BX13" s="177"/>
      <c r="BY13" s="177"/>
      <c r="BZ13" s="177"/>
      <c r="CA13" s="177"/>
      <c r="CB13" s="177"/>
      <c r="CC13" s="177"/>
      <c r="CD13" s="177"/>
      <c r="CE13" s="177"/>
      <c r="CF13" s="177"/>
      <c r="CG13" s="177"/>
      <c r="CH13" s="177"/>
      <c r="CI13" s="177" t="s">
        <v>1226</v>
      </c>
      <c r="CJ13" s="177" t="s">
        <v>1227</v>
      </c>
      <c r="CK13" s="177" t="s">
        <v>883</v>
      </c>
      <c r="CL13" s="177" t="s">
        <v>70</v>
      </c>
      <c r="CM13" s="177" t="s">
        <v>1228</v>
      </c>
      <c r="CN13" s="177" t="s">
        <v>34</v>
      </c>
      <c r="CO13" s="177" t="s">
        <v>35</v>
      </c>
      <c r="CP13" s="177" t="s">
        <v>144</v>
      </c>
      <c r="CQ13" s="177" t="s">
        <v>96</v>
      </c>
      <c r="CR13" s="177" t="s">
        <v>41</v>
      </c>
      <c r="CS13" s="177" t="s">
        <v>127</v>
      </c>
      <c r="CT13" s="177" t="s">
        <v>142</v>
      </c>
      <c r="CU13" s="177" t="s">
        <v>95</v>
      </c>
      <c r="CV13" s="177" t="s">
        <v>39</v>
      </c>
      <c r="CW13" s="177" t="s">
        <v>143</v>
      </c>
      <c r="CX13" s="177" t="s">
        <v>36</v>
      </c>
      <c r="CY13" s="177" t="s">
        <v>37</v>
      </c>
      <c r="CZ13" s="177" t="s">
        <v>56</v>
      </c>
      <c r="DA13" s="177"/>
      <c r="DB13" s="177"/>
      <c r="DC13" s="177" t="s">
        <v>135</v>
      </c>
      <c r="DD13" s="177" t="s">
        <v>868</v>
      </c>
      <c r="DE13" s="177"/>
      <c r="DF13" s="177" t="s">
        <v>136</v>
      </c>
      <c r="DG13" s="177" t="s">
        <v>208</v>
      </c>
      <c r="DH13" s="177" t="s">
        <v>301</v>
      </c>
      <c r="DI13" s="177"/>
      <c r="DJ13" s="177" t="s">
        <v>1229</v>
      </c>
      <c r="DK13" s="177" t="s">
        <v>1230</v>
      </c>
      <c r="DL13" s="177" t="s">
        <v>1231</v>
      </c>
      <c r="DM13" s="177" t="s">
        <v>2771</v>
      </c>
      <c r="DN13" s="177" t="s">
        <v>128</v>
      </c>
      <c r="DO13" s="177" t="s">
        <v>40</v>
      </c>
      <c r="DP13" s="177" t="s">
        <v>38</v>
      </c>
      <c r="DQ13" s="177" t="s">
        <v>93</v>
      </c>
      <c r="DR13" s="177"/>
      <c r="DS13" s="177" t="s">
        <v>679</v>
      </c>
      <c r="DT13" s="177" t="s">
        <v>1014</v>
      </c>
      <c r="DU13" s="177" t="s">
        <v>64</v>
      </c>
      <c r="DV13" s="177" t="s">
        <v>65</v>
      </c>
      <c r="DW13" s="178" t="s">
        <v>1232</v>
      </c>
      <c r="DX13" s="177" t="s">
        <v>179</v>
      </c>
      <c r="DY13" s="177" t="s">
        <v>845</v>
      </c>
      <c r="DZ13" s="177" t="s">
        <v>192</v>
      </c>
      <c r="EA13" s="178" t="s">
        <v>1489</v>
      </c>
      <c r="EB13" s="178" t="s">
        <v>1490</v>
      </c>
      <c r="EC13" s="178" t="s">
        <v>1491</v>
      </c>
      <c r="ED13" s="178" t="s">
        <v>1492</v>
      </c>
      <c r="EE13" s="177" t="s">
        <v>46</v>
      </c>
      <c r="EF13" s="177" t="s">
        <v>1233</v>
      </c>
      <c r="EG13" s="177" t="s">
        <v>42</v>
      </c>
      <c r="EH13" s="177" t="s">
        <v>43</v>
      </c>
      <c r="EI13" s="177" t="s">
        <v>44</v>
      </c>
      <c r="EJ13" s="177" t="s">
        <v>1493</v>
      </c>
      <c r="EK13" s="177" t="s">
        <v>67</v>
      </c>
      <c r="EL13" s="177" t="s">
        <v>68</v>
      </c>
      <c r="EM13" s="177" t="s">
        <v>63</v>
      </c>
      <c r="EN13" s="177" t="s">
        <v>113</v>
      </c>
      <c r="EO13" s="177" t="s">
        <v>268</v>
      </c>
      <c r="EP13" s="177" t="s">
        <v>101</v>
      </c>
      <c r="EQ13" s="177" t="s">
        <v>269</v>
      </c>
      <c r="ER13" s="177" t="s">
        <v>590</v>
      </c>
      <c r="ES13" s="177" t="s">
        <v>599</v>
      </c>
      <c r="ET13" s="177" t="s">
        <v>24</v>
      </c>
      <c r="EU13" s="177" t="s">
        <v>26</v>
      </c>
      <c r="EV13" s="177" t="s">
        <v>28</v>
      </c>
      <c r="EW13" s="177" t="s">
        <v>25</v>
      </c>
      <c r="EX13" s="177" t="s">
        <v>27</v>
      </c>
      <c r="EY13" s="177" t="s">
        <v>29</v>
      </c>
      <c r="EZ13" s="177" t="s">
        <v>488</v>
      </c>
      <c r="FA13" s="177" t="s">
        <v>598</v>
      </c>
      <c r="FB13" s="177" t="s">
        <v>489</v>
      </c>
      <c r="FC13" s="177" t="s">
        <v>506</v>
      </c>
      <c r="FD13" s="177" t="s">
        <v>507</v>
      </c>
      <c r="FE13" s="177" t="s">
        <v>508</v>
      </c>
      <c r="FF13" s="177" t="s">
        <v>681</v>
      </c>
      <c r="FG13" s="177" t="s">
        <v>682</v>
      </c>
      <c r="FH13" s="177" t="s">
        <v>30</v>
      </c>
      <c r="FI13" s="177" t="s">
        <v>32</v>
      </c>
      <c r="FJ13" s="177" t="s">
        <v>33</v>
      </c>
      <c r="FK13" s="177" t="s">
        <v>270</v>
      </c>
      <c r="FL13" s="177"/>
      <c r="FM13" s="177" t="s">
        <v>271</v>
      </c>
      <c r="FN13" s="177" t="s">
        <v>277</v>
      </c>
      <c r="FO13" s="177" t="s">
        <v>276</v>
      </c>
      <c r="FP13" s="177" t="s">
        <v>1112</v>
      </c>
      <c r="FQ13" s="177" t="s">
        <v>1234</v>
      </c>
      <c r="FR13" s="177" t="s">
        <v>1235</v>
      </c>
      <c r="FS13" s="177" t="s">
        <v>1494</v>
      </c>
      <c r="FT13" s="177" t="s">
        <v>1237</v>
      </c>
      <c r="FU13" s="177" t="s">
        <v>1495</v>
      </c>
      <c r="FV13" s="177" t="s">
        <v>1496</v>
      </c>
      <c r="FW13" s="177" t="s">
        <v>1497</v>
      </c>
      <c r="FX13" s="177" t="s">
        <v>1498</v>
      </c>
      <c r="FY13" s="177"/>
      <c r="FZ13" s="177"/>
      <c r="GA13" s="177" t="s">
        <v>1055</v>
      </c>
      <c r="GB13" s="177"/>
      <c r="GC13" s="177" t="s">
        <v>1070</v>
      </c>
      <c r="GD13" s="177"/>
      <c r="GE13" s="177" t="s">
        <v>47</v>
      </c>
      <c r="GF13" s="177" t="s">
        <v>48</v>
      </c>
      <c r="GG13" s="177" t="s">
        <v>814</v>
      </c>
      <c r="GH13" s="177" t="s">
        <v>284</v>
      </c>
      <c r="GI13" s="177" t="s">
        <v>216</v>
      </c>
      <c r="GJ13" s="177" t="s">
        <v>57</v>
      </c>
      <c r="GK13" s="177" t="s">
        <v>492</v>
      </c>
      <c r="GL13" s="177" t="s">
        <v>58</v>
      </c>
      <c r="GM13" s="177" t="s">
        <v>183</v>
      </c>
      <c r="GN13" s="177"/>
      <c r="GO13" s="177" t="s">
        <v>187</v>
      </c>
      <c r="GP13" s="177" t="s">
        <v>49</v>
      </c>
      <c r="GQ13" s="177"/>
      <c r="GR13" s="177" t="s">
        <v>190</v>
      </c>
      <c r="GS13" s="177"/>
      <c r="GT13" s="177"/>
      <c r="GU13" s="177" t="s">
        <v>866</v>
      </c>
      <c r="GV13" s="177" t="s">
        <v>1499</v>
      </c>
      <c r="GW13" s="177" t="s">
        <v>1500</v>
      </c>
      <c r="GX13" s="177" t="s">
        <v>1501</v>
      </c>
      <c r="GY13" s="177"/>
      <c r="GZ13" s="177"/>
      <c r="HA13" s="177" t="s">
        <v>1502</v>
      </c>
      <c r="HB13" s="177"/>
      <c r="HC13" s="177"/>
      <c r="HD13" s="177" t="s">
        <v>257</v>
      </c>
      <c r="HE13" s="177" t="s">
        <v>194</v>
      </c>
      <c r="HF13" s="177"/>
      <c r="HG13" s="177" t="s">
        <v>195</v>
      </c>
      <c r="HH13" s="177" t="s">
        <v>196</v>
      </c>
      <c r="HI13" s="177"/>
      <c r="HJ13" s="177" t="s">
        <v>253</v>
      </c>
      <c r="HK13" s="177" t="s">
        <v>197</v>
      </c>
      <c r="HL13" s="177"/>
      <c r="HM13" s="177"/>
      <c r="HN13" s="177" t="s">
        <v>474</v>
      </c>
      <c r="HO13" s="177"/>
      <c r="HP13" s="177" t="s">
        <v>595</v>
      </c>
      <c r="HQ13" s="177" t="s">
        <v>1503</v>
      </c>
      <c r="HR13" s="177" t="s">
        <v>1504</v>
      </c>
      <c r="HS13" s="177" t="s">
        <v>97</v>
      </c>
      <c r="HT13" s="177" t="s">
        <v>1505</v>
      </c>
      <c r="HU13" s="177" t="s">
        <v>239</v>
      </c>
      <c r="HV13" s="177" t="s">
        <v>240</v>
      </c>
      <c r="HW13" s="177" t="s">
        <v>313</v>
      </c>
      <c r="HX13" s="466" t="s">
        <v>1506</v>
      </c>
      <c r="HY13" s="466" t="s">
        <v>1507</v>
      </c>
      <c r="HZ13" s="179" t="s">
        <v>79</v>
      </c>
      <c r="IA13" s="179" t="s">
        <v>80</v>
      </c>
      <c r="IB13" s="179" t="s">
        <v>227</v>
      </c>
      <c r="IC13" s="178" t="s">
        <v>1247</v>
      </c>
      <c r="ID13" s="177" t="s">
        <v>2316</v>
      </c>
      <c r="IE13" s="177" t="s">
        <v>2749</v>
      </c>
      <c r="IF13" s="177" t="s">
        <v>539</v>
      </c>
      <c r="IG13" s="177" t="s">
        <v>178</v>
      </c>
      <c r="IH13" s="177" t="s">
        <v>1508</v>
      </c>
      <c r="II13" s="177" t="s">
        <v>206</v>
      </c>
      <c r="IJ13" s="177" t="s">
        <v>625</v>
      </c>
      <c r="IK13" s="178" t="s">
        <v>1509</v>
      </c>
      <c r="IL13" s="177" t="s">
        <v>289</v>
      </c>
      <c r="IM13" s="177" t="s">
        <v>290</v>
      </c>
      <c r="IN13" s="177" t="s">
        <v>768</v>
      </c>
      <c r="IO13" s="177" t="s">
        <v>2317</v>
      </c>
      <c r="IP13" s="177" t="s">
        <v>1049</v>
      </c>
      <c r="IQ13" s="177" t="s">
        <v>410</v>
      </c>
      <c r="IR13" s="177" t="s">
        <v>225</v>
      </c>
      <c r="IS13" s="177" t="s">
        <v>314</v>
      </c>
      <c r="IT13" s="177"/>
      <c r="IU13" s="177" t="s">
        <v>213</v>
      </c>
      <c r="IV13" s="178"/>
      <c r="IW13" s="178"/>
      <c r="IX13" s="177" t="s">
        <v>513</v>
      </c>
      <c r="IY13" s="178"/>
      <c r="IZ13" s="178" t="s">
        <v>517</v>
      </c>
      <c r="JA13" s="178"/>
      <c r="JB13" s="177" t="s">
        <v>521</v>
      </c>
      <c r="JC13" s="177"/>
      <c r="JD13" s="178" t="s">
        <v>523</v>
      </c>
      <c r="JE13" s="178"/>
      <c r="JF13" s="467"/>
      <c r="JG13" s="177" t="s">
        <v>527</v>
      </c>
      <c r="JH13" s="177" t="s">
        <v>182</v>
      </c>
      <c r="JI13" s="467"/>
      <c r="JJ13" s="177" t="s">
        <v>596</v>
      </c>
      <c r="JK13" s="467"/>
      <c r="JL13" s="177" t="s">
        <v>597</v>
      </c>
      <c r="JM13" s="467"/>
      <c r="JN13" s="177" t="s">
        <v>531</v>
      </c>
      <c r="JO13" s="177" t="s">
        <v>403</v>
      </c>
      <c r="JP13" s="177" t="s">
        <v>191</v>
      </c>
      <c r="JQ13" s="177" t="s">
        <v>2172</v>
      </c>
      <c r="JR13" s="177" t="s">
        <v>2173</v>
      </c>
      <c r="JS13" s="177" t="s">
        <v>2174</v>
      </c>
      <c r="JT13" s="177" t="s">
        <v>207</v>
      </c>
      <c r="JU13" s="177" t="s">
        <v>325</v>
      </c>
      <c r="JV13" s="178" t="s">
        <v>224</v>
      </c>
      <c r="JW13" s="178" t="s">
        <v>326</v>
      </c>
      <c r="JX13" s="178" t="s">
        <v>1050</v>
      </c>
      <c r="JY13" s="178" t="s">
        <v>262</v>
      </c>
      <c r="JZ13" s="177"/>
      <c r="KA13" s="177"/>
      <c r="KB13" s="177"/>
      <c r="KC13" s="177"/>
      <c r="KD13" s="177" t="s">
        <v>1510</v>
      </c>
      <c r="KE13" s="177" t="s">
        <v>1511</v>
      </c>
      <c r="KF13" s="177"/>
      <c r="KG13" s="177"/>
      <c r="KH13" s="177" t="s">
        <v>1512</v>
      </c>
      <c r="KI13" s="177" t="s">
        <v>1513</v>
      </c>
      <c r="KJ13" s="177"/>
      <c r="KK13" s="177" t="s">
        <v>1514</v>
      </c>
      <c r="KL13" s="177" t="s">
        <v>1515</v>
      </c>
      <c r="KM13" s="177" t="s">
        <v>1516</v>
      </c>
      <c r="KN13" s="177"/>
      <c r="KO13" s="177"/>
      <c r="KP13" s="177"/>
      <c r="KQ13" s="177" t="s">
        <v>1517</v>
      </c>
      <c r="KR13" s="177" t="s">
        <v>1518</v>
      </c>
      <c r="KS13" s="177" t="s">
        <v>1519</v>
      </c>
      <c r="KT13" s="177" t="s">
        <v>1520</v>
      </c>
      <c r="KU13" s="177" t="s">
        <v>1521</v>
      </c>
      <c r="KV13" s="177" t="s">
        <v>1522</v>
      </c>
      <c r="KW13" s="177" t="s">
        <v>1523</v>
      </c>
      <c r="KX13" s="177" t="s">
        <v>1524</v>
      </c>
      <c r="KY13" s="177" t="s">
        <v>1525</v>
      </c>
      <c r="KZ13" s="177" t="s">
        <v>1526</v>
      </c>
      <c r="LA13" s="177" t="s">
        <v>238</v>
      </c>
      <c r="LB13" s="177" t="s">
        <v>1527</v>
      </c>
      <c r="LC13" s="466" t="s">
        <v>1528</v>
      </c>
      <c r="LD13" s="466" t="s">
        <v>1529</v>
      </c>
      <c r="LE13" s="177" t="s">
        <v>1530</v>
      </c>
      <c r="LF13" s="177" t="s">
        <v>1531</v>
      </c>
      <c r="LG13" s="177" t="s">
        <v>1532</v>
      </c>
      <c r="LH13" s="177" t="s">
        <v>1533</v>
      </c>
      <c r="LI13" s="177" t="s">
        <v>1534</v>
      </c>
      <c r="LJ13" s="177" t="s">
        <v>1535</v>
      </c>
      <c r="LK13" s="177" t="s">
        <v>1536</v>
      </c>
      <c r="LL13" s="177" t="s">
        <v>1537</v>
      </c>
      <c r="LM13" s="177" t="s">
        <v>1538</v>
      </c>
      <c r="LN13" s="177" t="s">
        <v>1539</v>
      </c>
      <c r="LO13" s="177" t="s">
        <v>1540</v>
      </c>
      <c r="LP13" s="177" t="s">
        <v>1541</v>
      </c>
      <c r="LQ13" s="177" t="s">
        <v>1542</v>
      </c>
      <c r="LR13" s="177"/>
      <c r="LS13" s="177"/>
      <c r="LT13" s="177" t="s">
        <v>159</v>
      </c>
      <c r="LU13" s="177" t="s">
        <v>444</v>
      </c>
      <c r="LV13" s="177" t="s">
        <v>443</v>
      </c>
      <c r="LW13" s="177" t="s">
        <v>62</v>
      </c>
      <c r="LX13" s="177"/>
      <c r="LY13" s="177"/>
      <c r="LZ13" s="177" t="s">
        <v>346</v>
      </c>
      <c r="MA13" s="177" t="s">
        <v>312</v>
      </c>
      <c r="MB13" s="177" t="s">
        <v>150</v>
      </c>
      <c r="MC13" s="177" t="s">
        <v>2175</v>
      </c>
      <c r="MD13" s="177" t="s">
        <v>2176</v>
      </c>
      <c r="ME13" s="177" t="s">
        <v>2177</v>
      </c>
      <c r="MF13" s="177" t="s">
        <v>541</v>
      </c>
      <c r="MG13" s="177" t="s">
        <v>151</v>
      </c>
      <c r="MH13" s="177" t="s">
        <v>878</v>
      </c>
      <c r="MI13" s="177"/>
      <c r="MJ13" s="177" t="s">
        <v>877</v>
      </c>
      <c r="MK13" s="177"/>
      <c r="ML13" s="177" t="s">
        <v>876</v>
      </c>
      <c r="MM13" s="177"/>
      <c r="MN13" s="177" t="s">
        <v>153</v>
      </c>
      <c r="MO13" s="177"/>
      <c r="MP13" s="177" t="s">
        <v>302</v>
      </c>
      <c r="MQ13" s="177"/>
      <c r="MR13" s="177"/>
      <c r="MS13" s="177" t="s">
        <v>305</v>
      </c>
      <c r="MT13" s="177" t="s">
        <v>311</v>
      </c>
      <c r="MU13" s="177" t="s">
        <v>1543</v>
      </c>
      <c r="MV13" s="177"/>
      <c r="MW13" s="177"/>
      <c r="MX13" s="177" t="s">
        <v>303</v>
      </c>
      <c r="MY13" s="177" t="s">
        <v>304</v>
      </c>
      <c r="MZ13" s="177"/>
      <c r="NA13" s="177" t="s">
        <v>154</v>
      </c>
      <c r="NB13" s="177"/>
      <c r="NC13" s="180" t="s">
        <v>330</v>
      </c>
      <c r="ND13" s="180" t="s">
        <v>1544</v>
      </c>
      <c r="NE13" s="180" t="s">
        <v>1545</v>
      </c>
      <c r="NF13" s="180" t="s">
        <v>1546</v>
      </c>
      <c r="NG13" s="180" t="s">
        <v>1547</v>
      </c>
      <c r="NH13" s="180" t="s">
        <v>1548</v>
      </c>
      <c r="NI13" s="180" t="s">
        <v>1549</v>
      </c>
      <c r="NJ13" s="180" t="s">
        <v>1550</v>
      </c>
      <c r="NK13" s="180"/>
      <c r="NL13" s="180"/>
      <c r="NM13" s="180"/>
      <c r="NN13" s="180"/>
      <c r="NO13" s="180"/>
      <c r="NP13" s="180" t="s">
        <v>1551</v>
      </c>
      <c r="NQ13" s="180" t="s">
        <v>1552</v>
      </c>
      <c r="NR13" s="180" t="s">
        <v>1553</v>
      </c>
      <c r="NS13" s="180" t="s">
        <v>1554</v>
      </c>
      <c r="NT13" s="180"/>
      <c r="NU13" s="180" t="s">
        <v>1555</v>
      </c>
      <c r="NV13" s="180" t="s">
        <v>1556</v>
      </c>
      <c r="NW13" s="180" t="s">
        <v>1557</v>
      </c>
      <c r="NX13" s="180" t="s">
        <v>1558</v>
      </c>
      <c r="NY13" s="177" t="s">
        <v>98</v>
      </c>
      <c r="NZ13" s="177" t="s">
        <v>99</v>
      </c>
      <c r="OA13" s="177" t="s">
        <v>332</v>
      </c>
      <c r="OB13" s="177" t="s">
        <v>1559</v>
      </c>
      <c r="OC13" s="177" t="s">
        <v>718</v>
      </c>
      <c r="OD13" s="177" t="s">
        <v>1151</v>
      </c>
      <c r="OE13" s="177" t="s">
        <v>1156</v>
      </c>
      <c r="OF13" s="177" t="s">
        <v>1073</v>
      </c>
      <c r="OG13" s="177" t="s">
        <v>2178</v>
      </c>
      <c r="OH13" s="177" t="s">
        <v>2179</v>
      </c>
      <c r="OI13" s="177" t="s">
        <v>1260</v>
      </c>
      <c r="OJ13" s="177" t="s">
        <v>899</v>
      </c>
      <c r="OK13" s="177" t="s">
        <v>1011</v>
      </c>
      <c r="OL13" s="177" t="s">
        <v>1006</v>
      </c>
      <c r="OM13" s="177" t="s">
        <v>1157</v>
      </c>
      <c r="ON13" s="177" t="s">
        <v>1007</v>
      </c>
      <c r="OO13" s="177" t="s">
        <v>1158</v>
      </c>
      <c r="OP13" s="177" t="s">
        <v>1008</v>
      </c>
      <c r="OQ13" s="177" t="s">
        <v>714</v>
      </c>
      <c r="OR13" s="177" t="s">
        <v>1078</v>
      </c>
      <c r="OS13" s="177" t="s">
        <v>1079</v>
      </c>
      <c r="OT13" s="177" t="s">
        <v>926</v>
      </c>
      <c r="OU13" s="177" t="s">
        <v>94</v>
      </c>
      <c r="OV13" s="177"/>
      <c r="OW13" s="177" t="s">
        <v>734</v>
      </c>
      <c r="OX13" s="177" t="s">
        <v>884</v>
      </c>
      <c r="OY13" s="177" t="s">
        <v>91</v>
      </c>
      <c r="OZ13" s="177" t="s">
        <v>742</v>
      </c>
      <c r="PA13" s="177" t="s">
        <v>1080</v>
      </c>
      <c r="PB13" s="177" t="s">
        <v>743</v>
      </c>
      <c r="PC13" s="177" t="s">
        <v>92</v>
      </c>
      <c r="PD13" s="177" t="s">
        <v>1560</v>
      </c>
      <c r="PE13" s="177"/>
      <c r="PF13" s="177" t="s">
        <v>745</v>
      </c>
      <c r="PG13" s="177" t="s">
        <v>746</v>
      </c>
      <c r="PH13" s="177" t="s">
        <v>1561</v>
      </c>
      <c r="PI13" s="177" t="s">
        <v>1562</v>
      </c>
      <c r="PJ13" s="177" t="s">
        <v>749</v>
      </c>
      <c r="PK13" s="177" t="s">
        <v>1081</v>
      </c>
      <c r="PL13" s="177" t="s">
        <v>750</v>
      </c>
      <c r="PM13" s="177" t="s">
        <v>862</v>
      </c>
      <c r="PN13" s="177" t="s">
        <v>753</v>
      </c>
      <c r="PO13" s="181" t="s">
        <v>863</v>
      </c>
      <c r="PP13" s="181"/>
      <c r="PQ13" s="181" t="s">
        <v>853</v>
      </c>
      <c r="PR13" s="181" t="s">
        <v>854</v>
      </c>
      <c r="PS13" s="181" t="s">
        <v>855</v>
      </c>
      <c r="PT13" s="181" t="s">
        <v>861</v>
      </c>
      <c r="PU13" s="181" t="s">
        <v>856</v>
      </c>
      <c r="PV13" s="177" t="s">
        <v>858</v>
      </c>
      <c r="PW13" s="177"/>
      <c r="PX13" s="177" t="s">
        <v>1563</v>
      </c>
      <c r="PY13" s="177" t="s">
        <v>1564</v>
      </c>
      <c r="PZ13" s="177" t="s">
        <v>1565</v>
      </c>
      <c r="QA13" s="177" t="s">
        <v>1566</v>
      </c>
      <c r="QB13" s="177" t="s">
        <v>1567</v>
      </c>
      <c r="QC13" s="177"/>
      <c r="QD13" s="177"/>
      <c r="QE13" s="177"/>
      <c r="QF13" s="177"/>
      <c r="QG13" s="177"/>
      <c r="QH13" s="177"/>
      <c r="QI13" s="177" t="s">
        <v>1568</v>
      </c>
      <c r="QJ13" s="177" t="s">
        <v>1569</v>
      </c>
      <c r="QK13" s="177" t="s">
        <v>752</v>
      </c>
      <c r="QL13" s="177" t="s">
        <v>906</v>
      </c>
      <c r="QM13" s="177" t="s">
        <v>907</v>
      </c>
      <c r="QN13" s="177" t="s">
        <v>908</v>
      </c>
      <c r="QO13" s="177" t="s">
        <v>909</v>
      </c>
      <c r="QP13" s="177" t="s">
        <v>918</v>
      </c>
      <c r="QQ13" s="177" t="s">
        <v>922</v>
      </c>
      <c r="QR13" s="177" t="s">
        <v>923</v>
      </c>
      <c r="QS13" s="177" t="s">
        <v>925</v>
      </c>
      <c r="QT13" s="177" t="s">
        <v>852</v>
      </c>
      <c r="QU13" s="177" t="s">
        <v>756</v>
      </c>
      <c r="QV13" s="177" t="s">
        <v>757</v>
      </c>
      <c r="QW13" s="177" t="s">
        <v>760</v>
      </c>
      <c r="QX13" s="177" t="s">
        <v>927</v>
      </c>
      <c r="QY13" s="177" t="s">
        <v>2180</v>
      </c>
      <c r="QZ13" s="177" t="s">
        <v>2181</v>
      </c>
      <c r="RA13" s="177" t="s">
        <v>2182</v>
      </c>
      <c r="RB13" s="177"/>
      <c r="RC13" s="177" t="s">
        <v>1570</v>
      </c>
      <c r="RD13" s="177" t="s">
        <v>788</v>
      </c>
      <c r="RE13" s="177" t="s">
        <v>789</v>
      </c>
      <c r="RF13" s="177" t="s">
        <v>1571</v>
      </c>
      <c r="RG13" s="177" t="s">
        <v>1572</v>
      </c>
      <c r="RH13" s="177" t="s">
        <v>790</v>
      </c>
      <c r="RI13" s="177" t="s">
        <v>1135</v>
      </c>
      <c r="RJ13" s="177"/>
      <c r="RK13" s="177"/>
      <c r="RL13" s="177"/>
      <c r="RM13" s="177"/>
      <c r="RN13" s="177"/>
      <c r="RO13" s="177"/>
      <c r="RP13" s="177" t="s">
        <v>791</v>
      </c>
      <c r="RQ13" s="177" t="s">
        <v>1573</v>
      </c>
      <c r="RR13" s="177"/>
      <c r="RS13" s="177" t="s">
        <v>82</v>
      </c>
      <c r="RT13" s="177" t="s">
        <v>81</v>
      </c>
      <c r="RU13" s="177" t="s">
        <v>2183</v>
      </c>
      <c r="RV13" s="177" t="s">
        <v>2184</v>
      </c>
      <c r="RW13" s="177" t="s">
        <v>2185</v>
      </c>
      <c r="RX13" s="177" t="s">
        <v>1574</v>
      </c>
      <c r="RY13" s="177" t="s">
        <v>228</v>
      </c>
      <c r="RZ13" s="177" t="s">
        <v>226</v>
      </c>
      <c r="SA13" s="177" t="s">
        <v>337</v>
      </c>
      <c r="SB13" s="177" t="s">
        <v>456</v>
      </c>
      <c r="SC13" s="177" t="s">
        <v>1575</v>
      </c>
      <c r="SD13" s="177" t="s">
        <v>1576</v>
      </c>
      <c r="SE13" s="177" t="s">
        <v>1577</v>
      </c>
      <c r="SF13" s="177" t="s">
        <v>1578</v>
      </c>
      <c r="SG13" s="177" t="s">
        <v>333</v>
      </c>
      <c r="SH13" s="177" t="s">
        <v>334</v>
      </c>
      <c r="SI13" s="177"/>
      <c r="SJ13" s="177"/>
      <c r="SK13" s="177"/>
      <c r="SL13" s="177"/>
      <c r="SM13" s="177"/>
      <c r="SN13" s="177"/>
      <c r="SO13" s="177"/>
      <c r="SP13" s="177" t="s">
        <v>1579</v>
      </c>
      <c r="SQ13" s="177" t="s">
        <v>1580</v>
      </c>
      <c r="SR13" s="177" t="s">
        <v>840</v>
      </c>
      <c r="SS13" s="177" t="s">
        <v>1082</v>
      </c>
      <c r="ST13" s="177" t="s">
        <v>2186</v>
      </c>
      <c r="SU13" s="177" t="s">
        <v>2187</v>
      </c>
      <c r="SV13" s="177" t="s">
        <v>2188</v>
      </c>
      <c r="SW13" s="177"/>
      <c r="SX13" s="177" t="s">
        <v>1581</v>
      </c>
      <c r="SY13" s="177" t="s">
        <v>1048</v>
      </c>
      <c r="SZ13" s="177"/>
      <c r="TA13" s="177"/>
      <c r="TB13" s="177" t="s">
        <v>699</v>
      </c>
      <c r="TC13" s="177" t="s">
        <v>700</v>
      </c>
      <c r="TD13" s="177" t="s">
        <v>1582</v>
      </c>
      <c r="TE13" s="177" t="s">
        <v>1583</v>
      </c>
      <c r="TF13" s="177"/>
      <c r="TG13" s="177"/>
      <c r="TH13" s="177" t="s">
        <v>841</v>
      </c>
      <c r="TI13" s="177" t="s">
        <v>842</v>
      </c>
      <c r="TJ13" s="177" t="s">
        <v>1262</v>
      </c>
      <c r="TK13" s="468" t="s">
        <v>1074</v>
      </c>
      <c r="TL13" s="468" t="s">
        <v>1584</v>
      </c>
      <c r="TM13" s="468" t="s">
        <v>689</v>
      </c>
      <c r="TN13" s="468" t="s">
        <v>1731</v>
      </c>
      <c r="TO13" s="468" t="s">
        <v>1732</v>
      </c>
      <c r="TP13" s="468" t="s">
        <v>335</v>
      </c>
      <c r="TQ13" s="177" t="s">
        <v>336</v>
      </c>
      <c r="TR13" s="177" t="s">
        <v>545</v>
      </c>
      <c r="TS13" s="177" t="s">
        <v>546</v>
      </c>
      <c r="TT13" s="177" t="s">
        <v>547</v>
      </c>
      <c r="TU13" s="177" t="s">
        <v>548</v>
      </c>
      <c r="TV13" s="177" t="s">
        <v>549</v>
      </c>
      <c r="TW13" s="177" t="s">
        <v>78</v>
      </c>
      <c r="TX13" s="177"/>
      <c r="TY13" s="177" t="s">
        <v>2189</v>
      </c>
      <c r="TZ13" s="177" t="s">
        <v>2190</v>
      </c>
      <c r="UA13" s="177" t="s">
        <v>2191</v>
      </c>
      <c r="UB13" s="177"/>
      <c r="UC13" s="177" t="s">
        <v>553</v>
      </c>
      <c r="UD13" s="177" t="s">
        <v>552</v>
      </c>
      <c r="UE13" s="177"/>
      <c r="UF13" s="177" t="s">
        <v>615</v>
      </c>
      <c r="UG13" s="177" t="s">
        <v>551</v>
      </c>
      <c r="UH13" s="177" t="s">
        <v>550</v>
      </c>
      <c r="UI13" s="177" t="s">
        <v>1585</v>
      </c>
      <c r="UJ13" s="177" t="s">
        <v>1586</v>
      </c>
      <c r="UK13" s="177" t="s">
        <v>50</v>
      </c>
      <c r="UL13" s="177"/>
      <c r="UM13" s="177"/>
      <c r="UN13" s="177" t="s">
        <v>111</v>
      </c>
      <c r="UO13" s="177"/>
      <c r="UP13" s="177" t="s">
        <v>1587</v>
      </c>
      <c r="UQ13" s="177" t="s">
        <v>1588</v>
      </c>
      <c r="UR13" s="177" t="s">
        <v>357</v>
      </c>
      <c r="US13" s="177" t="s">
        <v>2192</v>
      </c>
      <c r="UT13" s="177" t="s">
        <v>2193</v>
      </c>
      <c r="UU13" s="177" t="s">
        <v>2194</v>
      </c>
      <c r="UV13" s="177" t="s">
        <v>125</v>
      </c>
      <c r="UW13" s="177" t="s">
        <v>358</v>
      </c>
      <c r="UX13" s="177" t="s">
        <v>1589</v>
      </c>
      <c r="UY13" s="177" t="s">
        <v>574</v>
      </c>
      <c r="UZ13" s="177" t="s">
        <v>348</v>
      </c>
      <c r="VA13" s="177" t="s">
        <v>349</v>
      </c>
      <c r="VB13" s="177" t="s">
        <v>575</v>
      </c>
      <c r="VC13" s="177" t="s">
        <v>350</v>
      </c>
      <c r="VD13" s="177" t="s">
        <v>351</v>
      </c>
      <c r="VE13" s="177"/>
      <c r="VF13" s="177" t="s">
        <v>145</v>
      </c>
      <c r="VG13" s="177"/>
      <c r="VH13" s="177"/>
      <c r="VI13" s="177"/>
      <c r="VJ13" s="177"/>
      <c r="VK13" s="177" t="s">
        <v>198</v>
      </c>
      <c r="VL13" s="177" t="s">
        <v>146</v>
      </c>
      <c r="VM13" s="177" t="s">
        <v>147</v>
      </c>
      <c r="VN13" s="179"/>
      <c r="VO13" s="179" t="s">
        <v>1590</v>
      </c>
      <c r="VP13" s="179" t="s">
        <v>100</v>
      </c>
      <c r="VQ13" s="179"/>
      <c r="VR13" s="179" t="s">
        <v>1591</v>
      </c>
      <c r="VS13" s="179" t="s">
        <v>1592</v>
      </c>
      <c r="VT13" s="179" t="s">
        <v>2198</v>
      </c>
      <c r="VU13" s="179" t="s">
        <v>2199</v>
      </c>
      <c r="VV13" s="179" t="s">
        <v>2200</v>
      </c>
      <c r="VW13" s="179" t="s">
        <v>235</v>
      </c>
      <c r="VX13" s="177" t="s">
        <v>51</v>
      </c>
      <c r="VY13" s="177" t="s">
        <v>353</v>
      </c>
      <c r="VZ13" s="177" t="s">
        <v>354</v>
      </c>
      <c r="WA13" s="177" t="s">
        <v>719</v>
      </c>
      <c r="WB13" s="177" t="s">
        <v>2195</v>
      </c>
      <c r="WC13" s="177" t="s">
        <v>2196</v>
      </c>
      <c r="WD13" s="177" t="s">
        <v>2197</v>
      </c>
      <c r="WE13" s="177" t="s">
        <v>152</v>
      </c>
      <c r="WF13" s="177"/>
      <c r="WG13" s="177" t="s">
        <v>931</v>
      </c>
      <c r="WH13" s="177" t="s">
        <v>928</v>
      </c>
      <c r="WI13" s="177"/>
      <c r="WJ13" s="177" t="s">
        <v>199</v>
      </c>
      <c r="WK13" s="177"/>
      <c r="WL13" s="177" t="s">
        <v>629</v>
      </c>
      <c r="WM13" s="177"/>
      <c r="WN13" s="177"/>
      <c r="WO13" s="177" t="s">
        <v>202</v>
      </c>
      <c r="WP13" s="177" t="s">
        <v>203</v>
      </c>
      <c r="WQ13" s="177" t="s">
        <v>451</v>
      </c>
      <c r="WR13" s="177" t="s">
        <v>200</v>
      </c>
      <c r="WS13" s="177" t="s">
        <v>201</v>
      </c>
      <c r="WT13" s="177"/>
      <c r="WU13" s="177" t="s">
        <v>355</v>
      </c>
      <c r="WV13" s="177"/>
      <c r="WW13" s="177" t="s">
        <v>52</v>
      </c>
      <c r="WX13" s="177" t="s">
        <v>53</v>
      </c>
      <c r="WY13" s="177" t="s">
        <v>123</v>
      </c>
      <c r="WZ13" s="177" t="s">
        <v>124</v>
      </c>
      <c r="XA13" s="177" t="s">
        <v>54</v>
      </c>
      <c r="XB13" s="177" t="s">
        <v>55</v>
      </c>
      <c r="XC13" s="177" t="s">
        <v>452</v>
      </c>
      <c r="XD13" s="177" t="s">
        <v>116</v>
      </c>
      <c r="XE13" s="177" t="s">
        <v>83</v>
      </c>
      <c r="XF13" s="177" t="s">
        <v>84</v>
      </c>
      <c r="XG13" s="177" t="s">
        <v>85</v>
      </c>
      <c r="XH13" s="177" t="s">
        <v>86</v>
      </c>
      <c r="XI13" s="177"/>
      <c r="XJ13" s="177"/>
      <c r="XK13" s="177" t="s">
        <v>250</v>
      </c>
      <c r="XL13" s="177"/>
      <c r="XM13" s="177"/>
      <c r="XN13" s="177"/>
      <c r="XO13" s="177"/>
      <c r="XP13" s="177"/>
      <c r="XQ13" s="177"/>
      <c r="XR13" s="177"/>
      <c r="XS13" s="177"/>
      <c r="XT13" s="177" t="s">
        <v>87</v>
      </c>
      <c r="XU13" s="177" t="s">
        <v>88</v>
      </c>
      <c r="XV13" s="177" t="s">
        <v>89</v>
      </c>
      <c r="XW13" s="177" t="s">
        <v>90</v>
      </c>
      <c r="XX13" s="177" t="s">
        <v>583</v>
      </c>
      <c r="XY13" s="177"/>
      <c r="XZ13" s="177"/>
      <c r="YA13" s="177"/>
      <c r="YB13" s="177"/>
      <c r="YC13" s="177"/>
      <c r="YD13" s="177" t="s">
        <v>300</v>
      </c>
      <c r="YE13" s="177"/>
      <c r="YF13" s="177" t="s">
        <v>703</v>
      </c>
      <c r="YG13" s="177" t="s">
        <v>705</v>
      </c>
      <c r="YH13" s="177" t="s">
        <v>298</v>
      </c>
      <c r="YI13" s="180"/>
      <c r="YJ13" s="177" t="s">
        <v>296</v>
      </c>
      <c r="YK13" s="177" t="s">
        <v>297</v>
      </c>
      <c r="YL13" s="177" t="s">
        <v>299</v>
      </c>
      <c r="YM13" s="177" t="s">
        <v>1263</v>
      </c>
      <c r="YN13" s="177"/>
      <c r="YO13" s="177"/>
      <c r="YP13" s="177"/>
      <c r="YQ13" s="177"/>
      <c r="YR13" s="177"/>
      <c r="YS13" s="177" t="s">
        <v>361</v>
      </c>
      <c r="YT13" s="177" t="s">
        <v>362</v>
      </c>
      <c r="YU13" s="177" t="s">
        <v>363</v>
      </c>
      <c r="YV13" s="177" t="s">
        <v>364</v>
      </c>
      <c r="YW13" s="177" t="s">
        <v>365</v>
      </c>
      <c r="YX13" s="177" t="s">
        <v>366</v>
      </c>
      <c r="YY13" s="177" t="s">
        <v>359</v>
      </c>
      <c r="YZ13" s="177" t="s">
        <v>76</v>
      </c>
      <c r="ZA13" s="177" t="s">
        <v>45</v>
      </c>
      <c r="ZB13" s="177" t="s">
        <v>360</v>
      </c>
      <c r="ZC13" s="177" t="s">
        <v>204</v>
      </c>
      <c r="ZD13" s="177" t="s">
        <v>205</v>
      </c>
      <c r="ZE13" s="177" t="s">
        <v>802</v>
      </c>
      <c r="ZF13" s="177" t="s">
        <v>801</v>
      </c>
      <c r="ZG13" s="177" t="s">
        <v>1100</v>
      </c>
      <c r="ZH13" s="177"/>
      <c r="ZI13" s="177" t="s">
        <v>800</v>
      </c>
      <c r="ZJ13" s="177" t="s">
        <v>1101</v>
      </c>
      <c r="ZK13" s="177" t="s">
        <v>1102</v>
      </c>
      <c r="ZL13" s="177" t="s">
        <v>1103</v>
      </c>
      <c r="ZM13" s="177" t="s">
        <v>1104</v>
      </c>
      <c r="ZN13" s="177" t="s">
        <v>1105</v>
      </c>
      <c r="ZO13" s="177" t="s">
        <v>1106</v>
      </c>
      <c r="ZP13" s="177" t="s">
        <v>1107</v>
      </c>
      <c r="ZQ13" s="177" t="s">
        <v>803</v>
      </c>
      <c r="ZR13" s="177" t="s">
        <v>804</v>
      </c>
      <c r="ZS13" s="177" t="s">
        <v>805</v>
      </c>
      <c r="ZT13" s="177" t="s">
        <v>806</v>
      </c>
      <c r="ZU13" s="177" t="s">
        <v>1818</v>
      </c>
      <c r="ZV13" s="177" t="s">
        <v>807</v>
      </c>
      <c r="ZW13" s="177"/>
      <c r="ZX13" s="177"/>
      <c r="ZY13" s="177" t="s">
        <v>2315</v>
      </c>
      <c r="ZZ13" s="178"/>
      <c r="AAA13" s="177"/>
      <c r="AAB13" s="177" t="s">
        <v>2791</v>
      </c>
      <c r="AAC13" s="177" t="s">
        <v>2786</v>
      </c>
      <c r="AAD13" s="177" t="s">
        <v>2785</v>
      </c>
    </row>
    <row r="14" spans="1:706" s="94" customFormat="1" x14ac:dyDescent="0.2">
      <c r="A14" s="113" t="s">
        <v>486</v>
      </c>
      <c r="B14" s="49" t="s">
        <v>13</v>
      </c>
      <c r="C14" s="49" t="s">
        <v>13</v>
      </c>
      <c r="D14" s="49" t="s">
        <v>13</v>
      </c>
      <c r="E14" s="49" t="s">
        <v>13</v>
      </c>
      <c r="F14" s="49" t="s">
        <v>59</v>
      </c>
      <c r="G14" s="49" t="s">
        <v>59</v>
      </c>
      <c r="H14" s="49" t="s">
        <v>13</v>
      </c>
      <c r="I14" s="49" t="s">
        <v>13</v>
      </c>
      <c r="J14" s="49" t="s">
        <v>13</v>
      </c>
      <c r="K14" s="49" t="s">
        <v>13</v>
      </c>
      <c r="L14" s="49" t="s">
        <v>59</v>
      </c>
      <c r="M14" s="49" t="s">
        <v>13</v>
      </c>
      <c r="N14" s="49" t="s">
        <v>13</v>
      </c>
      <c r="O14" s="49" t="s">
        <v>13</v>
      </c>
      <c r="P14" s="49" t="s">
        <v>13</v>
      </c>
      <c r="Q14" s="49" t="s">
        <v>13</v>
      </c>
      <c r="R14" s="49" t="s">
        <v>13</v>
      </c>
      <c r="S14" s="49" t="s">
        <v>13</v>
      </c>
      <c r="T14" s="49" t="s">
        <v>13</v>
      </c>
      <c r="U14" s="49" t="s">
        <v>13</v>
      </c>
      <c r="V14" s="49" t="s">
        <v>13</v>
      </c>
      <c r="W14" s="49" t="s">
        <v>13</v>
      </c>
      <c r="X14" s="49" t="s">
        <v>13</v>
      </c>
      <c r="Y14" s="49" t="s">
        <v>13</v>
      </c>
      <c r="Z14" s="49" t="s">
        <v>13</v>
      </c>
      <c r="AA14" s="49" t="s">
        <v>13</v>
      </c>
      <c r="AB14" s="49" t="s">
        <v>13</v>
      </c>
      <c r="AC14" s="49" t="s">
        <v>13</v>
      </c>
      <c r="AD14" s="49" t="s">
        <v>13</v>
      </c>
      <c r="AE14" s="49" t="s">
        <v>13</v>
      </c>
      <c r="AF14" s="49" t="s">
        <v>13</v>
      </c>
      <c r="AG14" s="49" t="s">
        <v>13</v>
      </c>
      <c r="AH14" s="49" t="s">
        <v>13</v>
      </c>
      <c r="AI14" s="49" t="s">
        <v>13</v>
      </c>
      <c r="AJ14" s="49" t="s">
        <v>13</v>
      </c>
      <c r="AK14" s="49" t="s">
        <v>13</v>
      </c>
      <c r="AL14" s="49" t="s">
        <v>13</v>
      </c>
      <c r="AM14" s="49" t="s">
        <v>59</v>
      </c>
      <c r="AN14" s="49" t="s">
        <v>13</v>
      </c>
      <c r="AO14" s="49" t="s">
        <v>13</v>
      </c>
      <c r="AP14" s="49" t="s">
        <v>13</v>
      </c>
      <c r="AQ14" s="49" t="s">
        <v>13</v>
      </c>
      <c r="AR14" s="49" t="s">
        <v>13</v>
      </c>
      <c r="AS14" s="49" t="s">
        <v>13</v>
      </c>
      <c r="AT14" s="49" t="s">
        <v>13</v>
      </c>
      <c r="AU14" s="49" t="s">
        <v>13</v>
      </c>
      <c r="AV14" s="49" t="s">
        <v>13</v>
      </c>
      <c r="AW14" s="49" t="s">
        <v>13</v>
      </c>
      <c r="AX14" s="49" t="s">
        <v>13</v>
      </c>
      <c r="AY14" s="49" t="s">
        <v>13</v>
      </c>
      <c r="AZ14" s="49" t="s">
        <v>13</v>
      </c>
      <c r="BA14" s="49" t="s">
        <v>13</v>
      </c>
      <c r="BB14" s="49" t="s">
        <v>13</v>
      </c>
      <c r="BC14" s="49" t="s">
        <v>59</v>
      </c>
      <c r="BD14" s="49" t="s">
        <v>13</v>
      </c>
      <c r="BE14" s="49" t="s">
        <v>13</v>
      </c>
      <c r="BF14" s="49" t="s">
        <v>13</v>
      </c>
      <c r="BG14" s="49" t="s">
        <v>13</v>
      </c>
      <c r="BH14" s="49" t="s">
        <v>13</v>
      </c>
      <c r="BI14" s="49" t="s">
        <v>13</v>
      </c>
      <c r="BJ14" s="49" t="s">
        <v>13</v>
      </c>
      <c r="BK14" s="49" t="s">
        <v>13</v>
      </c>
      <c r="BL14" s="49" t="s">
        <v>13</v>
      </c>
      <c r="BM14" s="49" t="s">
        <v>13</v>
      </c>
      <c r="BN14" s="49" t="s">
        <v>13</v>
      </c>
      <c r="BO14" s="49" t="s">
        <v>13</v>
      </c>
      <c r="BP14" s="49" t="s">
        <v>13</v>
      </c>
      <c r="BQ14" s="49" t="s">
        <v>13</v>
      </c>
      <c r="BR14" s="49" t="s">
        <v>13</v>
      </c>
      <c r="BS14" s="49" t="s">
        <v>13</v>
      </c>
      <c r="BT14" s="49" t="s">
        <v>13</v>
      </c>
      <c r="BU14" s="49"/>
      <c r="BV14" s="49"/>
      <c r="BW14" s="49"/>
      <c r="BX14" s="49"/>
      <c r="BY14" s="49"/>
      <c r="BZ14" s="49"/>
      <c r="CA14" s="49"/>
      <c r="CB14" s="49"/>
      <c r="CC14" s="49"/>
      <c r="CD14" s="49"/>
      <c r="CE14" s="49"/>
      <c r="CF14" s="49"/>
      <c r="CG14" s="49"/>
      <c r="CH14" s="49"/>
      <c r="CI14" s="49" t="s">
        <v>13</v>
      </c>
      <c r="CJ14" s="49" t="s">
        <v>13</v>
      </c>
      <c r="CK14" s="49" t="s">
        <v>13</v>
      </c>
      <c r="CL14" s="49" t="s">
        <v>13</v>
      </c>
      <c r="CM14" s="49" t="s">
        <v>59</v>
      </c>
      <c r="CN14" s="49" t="s">
        <v>59</v>
      </c>
      <c r="CO14" s="49" t="s">
        <v>59</v>
      </c>
      <c r="CP14" s="49" t="s">
        <v>13</v>
      </c>
      <c r="CQ14" s="49" t="s">
        <v>59</v>
      </c>
      <c r="CR14" s="49" t="s">
        <v>59</v>
      </c>
      <c r="CS14" s="49" t="s">
        <v>13</v>
      </c>
      <c r="CT14" s="49" t="s">
        <v>13</v>
      </c>
      <c r="CU14" s="49" t="s">
        <v>59</v>
      </c>
      <c r="CV14" s="49" t="s">
        <v>59</v>
      </c>
      <c r="CW14" s="49" t="s">
        <v>13</v>
      </c>
      <c r="CX14" s="49" t="s">
        <v>13</v>
      </c>
      <c r="CY14" s="49" t="s">
        <v>13</v>
      </c>
      <c r="CZ14" s="49" t="s">
        <v>13</v>
      </c>
      <c r="DA14" s="49" t="s">
        <v>59</v>
      </c>
      <c r="DB14" s="49" t="s">
        <v>59</v>
      </c>
      <c r="DC14" s="49" t="s">
        <v>59</v>
      </c>
      <c r="DD14" s="49" t="s">
        <v>13</v>
      </c>
      <c r="DE14" s="49" t="s">
        <v>59</v>
      </c>
      <c r="DF14" s="49" t="s">
        <v>13</v>
      </c>
      <c r="DG14" s="49" t="s">
        <v>13</v>
      </c>
      <c r="DH14" s="49" t="s">
        <v>13</v>
      </c>
      <c r="DI14" s="49" t="s">
        <v>59</v>
      </c>
      <c r="DJ14" s="49" t="s">
        <v>13</v>
      </c>
      <c r="DK14" s="49" t="s">
        <v>13</v>
      </c>
      <c r="DL14" s="49" t="s">
        <v>13</v>
      </c>
      <c r="DM14" s="49"/>
      <c r="DN14" s="49" t="s">
        <v>13</v>
      </c>
      <c r="DO14" s="49" t="s">
        <v>59</v>
      </c>
      <c r="DP14" s="49" t="s">
        <v>59</v>
      </c>
      <c r="DQ14" s="49" t="s">
        <v>13</v>
      </c>
      <c r="DR14" s="49" t="s">
        <v>59</v>
      </c>
      <c r="DS14" s="49" t="s">
        <v>13</v>
      </c>
      <c r="DT14" s="49" t="s">
        <v>13</v>
      </c>
      <c r="DU14" s="49" t="s">
        <v>13</v>
      </c>
      <c r="DV14" s="49" t="s">
        <v>59</v>
      </c>
      <c r="DW14" s="122" t="s">
        <v>59</v>
      </c>
      <c r="DX14" s="49" t="s">
        <v>13</v>
      </c>
      <c r="DY14" s="49" t="s">
        <v>13</v>
      </c>
      <c r="DZ14" s="49" t="s">
        <v>13</v>
      </c>
      <c r="EA14" s="122"/>
      <c r="EB14" s="122"/>
      <c r="EC14" s="122"/>
      <c r="ED14" s="122" t="s">
        <v>13</v>
      </c>
      <c r="EE14" s="49" t="s">
        <v>59</v>
      </c>
      <c r="EF14" s="49" t="s">
        <v>59</v>
      </c>
      <c r="EG14" s="49" t="s">
        <v>59</v>
      </c>
      <c r="EH14" s="49" t="s">
        <v>13</v>
      </c>
      <c r="EI14" s="49" t="s">
        <v>59</v>
      </c>
      <c r="EJ14" s="49" t="s">
        <v>59</v>
      </c>
      <c r="EK14" s="49" t="s">
        <v>59</v>
      </c>
      <c r="EL14" s="49" t="s">
        <v>59</v>
      </c>
      <c r="EM14" s="49" t="s">
        <v>13</v>
      </c>
      <c r="EN14" s="49" t="s">
        <v>13</v>
      </c>
      <c r="EO14" s="49" t="s">
        <v>13</v>
      </c>
      <c r="EP14" s="49" t="s">
        <v>13</v>
      </c>
      <c r="EQ14" s="49" t="s">
        <v>13</v>
      </c>
      <c r="ER14" s="49" t="s">
        <v>13</v>
      </c>
      <c r="ES14" s="49" t="s">
        <v>13</v>
      </c>
      <c r="ET14" s="93" t="s">
        <v>59</v>
      </c>
      <c r="EU14" s="93" t="s">
        <v>59</v>
      </c>
      <c r="EV14" s="93" t="s">
        <v>59</v>
      </c>
      <c r="EW14" s="49" t="s">
        <v>59</v>
      </c>
      <c r="EX14" s="49" t="s">
        <v>59</v>
      </c>
      <c r="EY14" s="49" t="s">
        <v>59</v>
      </c>
      <c r="EZ14" s="49" t="s">
        <v>59</v>
      </c>
      <c r="FA14" s="49" t="s">
        <v>59</v>
      </c>
      <c r="FB14" s="49" t="s">
        <v>59</v>
      </c>
      <c r="FC14" s="49" t="s">
        <v>59</v>
      </c>
      <c r="FD14" s="49" t="s">
        <v>59</v>
      </c>
      <c r="FE14" s="49" t="s">
        <v>59</v>
      </c>
      <c r="FF14" s="49" t="s">
        <v>13</v>
      </c>
      <c r="FG14" s="49" t="s">
        <v>13</v>
      </c>
      <c r="FH14" s="93" t="s">
        <v>59</v>
      </c>
      <c r="FI14" s="93" t="s">
        <v>59</v>
      </c>
      <c r="FJ14" s="93" t="s">
        <v>59</v>
      </c>
      <c r="FK14" s="93" t="s">
        <v>13</v>
      </c>
      <c r="FL14" s="49" t="s">
        <v>59</v>
      </c>
      <c r="FM14" s="93" t="s">
        <v>13</v>
      </c>
      <c r="FN14" s="93" t="s">
        <v>59</v>
      </c>
      <c r="FO14" s="93"/>
      <c r="FP14" s="93"/>
      <c r="FQ14" s="93" t="s">
        <v>13</v>
      </c>
      <c r="FR14" s="93" t="s">
        <v>13</v>
      </c>
      <c r="FS14" s="93" t="s">
        <v>13</v>
      </c>
      <c r="FT14" s="93" t="s">
        <v>13</v>
      </c>
      <c r="FU14" s="93" t="s">
        <v>13</v>
      </c>
      <c r="FV14" s="93" t="s">
        <v>13</v>
      </c>
      <c r="FW14" s="49"/>
      <c r="FX14" s="49"/>
      <c r="FY14" s="49"/>
      <c r="FZ14" s="49"/>
      <c r="GA14" s="49" t="s">
        <v>13</v>
      </c>
      <c r="GB14" s="49"/>
      <c r="GC14" s="49" t="s">
        <v>59</v>
      </c>
      <c r="GD14" s="49" t="s">
        <v>59</v>
      </c>
      <c r="GE14" s="49" t="s">
        <v>59</v>
      </c>
      <c r="GF14" s="49" t="s">
        <v>59</v>
      </c>
      <c r="GG14" s="49"/>
      <c r="GH14" s="49" t="s">
        <v>59</v>
      </c>
      <c r="GI14" s="49" t="s">
        <v>59</v>
      </c>
      <c r="GJ14" s="49" t="s">
        <v>59</v>
      </c>
      <c r="GK14" s="49" t="s">
        <v>59</v>
      </c>
      <c r="GL14" s="49" t="s">
        <v>59</v>
      </c>
      <c r="GM14" s="94" t="s">
        <v>59</v>
      </c>
      <c r="GO14" s="94" t="s">
        <v>59</v>
      </c>
      <c r="GP14" s="49" t="s">
        <v>59</v>
      </c>
      <c r="GQ14" s="49"/>
      <c r="GR14" s="94" t="s">
        <v>59</v>
      </c>
      <c r="GT14" s="49" t="s">
        <v>59</v>
      </c>
      <c r="GU14" s="94" t="s">
        <v>13</v>
      </c>
      <c r="GV14" s="94" t="s">
        <v>59</v>
      </c>
      <c r="GW14" s="94" t="s">
        <v>59</v>
      </c>
      <c r="GX14" s="94" t="s">
        <v>59</v>
      </c>
      <c r="GY14" s="49"/>
      <c r="GZ14" s="49"/>
      <c r="HA14" s="49"/>
      <c r="HB14" s="49"/>
      <c r="HC14" s="49"/>
      <c r="HD14" s="49" t="s">
        <v>13</v>
      </c>
      <c r="HE14" s="49" t="s">
        <v>59</v>
      </c>
      <c r="HF14" s="49"/>
      <c r="HG14" s="94" t="s">
        <v>59</v>
      </c>
      <c r="HH14" s="94" t="s">
        <v>59</v>
      </c>
      <c r="HJ14" s="94" t="s">
        <v>59</v>
      </c>
      <c r="HK14" s="94" t="s">
        <v>59</v>
      </c>
      <c r="HN14" s="94" t="s">
        <v>59</v>
      </c>
      <c r="HP14" s="94" t="s">
        <v>59</v>
      </c>
      <c r="HQ14" s="49" t="s">
        <v>59</v>
      </c>
      <c r="HR14" s="49" t="s">
        <v>59</v>
      </c>
      <c r="HS14" s="94" t="s">
        <v>59</v>
      </c>
      <c r="HT14" s="49" t="s">
        <v>59</v>
      </c>
      <c r="HU14" s="49" t="s">
        <v>59</v>
      </c>
      <c r="HV14" s="49" t="s">
        <v>59</v>
      </c>
      <c r="HW14" s="49" t="s">
        <v>59</v>
      </c>
      <c r="HX14" s="465" t="s">
        <v>59</v>
      </c>
      <c r="HY14" s="465" t="s">
        <v>59</v>
      </c>
      <c r="HZ14" s="49" t="s">
        <v>59</v>
      </c>
      <c r="IA14" s="49" t="s">
        <v>59</v>
      </c>
      <c r="IB14" s="49" t="s">
        <v>13</v>
      </c>
      <c r="IC14" s="122" t="s">
        <v>13</v>
      </c>
      <c r="ID14" s="49" t="s">
        <v>59</v>
      </c>
      <c r="IF14" s="49" t="s">
        <v>59</v>
      </c>
      <c r="IG14" s="49" t="s">
        <v>59</v>
      </c>
      <c r="IH14" s="49" t="s">
        <v>59</v>
      </c>
      <c r="II14" s="49" t="s">
        <v>59</v>
      </c>
      <c r="IJ14" s="49" t="s">
        <v>59</v>
      </c>
      <c r="IK14" s="123" t="s">
        <v>59</v>
      </c>
      <c r="IL14" s="49"/>
      <c r="IM14" s="49"/>
      <c r="IN14" s="49"/>
      <c r="IO14" s="49" t="s">
        <v>20</v>
      </c>
      <c r="IQ14" s="49" t="s">
        <v>59</v>
      </c>
      <c r="IR14" s="49" t="s">
        <v>59</v>
      </c>
      <c r="IS14" s="49" t="s">
        <v>59</v>
      </c>
      <c r="IT14" s="49" t="s">
        <v>59</v>
      </c>
      <c r="IU14" s="49" t="s">
        <v>59</v>
      </c>
      <c r="IV14" s="123" t="s">
        <v>59</v>
      </c>
      <c r="IW14" s="123" t="s">
        <v>59</v>
      </c>
      <c r="IX14" s="94" t="s">
        <v>59</v>
      </c>
      <c r="IY14" s="123" t="s">
        <v>59</v>
      </c>
      <c r="IZ14" s="123" t="s">
        <v>59</v>
      </c>
      <c r="JA14" s="123" t="s">
        <v>59</v>
      </c>
      <c r="JB14" s="94" t="s">
        <v>59</v>
      </c>
      <c r="JC14" s="94" t="s">
        <v>59</v>
      </c>
      <c r="JD14" s="123" t="s">
        <v>59</v>
      </c>
      <c r="JE14" s="123" t="s">
        <v>59</v>
      </c>
      <c r="JF14" s="123" t="s">
        <v>59</v>
      </c>
      <c r="JG14" s="94" t="s">
        <v>59</v>
      </c>
      <c r="JH14" s="49" t="s">
        <v>13</v>
      </c>
      <c r="JI14" s="123" t="s">
        <v>59</v>
      </c>
      <c r="JJ14" s="49" t="s">
        <v>59</v>
      </c>
      <c r="JK14" s="123" t="s">
        <v>59</v>
      </c>
      <c r="JL14" s="49" t="s">
        <v>59</v>
      </c>
      <c r="JM14" s="123" t="s">
        <v>59</v>
      </c>
      <c r="JN14" s="49" t="s">
        <v>59</v>
      </c>
      <c r="JO14" s="49" t="s">
        <v>59</v>
      </c>
      <c r="JP14" s="49" t="s">
        <v>59</v>
      </c>
      <c r="JQ14" s="49" t="s">
        <v>59</v>
      </c>
      <c r="JR14" s="49" t="s">
        <v>59</v>
      </c>
      <c r="JS14" s="49" t="s">
        <v>59</v>
      </c>
      <c r="JT14" s="49" t="s">
        <v>59</v>
      </c>
      <c r="JU14" s="49" t="s">
        <v>59</v>
      </c>
      <c r="JV14" s="122" t="s">
        <v>59</v>
      </c>
      <c r="JW14" s="122" t="s">
        <v>59</v>
      </c>
      <c r="JY14" s="465" t="s">
        <v>59</v>
      </c>
      <c r="JZ14" s="465" t="s">
        <v>59</v>
      </c>
      <c r="KA14" s="465" t="s">
        <v>59</v>
      </c>
      <c r="KB14" s="465" t="s">
        <v>59</v>
      </c>
      <c r="KC14" s="465" t="s">
        <v>59</v>
      </c>
      <c r="KD14" s="465" t="s">
        <v>59</v>
      </c>
      <c r="KE14" s="465" t="s">
        <v>59</v>
      </c>
      <c r="KF14" s="465" t="s">
        <v>59</v>
      </c>
      <c r="KG14" s="465" t="s">
        <v>59</v>
      </c>
      <c r="KH14" s="465" t="s">
        <v>59</v>
      </c>
      <c r="KI14" s="465" t="s">
        <v>59</v>
      </c>
      <c r="KJ14" s="465" t="s">
        <v>59</v>
      </c>
      <c r="KK14" s="465" t="s">
        <v>59</v>
      </c>
      <c r="KL14" s="465" t="s">
        <v>59</v>
      </c>
      <c r="KM14" s="465" t="s">
        <v>59</v>
      </c>
      <c r="KN14" s="465" t="s">
        <v>59</v>
      </c>
      <c r="KO14" s="465" t="s">
        <v>59</v>
      </c>
      <c r="KP14" s="465" t="s">
        <v>59</v>
      </c>
      <c r="KQ14" s="465" t="s">
        <v>59</v>
      </c>
      <c r="KR14" s="465" t="s">
        <v>59</v>
      </c>
      <c r="KS14" s="465" t="s">
        <v>59</v>
      </c>
      <c r="KT14" s="465" t="s">
        <v>59</v>
      </c>
      <c r="KU14" s="465" t="s">
        <v>59</v>
      </c>
      <c r="KV14" s="123" t="s">
        <v>59</v>
      </c>
      <c r="KW14" s="465" t="s">
        <v>59</v>
      </c>
      <c r="KX14" s="123" t="s">
        <v>59</v>
      </c>
      <c r="KY14" s="465" t="s">
        <v>59</v>
      </c>
      <c r="KZ14" s="465" t="s">
        <v>59</v>
      </c>
      <c r="LA14" s="49" t="s">
        <v>59</v>
      </c>
      <c r="LB14" s="465" t="s">
        <v>59</v>
      </c>
      <c r="LC14" s="465" t="s">
        <v>59</v>
      </c>
      <c r="LD14" s="465" t="s">
        <v>59</v>
      </c>
      <c r="LE14" s="465" t="s">
        <v>59</v>
      </c>
      <c r="LF14" s="465" t="s">
        <v>59</v>
      </c>
      <c r="LG14" s="465" t="s">
        <v>59</v>
      </c>
      <c r="LH14" s="465" t="s">
        <v>59</v>
      </c>
      <c r="LI14" s="465" t="s">
        <v>59</v>
      </c>
      <c r="LJ14" s="465" t="s">
        <v>59</v>
      </c>
      <c r="LK14" s="465" t="s">
        <v>59</v>
      </c>
      <c r="LL14" s="465" t="s">
        <v>59</v>
      </c>
      <c r="LM14" s="465" t="s">
        <v>59</v>
      </c>
      <c r="LN14" s="465" t="s">
        <v>59</v>
      </c>
      <c r="LO14" s="465" t="s">
        <v>59</v>
      </c>
      <c r="LP14" s="465" t="s">
        <v>59</v>
      </c>
      <c r="LQ14" s="465" t="s">
        <v>59</v>
      </c>
      <c r="LR14" s="465" t="s">
        <v>59</v>
      </c>
      <c r="LS14" s="465" t="s">
        <v>59</v>
      </c>
      <c r="LT14" s="49" t="s">
        <v>59</v>
      </c>
      <c r="LU14" s="49" t="s">
        <v>59</v>
      </c>
      <c r="LV14" s="49" t="s">
        <v>59</v>
      </c>
      <c r="LW14" s="49" t="s">
        <v>59</v>
      </c>
      <c r="LX14" s="49" t="s">
        <v>59</v>
      </c>
      <c r="LY14" s="49" t="s">
        <v>59</v>
      </c>
      <c r="LZ14" s="49" t="s">
        <v>59</v>
      </c>
      <c r="MA14" s="49" t="s">
        <v>59</v>
      </c>
      <c r="MB14" s="49" t="s">
        <v>59</v>
      </c>
      <c r="MC14" s="49"/>
      <c r="MD14" s="49"/>
      <c r="ME14" s="49"/>
      <c r="MF14" s="49" t="s">
        <v>59</v>
      </c>
      <c r="MG14" s="49" t="s">
        <v>59</v>
      </c>
      <c r="MH14" s="49" t="s">
        <v>59</v>
      </c>
      <c r="MI14" s="49" t="s">
        <v>59</v>
      </c>
      <c r="MJ14" s="49" t="s">
        <v>59</v>
      </c>
      <c r="MK14" s="49"/>
      <c r="ML14" s="49"/>
      <c r="MM14" s="49"/>
      <c r="MN14" s="49" t="s">
        <v>59</v>
      </c>
      <c r="MO14" s="49"/>
      <c r="MP14" s="49" t="s">
        <v>59</v>
      </c>
      <c r="MQ14" s="49" t="s">
        <v>59</v>
      </c>
      <c r="MR14" s="49" t="s">
        <v>59</v>
      </c>
      <c r="MS14" s="49" t="s">
        <v>59</v>
      </c>
      <c r="MT14" s="49" t="s">
        <v>59</v>
      </c>
      <c r="MU14" s="49" t="s">
        <v>59</v>
      </c>
      <c r="MV14" s="49"/>
      <c r="MW14" s="49"/>
      <c r="MX14" s="49" t="s">
        <v>59</v>
      </c>
      <c r="MY14" s="49" t="s">
        <v>59</v>
      </c>
      <c r="MZ14" s="49"/>
      <c r="NA14" s="49" t="s">
        <v>59</v>
      </c>
      <c r="NB14" s="49"/>
      <c r="NC14" s="101" t="s">
        <v>13</v>
      </c>
      <c r="ND14" s="101" t="s">
        <v>20</v>
      </c>
      <c r="NE14" s="49" t="s">
        <v>59</v>
      </c>
      <c r="NF14" s="49" t="s">
        <v>59</v>
      </c>
      <c r="NG14" s="49" t="s">
        <v>59</v>
      </c>
      <c r="NH14" s="49" t="s">
        <v>59</v>
      </c>
      <c r="NI14" s="49" t="s">
        <v>59</v>
      </c>
      <c r="NJ14" s="49" t="s">
        <v>59</v>
      </c>
      <c r="NK14" s="49" t="s">
        <v>59</v>
      </c>
      <c r="NL14" s="49" t="s">
        <v>59</v>
      </c>
      <c r="NM14" s="49" t="s">
        <v>59</v>
      </c>
      <c r="NN14" s="49" t="s">
        <v>59</v>
      </c>
      <c r="NO14" s="49" t="s">
        <v>59</v>
      </c>
      <c r="NP14" s="49" t="s">
        <v>59</v>
      </c>
      <c r="NQ14" s="101" t="s">
        <v>20</v>
      </c>
      <c r="NR14" s="49" t="s">
        <v>59</v>
      </c>
      <c r="NS14" s="49" t="s">
        <v>59</v>
      </c>
      <c r="NT14" s="49" t="s">
        <v>59</v>
      </c>
      <c r="NU14" s="49" t="s">
        <v>59</v>
      </c>
      <c r="NV14" s="49" t="s">
        <v>20</v>
      </c>
      <c r="NW14" s="49" t="s">
        <v>59</v>
      </c>
      <c r="NX14" s="49" t="s">
        <v>59</v>
      </c>
      <c r="NY14" s="49" t="s">
        <v>20</v>
      </c>
      <c r="NZ14" s="49" t="s">
        <v>59</v>
      </c>
      <c r="OA14" s="49" t="s">
        <v>59</v>
      </c>
      <c r="OB14" s="49" t="s">
        <v>59</v>
      </c>
      <c r="OC14" s="49" t="s">
        <v>59</v>
      </c>
      <c r="OD14" s="49" t="s">
        <v>59</v>
      </c>
      <c r="OE14" s="49" t="s">
        <v>59</v>
      </c>
      <c r="OF14" s="49" t="s">
        <v>59</v>
      </c>
      <c r="OG14" s="49" t="s">
        <v>59</v>
      </c>
      <c r="OH14" s="49" t="s">
        <v>59</v>
      </c>
      <c r="OI14" s="49" t="s">
        <v>59</v>
      </c>
      <c r="OJ14" s="49" t="s">
        <v>59</v>
      </c>
      <c r="OK14" s="49" t="s">
        <v>59</v>
      </c>
      <c r="OL14" s="49" t="s">
        <v>59</v>
      </c>
      <c r="OM14" s="49" t="s">
        <v>20</v>
      </c>
      <c r="ON14" s="49" t="s">
        <v>59</v>
      </c>
      <c r="OO14" s="49" t="s">
        <v>59</v>
      </c>
      <c r="OP14" s="49" t="s">
        <v>59</v>
      </c>
      <c r="OQ14" s="49"/>
      <c r="OR14" s="49"/>
      <c r="OS14" s="49"/>
      <c r="OT14" s="49"/>
      <c r="OU14" s="49" t="s">
        <v>13</v>
      </c>
      <c r="OV14" s="49" t="s">
        <v>59</v>
      </c>
      <c r="OW14" s="49" t="s">
        <v>13</v>
      </c>
      <c r="OX14" s="49" t="s">
        <v>59</v>
      </c>
      <c r="OY14" s="49" t="s">
        <v>13</v>
      </c>
      <c r="OZ14" s="49" t="s">
        <v>13</v>
      </c>
      <c r="PA14" s="49" t="s">
        <v>59</v>
      </c>
      <c r="PB14" s="49" t="s">
        <v>13</v>
      </c>
      <c r="PC14" s="49" t="s">
        <v>13</v>
      </c>
      <c r="PD14" s="49" t="s">
        <v>59</v>
      </c>
      <c r="PE14" s="49" t="s">
        <v>59</v>
      </c>
      <c r="PF14" s="49" t="s">
        <v>59</v>
      </c>
      <c r="PG14" s="49" t="s">
        <v>59</v>
      </c>
      <c r="PH14" s="49" t="s">
        <v>59</v>
      </c>
      <c r="PI14" s="49" t="s">
        <v>59</v>
      </c>
      <c r="PJ14" s="49" t="s">
        <v>59</v>
      </c>
      <c r="PK14" s="49" t="s">
        <v>59</v>
      </c>
      <c r="PL14" s="49" t="s">
        <v>59</v>
      </c>
      <c r="PM14" s="49" t="s">
        <v>59</v>
      </c>
      <c r="PN14" s="49" t="s">
        <v>59</v>
      </c>
      <c r="PO14" s="49" t="s">
        <v>59</v>
      </c>
      <c r="PP14" s="49" t="s">
        <v>59</v>
      </c>
      <c r="PQ14" s="49" t="s">
        <v>59</v>
      </c>
      <c r="PR14" s="49" t="s">
        <v>59</v>
      </c>
      <c r="PS14" s="49" t="s">
        <v>59</v>
      </c>
      <c r="PT14" s="49" t="s">
        <v>59</v>
      </c>
      <c r="PU14" s="49" t="s">
        <v>59</v>
      </c>
      <c r="PV14" s="49" t="s">
        <v>59</v>
      </c>
      <c r="PW14" s="49" t="s">
        <v>59</v>
      </c>
      <c r="PX14" s="49" t="s">
        <v>59</v>
      </c>
      <c r="PY14" s="49" t="s">
        <v>59</v>
      </c>
      <c r="PZ14" s="49" t="s">
        <v>59</v>
      </c>
      <c r="QA14" s="49" t="s">
        <v>59</v>
      </c>
      <c r="QB14" s="49"/>
      <c r="QC14" s="49" t="s">
        <v>59</v>
      </c>
      <c r="QD14" s="49" t="s">
        <v>59</v>
      </c>
      <c r="QE14" s="49" t="s">
        <v>59</v>
      </c>
      <c r="QF14" s="49" t="s">
        <v>59</v>
      </c>
      <c r="QG14" s="49" t="s">
        <v>59</v>
      </c>
      <c r="QH14" s="49" t="s">
        <v>59</v>
      </c>
      <c r="QI14" s="49" t="s">
        <v>59</v>
      </c>
      <c r="QJ14" s="49" t="s">
        <v>59</v>
      </c>
      <c r="QK14" s="49" t="s">
        <v>59</v>
      </c>
      <c r="QL14" s="49" t="s">
        <v>59</v>
      </c>
      <c r="QM14" s="49" t="s">
        <v>59</v>
      </c>
      <c r="QN14" s="49" t="s">
        <v>59</v>
      </c>
      <c r="QO14" s="49" t="s">
        <v>59</v>
      </c>
      <c r="QP14" s="49" t="s">
        <v>59</v>
      </c>
      <c r="QQ14" s="49" t="s">
        <v>59</v>
      </c>
      <c r="QR14" s="49" t="s">
        <v>59</v>
      </c>
      <c r="QS14" s="49" t="s">
        <v>59</v>
      </c>
      <c r="QT14" s="49" t="s">
        <v>59</v>
      </c>
      <c r="QU14" s="49" t="s">
        <v>59</v>
      </c>
      <c r="QV14" s="49" t="s">
        <v>59</v>
      </c>
      <c r="QW14" s="49" t="s">
        <v>59</v>
      </c>
      <c r="QX14" s="49" t="s">
        <v>59</v>
      </c>
      <c r="QY14" s="49" t="s">
        <v>59</v>
      </c>
      <c r="QZ14" s="49" t="s">
        <v>59</v>
      </c>
      <c r="RA14" s="49" t="s">
        <v>59</v>
      </c>
      <c r="RB14" s="49" t="s">
        <v>59</v>
      </c>
      <c r="RC14" s="49" t="s">
        <v>20</v>
      </c>
      <c r="RD14" s="49" t="s">
        <v>59</v>
      </c>
      <c r="RE14" s="49" t="s">
        <v>59</v>
      </c>
      <c r="RF14" s="49" t="s">
        <v>59</v>
      </c>
      <c r="RG14" s="49" t="s">
        <v>59</v>
      </c>
      <c r="RH14" s="49" t="s">
        <v>59</v>
      </c>
      <c r="RI14" s="49" t="s">
        <v>59</v>
      </c>
      <c r="RJ14" s="49" t="s">
        <v>59</v>
      </c>
      <c r="RK14" s="49" t="s">
        <v>59</v>
      </c>
      <c r="RL14" s="49" t="s">
        <v>59</v>
      </c>
      <c r="RM14" s="49" t="s">
        <v>59</v>
      </c>
      <c r="RN14" s="49" t="s">
        <v>59</v>
      </c>
      <c r="RO14" s="49" t="s">
        <v>59</v>
      </c>
      <c r="RP14" s="49" t="s">
        <v>59</v>
      </c>
      <c r="RQ14" s="49" t="s">
        <v>59</v>
      </c>
      <c r="RR14" s="49" t="s">
        <v>59</v>
      </c>
      <c r="RS14" s="49" t="s">
        <v>59</v>
      </c>
      <c r="RT14" s="49" t="s">
        <v>59</v>
      </c>
      <c r="RU14" s="49" t="s">
        <v>59</v>
      </c>
      <c r="RV14" s="49" t="s">
        <v>59</v>
      </c>
      <c r="RW14" s="49" t="s">
        <v>59</v>
      </c>
      <c r="RX14" s="49" t="s">
        <v>59</v>
      </c>
      <c r="RY14" s="49" t="s">
        <v>59</v>
      </c>
      <c r="RZ14" s="49" t="s">
        <v>59</v>
      </c>
      <c r="SA14" s="49" t="s">
        <v>59</v>
      </c>
      <c r="SB14" s="49" t="s">
        <v>20</v>
      </c>
      <c r="SC14" s="49" t="s">
        <v>59</v>
      </c>
      <c r="SD14" s="49" t="s">
        <v>59</v>
      </c>
      <c r="SE14" s="49" t="s">
        <v>59</v>
      </c>
      <c r="SF14" s="49" t="s">
        <v>59</v>
      </c>
      <c r="SG14" s="49" t="s">
        <v>59</v>
      </c>
      <c r="SH14" s="49" t="s">
        <v>59</v>
      </c>
      <c r="SI14" s="49" t="s">
        <v>59</v>
      </c>
      <c r="SJ14" s="49" t="s">
        <v>59</v>
      </c>
      <c r="SK14" s="49" t="s">
        <v>59</v>
      </c>
      <c r="SL14" s="49" t="s">
        <v>59</v>
      </c>
      <c r="SM14" s="49" t="s">
        <v>59</v>
      </c>
      <c r="SN14" s="49" t="s">
        <v>59</v>
      </c>
      <c r="SO14" s="49" t="s">
        <v>59</v>
      </c>
      <c r="SP14" s="49" t="s">
        <v>59</v>
      </c>
      <c r="SQ14" s="49" t="s">
        <v>59</v>
      </c>
      <c r="SR14" s="49" t="s">
        <v>59</v>
      </c>
      <c r="SS14" s="49" t="s">
        <v>59</v>
      </c>
      <c r="ST14" s="49" t="s">
        <v>59</v>
      </c>
      <c r="SU14" s="49" t="s">
        <v>59</v>
      </c>
      <c r="SV14" s="49" t="s">
        <v>59</v>
      </c>
      <c r="SW14" s="49" t="s">
        <v>59</v>
      </c>
      <c r="SX14" s="49" t="s">
        <v>59</v>
      </c>
      <c r="SY14" s="49" t="s">
        <v>59</v>
      </c>
      <c r="SZ14" s="49" t="s">
        <v>59</v>
      </c>
      <c r="TA14" s="49" t="s">
        <v>59</v>
      </c>
      <c r="TB14" s="49" t="s">
        <v>59</v>
      </c>
      <c r="TC14" s="49" t="s">
        <v>59</v>
      </c>
      <c r="TD14" s="49" t="s">
        <v>59</v>
      </c>
      <c r="TE14" s="49" t="s">
        <v>59</v>
      </c>
      <c r="TF14" s="49" t="s">
        <v>59</v>
      </c>
      <c r="TG14" s="49" t="s">
        <v>59</v>
      </c>
      <c r="TH14" s="49" t="s">
        <v>59</v>
      </c>
      <c r="TI14" s="49" t="s">
        <v>59</v>
      </c>
      <c r="TJ14" s="49" t="s">
        <v>13</v>
      </c>
      <c r="TK14" s="408" t="s">
        <v>13</v>
      </c>
      <c r="TL14" s="408"/>
      <c r="TM14" s="408"/>
      <c r="TN14" s="408"/>
      <c r="TO14" s="408"/>
      <c r="TP14" s="408" t="s">
        <v>13</v>
      </c>
      <c r="TQ14" s="49" t="s">
        <v>59</v>
      </c>
      <c r="TR14" s="49" t="s">
        <v>13</v>
      </c>
      <c r="TS14" s="49" t="s">
        <v>13</v>
      </c>
      <c r="TT14" s="49" t="s">
        <v>13</v>
      </c>
      <c r="TU14" s="49" t="s">
        <v>13</v>
      </c>
      <c r="TV14" s="49" t="s">
        <v>13</v>
      </c>
      <c r="TW14" s="49" t="s">
        <v>59</v>
      </c>
      <c r="TX14" s="49" t="s">
        <v>59</v>
      </c>
      <c r="TY14" s="49" t="s">
        <v>59</v>
      </c>
      <c r="TZ14" s="49" t="s">
        <v>59</v>
      </c>
      <c r="UA14" s="49" t="s">
        <v>59</v>
      </c>
      <c r="UB14" s="49" t="s">
        <v>59</v>
      </c>
      <c r="UC14" s="49" t="s">
        <v>59</v>
      </c>
      <c r="UD14" s="49" t="s">
        <v>59</v>
      </c>
      <c r="UE14" s="49" t="s">
        <v>59</v>
      </c>
      <c r="UF14" s="49" t="s">
        <v>20</v>
      </c>
      <c r="UG14" s="49" t="s">
        <v>59</v>
      </c>
      <c r="UH14" s="49" t="s">
        <v>59</v>
      </c>
      <c r="UI14" s="49" t="s">
        <v>59</v>
      </c>
      <c r="UJ14" s="49"/>
      <c r="UK14" s="49"/>
      <c r="UL14" s="49" t="s">
        <v>59</v>
      </c>
      <c r="UM14" s="49" t="s">
        <v>59</v>
      </c>
      <c r="UN14" s="49" t="s">
        <v>20</v>
      </c>
      <c r="UO14" s="49" t="s">
        <v>59</v>
      </c>
      <c r="UP14" s="49" t="s">
        <v>59</v>
      </c>
      <c r="UQ14" s="49"/>
      <c r="UR14" s="49"/>
      <c r="US14" s="49" t="s">
        <v>59</v>
      </c>
      <c r="UT14" s="49" t="s">
        <v>59</v>
      </c>
      <c r="UU14" s="49" t="s">
        <v>59</v>
      </c>
      <c r="UV14" s="49"/>
      <c r="UW14" s="49"/>
      <c r="UX14" s="49" t="s">
        <v>59</v>
      </c>
      <c r="UY14" s="49" t="s">
        <v>59</v>
      </c>
      <c r="UZ14" s="94" t="s">
        <v>59</v>
      </c>
      <c r="VA14" s="49" t="s">
        <v>59</v>
      </c>
      <c r="VB14" s="49"/>
      <c r="VC14" s="49" t="s">
        <v>59</v>
      </c>
      <c r="VD14" s="49" t="s">
        <v>59</v>
      </c>
      <c r="VE14" s="49"/>
      <c r="VF14" s="49" t="s">
        <v>59</v>
      </c>
      <c r="VG14" s="49"/>
      <c r="VH14" s="49"/>
      <c r="VI14" s="49"/>
      <c r="VJ14" s="49"/>
      <c r="VK14" s="93"/>
      <c r="VL14" s="93"/>
      <c r="VM14" s="93"/>
      <c r="VN14" s="93"/>
      <c r="VO14" s="93"/>
      <c r="VP14" s="93"/>
      <c r="VQ14" s="93"/>
      <c r="VR14" s="93"/>
      <c r="VS14" s="93"/>
      <c r="VT14" s="93"/>
      <c r="VU14" s="93"/>
      <c r="VV14" s="93"/>
      <c r="VW14" s="93"/>
      <c r="VX14" s="49"/>
      <c r="VY14" s="49"/>
      <c r="VZ14" s="49"/>
      <c r="WA14" s="72"/>
      <c r="WB14" s="72"/>
      <c r="WC14" s="72"/>
      <c r="WD14" s="72"/>
      <c r="WE14" s="49"/>
      <c r="WF14" s="49"/>
      <c r="WG14" s="49"/>
      <c r="WH14" s="49"/>
      <c r="WI14" s="49"/>
      <c r="WJ14" s="49"/>
      <c r="WK14" s="49"/>
      <c r="WL14" s="49"/>
      <c r="WM14" s="49"/>
      <c r="WN14" s="49"/>
      <c r="WO14" s="49"/>
      <c r="WP14" s="49"/>
      <c r="WQ14" s="49"/>
      <c r="WR14" s="49"/>
      <c r="WS14" s="49"/>
      <c r="WT14" s="49"/>
      <c r="WU14" s="49"/>
      <c r="WV14" s="49"/>
      <c r="WW14" s="49"/>
      <c r="WX14" s="49"/>
      <c r="WY14" s="49" t="s">
        <v>20</v>
      </c>
      <c r="WZ14" s="49" t="s">
        <v>20</v>
      </c>
      <c r="XA14" s="49"/>
      <c r="XB14" s="49"/>
      <c r="XC14" s="49"/>
      <c r="XD14" s="49"/>
      <c r="XE14" s="49"/>
      <c r="XF14" s="49"/>
      <c r="XG14" s="49"/>
      <c r="XH14" s="49"/>
      <c r="XI14" s="49"/>
      <c r="XJ14" s="49"/>
      <c r="XK14" s="49"/>
      <c r="XL14" s="49"/>
      <c r="XM14" s="49"/>
      <c r="XN14" s="49"/>
      <c r="XO14" s="49"/>
      <c r="XP14" s="49"/>
      <c r="XQ14" s="49"/>
      <c r="XR14" s="49"/>
      <c r="XS14" s="49"/>
      <c r="XT14" s="49"/>
      <c r="XU14" s="49"/>
      <c r="XV14" s="49"/>
      <c r="XW14" s="49"/>
      <c r="XX14" s="49"/>
      <c r="XY14" s="49"/>
      <c r="XZ14" s="49"/>
      <c r="YA14" s="49"/>
      <c r="YB14" s="49"/>
      <c r="YC14" s="49"/>
      <c r="YD14" s="49"/>
      <c r="YE14" s="49"/>
      <c r="YF14" s="49"/>
      <c r="YG14" s="49"/>
      <c r="YH14" s="49"/>
      <c r="YI14" s="49"/>
      <c r="YJ14" s="49"/>
      <c r="YK14" s="49"/>
      <c r="YL14" s="49"/>
      <c r="YM14" s="49"/>
      <c r="YN14" s="49"/>
      <c r="YO14" s="49"/>
      <c r="YP14" s="49"/>
      <c r="YQ14" s="49"/>
      <c r="YR14" s="49"/>
      <c r="YS14" s="49"/>
      <c r="YT14" s="49"/>
      <c r="YU14" s="49"/>
      <c r="YV14" s="49"/>
      <c r="YW14" s="49"/>
      <c r="YX14" s="49"/>
      <c r="YY14" s="49"/>
      <c r="YZ14" s="49"/>
      <c r="ZA14" s="49"/>
      <c r="ZB14" s="49"/>
      <c r="ZC14" s="49" t="s">
        <v>13</v>
      </c>
      <c r="ZD14" s="49" t="s">
        <v>13</v>
      </c>
      <c r="ZE14" s="49" t="s">
        <v>13</v>
      </c>
      <c r="ZF14" s="49" t="s">
        <v>13</v>
      </c>
      <c r="ZG14" s="49" t="s">
        <v>13</v>
      </c>
      <c r="ZH14" s="49" t="s">
        <v>59</v>
      </c>
      <c r="ZI14" s="49" t="s">
        <v>13</v>
      </c>
      <c r="ZJ14" s="49" t="s">
        <v>13</v>
      </c>
      <c r="ZK14" s="49" t="s">
        <v>13</v>
      </c>
      <c r="ZL14" s="49" t="s">
        <v>13</v>
      </c>
      <c r="ZM14" s="49" t="s">
        <v>13</v>
      </c>
      <c r="ZN14" s="49" t="s">
        <v>13</v>
      </c>
      <c r="ZO14" s="49" t="s">
        <v>13</v>
      </c>
      <c r="ZP14" s="49" t="s">
        <v>13</v>
      </c>
      <c r="ZQ14" s="49" t="s">
        <v>59</v>
      </c>
      <c r="ZR14" s="49" t="s">
        <v>59</v>
      </c>
      <c r="ZS14" s="49" t="s">
        <v>59</v>
      </c>
      <c r="ZT14" s="49" t="s">
        <v>59</v>
      </c>
      <c r="ZU14" s="49" t="s">
        <v>59</v>
      </c>
      <c r="ZV14" s="49" t="s">
        <v>13</v>
      </c>
      <c r="ZW14" s="49"/>
      <c r="ZX14" s="49"/>
      <c r="ZY14" s="49"/>
      <c r="ZZ14" s="122"/>
      <c r="AAA14" s="49"/>
      <c r="AAB14" s="49"/>
      <c r="AAC14" s="49"/>
      <c r="AAD14" s="49"/>
    </row>
    <row r="15" spans="1:706" s="26" customFormat="1" ht="12.1" customHeight="1" x14ac:dyDescent="0.25">
      <c r="A15" s="183" t="s">
        <v>487</v>
      </c>
      <c r="B15" s="184" t="s">
        <v>263</v>
      </c>
      <c r="C15" s="184" t="s">
        <v>1</v>
      </c>
      <c r="D15" s="184" t="s">
        <v>2</v>
      </c>
      <c r="E15" s="185" t="s">
        <v>3</v>
      </c>
      <c r="F15" s="185" t="s">
        <v>379</v>
      </c>
      <c r="G15" s="185" t="s">
        <v>122</v>
      </c>
      <c r="H15" s="185" t="s">
        <v>234</v>
      </c>
      <c r="I15" s="185" t="s">
        <v>77</v>
      </c>
      <c r="J15" s="186" t="s">
        <v>4</v>
      </c>
      <c r="K15" s="186" t="s">
        <v>5</v>
      </c>
      <c r="L15" s="186"/>
      <c r="M15" s="186" t="s">
        <v>71</v>
      </c>
      <c r="N15" s="186" t="s">
        <v>72</v>
      </c>
      <c r="O15" s="186" t="s">
        <v>73</v>
      </c>
      <c r="P15" s="186" t="s">
        <v>102</v>
      </c>
      <c r="Q15" s="186" t="s">
        <v>103</v>
      </c>
      <c r="R15" s="186" t="s">
        <v>104</v>
      </c>
      <c r="S15" s="186" t="s">
        <v>105</v>
      </c>
      <c r="T15" s="186" t="s">
        <v>110</v>
      </c>
      <c r="U15" s="186" t="s">
        <v>8</v>
      </c>
      <c r="V15" s="186" t="s">
        <v>9</v>
      </c>
      <c r="W15" s="186" t="s">
        <v>106</v>
      </c>
      <c r="X15" s="186" t="s">
        <v>21</v>
      </c>
      <c r="Y15" s="186" t="s">
        <v>254</v>
      </c>
      <c r="Z15" s="186" t="s">
        <v>6</v>
      </c>
      <c r="AA15" s="186" t="s">
        <v>7</v>
      </c>
      <c r="AB15" s="186" t="s">
        <v>107</v>
      </c>
      <c r="AC15" s="186" t="s">
        <v>600</v>
      </c>
      <c r="AD15" s="186" t="s">
        <v>601</v>
      </c>
      <c r="AE15" s="186" t="s">
        <v>602</v>
      </c>
      <c r="AF15" s="186" t="s">
        <v>603</v>
      </c>
      <c r="AG15" s="186" t="s">
        <v>604</v>
      </c>
      <c r="AH15" s="186" t="s">
        <v>605</v>
      </c>
      <c r="AI15" s="186" t="s">
        <v>606</v>
      </c>
      <c r="AJ15" s="186" t="s">
        <v>607</v>
      </c>
      <c r="AK15" s="186" t="s">
        <v>608</v>
      </c>
      <c r="AL15" s="186" t="s">
        <v>609</v>
      </c>
      <c r="AM15" s="186"/>
      <c r="AN15" s="186" t="s">
        <v>610</v>
      </c>
      <c r="AO15" s="186" t="s">
        <v>611</v>
      </c>
      <c r="AP15" s="186" t="s">
        <v>612</v>
      </c>
      <c r="AQ15" s="186" t="s">
        <v>614</v>
      </c>
      <c r="AR15" s="186" t="s">
        <v>1213</v>
      </c>
      <c r="AS15" s="186" t="s">
        <v>1214</v>
      </c>
      <c r="AT15" s="186" t="s">
        <v>1215</v>
      </c>
      <c r="AU15" s="186" t="s">
        <v>1216</v>
      </c>
      <c r="AV15" s="186" t="s">
        <v>1217</v>
      </c>
      <c r="AW15" s="186" t="s">
        <v>1218</v>
      </c>
      <c r="AX15" s="186" t="s">
        <v>1219</v>
      </c>
      <c r="AY15" s="186" t="s">
        <v>1220</v>
      </c>
      <c r="AZ15" s="186" t="s">
        <v>1221</v>
      </c>
      <c r="BA15" s="186" t="s">
        <v>1222</v>
      </c>
      <c r="BB15" s="186" t="s">
        <v>1223</v>
      </c>
      <c r="BC15" s="186" t="s">
        <v>19</v>
      </c>
      <c r="BD15" s="186" t="s">
        <v>22</v>
      </c>
      <c r="BE15" s="186" t="s">
        <v>1224</v>
      </c>
      <c r="BF15" s="186" t="s">
        <v>1225</v>
      </c>
      <c r="BG15" s="186" t="s">
        <v>23</v>
      </c>
      <c r="BH15" s="186" t="s">
        <v>117</v>
      </c>
      <c r="BI15" s="186" t="s">
        <v>867</v>
      </c>
      <c r="BJ15" s="186" t="s">
        <v>126</v>
      </c>
      <c r="BK15" s="186" t="s">
        <v>75</v>
      </c>
      <c r="BL15" s="186" t="s">
        <v>108</v>
      </c>
      <c r="BM15" s="186" t="s">
        <v>109</v>
      </c>
      <c r="BN15" s="186" t="s">
        <v>259</v>
      </c>
      <c r="BO15" s="186" t="s">
        <v>260</v>
      </c>
      <c r="BP15" s="186" t="s">
        <v>1022</v>
      </c>
      <c r="BQ15" s="186" t="s">
        <v>695</v>
      </c>
      <c r="BR15" s="186" t="s">
        <v>697</v>
      </c>
      <c r="BS15" s="186" t="s">
        <v>698</v>
      </c>
      <c r="BT15" s="186" t="s">
        <v>692</v>
      </c>
      <c r="BU15" s="186"/>
      <c r="BV15" s="186"/>
      <c r="BW15" s="186"/>
      <c r="BX15" s="186"/>
      <c r="BY15" s="186"/>
      <c r="BZ15" s="186"/>
      <c r="CA15" s="186"/>
      <c r="CB15" s="186"/>
      <c r="CC15" s="186"/>
      <c r="CD15" s="186"/>
      <c r="CE15" s="186"/>
      <c r="CF15" s="186"/>
      <c r="CG15" s="186"/>
      <c r="CH15" s="186"/>
      <c r="CI15" s="186" t="s">
        <v>1226</v>
      </c>
      <c r="CJ15" s="186" t="s">
        <v>1227</v>
      </c>
      <c r="CK15" s="186" t="s">
        <v>883</v>
      </c>
      <c r="CL15" s="186" t="s">
        <v>70</v>
      </c>
      <c r="CM15" s="186" t="s">
        <v>1228</v>
      </c>
      <c r="CN15" s="186" t="s">
        <v>34</v>
      </c>
      <c r="CO15" s="186" t="s">
        <v>35</v>
      </c>
      <c r="CP15" s="186" t="s">
        <v>144</v>
      </c>
      <c r="CQ15" s="186" t="s">
        <v>96</v>
      </c>
      <c r="CR15" s="186" t="s">
        <v>41</v>
      </c>
      <c r="CS15" s="186" t="s">
        <v>127</v>
      </c>
      <c r="CT15" s="186" t="s">
        <v>142</v>
      </c>
      <c r="CU15" s="186" t="s">
        <v>95</v>
      </c>
      <c r="CV15" s="186" t="s">
        <v>39</v>
      </c>
      <c r="CW15" s="186" t="s">
        <v>143</v>
      </c>
      <c r="CX15" s="186" t="s">
        <v>36</v>
      </c>
      <c r="CY15" s="186" t="s">
        <v>37</v>
      </c>
      <c r="CZ15" s="186" t="s">
        <v>56</v>
      </c>
      <c r="DA15" s="186"/>
      <c r="DB15" s="186"/>
      <c r="DC15" s="186" t="s">
        <v>135</v>
      </c>
      <c r="DD15" s="186" t="s">
        <v>868</v>
      </c>
      <c r="DE15" s="186"/>
      <c r="DF15" s="186" t="s">
        <v>136</v>
      </c>
      <c r="DG15" s="186" t="s">
        <v>208</v>
      </c>
      <c r="DH15" s="186" t="s">
        <v>301</v>
      </c>
      <c r="DI15" s="186"/>
      <c r="DJ15" s="186" t="s">
        <v>1229</v>
      </c>
      <c r="DK15" s="186" t="s">
        <v>1230</v>
      </c>
      <c r="DL15" s="186" t="s">
        <v>1231</v>
      </c>
      <c r="DM15" s="186"/>
      <c r="DN15" s="186" t="s">
        <v>128</v>
      </c>
      <c r="DO15" s="186" t="s">
        <v>40</v>
      </c>
      <c r="DP15" s="186" t="s">
        <v>38</v>
      </c>
      <c r="DQ15" s="186" t="s">
        <v>93</v>
      </c>
      <c r="DR15" s="186"/>
      <c r="DS15" s="186" t="s">
        <v>679</v>
      </c>
      <c r="DT15" s="186" t="s">
        <v>1014</v>
      </c>
      <c r="DU15" s="186" t="s">
        <v>64</v>
      </c>
      <c r="DV15" s="186" t="s">
        <v>65</v>
      </c>
      <c r="DW15" s="188" t="s">
        <v>1232</v>
      </c>
      <c r="DX15" s="186" t="s">
        <v>179</v>
      </c>
      <c r="DY15" s="186" t="s">
        <v>845</v>
      </c>
      <c r="DZ15" s="186" t="s">
        <v>192</v>
      </c>
      <c r="EA15" s="188"/>
      <c r="EB15" s="188"/>
      <c r="EC15" s="188"/>
      <c r="ED15" s="188" t="s">
        <v>1492</v>
      </c>
      <c r="EE15" s="186" t="s">
        <v>46</v>
      </c>
      <c r="EF15" s="186" t="s">
        <v>1233</v>
      </c>
      <c r="EG15" s="186" t="s">
        <v>42</v>
      </c>
      <c r="EH15" s="186" t="s">
        <v>43</v>
      </c>
      <c r="EI15" s="186" t="s">
        <v>44</v>
      </c>
      <c r="EJ15" s="186"/>
      <c r="EK15" s="186" t="s">
        <v>67</v>
      </c>
      <c r="EL15" s="186" t="s">
        <v>68</v>
      </c>
      <c r="EM15" s="186" t="s">
        <v>63</v>
      </c>
      <c r="EN15" s="186" t="s">
        <v>113</v>
      </c>
      <c r="EO15" s="186" t="s">
        <v>268</v>
      </c>
      <c r="EP15" s="186" t="s">
        <v>101</v>
      </c>
      <c r="EQ15" s="186" t="s">
        <v>269</v>
      </c>
      <c r="ER15" s="186" t="s">
        <v>590</v>
      </c>
      <c r="ES15" s="186" t="s">
        <v>599</v>
      </c>
      <c r="ET15" s="186" t="s">
        <v>24</v>
      </c>
      <c r="EU15" s="186" t="s">
        <v>26</v>
      </c>
      <c r="EV15" s="186" t="s">
        <v>28</v>
      </c>
      <c r="EW15" s="186" t="s">
        <v>25</v>
      </c>
      <c r="EX15" s="186" t="s">
        <v>27</v>
      </c>
      <c r="EY15" s="186" t="s">
        <v>29</v>
      </c>
      <c r="EZ15" s="186" t="s">
        <v>488</v>
      </c>
      <c r="FA15" s="186" t="s">
        <v>598</v>
      </c>
      <c r="FB15" s="186" t="s">
        <v>489</v>
      </c>
      <c r="FC15" s="186" t="s">
        <v>506</v>
      </c>
      <c r="FD15" s="186" t="s">
        <v>507</v>
      </c>
      <c r="FE15" s="186" t="s">
        <v>508</v>
      </c>
      <c r="FF15" s="186" t="s">
        <v>681</v>
      </c>
      <c r="FG15" s="186" t="s">
        <v>682</v>
      </c>
      <c r="FH15" s="186" t="s">
        <v>30</v>
      </c>
      <c r="FI15" s="186" t="s">
        <v>32</v>
      </c>
      <c r="FJ15" s="186" t="s">
        <v>33</v>
      </c>
      <c r="FK15" s="186" t="s">
        <v>270</v>
      </c>
      <c r="FL15" s="186"/>
      <c r="FM15" s="186" t="s">
        <v>271</v>
      </c>
      <c r="FN15" s="186" t="s">
        <v>277</v>
      </c>
      <c r="FO15" s="186"/>
      <c r="FP15" s="186"/>
      <c r="FQ15" s="186" t="s">
        <v>1234</v>
      </c>
      <c r="FR15" s="186" t="s">
        <v>1235</v>
      </c>
      <c r="FS15" s="186" t="s">
        <v>1494</v>
      </c>
      <c r="FT15" s="186" t="s">
        <v>1237</v>
      </c>
      <c r="FU15" s="186" t="s">
        <v>1495</v>
      </c>
      <c r="FV15" s="186" t="s">
        <v>1496</v>
      </c>
      <c r="FW15" s="186"/>
      <c r="FX15" s="186"/>
      <c r="FY15" s="186"/>
      <c r="FZ15" s="186"/>
      <c r="GA15" s="186" t="s">
        <v>1055</v>
      </c>
      <c r="GB15" s="186"/>
      <c r="GC15" s="186" t="s">
        <v>1070</v>
      </c>
      <c r="GD15" s="186"/>
      <c r="GE15" s="186"/>
      <c r="GF15" s="186"/>
      <c r="GG15" s="186"/>
      <c r="GH15" s="186" t="s">
        <v>284</v>
      </c>
      <c r="GI15" s="186"/>
      <c r="GJ15" s="186"/>
      <c r="GK15" s="186"/>
      <c r="GL15" s="186"/>
      <c r="GM15" s="186"/>
      <c r="GN15" s="186"/>
      <c r="GO15" s="187" t="s">
        <v>187</v>
      </c>
      <c r="GP15" s="186" t="s">
        <v>49</v>
      </c>
      <c r="GQ15" s="186"/>
      <c r="GR15" s="187" t="s">
        <v>190</v>
      </c>
      <c r="GS15" s="187"/>
      <c r="GT15" s="186"/>
      <c r="GU15" s="187" t="s">
        <v>866</v>
      </c>
      <c r="GV15" s="187"/>
      <c r="GW15" s="187"/>
      <c r="GX15" s="187"/>
      <c r="GY15" s="186"/>
      <c r="GZ15" s="186"/>
      <c r="HA15" s="186"/>
      <c r="HB15" s="186"/>
      <c r="HC15" s="186"/>
      <c r="HD15" s="186" t="s">
        <v>257</v>
      </c>
      <c r="HE15" s="186" t="s">
        <v>194</v>
      </c>
      <c r="HF15" s="186"/>
      <c r="HG15" s="187"/>
      <c r="HH15" s="187"/>
      <c r="HI15" s="187"/>
      <c r="HJ15" s="187"/>
      <c r="HK15" s="187"/>
      <c r="HL15" s="187"/>
      <c r="HM15" s="187"/>
      <c r="HN15" s="187"/>
      <c r="HO15" s="187"/>
      <c r="HP15" s="187"/>
      <c r="HQ15" s="186"/>
      <c r="HR15" s="186"/>
      <c r="HS15" s="186" t="s">
        <v>97</v>
      </c>
      <c r="HT15" s="186"/>
      <c r="HU15" s="186"/>
      <c r="HV15" s="186"/>
      <c r="HW15" s="186"/>
      <c r="HX15" s="469"/>
      <c r="HY15" s="469"/>
      <c r="HZ15" s="189"/>
      <c r="IA15" s="189"/>
      <c r="IB15" s="189" t="s">
        <v>227</v>
      </c>
      <c r="IC15" s="188" t="s">
        <v>1247</v>
      </c>
      <c r="ID15" s="186" t="s">
        <v>2316</v>
      </c>
      <c r="IE15" s="186"/>
      <c r="IF15" s="186"/>
      <c r="IG15" s="186"/>
      <c r="IH15" s="186"/>
      <c r="II15" s="186"/>
      <c r="IJ15" s="186"/>
      <c r="IK15" s="470"/>
      <c r="IL15" s="186"/>
      <c r="IM15" s="186"/>
      <c r="IN15" s="186"/>
      <c r="IO15" s="186" t="s">
        <v>1593</v>
      </c>
      <c r="IP15" s="186"/>
      <c r="IQ15" s="186"/>
      <c r="IR15" s="186"/>
      <c r="IS15" s="186"/>
      <c r="IT15" s="186"/>
      <c r="IU15" s="186"/>
      <c r="IV15" s="188"/>
      <c r="IW15" s="188"/>
      <c r="IX15" s="186"/>
      <c r="IY15" s="188"/>
      <c r="IZ15" s="188"/>
      <c r="JA15" s="188"/>
      <c r="JB15" s="186"/>
      <c r="JC15" s="186"/>
      <c r="JD15" s="188"/>
      <c r="JE15" s="188"/>
      <c r="JF15" s="470"/>
      <c r="JG15" s="186"/>
      <c r="JH15" s="186" t="s">
        <v>182</v>
      </c>
      <c r="JI15" s="470"/>
      <c r="JJ15" s="186"/>
      <c r="JK15" s="470"/>
      <c r="JL15" s="186"/>
      <c r="JM15" s="470"/>
      <c r="JN15" s="186"/>
      <c r="JO15" s="186"/>
      <c r="JP15" s="186"/>
      <c r="JQ15" s="186"/>
      <c r="JR15" s="186"/>
      <c r="JS15" s="186"/>
      <c r="JT15" s="186"/>
      <c r="JU15" s="186" t="s">
        <v>325</v>
      </c>
      <c r="JV15" s="188"/>
      <c r="JW15" s="188"/>
      <c r="JX15" s="188"/>
      <c r="JY15" s="190"/>
      <c r="JZ15" s="190"/>
      <c r="KA15" s="190"/>
      <c r="KB15" s="190"/>
      <c r="KC15" s="190"/>
      <c r="KD15" s="190"/>
      <c r="KE15" s="190"/>
      <c r="KF15" s="190"/>
      <c r="KG15" s="190"/>
      <c r="KH15" s="190"/>
      <c r="KI15" s="190"/>
      <c r="KJ15" s="190"/>
      <c r="KK15" s="190"/>
      <c r="KL15" s="190"/>
      <c r="KM15" s="190"/>
      <c r="KN15" s="190"/>
      <c r="KO15" s="190"/>
      <c r="KP15" s="190"/>
      <c r="KQ15" s="190"/>
      <c r="KR15" s="190"/>
      <c r="KS15" s="190"/>
      <c r="KT15" s="190"/>
      <c r="KU15" s="190"/>
      <c r="KV15" s="190"/>
      <c r="KW15" s="190"/>
      <c r="KX15" s="190"/>
      <c r="KY15" s="190"/>
      <c r="KZ15" s="190"/>
      <c r="LA15" s="186"/>
      <c r="LB15" s="190"/>
      <c r="LC15" s="469"/>
      <c r="LD15" s="469"/>
      <c r="LE15" s="190"/>
      <c r="LF15" s="190"/>
      <c r="LG15" s="190"/>
      <c r="LH15" s="190"/>
      <c r="LI15" s="190"/>
      <c r="LJ15" s="190"/>
      <c r="LK15" s="190"/>
      <c r="LL15" s="190"/>
      <c r="LM15" s="190"/>
      <c r="LN15" s="190"/>
      <c r="LO15" s="190"/>
      <c r="LP15" s="190"/>
      <c r="LQ15" s="190"/>
      <c r="LR15" s="190"/>
      <c r="LS15" s="190"/>
      <c r="LT15" s="190"/>
      <c r="LU15" s="190"/>
      <c r="LV15" s="190"/>
      <c r="LW15" s="186" t="s">
        <v>62</v>
      </c>
      <c r="LX15" s="190"/>
      <c r="LY15" s="190"/>
      <c r="LZ15" s="190"/>
      <c r="MA15" s="190"/>
      <c r="MB15" s="190"/>
      <c r="MC15" s="190"/>
      <c r="MD15" s="190"/>
      <c r="ME15" s="190"/>
      <c r="MF15" s="190"/>
      <c r="MG15" s="190"/>
      <c r="MH15" s="190"/>
      <c r="MI15" s="190"/>
      <c r="MJ15" s="190"/>
      <c r="MK15" s="190"/>
      <c r="ML15" s="190"/>
      <c r="MM15" s="190"/>
      <c r="MN15" s="190"/>
      <c r="MO15" s="190"/>
      <c r="MP15" s="190"/>
      <c r="MQ15" s="190"/>
      <c r="MR15" s="190"/>
      <c r="MS15" s="190"/>
      <c r="MT15" s="190"/>
      <c r="MU15" s="190"/>
      <c r="MV15" s="190"/>
      <c r="MW15" s="190"/>
      <c r="MX15" s="190"/>
      <c r="MY15" s="190"/>
      <c r="MZ15" s="190"/>
      <c r="NA15" s="190"/>
      <c r="NB15" s="190"/>
      <c r="NC15" s="191" t="s">
        <v>330</v>
      </c>
      <c r="ND15" s="191" t="s">
        <v>1544</v>
      </c>
      <c r="NE15" s="190"/>
      <c r="NF15" s="190"/>
      <c r="NG15" s="190"/>
      <c r="NH15" s="190"/>
      <c r="NI15" s="190"/>
      <c r="NJ15" s="190"/>
      <c r="NK15" s="186"/>
      <c r="NL15" s="186"/>
      <c r="NM15" s="186"/>
      <c r="NN15" s="186"/>
      <c r="NO15" s="186"/>
      <c r="NP15" s="186"/>
      <c r="NQ15" s="191" t="s">
        <v>1552</v>
      </c>
      <c r="NR15" s="186"/>
      <c r="NS15" s="186"/>
      <c r="NT15" s="186"/>
      <c r="NU15" s="186"/>
      <c r="NV15" s="191" t="s">
        <v>1556</v>
      </c>
      <c r="NW15" s="186"/>
      <c r="NX15" s="186"/>
      <c r="NY15" s="471" t="s">
        <v>98</v>
      </c>
      <c r="NZ15" s="186"/>
      <c r="OA15" s="186"/>
      <c r="OB15" s="186"/>
      <c r="OC15" s="186"/>
      <c r="OD15" s="186"/>
      <c r="OE15" s="186"/>
      <c r="OF15" s="186"/>
      <c r="OG15" s="186"/>
      <c r="OH15" s="186"/>
      <c r="OI15" s="186"/>
      <c r="OJ15" s="186"/>
      <c r="OK15" s="186"/>
      <c r="OL15" s="186"/>
      <c r="OM15" s="186" t="s">
        <v>1157</v>
      </c>
      <c r="ON15" s="186" t="s">
        <v>1007</v>
      </c>
      <c r="OO15" s="186" t="s">
        <v>1158</v>
      </c>
      <c r="OP15" s="186" t="s">
        <v>1008</v>
      </c>
      <c r="OQ15" s="186"/>
      <c r="OR15" s="186"/>
      <c r="OS15" s="186"/>
      <c r="OT15" s="186"/>
      <c r="OU15" s="186" t="s">
        <v>94</v>
      </c>
      <c r="OV15" s="186"/>
      <c r="OW15" s="186" t="s">
        <v>734</v>
      </c>
      <c r="OX15" s="186"/>
      <c r="OY15" s="186" t="s">
        <v>91</v>
      </c>
      <c r="OZ15" s="186" t="s">
        <v>742</v>
      </c>
      <c r="PA15" s="186"/>
      <c r="PB15" s="186" t="s">
        <v>743</v>
      </c>
      <c r="PC15" s="186" t="s">
        <v>92</v>
      </c>
      <c r="PD15" s="186"/>
      <c r="PE15" s="186"/>
      <c r="PF15" s="186"/>
      <c r="PG15" s="186"/>
      <c r="PH15" s="186"/>
      <c r="PI15" s="186"/>
      <c r="PJ15" s="186"/>
      <c r="PK15" s="186"/>
      <c r="PL15" s="186"/>
      <c r="PM15" s="186"/>
      <c r="PN15" s="186"/>
      <c r="PO15" s="186"/>
      <c r="PP15" s="186"/>
      <c r="PQ15" s="186"/>
      <c r="PR15" s="186"/>
      <c r="PS15" s="186"/>
      <c r="PT15" s="186"/>
      <c r="PU15" s="186"/>
      <c r="PV15" s="186"/>
      <c r="PW15" s="186"/>
      <c r="PX15" s="186"/>
      <c r="PY15" s="186"/>
      <c r="PZ15" s="186"/>
      <c r="QA15" s="186"/>
      <c r="QB15" s="186"/>
      <c r="QC15" s="186"/>
      <c r="QD15" s="186"/>
      <c r="QE15" s="186"/>
      <c r="QF15" s="186"/>
      <c r="QG15" s="186"/>
      <c r="QH15" s="186"/>
      <c r="QI15" s="186"/>
      <c r="QJ15" s="186"/>
      <c r="QK15" s="186"/>
      <c r="QL15" s="186"/>
      <c r="QM15" s="186"/>
      <c r="QN15" s="186"/>
      <c r="QO15" s="186"/>
      <c r="QP15" s="186"/>
      <c r="QQ15" s="186"/>
      <c r="QR15" s="186"/>
      <c r="QS15" s="186"/>
      <c r="QT15" s="186"/>
      <c r="QU15" s="186"/>
      <c r="QV15" s="186"/>
      <c r="QW15" s="186"/>
      <c r="QX15" s="186"/>
      <c r="QY15" s="186"/>
      <c r="QZ15" s="186"/>
      <c r="RA15" s="186"/>
      <c r="RB15" s="186"/>
      <c r="RC15" s="186" t="s">
        <v>1570</v>
      </c>
      <c r="RD15" s="186"/>
      <c r="RE15" s="186"/>
      <c r="RF15" s="186"/>
      <c r="RG15" s="186"/>
      <c r="RH15" s="186"/>
      <c r="RI15" s="186"/>
      <c r="RJ15" s="186"/>
      <c r="RK15" s="186"/>
      <c r="RL15" s="186"/>
      <c r="RM15" s="186"/>
      <c r="RN15" s="186"/>
      <c r="RO15" s="186"/>
      <c r="RP15" s="186"/>
      <c r="RQ15" s="186"/>
      <c r="RR15" s="186"/>
      <c r="RS15" s="186" t="s">
        <v>82</v>
      </c>
      <c r="RT15" s="186"/>
      <c r="RU15" s="186"/>
      <c r="RV15" s="186"/>
      <c r="RW15" s="186"/>
      <c r="RX15" s="186"/>
      <c r="RY15" s="186"/>
      <c r="RZ15" s="186"/>
      <c r="SA15" s="186"/>
      <c r="SB15" s="186" t="s">
        <v>456</v>
      </c>
      <c r="SC15" s="186"/>
      <c r="SD15" s="186"/>
      <c r="SE15" s="186"/>
      <c r="SF15" s="186"/>
      <c r="SG15" s="186"/>
      <c r="SH15" s="186"/>
      <c r="SI15" s="186"/>
      <c r="SJ15" s="186"/>
      <c r="SK15" s="186"/>
      <c r="SL15" s="186"/>
      <c r="SM15" s="186"/>
      <c r="SN15" s="186"/>
      <c r="SO15" s="186"/>
      <c r="SP15" s="186"/>
      <c r="SQ15" s="186"/>
      <c r="SR15" s="186"/>
      <c r="SS15" s="186"/>
      <c r="ST15" s="186"/>
      <c r="SU15" s="186"/>
      <c r="SV15" s="186"/>
      <c r="SW15" s="186"/>
      <c r="SX15" s="186"/>
      <c r="SY15" s="186"/>
      <c r="SZ15" s="186"/>
      <c r="TA15" s="186"/>
      <c r="TB15" s="186"/>
      <c r="TC15" s="186"/>
      <c r="TD15" s="186"/>
      <c r="TE15" s="186"/>
      <c r="TF15" s="186"/>
      <c r="TG15" s="186"/>
      <c r="TH15" s="186"/>
      <c r="TI15" s="186"/>
      <c r="TJ15" s="186" t="s">
        <v>1262</v>
      </c>
      <c r="TK15" s="472" t="s">
        <v>1074</v>
      </c>
      <c r="TL15" s="472"/>
      <c r="TM15" s="472"/>
      <c r="TN15" s="472"/>
      <c r="TO15" s="472"/>
      <c r="TP15" s="472" t="s">
        <v>335</v>
      </c>
      <c r="TQ15" s="186"/>
      <c r="TR15" s="186" t="s">
        <v>545</v>
      </c>
      <c r="TS15" s="186" t="s">
        <v>546</v>
      </c>
      <c r="TT15" s="186" t="s">
        <v>547</v>
      </c>
      <c r="TU15" s="186" t="s">
        <v>548</v>
      </c>
      <c r="TV15" s="186" t="s">
        <v>549</v>
      </c>
      <c r="TW15" s="186"/>
      <c r="TX15" s="186"/>
      <c r="TY15" s="186"/>
      <c r="TZ15" s="186"/>
      <c r="UA15" s="186"/>
      <c r="UB15" s="186"/>
      <c r="UC15" s="186"/>
      <c r="UD15" s="186"/>
      <c r="UE15" s="186"/>
      <c r="UF15" s="186" t="s">
        <v>615</v>
      </c>
      <c r="UG15" s="186"/>
      <c r="UH15" s="186"/>
      <c r="UI15" s="186"/>
      <c r="UJ15" s="186"/>
      <c r="UK15" s="186"/>
      <c r="UL15" s="186"/>
      <c r="UM15" s="186"/>
      <c r="UN15" s="186" t="s">
        <v>575</v>
      </c>
      <c r="UO15" s="186"/>
      <c r="UP15" s="186"/>
      <c r="UQ15" s="186"/>
      <c r="UR15" s="186"/>
      <c r="US15" s="186"/>
      <c r="UT15" s="186"/>
      <c r="UU15" s="186"/>
      <c r="UV15" s="186"/>
      <c r="UW15" s="186"/>
      <c r="UX15" s="186"/>
      <c r="UY15" s="186"/>
      <c r="UZ15" s="187"/>
      <c r="VA15" s="186"/>
      <c r="VB15" s="186"/>
      <c r="VC15" s="186"/>
      <c r="VD15" s="186"/>
      <c r="VE15" s="186"/>
      <c r="VF15" s="186" t="s">
        <v>145</v>
      </c>
      <c r="VG15" s="186"/>
      <c r="VH15" s="186"/>
      <c r="VI15" s="186"/>
      <c r="VJ15" s="186"/>
      <c r="VK15" s="186"/>
      <c r="VL15" s="186"/>
      <c r="VM15" s="186"/>
      <c r="VN15" s="189"/>
      <c r="VO15" s="189"/>
      <c r="VP15" s="189"/>
      <c r="VQ15" s="189"/>
      <c r="VR15" s="189"/>
      <c r="VS15" s="189"/>
      <c r="VT15" s="189"/>
      <c r="VU15" s="189"/>
      <c r="VV15" s="189"/>
      <c r="VW15" s="189"/>
      <c r="VX15" s="186"/>
      <c r="VY15" s="186"/>
      <c r="VZ15" s="186"/>
      <c r="WA15" s="186"/>
      <c r="WB15" s="186"/>
      <c r="WC15" s="186"/>
      <c r="WD15" s="186"/>
      <c r="WE15" s="186"/>
      <c r="WF15" s="186"/>
      <c r="WG15" s="186"/>
      <c r="WH15" s="186"/>
      <c r="WI15" s="186"/>
      <c r="WJ15" s="186"/>
      <c r="WK15" s="186"/>
      <c r="WL15" s="186"/>
      <c r="WM15" s="186"/>
      <c r="WN15" s="186"/>
      <c r="WO15" s="186"/>
      <c r="WP15" s="186"/>
      <c r="WQ15" s="186"/>
      <c r="WR15" s="186"/>
      <c r="WS15" s="186"/>
      <c r="WT15" s="186"/>
      <c r="WU15" s="186"/>
      <c r="WV15" s="186"/>
      <c r="WW15" s="186"/>
      <c r="WX15" s="186"/>
      <c r="WY15" s="186" t="s">
        <v>123</v>
      </c>
      <c r="WZ15" s="186" t="s">
        <v>124</v>
      </c>
      <c r="XA15" s="186"/>
      <c r="XB15" s="186"/>
      <c r="XC15" s="186"/>
      <c r="XD15" s="186"/>
      <c r="XE15" s="186"/>
      <c r="XF15" s="186"/>
      <c r="XG15" s="186"/>
      <c r="XH15" s="186"/>
      <c r="XI15" s="186"/>
      <c r="XJ15" s="186"/>
      <c r="XK15" s="192"/>
      <c r="XL15" s="193"/>
      <c r="XM15" s="192"/>
      <c r="XN15" s="194"/>
      <c r="XO15" s="193"/>
      <c r="XP15" s="193"/>
      <c r="XQ15" s="193"/>
      <c r="XR15" s="193"/>
      <c r="XS15" s="193"/>
      <c r="XT15" s="186"/>
      <c r="XU15" s="186"/>
      <c r="XV15" s="186"/>
      <c r="XW15" s="186"/>
      <c r="XX15" s="186"/>
      <c r="XY15" s="186"/>
      <c r="XZ15" s="186"/>
      <c r="YA15" s="186"/>
      <c r="YB15" s="186"/>
      <c r="YC15" s="186"/>
      <c r="YD15" s="186"/>
      <c r="YE15" s="186"/>
      <c r="YF15" s="186"/>
      <c r="YG15" s="186"/>
      <c r="YH15" s="186"/>
      <c r="YI15" s="186"/>
      <c r="YJ15" s="186"/>
      <c r="YK15" s="186"/>
      <c r="YL15" s="186"/>
      <c r="YM15" s="186"/>
      <c r="YN15" s="186"/>
      <c r="YO15" s="186"/>
      <c r="YP15" s="186"/>
      <c r="YQ15" s="186"/>
      <c r="YR15" s="186"/>
      <c r="YS15" s="186"/>
      <c r="YT15" s="186"/>
      <c r="YU15" s="186"/>
      <c r="YV15" s="186"/>
      <c r="YW15" s="186"/>
      <c r="YX15" s="186"/>
      <c r="YY15" s="186"/>
      <c r="YZ15" s="186"/>
      <c r="ZA15" s="186"/>
      <c r="ZB15" s="186"/>
      <c r="ZC15" s="186" t="s">
        <v>204</v>
      </c>
      <c r="ZD15" s="186" t="s">
        <v>205</v>
      </c>
      <c r="ZE15" s="186" t="s">
        <v>802</v>
      </c>
      <c r="ZF15" s="186" t="s">
        <v>801</v>
      </c>
      <c r="ZG15" s="186" t="s">
        <v>1100</v>
      </c>
      <c r="ZH15" s="186"/>
      <c r="ZI15" s="186" t="s">
        <v>800</v>
      </c>
      <c r="ZJ15" s="186" t="s">
        <v>1101</v>
      </c>
      <c r="ZK15" s="186" t="s">
        <v>1102</v>
      </c>
      <c r="ZL15" s="186" t="s">
        <v>1103</v>
      </c>
      <c r="ZM15" s="186" t="s">
        <v>1104</v>
      </c>
      <c r="ZN15" s="186" t="s">
        <v>1105</v>
      </c>
      <c r="ZO15" s="186" t="s">
        <v>1106</v>
      </c>
      <c r="ZP15" s="186" t="s">
        <v>1107</v>
      </c>
      <c r="ZQ15" s="186" t="s">
        <v>803</v>
      </c>
      <c r="ZR15" s="186" t="s">
        <v>804</v>
      </c>
      <c r="ZS15" s="186" t="s">
        <v>805</v>
      </c>
      <c r="ZT15" s="186" t="s">
        <v>806</v>
      </c>
      <c r="ZU15" s="186"/>
      <c r="ZV15" s="186" t="s">
        <v>807</v>
      </c>
      <c r="ZW15" s="186"/>
      <c r="ZX15" s="186"/>
      <c r="ZY15" s="186"/>
      <c r="ZZ15" s="188"/>
      <c r="AAA15" s="186"/>
      <c r="AAB15" s="186"/>
      <c r="AAC15" s="186"/>
      <c r="AAD15" s="186"/>
    </row>
    <row r="16" spans="1:706" s="94" customFormat="1" x14ac:dyDescent="0.2">
      <c r="A16" s="113" t="s">
        <v>1594</v>
      </c>
      <c r="B16" s="49" t="s">
        <v>13</v>
      </c>
      <c r="C16" s="49" t="s">
        <v>13</v>
      </c>
      <c r="D16" s="49" t="s">
        <v>13</v>
      </c>
      <c r="E16" s="49" t="s">
        <v>13</v>
      </c>
      <c r="F16" s="49" t="s">
        <v>59</v>
      </c>
      <c r="G16" s="49" t="s">
        <v>31</v>
      </c>
      <c r="H16" s="49" t="s">
        <v>13</v>
      </c>
      <c r="I16" s="49" t="s">
        <v>13</v>
      </c>
      <c r="J16" s="49" t="s">
        <v>13</v>
      </c>
      <c r="K16" s="49" t="s">
        <v>13</v>
      </c>
      <c r="L16" s="49" t="s">
        <v>59</v>
      </c>
      <c r="M16" s="49" t="s">
        <v>13</v>
      </c>
      <c r="N16" s="49" t="s">
        <v>13</v>
      </c>
      <c r="O16" s="49" t="s">
        <v>13</v>
      </c>
      <c r="P16" s="49" t="s">
        <v>13</v>
      </c>
      <c r="Q16" s="49" t="s">
        <v>13</v>
      </c>
      <c r="R16" s="49" t="s">
        <v>13</v>
      </c>
      <c r="S16" s="49" t="s">
        <v>13</v>
      </c>
      <c r="T16" s="49" t="s">
        <v>13</v>
      </c>
      <c r="U16" s="49" t="s">
        <v>13</v>
      </c>
      <c r="V16" s="49" t="s">
        <v>13</v>
      </c>
      <c r="W16" s="49" t="s">
        <v>13</v>
      </c>
      <c r="X16" s="49" t="s">
        <v>13</v>
      </c>
      <c r="Y16" s="49" t="s">
        <v>13</v>
      </c>
      <c r="Z16" s="49" t="s">
        <v>13</v>
      </c>
      <c r="AA16" s="49" t="s">
        <v>13</v>
      </c>
      <c r="AB16" s="49" t="s">
        <v>13</v>
      </c>
      <c r="AC16" s="49" t="s">
        <v>13</v>
      </c>
      <c r="AD16" s="49" t="s">
        <v>13</v>
      </c>
      <c r="AE16" s="49" t="s">
        <v>13</v>
      </c>
      <c r="AF16" s="49" t="s">
        <v>13</v>
      </c>
      <c r="AG16" s="49" t="s">
        <v>13</v>
      </c>
      <c r="AH16" s="49" t="s">
        <v>13</v>
      </c>
      <c r="AI16" s="49" t="s">
        <v>13</v>
      </c>
      <c r="AJ16" s="49" t="s">
        <v>13</v>
      </c>
      <c r="AK16" s="49" t="s">
        <v>13</v>
      </c>
      <c r="AL16" s="49" t="s">
        <v>13</v>
      </c>
      <c r="AM16" s="49" t="s">
        <v>59</v>
      </c>
      <c r="AN16" s="49" t="s">
        <v>13</v>
      </c>
      <c r="AO16" s="49" t="s">
        <v>13</v>
      </c>
      <c r="AP16" s="49" t="s">
        <v>13</v>
      </c>
      <c r="AQ16" s="49" t="s">
        <v>13</v>
      </c>
      <c r="AR16" s="49" t="s">
        <v>13</v>
      </c>
      <c r="AS16" s="49" t="s">
        <v>13</v>
      </c>
      <c r="AT16" s="49" t="s">
        <v>13</v>
      </c>
      <c r="AU16" s="49" t="s">
        <v>13</v>
      </c>
      <c r="AV16" s="49" t="s">
        <v>13</v>
      </c>
      <c r="AW16" s="49" t="s">
        <v>13</v>
      </c>
      <c r="AX16" s="49" t="s">
        <v>13</v>
      </c>
      <c r="AY16" s="49" t="s">
        <v>13</v>
      </c>
      <c r="AZ16" s="49" t="s">
        <v>13</v>
      </c>
      <c r="BA16" s="49" t="s">
        <v>13</v>
      </c>
      <c r="BB16" s="49" t="s">
        <v>13</v>
      </c>
      <c r="BC16" s="49" t="s">
        <v>59</v>
      </c>
      <c r="BD16" s="49" t="s">
        <v>13</v>
      </c>
      <c r="BE16" s="49" t="s">
        <v>13</v>
      </c>
      <c r="BF16" s="49" t="s">
        <v>13</v>
      </c>
      <c r="BG16" s="49" t="s">
        <v>13</v>
      </c>
      <c r="BH16" s="49" t="s">
        <v>13</v>
      </c>
      <c r="BI16" s="49" t="s">
        <v>13</v>
      </c>
      <c r="BJ16" s="49" t="s">
        <v>13</v>
      </c>
      <c r="BK16" s="49" t="s">
        <v>13</v>
      </c>
      <c r="BL16" s="49" t="s">
        <v>13</v>
      </c>
      <c r="BM16" s="49" t="s">
        <v>13</v>
      </c>
      <c r="BN16" s="49" t="s">
        <v>13</v>
      </c>
      <c r="BO16" s="49" t="s">
        <v>13</v>
      </c>
      <c r="BP16" s="49" t="s">
        <v>13</v>
      </c>
      <c r="BQ16" s="49" t="s">
        <v>13</v>
      </c>
      <c r="BR16" s="49" t="s">
        <v>13</v>
      </c>
      <c r="BS16" s="49" t="s">
        <v>13</v>
      </c>
      <c r="BT16" s="49" t="s">
        <v>13</v>
      </c>
      <c r="BU16" s="49"/>
      <c r="BV16" s="49"/>
      <c r="BW16" s="49"/>
      <c r="BX16" s="49"/>
      <c r="BY16" s="49"/>
      <c r="BZ16" s="49"/>
      <c r="CA16" s="49"/>
      <c r="CB16" s="49"/>
      <c r="CC16" s="49"/>
      <c r="CD16" s="49"/>
      <c r="CE16" s="49"/>
      <c r="CF16" s="49"/>
      <c r="CG16" s="49"/>
      <c r="CH16" s="49"/>
      <c r="CI16" s="49" t="s">
        <v>13</v>
      </c>
      <c r="CJ16" s="49" t="s">
        <v>13</v>
      </c>
      <c r="CK16" s="49" t="s">
        <v>13</v>
      </c>
      <c r="CL16" s="49" t="s">
        <v>13</v>
      </c>
      <c r="CM16" s="49" t="s">
        <v>59</v>
      </c>
      <c r="CN16" s="49" t="s">
        <v>59</v>
      </c>
      <c r="CO16" s="49" t="s">
        <v>59</v>
      </c>
      <c r="CP16" s="49" t="s">
        <v>13</v>
      </c>
      <c r="CQ16" s="49" t="s">
        <v>13</v>
      </c>
      <c r="CR16" s="49" t="s">
        <v>13</v>
      </c>
      <c r="CS16" s="49" t="s">
        <v>13</v>
      </c>
      <c r="CT16" s="49" t="s">
        <v>13</v>
      </c>
      <c r="CU16" s="49" t="s">
        <v>13</v>
      </c>
      <c r="CV16" s="49" t="s">
        <v>13</v>
      </c>
      <c r="CW16" s="49" t="s">
        <v>13</v>
      </c>
      <c r="CX16" s="49" t="s">
        <v>13</v>
      </c>
      <c r="CY16" s="49" t="s">
        <v>13</v>
      </c>
      <c r="CZ16" s="49" t="s">
        <v>13</v>
      </c>
      <c r="DA16" s="49" t="s">
        <v>59</v>
      </c>
      <c r="DB16" s="49" t="s">
        <v>59</v>
      </c>
      <c r="DC16" s="49" t="s">
        <v>59</v>
      </c>
      <c r="DD16" s="49" t="s">
        <v>59</v>
      </c>
      <c r="DE16" s="49" t="s">
        <v>59</v>
      </c>
      <c r="DF16" s="49" t="s">
        <v>13</v>
      </c>
      <c r="DG16" s="49" t="s">
        <v>13</v>
      </c>
      <c r="DH16" s="49" t="s">
        <v>13</v>
      </c>
      <c r="DI16" s="49" t="s">
        <v>59</v>
      </c>
      <c r="DJ16" s="49" t="s">
        <v>13</v>
      </c>
      <c r="DK16" s="49" t="s">
        <v>13</v>
      </c>
      <c r="DL16" s="49" t="s">
        <v>13</v>
      </c>
      <c r="DM16" s="49"/>
      <c r="DN16" s="49" t="s">
        <v>13</v>
      </c>
      <c r="DO16" s="49" t="s">
        <v>13</v>
      </c>
      <c r="DP16" s="49" t="s">
        <v>13</v>
      </c>
      <c r="DQ16" s="49" t="s">
        <v>13</v>
      </c>
      <c r="DR16" s="49" t="s">
        <v>59</v>
      </c>
      <c r="DS16" s="49" t="s">
        <v>13</v>
      </c>
      <c r="DT16" s="49" t="s">
        <v>13</v>
      </c>
      <c r="DU16" s="49" t="s">
        <v>13</v>
      </c>
      <c r="DV16" s="49" t="s">
        <v>13</v>
      </c>
      <c r="DW16" s="49" t="s">
        <v>13</v>
      </c>
      <c r="DX16" s="49" t="s">
        <v>13</v>
      </c>
      <c r="DY16" s="49" t="s">
        <v>13</v>
      </c>
      <c r="DZ16" s="49" t="s">
        <v>20</v>
      </c>
      <c r="EA16" s="122"/>
      <c r="EB16" s="122"/>
      <c r="EC16" s="122"/>
      <c r="ED16" s="122"/>
      <c r="EE16" s="122" t="s">
        <v>13</v>
      </c>
      <c r="EF16" s="49" t="s">
        <v>13</v>
      </c>
      <c r="EG16" s="49" t="s">
        <v>13</v>
      </c>
      <c r="EH16" s="49" t="s">
        <v>13</v>
      </c>
      <c r="EI16" s="49" t="s">
        <v>13</v>
      </c>
      <c r="EJ16" s="49" t="s">
        <v>59</v>
      </c>
      <c r="EK16" s="49" t="s">
        <v>59</v>
      </c>
      <c r="EL16" s="49" t="s">
        <v>59</v>
      </c>
      <c r="EM16" s="49" t="s">
        <v>13</v>
      </c>
      <c r="EN16" s="49" t="s">
        <v>13</v>
      </c>
      <c r="EO16" s="49" t="s">
        <v>13</v>
      </c>
      <c r="EP16" s="49" t="s">
        <v>13</v>
      </c>
      <c r="EQ16" s="49" t="s">
        <v>13</v>
      </c>
      <c r="ER16" s="49" t="s">
        <v>13</v>
      </c>
      <c r="ES16" s="49" t="s">
        <v>13</v>
      </c>
      <c r="ET16" s="93" t="s">
        <v>59</v>
      </c>
      <c r="EU16" s="93" t="s">
        <v>59</v>
      </c>
      <c r="EV16" s="93" t="s">
        <v>59</v>
      </c>
      <c r="EW16" s="49" t="s">
        <v>59</v>
      </c>
      <c r="EX16" s="49" t="s">
        <v>59</v>
      </c>
      <c r="EY16" s="49" t="s">
        <v>59</v>
      </c>
      <c r="EZ16" s="49" t="s">
        <v>59</v>
      </c>
      <c r="FA16" s="49" t="s">
        <v>59</v>
      </c>
      <c r="FB16" s="49" t="s">
        <v>59</v>
      </c>
      <c r="FC16" s="49" t="s">
        <v>59</v>
      </c>
      <c r="FD16" s="49" t="s">
        <v>59</v>
      </c>
      <c r="FE16" s="49" t="s">
        <v>59</v>
      </c>
      <c r="FF16" s="49" t="s">
        <v>13</v>
      </c>
      <c r="FG16" s="49" t="s">
        <v>13</v>
      </c>
      <c r="FH16" s="49" t="s">
        <v>13</v>
      </c>
      <c r="FI16" s="49" t="s">
        <v>13</v>
      </c>
      <c r="FJ16" s="49" t="s">
        <v>13</v>
      </c>
      <c r="FK16" s="49" t="s">
        <v>13</v>
      </c>
      <c r="FL16" s="49" t="s">
        <v>59</v>
      </c>
      <c r="FM16" s="49" t="s">
        <v>13</v>
      </c>
      <c r="FN16" s="49" t="s">
        <v>13</v>
      </c>
      <c r="FO16" s="93"/>
      <c r="FP16" s="93"/>
      <c r="FQ16" s="93" t="s">
        <v>13</v>
      </c>
      <c r="FR16" s="93" t="s">
        <v>13</v>
      </c>
      <c r="FS16" s="49" t="s">
        <v>20</v>
      </c>
      <c r="FT16" s="49" t="s">
        <v>59</v>
      </c>
      <c r="FU16" s="49" t="s">
        <v>20</v>
      </c>
      <c r="FV16" s="49" t="s">
        <v>20</v>
      </c>
      <c r="FW16" s="49"/>
      <c r="FX16" s="49"/>
      <c r="FY16" s="49"/>
      <c r="FZ16" s="49"/>
      <c r="GA16" s="49" t="s">
        <v>13</v>
      </c>
      <c r="GB16" s="49"/>
      <c r="GC16" s="49" t="s">
        <v>20</v>
      </c>
      <c r="GD16" s="49" t="s">
        <v>59</v>
      </c>
      <c r="GE16" s="49" t="s">
        <v>59</v>
      </c>
      <c r="GF16" s="49" t="s">
        <v>59</v>
      </c>
      <c r="GG16" s="49" t="s">
        <v>13</v>
      </c>
      <c r="GH16" s="49" t="s">
        <v>59</v>
      </c>
      <c r="GI16" s="49" t="s">
        <v>59</v>
      </c>
      <c r="GJ16" s="49" t="s">
        <v>59</v>
      </c>
      <c r="GK16" s="49" t="s">
        <v>59</v>
      </c>
      <c r="GL16" s="49" t="s">
        <v>59</v>
      </c>
      <c r="GM16" s="49" t="s">
        <v>20</v>
      </c>
      <c r="GN16" s="49"/>
      <c r="GO16" s="49" t="s">
        <v>59</v>
      </c>
      <c r="GP16" s="49" t="s">
        <v>59</v>
      </c>
      <c r="GQ16" s="49"/>
      <c r="GR16" s="49" t="s">
        <v>20</v>
      </c>
      <c r="GS16" s="49"/>
      <c r="GT16" s="49" t="s">
        <v>59</v>
      </c>
      <c r="GU16" s="49" t="s">
        <v>13</v>
      </c>
      <c r="GV16" s="49" t="s">
        <v>20</v>
      </c>
      <c r="GW16" s="49" t="s">
        <v>20</v>
      </c>
      <c r="GX16" s="49" t="s">
        <v>20</v>
      </c>
      <c r="GY16" s="49"/>
      <c r="GZ16" s="49"/>
      <c r="HA16" s="49"/>
      <c r="HB16" s="49"/>
      <c r="HC16" s="49"/>
      <c r="HD16" s="49" t="s">
        <v>13</v>
      </c>
      <c r="HE16" s="49" t="s">
        <v>20</v>
      </c>
      <c r="HF16" s="49"/>
      <c r="HG16" s="49" t="s">
        <v>59</v>
      </c>
      <c r="HH16" s="49" t="s">
        <v>59</v>
      </c>
      <c r="HI16" s="49"/>
      <c r="HJ16" s="49" t="s">
        <v>59</v>
      </c>
      <c r="HK16" s="49" t="s">
        <v>20</v>
      </c>
      <c r="HL16" s="49"/>
      <c r="HM16" s="49"/>
      <c r="HN16" s="49" t="s">
        <v>20</v>
      </c>
      <c r="HO16" s="49"/>
      <c r="HP16" s="49" t="s">
        <v>20</v>
      </c>
      <c r="HQ16" s="49" t="s">
        <v>59</v>
      </c>
      <c r="HR16" s="49" t="s">
        <v>20</v>
      </c>
      <c r="HS16" s="49" t="s">
        <v>20</v>
      </c>
      <c r="HT16" s="49" t="s">
        <v>20</v>
      </c>
      <c r="HU16" s="49" t="s">
        <v>20</v>
      </c>
      <c r="HV16" s="49" t="s">
        <v>20</v>
      </c>
      <c r="HW16" s="49" t="s">
        <v>20</v>
      </c>
      <c r="HX16" s="49" t="s">
        <v>20</v>
      </c>
      <c r="HY16" s="49" t="s">
        <v>20</v>
      </c>
      <c r="HZ16" s="49" t="s">
        <v>59</v>
      </c>
      <c r="IA16" s="49" t="s">
        <v>20</v>
      </c>
      <c r="IB16" s="93" t="s">
        <v>13</v>
      </c>
      <c r="IC16" s="93" t="s">
        <v>13</v>
      </c>
      <c r="ID16" s="93" t="s">
        <v>13</v>
      </c>
      <c r="IE16" s="93"/>
      <c r="IF16" s="93" t="s">
        <v>13</v>
      </c>
      <c r="IG16" s="93" t="s">
        <v>13</v>
      </c>
      <c r="IH16" s="49" t="s">
        <v>20</v>
      </c>
      <c r="II16" s="49" t="s">
        <v>59</v>
      </c>
      <c r="IJ16" s="49" t="s">
        <v>59</v>
      </c>
      <c r="IK16" s="49" t="s">
        <v>13</v>
      </c>
      <c r="IL16" s="49" t="s">
        <v>13</v>
      </c>
      <c r="IM16" s="49"/>
      <c r="IN16" s="49"/>
      <c r="IO16" s="49" t="s">
        <v>13</v>
      </c>
      <c r="IP16" s="49"/>
      <c r="IQ16" s="49" t="s">
        <v>20</v>
      </c>
      <c r="IR16" s="49" t="s">
        <v>59</v>
      </c>
      <c r="IS16" s="49" t="s">
        <v>59</v>
      </c>
      <c r="IT16" s="49" t="s">
        <v>59</v>
      </c>
      <c r="IU16" s="49" t="s">
        <v>59</v>
      </c>
      <c r="IV16" s="49" t="s">
        <v>59</v>
      </c>
      <c r="IW16" s="123" t="s">
        <v>59</v>
      </c>
      <c r="IX16" s="49" t="s">
        <v>59</v>
      </c>
      <c r="IY16" s="123" t="s">
        <v>59</v>
      </c>
      <c r="IZ16" s="49" t="s">
        <v>59</v>
      </c>
      <c r="JA16" s="123" t="s">
        <v>59</v>
      </c>
      <c r="JB16" s="49" t="s">
        <v>59</v>
      </c>
      <c r="JC16" s="94" t="s">
        <v>59</v>
      </c>
      <c r="JD16" s="49" t="s">
        <v>59</v>
      </c>
      <c r="JE16" s="122" t="s">
        <v>59</v>
      </c>
      <c r="JF16" s="123" t="s">
        <v>59</v>
      </c>
      <c r="JG16" s="123" t="s">
        <v>59</v>
      </c>
      <c r="JH16" s="123" t="s">
        <v>59</v>
      </c>
      <c r="JI16" s="123" t="s">
        <v>59</v>
      </c>
      <c r="JJ16" s="123" t="s">
        <v>59</v>
      </c>
      <c r="JK16" s="123" t="s">
        <v>59</v>
      </c>
      <c r="JL16" s="123" t="s">
        <v>59</v>
      </c>
      <c r="JM16" s="123" t="s">
        <v>59</v>
      </c>
      <c r="JN16" s="123" t="s">
        <v>59</v>
      </c>
      <c r="JO16" s="123" t="s">
        <v>20</v>
      </c>
      <c r="JP16" s="123" t="s">
        <v>20</v>
      </c>
      <c r="JQ16" s="49" t="s">
        <v>59</v>
      </c>
      <c r="JR16" s="49" t="s">
        <v>59</v>
      </c>
      <c r="JS16" s="49" t="s">
        <v>59</v>
      </c>
      <c r="JT16" s="123" t="s">
        <v>59</v>
      </c>
      <c r="JU16" s="123" t="s">
        <v>20</v>
      </c>
      <c r="JV16" s="123" t="s">
        <v>59</v>
      </c>
      <c r="JW16" s="123" t="s">
        <v>59</v>
      </c>
      <c r="JX16" s="123"/>
      <c r="JY16" s="123" t="s">
        <v>59</v>
      </c>
      <c r="JZ16" s="49" t="s">
        <v>59</v>
      </c>
      <c r="KA16" s="49" t="s">
        <v>59</v>
      </c>
      <c r="KB16" s="49" t="s">
        <v>59</v>
      </c>
      <c r="KC16" s="49" t="s">
        <v>59</v>
      </c>
      <c r="KD16" s="123" t="s">
        <v>59</v>
      </c>
      <c r="KE16" s="123" t="s">
        <v>59</v>
      </c>
      <c r="KF16" s="465" t="s">
        <v>59</v>
      </c>
      <c r="KG16" s="465" t="s">
        <v>59</v>
      </c>
      <c r="KH16" s="123" t="s">
        <v>59</v>
      </c>
      <c r="KI16" s="123" t="s">
        <v>59</v>
      </c>
      <c r="KJ16" s="123" t="s">
        <v>59</v>
      </c>
      <c r="KK16" s="123" t="s">
        <v>59</v>
      </c>
      <c r="KL16" s="123" t="s">
        <v>59</v>
      </c>
      <c r="KM16" s="123" t="s">
        <v>59</v>
      </c>
      <c r="KN16" s="123" t="s">
        <v>59</v>
      </c>
      <c r="KO16" s="123" t="s">
        <v>59</v>
      </c>
      <c r="KP16" s="123" t="s">
        <v>59</v>
      </c>
      <c r="KQ16" s="123" t="s">
        <v>59</v>
      </c>
      <c r="KR16" s="123" t="s">
        <v>59</v>
      </c>
      <c r="KS16" s="123" t="s">
        <v>20</v>
      </c>
      <c r="KT16" s="123" t="s">
        <v>20</v>
      </c>
      <c r="KU16" s="123" t="s">
        <v>20</v>
      </c>
      <c r="KV16" s="123" t="s">
        <v>20</v>
      </c>
      <c r="KW16" s="123" t="s">
        <v>20</v>
      </c>
      <c r="KX16" s="123" t="s">
        <v>20</v>
      </c>
      <c r="KY16" s="123" t="s">
        <v>20</v>
      </c>
      <c r="KZ16" s="123" t="s">
        <v>20</v>
      </c>
      <c r="LA16" s="123" t="s">
        <v>20</v>
      </c>
      <c r="LB16" s="123" t="s">
        <v>20</v>
      </c>
      <c r="LC16" s="123" t="s">
        <v>20</v>
      </c>
      <c r="LD16" s="123" t="s">
        <v>20</v>
      </c>
      <c r="LE16" s="123" t="s">
        <v>59</v>
      </c>
      <c r="LF16" s="123" t="s">
        <v>20</v>
      </c>
      <c r="LG16" s="123" t="s">
        <v>59</v>
      </c>
      <c r="LH16" s="123" t="s">
        <v>59</v>
      </c>
      <c r="LI16" s="123" t="s">
        <v>59</v>
      </c>
      <c r="LJ16" s="123" t="s">
        <v>20</v>
      </c>
      <c r="LK16" s="123" t="s">
        <v>59</v>
      </c>
      <c r="LL16" s="123" t="s">
        <v>20</v>
      </c>
      <c r="LM16" s="123" t="s">
        <v>59</v>
      </c>
      <c r="LN16" s="123" t="s">
        <v>59</v>
      </c>
      <c r="LO16" s="123" t="s">
        <v>20</v>
      </c>
      <c r="LP16" s="123" t="s">
        <v>59</v>
      </c>
      <c r="LQ16" s="123" t="s">
        <v>59</v>
      </c>
      <c r="LR16" s="465" t="s">
        <v>59</v>
      </c>
      <c r="LS16" s="465" t="s">
        <v>59</v>
      </c>
      <c r="LT16" s="49"/>
      <c r="LU16" s="49"/>
      <c r="LV16" s="49"/>
      <c r="LW16" s="49"/>
      <c r="LX16" s="49"/>
      <c r="LY16" s="49"/>
      <c r="LZ16" s="49"/>
      <c r="MA16" s="49"/>
      <c r="MB16" s="49"/>
      <c r="MC16" s="49"/>
      <c r="MD16" s="49"/>
      <c r="ME16" s="49"/>
      <c r="MF16" s="49" t="s">
        <v>59</v>
      </c>
      <c r="MG16" s="49"/>
      <c r="MH16" s="49" t="s">
        <v>59</v>
      </c>
      <c r="MI16" s="49"/>
      <c r="MJ16" s="49"/>
      <c r="MK16" s="49"/>
      <c r="ML16" s="49"/>
      <c r="MM16" s="49"/>
      <c r="MN16" s="49"/>
      <c r="MO16" s="49"/>
      <c r="MP16" s="49" t="s">
        <v>59</v>
      </c>
      <c r="MQ16" s="49"/>
      <c r="MR16" s="49"/>
      <c r="MS16" s="49"/>
      <c r="MT16" s="49"/>
      <c r="MU16" s="49"/>
      <c r="MV16" s="49"/>
      <c r="MW16" s="49"/>
      <c r="MX16" s="49"/>
      <c r="MY16" s="49"/>
      <c r="MZ16" s="49"/>
      <c r="NA16" s="49"/>
      <c r="NB16" s="49"/>
      <c r="NC16" s="101"/>
      <c r="ND16" s="101"/>
      <c r="NE16" s="101"/>
      <c r="NF16" s="101"/>
      <c r="NG16" s="101"/>
      <c r="NH16" s="101"/>
      <c r="NI16" s="101"/>
      <c r="NJ16" s="101"/>
      <c r="NK16" s="49"/>
      <c r="NL16" s="49"/>
      <c r="NM16" s="49"/>
      <c r="NN16" s="49"/>
      <c r="NO16" s="49"/>
      <c r="NP16" s="101"/>
      <c r="NQ16" s="49"/>
      <c r="NR16" s="101"/>
      <c r="NS16" s="101"/>
      <c r="NT16" s="49"/>
      <c r="NU16" s="101"/>
      <c r="NV16" s="101"/>
      <c r="NW16" s="101"/>
      <c r="NX16" s="101"/>
      <c r="NY16" s="49"/>
      <c r="NZ16" s="49"/>
      <c r="OA16" s="49"/>
      <c r="OB16" s="49" t="s">
        <v>59</v>
      </c>
      <c r="OC16" s="49" t="s">
        <v>59</v>
      </c>
      <c r="OD16" s="49" t="s">
        <v>59</v>
      </c>
      <c r="OE16" s="49" t="s">
        <v>59</v>
      </c>
      <c r="OF16" s="49" t="s">
        <v>59</v>
      </c>
      <c r="OG16" s="49" t="s">
        <v>59</v>
      </c>
      <c r="OH16" s="49" t="s">
        <v>59</v>
      </c>
      <c r="OI16" s="49" t="s">
        <v>59</v>
      </c>
      <c r="OJ16" s="49" t="s">
        <v>59</v>
      </c>
      <c r="OK16" s="49" t="s">
        <v>59</v>
      </c>
      <c r="OL16" s="49" t="s">
        <v>59</v>
      </c>
      <c r="OM16" s="49"/>
      <c r="ON16" s="49"/>
      <c r="OO16" s="49"/>
      <c r="OP16" s="49"/>
      <c r="OQ16" s="49"/>
      <c r="OR16" s="49"/>
      <c r="OS16" s="49"/>
      <c r="OT16" s="49"/>
      <c r="OU16" s="49" t="s">
        <v>13</v>
      </c>
      <c r="OV16" s="49" t="s">
        <v>59</v>
      </c>
      <c r="OW16" s="49" t="s">
        <v>13</v>
      </c>
      <c r="OX16" s="49" t="s">
        <v>59</v>
      </c>
      <c r="OY16" s="49" t="s">
        <v>59</v>
      </c>
      <c r="OZ16" s="49" t="s">
        <v>59</v>
      </c>
      <c r="PA16" s="49" t="s">
        <v>59</v>
      </c>
      <c r="PB16" s="49" t="s">
        <v>59</v>
      </c>
      <c r="PC16" s="49" t="s">
        <v>59</v>
      </c>
      <c r="PD16" s="49" t="s">
        <v>59</v>
      </c>
      <c r="PE16" s="49" t="s">
        <v>59</v>
      </c>
      <c r="PF16" s="49" t="s">
        <v>59</v>
      </c>
      <c r="PG16" s="49" t="s">
        <v>59</v>
      </c>
      <c r="PH16" s="49" t="s">
        <v>59</v>
      </c>
      <c r="PI16" s="49" t="s">
        <v>59</v>
      </c>
      <c r="PJ16" s="49" t="s">
        <v>59</v>
      </c>
      <c r="PK16" s="49" t="s">
        <v>59</v>
      </c>
      <c r="PL16" s="49" t="s">
        <v>59</v>
      </c>
      <c r="PM16" s="49" t="s">
        <v>59</v>
      </c>
      <c r="PN16" s="49" t="s">
        <v>59</v>
      </c>
      <c r="PO16" s="49" t="s">
        <v>59</v>
      </c>
      <c r="PP16" s="49" t="s">
        <v>59</v>
      </c>
      <c r="PQ16" s="49" t="s">
        <v>59</v>
      </c>
      <c r="PR16" s="49" t="s">
        <v>59</v>
      </c>
      <c r="PS16" s="49" t="s">
        <v>59</v>
      </c>
      <c r="PT16" s="49" t="s">
        <v>59</v>
      </c>
      <c r="PU16" s="49" t="s">
        <v>59</v>
      </c>
      <c r="PV16" s="49" t="s">
        <v>59</v>
      </c>
      <c r="PW16" s="49" t="s">
        <v>59</v>
      </c>
      <c r="PX16" s="49" t="s">
        <v>59</v>
      </c>
      <c r="PY16" s="49" t="s">
        <v>59</v>
      </c>
      <c r="PZ16" s="49" t="s">
        <v>59</v>
      </c>
      <c r="QA16" s="49" t="s">
        <v>59</v>
      </c>
      <c r="QB16" s="49" t="s">
        <v>59</v>
      </c>
      <c r="QC16" s="49" t="s">
        <v>59</v>
      </c>
      <c r="QD16" s="49" t="s">
        <v>59</v>
      </c>
      <c r="QE16" s="49" t="s">
        <v>59</v>
      </c>
      <c r="QF16" s="49" t="s">
        <v>59</v>
      </c>
      <c r="QG16" s="49" t="s">
        <v>59</v>
      </c>
      <c r="QH16" s="49" t="s">
        <v>59</v>
      </c>
      <c r="QI16" s="49" t="s">
        <v>59</v>
      </c>
      <c r="QJ16" s="49" t="s">
        <v>59</v>
      </c>
      <c r="QK16" s="49" t="s">
        <v>59</v>
      </c>
      <c r="QL16" s="49" t="s">
        <v>59</v>
      </c>
      <c r="QM16" s="49" t="s">
        <v>59</v>
      </c>
      <c r="QN16" s="49" t="s">
        <v>59</v>
      </c>
      <c r="QO16" s="49" t="s">
        <v>59</v>
      </c>
      <c r="QP16" s="49" t="s">
        <v>59</v>
      </c>
      <c r="QQ16" s="49" t="s">
        <v>59</v>
      </c>
      <c r="QR16" s="49" t="s">
        <v>59</v>
      </c>
      <c r="QS16" s="49" t="s">
        <v>59</v>
      </c>
      <c r="QT16" s="49" t="s">
        <v>59</v>
      </c>
      <c r="QU16" s="49" t="s">
        <v>59</v>
      </c>
      <c r="QV16" s="49" t="s">
        <v>59</v>
      </c>
      <c r="QW16" s="49" t="s">
        <v>59</v>
      </c>
      <c r="QX16" s="49" t="s">
        <v>59</v>
      </c>
      <c r="QY16" s="49" t="s">
        <v>59</v>
      </c>
      <c r="QZ16" s="49" t="s">
        <v>59</v>
      </c>
      <c r="RA16" s="49" t="s">
        <v>59</v>
      </c>
      <c r="RB16" s="49" t="s">
        <v>59</v>
      </c>
      <c r="RC16" s="49"/>
      <c r="RD16" s="49"/>
      <c r="RE16" s="49"/>
      <c r="RF16" s="49"/>
      <c r="RG16" s="49"/>
      <c r="RH16" s="49"/>
      <c r="RI16" s="49"/>
      <c r="RJ16" s="49"/>
      <c r="RK16" s="49"/>
      <c r="RL16" s="49"/>
      <c r="RM16" s="49"/>
      <c r="RN16" s="49"/>
      <c r="RO16" s="49" t="s">
        <v>59</v>
      </c>
      <c r="RP16" s="49"/>
      <c r="RQ16" s="49"/>
      <c r="RR16" s="49"/>
      <c r="RS16" s="49" t="s">
        <v>20</v>
      </c>
      <c r="RT16" s="49" t="s">
        <v>20</v>
      </c>
      <c r="RU16" s="49" t="s">
        <v>59</v>
      </c>
      <c r="RV16" s="49" t="s">
        <v>59</v>
      </c>
      <c r="RW16" s="49" t="s">
        <v>59</v>
      </c>
      <c r="RX16" s="49" t="s">
        <v>20</v>
      </c>
      <c r="RY16" s="49" t="s">
        <v>20</v>
      </c>
      <c r="RZ16" s="49" t="s">
        <v>59</v>
      </c>
      <c r="SA16" s="49" t="s">
        <v>59</v>
      </c>
      <c r="SB16" s="49"/>
      <c r="SC16" s="49"/>
      <c r="SD16" s="49"/>
      <c r="SE16" s="49"/>
      <c r="SF16" s="49"/>
      <c r="SG16" s="49"/>
      <c r="SH16" s="49"/>
      <c r="SI16" s="49"/>
      <c r="SJ16" s="49"/>
      <c r="SK16" s="49"/>
      <c r="SL16" s="49"/>
      <c r="SM16" s="49"/>
      <c r="SN16" s="49"/>
      <c r="SO16" s="49"/>
      <c r="SP16" s="49"/>
      <c r="SQ16" s="49"/>
      <c r="SR16" s="49" t="s">
        <v>59</v>
      </c>
      <c r="SS16" s="49" t="s">
        <v>59</v>
      </c>
      <c r="ST16" s="49" t="s">
        <v>59</v>
      </c>
      <c r="SU16" s="49" t="s">
        <v>59</v>
      </c>
      <c r="SV16" s="49" t="s">
        <v>59</v>
      </c>
      <c r="SW16" s="49" t="s">
        <v>59</v>
      </c>
      <c r="SX16" s="49" t="s">
        <v>20</v>
      </c>
      <c r="SY16" s="49" t="s">
        <v>59</v>
      </c>
      <c r="SZ16" s="49" t="s">
        <v>59</v>
      </c>
      <c r="TA16" s="49"/>
      <c r="TB16" s="49"/>
      <c r="TC16" s="49"/>
      <c r="TD16" s="49"/>
      <c r="TE16" s="49"/>
      <c r="TF16" s="49"/>
      <c r="TG16" s="49"/>
      <c r="TH16" s="49"/>
      <c r="TI16" s="49"/>
      <c r="TJ16" s="49" t="s">
        <v>59</v>
      </c>
      <c r="TK16" s="49" t="s">
        <v>59</v>
      </c>
      <c r="TL16" s="408"/>
      <c r="TM16" s="408"/>
      <c r="TN16" s="408"/>
      <c r="TO16" s="408"/>
      <c r="TP16" s="408"/>
      <c r="TQ16" s="49"/>
      <c r="TR16" s="49" t="s">
        <v>59</v>
      </c>
      <c r="TS16" s="49" t="s">
        <v>59</v>
      </c>
      <c r="TT16" s="49" t="s">
        <v>59</v>
      </c>
      <c r="TU16" s="49" t="s">
        <v>13</v>
      </c>
      <c r="TV16" s="49" t="s">
        <v>13</v>
      </c>
      <c r="TW16" s="49" t="s">
        <v>59</v>
      </c>
      <c r="TX16" s="49" t="s">
        <v>59</v>
      </c>
      <c r="TY16" s="49" t="s">
        <v>59</v>
      </c>
      <c r="TZ16" s="49" t="s">
        <v>59</v>
      </c>
      <c r="UA16" s="49" t="s">
        <v>59</v>
      </c>
      <c r="UB16" s="49" t="s">
        <v>59</v>
      </c>
      <c r="UC16" s="49" t="s">
        <v>20</v>
      </c>
      <c r="UD16" s="49" t="s">
        <v>59</v>
      </c>
      <c r="UE16" s="49" t="s">
        <v>59</v>
      </c>
      <c r="UF16" s="49"/>
      <c r="UG16" s="49" t="s">
        <v>59</v>
      </c>
      <c r="UH16" s="49" t="s">
        <v>59</v>
      </c>
      <c r="UI16" s="49" t="s">
        <v>20</v>
      </c>
      <c r="UJ16" s="49"/>
      <c r="UK16" s="49"/>
      <c r="UL16" s="49" t="s">
        <v>59</v>
      </c>
      <c r="UM16" s="49" t="s">
        <v>59</v>
      </c>
      <c r="UN16" s="49" t="s">
        <v>20</v>
      </c>
      <c r="UO16" s="49" t="s">
        <v>59</v>
      </c>
      <c r="UP16" s="49" t="s">
        <v>20</v>
      </c>
      <c r="UQ16" s="49"/>
      <c r="UR16" s="49"/>
      <c r="US16" s="49" t="s">
        <v>59</v>
      </c>
      <c r="UT16" s="49" t="s">
        <v>59</v>
      </c>
      <c r="UU16" s="49" t="s">
        <v>59</v>
      </c>
      <c r="UV16" s="49"/>
      <c r="UW16" s="49"/>
      <c r="UX16" s="49" t="s">
        <v>20</v>
      </c>
      <c r="UY16" s="49" t="s">
        <v>20</v>
      </c>
      <c r="UZ16" s="49" t="s">
        <v>20</v>
      </c>
      <c r="VA16" s="49" t="s">
        <v>20</v>
      </c>
      <c r="VB16" s="49" t="s">
        <v>13</v>
      </c>
      <c r="VC16" s="49"/>
      <c r="VD16" s="49"/>
      <c r="VE16" s="49"/>
      <c r="VF16" s="49" t="s">
        <v>31</v>
      </c>
      <c r="VG16" s="49" t="s">
        <v>59</v>
      </c>
      <c r="VH16" s="49" t="s">
        <v>59</v>
      </c>
      <c r="VI16" s="49" t="s">
        <v>59</v>
      </c>
      <c r="VJ16" s="49" t="s">
        <v>59</v>
      </c>
      <c r="VK16" s="49" t="s">
        <v>59</v>
      </c>
      <c r="VL16" s="49" t="s">
        <v>59</v>
      </c>
      <c r="VM16" s="49" t="s">
        <v>59</v>
      </c>
      <c r="VN16" s="49" t="s">
        <v>20</v>
      </c>
      <c r="VO16" s="49"/>
      <c r="VP16" s="49" t="s">
        <v>59</v>
      </c>
      <c r="VQ16" s="49" t="s">
        <v>20</v>
      </c>
      <c r="VR16" s="49"/>
      <c r="VS16" s="49" t="s">
        <v>59</v>
      </c>
      <c r="VT16" s="49" t="s">
        <v>59</v>
      </c>
      <c r="VU16" s="49" t="s">
        <v>59</v>
      </c>
      <c r="VV16" s="49" t="s">
        <v>59</v>
      </c>
      <c r="VW16" s="49" t="s">
        <v>59</v>
      </c>
      <c r="VX16" s="49" t="s">
        <v>59</v>
      </c>
      <c r="VY16" s="49" t="s">
        <v>59</v>
      </c>
      <c r="VZ16" s="49" t="s">
        <v>59</v>
      </c>
      <c r="WA16" s="49" t="s">
        <v>59</v>
      </c>
      <c r="WB16" s="49" t="s">
        <v>59</v>
      </c>
      <c r="WC16" s="49" t="s">
        <v>59</v>
      </c>
      <c r="WD16" s="49" t="s">
        <v>59</v>
      </c>
      <c r="WE16" s="49" t="s">
        <v>59</v>
      </c>
      <c r="WF16" s="49" t="s">
        <v>59</v>
      </c>
      <c r="WG16" s="49" t="s">
        <v>59</v>
      </c>
      <c r="WH16" s="49" t="s">
        <v>59</v>
      </c>
      <c r="WI16" s="49" t="s">
        <v>59</v>
      </c>
      <c r="WJ16" s="49" t="s">
        <v>59</v>
      </c>
      <c r="WK16" s="49" t="s">
        <v>59</v>
      </c>
      <c r="WL16" s="49" t="s">
        <v>59</v>
      </c>
      <c r="WM16" s="49" t="s">
        <v>59</v>
      </c>
      <c r="WN16" s="49" t="s">
        <v>59</v>
      </c>
      <c r="WO16" s="49" t="s">
        <v>59</v>
      </c>
      <c r="WP16" s="49" t="s">
        <v>59</v>
      </c>
      <c r="WQ16" s="49" t="s">
        <v>59</v>
      </c>
      <c r="WR16" s="49" t="s">
        <v>59</v>
      </c>
      <c r="WS16" s="49" t="s">
        <v>59</v>
      </c>
      <c r="WT16" s="49" t="s">
        <v>59</v>
      </c>
      <c r="WU16" s="49" t="s">
        <v>59</v>
      </c>
      <c r="WV16" s="49" t="s">
        <v>59</v>
      </c>
      <c r="WW16" s="49" t="s">
        <v>20</v>
      </c>
      <c r="WX16" s="49" t="s">
        <v>59</v>
      </c>
      <c r="WY16" s="49"/>
      <c r="WZ16" s="49"/>
      <c r="XA16" s="49"/>
      <c r="XB16" s="49"/>
      <c r="XC16" s="49"/>
      <c r="XD16" s="49"/>
      <c r="XE16" s="49"/>
      <c r="XF16" s="49"/>
      <c r="XG16" s="49"/>
      <c r="XH16" s="49"/>
      <c r="XI16" s="49"/>
      <c r="XJ16" s="49"/>
      <c r="XK16" s="49"/>
      <c r="XL16" s="49"/>
      <c r="XM16" s="49"/>
      <c r="XN16" s="49"/>
      <c r="XO16" s="49"/>
      <c r="XP16" s="49"/>
      <c r="XQ16" s="49"/>
      <c r="XR16" s="49"/>
      <c r="XS16" s="49"/>
      <c r="XT16" s="49"/>
      <c r="XU16" s="49"/>
      <c r="XV16" s="49"/>
      <c r="XW16" s="49"/>
      <c r="XX16" s="49"/>
      <c r="XY16" s="49"/>
      <c r="XZ16" s="49"/>
      <c r="YA16" s="49"/>
      <c r="YB16" s="49"/>
      <c r="YC16" s="49"/>
      <c r="YD16" s="49"/>
      <c r="YE16" s="49"/>
      <c r="YF16" s="49"/>
      <c r="YG16" s="49"/>
      <c r="YH16" s="49"/>
      <c r="YI16" s="101"/>
      <c r="YJ16" s="49"/>
      <c r="YK16" s="49"/>
      <c r="YL16" s="49"/>
      <c r="YM16" s="49"/>
      <c r="YN16" s="49"/>
      <c r="YO16" s="49"/>
      <c r="YP16" s="49"/>
      <c r="YQ16" s="49"/>
      <c r="YR16" s="49"/>
      <c r="YS16" s="49"/>
      <c r="YT16" s="49"/>
      <c r="YU16" s="49"/>
      <c r="YV16" s="49"/>
      <c r="YW16" s="49"/>
      <c r="YX16" s="49"/>
      <c r="YY16" s="49"/>
      <c r="YZ16" s="49"/>
      <c r="ZA16" s="49"/>
      <c r="ZB16" s="49"/>
      <c r="ZC16" s="49"/>
      <c r="ZD16" s="49"/>
      <c r="ZE16" s="49"/>
      <c r="ZF16" s="49"/>
      <c r="ZG16" s="49"/>
      <c r="ZH16" s="49"/>
      <c r="ZI16" s="49"/>
      <c r="ZJ16" s="49"/>
      <c r="ZK16" s="49"/>
      <c r="ZL16" s="49"/>
      <c r="ZM16" s="49"/>
      <c r="ZN16" s="49"/>
      <c r="ZO16" s="49"/>
      <c r="ZP16" s="49"/>
      <c r="ZQ16" s="49"/>
      <c r="ZR16" s="49"/>
      <c r="ZS16" s="49"/>
      <c r="ZT16" s="49"/>
      <c r="ZU16" s="49" t="s">
        <v>59</v>
      </c>
      <c r="ZV16" s="49"/>
      <c r="ZW16" s="49"/>
      <c r="ZX16" s="49"/>
      <c r="ZY16" s="49"/>
      <c r="ZZ16" s="122"/>
      <c r="AAA16" s="49"/>
      <c r="AAB16" s="49"/>
      <c r="AAC16" s="49"/>
      <c r="AAD16" s="49"/>
    </row>
    <row r="17" spans="1:706" s="26" customFormat="1" ht="12.1" customHeight="1" x14ac:dyDescent="0.25">
      <c r="A17" s="360" t="s">
        <v>1595</v>
      </c>
      <c r="B17" s="473" t="s">
        <v>263</v>
      </c>
      <c r="C17" s="473" t="s">
        <v>1</v>
      </c>
      <c r="D17" s="473" t="s">
        <v>2</v>
      </c>
      <c r="E17" s="474" t="s">
        <v>3</v>
      </c>
      <c r="F17" s="474" t="s">
        <v>379</v>
      </c>
      <c r="G17" s="474" t="s">
        <v>122</v>
      </c>
      <c r="H17" s="474" t="s">
        <v>234</v>
      </c>
      <c r="I17" s="474" t="s">
        <v>77</v>
      </c>
      <c r="J17" s="475" t="s">
        <v>4</v>
      </c>
      <c r="K17" s="475" t="s">
        <v>5</v>
      </c>
      <c r="L17" s="475"/>
      <c r="M17" s="475" t="s">
        <v>71</v>
      </c>
      <c r="N17" s="475" t="s">
        <v>72</v>
      </c>
      <c r="O17" s="475" t="s">
        <v>73</v>
      </c>
      <c r="P17" s="475" t="s">
        <v>102</v>
      </c>
      <c r="Q17" s="475" t="s">
        <v>103</v>
      </c>
      <c r="R17" s="475" t="s">
        <v>104</v>
      </c>
      <c r="S17" s="475" t="s">
        <v>105</v>
      </c>
      <c r="T17" s="475" t="s">
        <v>110</v>
      </c>
      <c r="U17" s="475" t="s">
        <v>8</v>
      </c>
      <c r="V17" s="475" t="s">
        <v>9</v>
      </c>
      <c r="W17" s="475" t="s">
        <v>106</v>
      </c>
      <c r="X17" s="475" t="s">
        <v>21</v>
      </c>
      <c r="Y17" s="475" t="s">
        <v>254</v>
      </c>
      <c r="Z17" s="475" t="s">
        <v>6</v>
      </c>
      <c r="AA17" s="475" t="s">
        <v>7</v>
      </c>
      <c r="AB17" s="475" t="s">
        <v>107</v>
      </c>
      <c r="AC17" s="475" t="s">
        <v>600</v>
      </c>
      <c r="AD17" s="475" t="s">
        <v>601</v>
      </c>
      <c r="AE17" s="475" t="s">
        <v>602</v>
      </c>
      <c r="AF17" s="475" t="s">
        <v>603</v>
      </c>
      <c r="AG17" s="475" t="s">
        <v>604</v>
      </c>
      <c r="AH17" s="475" t="s">
        <v>605</v>
      </c>
      <c r="AI17" s="475" t="s">
        <v>606</v>
      </c>
      <c r="AJ17" s="475" t="s">
        <v>607</v>
      </c>
      <c r="AK17" s="475" t="s">
        <v>608</v>
      </c>
      <c r="AL17" s="475" t="s">
        <v>609</v>
      </c>
      <c r="AM17" s="475"/>
      <c r="AN17" s="475" t="s">
        <v>610</v>
      </c>
      <c r="AO17" s="475" t="s">
        <v>611</v>
      </c>
      <c r="AP17" s="475" t="s">
        <v>612</v>
      </c>
      <c r="AQ17" s="475" t="s">
        <v>614</v>
      </c>
      <c r="AR17" s="475" t="s">
        <v>1213</v>
      </c>
      <c r="AS17" s="475" t="s">
        <v>1214</v>
      </c>
      <c r="AT17" s="475" t="s">
        <v>1215</v>
      </c>
      <c r="AU17" s="475" t="s">
        <v>1216</v>
      </c>
      <c r="AV17" s="475" t="s">
        <v>1217</v>
      </c>
      <c r="AW17" s="475" t="s">
        <v>1218</v>
      </c>
      <c r="AX17" s="475" t="s">
        <v>1219</v>
      </c>
      <c r="AY17" s="475" t="s">
        <v>1220</v>
      </c>
      <c r="AZ17" s="475" t="s">
        <v>1221</v>
      </c>
      <c r="BA17" s="475" t="s">
        <v>1222</v>
      </c>
      <c r="BB17" s="475" t="s">
        <v>1223</v>
      </c>
      <c r="BC17" s="475" t="s">
        <v>19</v>
      </c>
      <c r="BD17" s="475" t="s">
        <v>22</v>
      </c>
      <c r="BE17" s="475" t="s">
        <v>1224</v>
      </c>
      <c r="BF17" s="475" t="s">
        <v>1225</v>
      </c>
      <c r="BG17" s="475" t="s">
        <v>23</v>
      </c>
      <c r="BH17" s="475" t="s">
        <v>117</v>
      </c>
      <c r="BI17" s="475" t="s">
        <v>867</v>
      </c>
      <c r="BJ17" s="475" t="s">
        <v>126</v>
      </c>
      <c r="BK17" s="475" t="s">
        <v>75</v>
      </c>
      <c r="BL17" s="475" t="s">
        <v>108</v>
      </c>
      <c r="BM17" s="475" t="s">
        <v>109</v>
      </c>
      <c r="BN17" s="475" t="s">
        <v>259</v>
      </c>
      <c r="BO17" s="475" t="s">
        <v>260</v>
      </c>
      <c r="BP17" s="475" t="s">
        <v>1022</v>
      </c>
      <c r="BQ17" s="475" t="s">
        <v>695</v>
      </c>
      <c r="BR17" s="475" t="s">
        <v>697</v>
      </c>
      <c r="BS17" s="475" t="s">
        <v>698</v>
      </c>
      <c r="BT17" s="475" t="s">
        <v>692</v>
      </c>
      <c r="BU17" s="475"/>
      <c r="BV17" s="475"/>
      <c r="BW17" s="475"/>
      <c r="BX17" s="475"/>
      <c r="BY17" s="475"/>
      <c r="BZ17" s="475"/>
      <c r="CA17" s="475"/>
      <c r="CB17" s="475"/>
      <c r="CC17" s="475"/>
      <c r="CD17" s="475"/>
      <c r="CE17" s="475"/>
      <c r="CF17" s="475"/>
      <c r="CG17" s="475"/>
      <c r="CH17" s="475"/>
      <c r="CI17" s="475" t="s">
        <v>1226</v>
      </c>
      <c r="CJ17" s="475" t="s">
        <v>1227</v>
      </c>
      <c r="CK17" s="475" t="s">
        <v>883</v>
      </c>
      <c r="CL17" s="475" t="s">
        <v>70</v>
      </c>
      <c r="CM17" s="475" t="s">
        <v>1228</v>
      </c>
      <c r="CN17" s="475" t="s">
        <v>34</v>
      </c>
      <c r="CO17" s="475" t="s">
        <v>35</v>
      </c>
      <c r="CP17" s="475" t="s">
        <v>144</v>
      </c>
      <c r="CQ17" s="475" t="s">
        <v>96</v>
      </c>
      <c r="CR17" s="475" t="s">
        <v>41</v>
      </c>
      <c r="CS17" s="475" t="s">
        <v>127</v>
      </c>
      <c r="CT17" s="475" t="s">
        <v>142</v>
      </c>
      <c r="CU17" s="475" t="s">
        <v>95</v>
      </c>
      <c r="CV17" s="475" t="s">
        <v>39</v>
      </c>
      <c r="CW17" s="475" t="s">
        <v>143</v>
      </c>
      <c r="CX17" s="475" t="s">
        <v>36</v>
      </c>
      <c r="CY17" s="475" t="s">
        <v>37</v>
      </c>
      <c r="CZ17" s="475" t="s">
        <v>56</v>
      </c>
      <c r="DA17" s="475"/>
      <c r="DB17" s="475"/>
      <c r="DC17" s="475" t="s">
        <v>135</v>
      </c>
      <c r="DD17" s="475" t="s">
        <v>868</v>
      </c>
      <c r="DE17" s="475"/>
      <c r="DF17" s="475" t="s">
        <v>136</v>
      </c>
      <c r="DG17" s="475" t="s">
        <v>208</v>
      </c>
      <c r="DH17" s="475" t="s">
        <v>301</v>
      </c>
      <c r="DI17" s="475"/>
      <c r="DJ17" s="475" t="s">
        <v>1229</v>
      </c>
      <c r="DK17" s="475" t="s">
        <v>1230</v>
      </c>
      <c r="DL17" s="475" t="s">
        <v>1231</v>
      </c>
      <c r="DM17" s="475"/>
      <c r="DN17" s="475" t="s">
        <v>128</v>
      </c>
      <c r="DO17" s="475" t="s">
        <v>40</v>
      </c>
      <c r="DP17" s="475" t="s">
        <v>38</v>
      </c>
      <c r="DQ17" s="475" t="s">
        <v>93</v>
      </c>
      <c r="DR17" s="475"/>
      <c r="DS17" s="475" t="s">
        <v>679</v>
      </c>
      <c r="DT17" s="475" t="s">
        <v>1014</v>
      </c>
      <c r="DU17" s="475" t="s">
        <v>64</v>
      </c>
      <c r="DV17" s="475" t="s">
        <v>65</v>
      </c>
      <c r="DW17" s="476" t="s">
        <v>1232</v>
      </c>
      <c r="DX17" s="475" t="s">
        <v>179</v>
      </c>
      <c r="DY17" s="475" t="s">
        <v>845</v>
      </c>
      <c r="DZ17" s="475" t="s">
        <v>192</v>
      </c>
      <c r="EA17" s="477"/>
      <c r="EB17" s="477"/>
      <c r="EC17" s="477"/>
      <c r="ED17" s="477"/>
      <c r="EE17" s="475" t="s">
        <v>46</v>
      </c>
      <c r="EF17" s="475" t="s">
        <v>1233</v>
      </c>
      <c r="EG17" s="475" t="s">
        <v>42</v>
      </c>
      <c r="EH17" s="475" t="s">
        <v>43</v>
      </c>
      <c r="EI17" s="475" t="s">
        <v>44</v>
      </c>
      <c r="EJ17" s="475" t="s">
        <v>1493</v>
      </c>
      <c r="EK17" s="475" t="s">
        <v>67</v>
      </c>
      <c r="EL17" s="475" t="s">
        <v>68</v>
      </c>
      <c r="EM17" s="475" t="s">
        <v>63</v>
      </c>
      <c r="EN17" s="475" t="s">
        <v>113</v>
      </c>
      <c r="EO17" s="475" t="s">
        <v>268</v>
      </c>
      <c r="EP17" s="475" t="s">
        <v>101</v>
      </c>
      <c r="EQ17" s="475" t="s">
        <v>269</v>
      </c>
      <c r="ER17" s="475" t="s">
        <v>590</v>
      </c>
      <c r="ES17" s="475" t="s">
        <v>599</v>
      </c>
      <c r="ET17" s="475" t="s">
        <v>24</v>
      </c>
      <c r="EU17" s="475" t="s">
        <v>26</v>
      </c>
      <c r="EV17" s="475" t="s">
        <v>28</v>
      </c>
      <c r="EW17" s="475" t="s">
        <v>25</v>
      </c>
      <c r="EX17" s="475" t="s">
        <v>27</v>
      </c>
      <c r="EY17" s="475" t="s">
        <v>29</v>
      </c>
      <c r="EZ17" s="475" t="s">
        <v>488</v>
      </c>
      <c r="FA17" s="475" t="s">
        <v>598</v>
      </c>
      <c r="FB17" s="475" t="s">
        <v>489</v>
      </c>
      <c r="FC17" s="475" t="s">
        <v>506</v>
      </c>
      <c r="FD17" s="475" t="s">
        <v>507</v>
      </c>
      <c r="FE17" s="475" t="s">
        <v>508</v>
      </c>
      <c r="FF17" s="475" t="s">
        <v>681</v>
      </c>
      <c r="FG17" s="475" t="s">
        <v>682</v>
      </c>
      <c r="FH17" s="475" t="s">
        <v>30</v>
      </c>
      <c r="FI17" s="475" t="s">
        <v>32</v>
      </c>
      <c r="FJ17" s="475" t="s">
        <v>33</v>
      </c>
      <c r="FK17" s="475" t="s">
        <v>270</v>
      </c>
      <c r="FL17" s="475"/>
      <c r="FM17" s="475" t="s">
        <v>271</v>
      </c>
      <c r="FN17" s="475" t="s">
        <v>277</v>
      </c>
      <c r="FO17" s="478"/>
      <c r="FP17" s="478"/>
      <c r="FQ17" s="479" t="s">
        <v>1234</v>
      </c>
      <c r="FR17" s="479" t="s">
        <v>1235</v>
      </c>
      <c r="FS17" s="475" t="s">
        <v>1236</v>
      </c>
      <c r="FT17" s="475" t="s">
        <v>1237</v>
      </c>
      <c r="FU17" s="475" t="s">
        <v>688</v>
      </c>
      <c r="FV17" s="475" t="s">
        <v>1238</v>
      </c>
      <c r="FW17" s="475"/>
      <c r="FX17" s="475"/>
      <c r="FY17" s="475"/>
      <c r="FZ17" s="475"/>
      <c r="GA17" s="475" t="s">
        <v>1055</v>
      </c>
      <c r="GB17" s="475"/>
      <c r="GC17" s="475" t="s">
        <v>1239</v>
      </c>
      <c r="GD17" s="475"/>
      <c r="GE17" s="475" t="s">
        <v>47</v>
      </c>
      <c r="GF17" s="475" t="s">
        <v>48</v>
      </c>
      <c r="GG17" s="475" t="s">
        <v>814</v>
      </c>
      <c r="GH17" s="475" t="s">
        <v>284</v>
      </c>
      <c r="GI17" s="475" t="s">
        <v>216</v>
      </c>
      <c r="GJ17" s="475" t="s">
        <v>57</v>
      </c>
      <c r="GK17" s="475" t="s">
        <v>492</v>
      </c>
      <c r="GL17" s="475" t="s">
        <v>58</v>
      </c>
      <c r="GM17" s="475" t="s">
        <v>1596</v>
      </c>
      <c r="GN17" s="475"/>
      <c r="GO17" s="475" t="s">
        <v>187</v>
      </c>
      <c r="GP17" s="475" t="s">
        <v>49</v>
      </c>
      <c r="GQ17" s="475"/>
      <c r="GR17" s="475" t="s">
        <v>1597</v>
      </c>
      <c r="GS17" s="475"/>
      <c r="GT17" s="475"/>
      <c r="GU17" s="475" t="s">
        <v>866</v>
      </c>
      <c r="GV17" s="475" t="s">
        <v>1240</v>
      </c>
      <c r="GW17" s="475" t="s">
        <v>1241</v>
      </c>
      <c r="GX17" s="475" t="s">
        <v>1242</v>
      </c>
      <c r="GY17" s="475"/>
      <c r="GZ17" s="475"/>
      <c r="HA17" s="475"/>
      <c r="HB17" s="475"/>
      <c r="HC17" s="475"/>
      <c r="HD17" s="475" t="s">
        <v>257</v>
      </c>
      <c r="HE17" s="475" t="s">
        <v>1243</v>
      </c>
      <c r="HF17" s="475"/>
      <c r="HG17" s="475" t="s">
        <v>195</v>
      </c>
      <c r="HH17" s="475" t="s">
        <v>196</v>
      </c>
      <c r="HI17" s="475"/>
      <c r="HJ17" s="475" t="s">
        <v>253</v>
      </c>
      <c r="HK17" s="475" t="s">
        <v>1598</v>
      </c>
      <c r="HL17" s="475"/>
      <c r="HM17" s="475"/>
      <c r="HN17" s="475" t="s">
        <v>1599</v>
      </c>
      <c r="HO17" s="475"/>
      <c r="HP17" s="475" t="s">
        <v>1600</v>
      </c>
      <c r="HQ17" s="475"/>
      <c r="HR17" s="475" t="s">
        <v>1601</v>
      </c>
      <c r="HS17" s="475" t="s">
        <v>1602</v>
      </c>
      <c r="HT17" s="475" t="s">
        <v>1603</v>
      </c>
      <c r="HU17" s="475" t="s">
        <v>1604</v>
      </c>
      <c r="HV17" s="475" t="s">
        <v>1605</v>
      </c>
      <c r="HW17" s="475" t="s">
        <v>1606</v>
      </c>
      <c r="HX17" s="475" t="s">
        <v>1607</v>
      </c>
      <c r="HY17" s="475" t="s">
        <v>1608</v>
      </c>
      <c r="HZ17" s="479" t="s">
        <v>79</v>
      </c>
      <c r="IA17" s="479" t="s">
        <v>1609</v>
      </c>
      <c r="IB17" s="479" t="s">
        <v>227</v>
      </c>
      <c r="IC17" s="476" t="s">
        <v>1247</v>
      </c>
      <c r="ID17" s="475" t="s">
        <v>2316</v>
      </c>
      <c r="IE17" s="475"/>
      <c r="IF17" s="475" t="s">
        <v>539</v>
      </c>
      <c r="IG17" s="475" t="s">
        <v>178</v>
      </c>
      <c r="IH17" s="475" t="s">
        <v>1610</v>
      </c>
      <c r="II17" s="475" t="s">
        <v>206</v>
      </c>
      <c r="IJ17" s="475" t="s">
        <v>625</v>
      </c>
      <c r="IK17" s="476" t="s">
        <v>1509</v>
      </c>
      <c r="IL17" s="475" t="s">
        <v>289</v>
      </c>
      <c r="IM17" s="475"/>
      <c r="IN17" s="475"/>
      <c r="IO17" s="475" t="s">
        <v>2317</v>
      </c>
      <c r="IP17" s="475"/>
      <c r="IQ17" s="475" t="s">
        <v>1611</v>
      </c>
      <c r="IR17" s="475" t="s">
        <v>225</v>
      </c>
      <c r="IS17" s="475" t="s">
        <v>314</v>
      </c>
      <c r="IT17" s="475"/>
      <c r="IU17" s="475" t="s">
        <v>213</v>
      </c>
      <c r="IV17" s="476"/>
      <c r="IW17" s="476"/>
      <c r="IX17" s="475" t="s">
        <v>513</v>
      </c>
      <c r="IY17" s="476"/>
      <c r="IZ17" s="476" t="s">
        <v>517</v>
      </c>
      <c r="JA17" s="476"/>
      <c r="JB17" s="475" t="s">
        <v>521</v>
      </c>
      <c r="JC17" s="475"/>
      <c r="JD17" s="476" t="s">
        <v>523</v>
      </c>
      <c r="JE17" s="476"/>
      <c r="JF17" s="480"/>
      <c r="JG17" s="475" t="s">
        <v>527</v>
      </c>
      <c r="JH17" s="475" t="s">
        <v>182</v>
      </c>
      <c r="JI17" s="480"/>
      <c r="JJ17" s="475" t="s">
        <v>596</v>
      </c>
      <c r="JK17" s="480"/>
      <c r="JL17" s="475" t="s">
        <v>597</v>
      </c>
      <c r="JM17" s="480"/>
      <c r="JN17" s="475" t="s">
        <v>531</v>
      </c>
      <c r="JO17" s="475" t="s">
        <v>1612</v>
      </c>
      <c r="JP17" s="475" t="s">
        <v>1613</v>
      </c>
      <c r="JQ17" s="475"/>
      <c r="JR17" s="475"/>
      <c r="JS17" s="475"/>
      <c r="JT17" s="475" t="s">
        <v>207</v>
      </c>
      <c r="JU17" s="475" t="s">
        <v>1614</v>
      </c>
      <c r="JV17" s="476"/>
      <c r="JW17" s="476"/>
      <c r="JX17" s="476"/>
      <c r="JY17" s="476"/>
      <c r="JZ17" s="475"/>
      <c r="KA17" s="475"/>
      <c r="KB17" s="475"/>
      <c r="KC17" s="475"/>
      <c r="KD17" s="475"/>
      <c r="KE17" s="475"/>
      <c r="KF17" s="475"/>
      <c r="KG17" s="475"/>
      <c r="KH17" s="475"/>
      <c r="KI17" s="475"/>
      <c r="KJ17" s="475"/>
      <c r="KK17" s="475"/>
      <c r="KL17" s="475"/>
      <c r="KM17" s="475"/>
      <c r="KN17" s="475"/>
      <c r="KO17" s="475"/>
      <c r="KP17" s="475"/>
      <c r="KQ17" s="475" t="s">
        <v>1517</v>
      </c>
      <c r="KR17" s="475" t="s">
        <v>1518</v>
      </c>
      <c r="KS17" s="475" t="s">
        <v>1615</v>
      </c>
      <c r="KT17" s="475" t="s">
        <v>1616</v>
      </c>
      <c r="KU17" s="475" t="s">
        <v>1617</v>
      </c>
      <c r="KV17" s="475" t="s">
        <v>1618</v>
      </c>
      <c r="KW17" s="475" t="s">
        <v>1619</v>
      </c>
      <c r="KX17" s="475" t="s">
        <v>1620</v>
      </c>
      <c r="KY17" s="475" t="s">
        <v>1621</v>
      </c>
      <c r="KZ17" s="475" t="s">
        <v>1622</v>
      </c>
      <c r="LA17" s="475" t="s">
        <v>1623</v>
      </c>
      <c r="LB17" s="475" t="s">
        <v>1624</v>
      </c>
      <c r="LC17" s="481" t="s">
        <v>1625</v>
      </c>
      <c r="LD17" s="481" t="s">
        <v>1626</v>
      </c>
      <c r="LE17" s="475" t="s">
        <v>1530</v>
      </c>
      <c r="LF17" s="475" t="s">
        <v>1627</v>
      </c>
      <c r="LG17" s="475" t="s">
        <v>1532</v>
      </c>
      <c r="LH17" s="475" t="s">
        <v>1533</v>
      </c>
      <c r="LI17" s="475" t="s">
        <v>1534</v>
      </c>
      <c r="LJ17" s="475" t="s">
        <v>1628</v>
      </c>
      <c r="LK17" s="475" t="s">
        <v>1536</v>
      </c>
      <c r="LL17" s="475" t="s">
        <v>1629</v>
      </c>
      <c r="LM17" s="475" t="s">
        <v>1538</v>
      </c>
      <c r="LN17" s="475" t="s">
        <v>1539</v>
      </c>
      <c r="LO17" s="475" t="s">
        <v>1630</v>
      </c>
      <c r="LP17" s="475" t="s">
        <v>1541</v>
      </c>
      <c r="LQ17" s="475" t="s">
        <v>1542</v>
      </c>
      <c r="LR17" s="475"/>
      <c r="LS17" s="475"/>
      <c r="LT17" s="475"/>
      <c r="LU17" s="475"/>
      <c r="LV17" s="475"/>
      <c r="LW17" s="475"/>
      <c r="LX17" s="475"/>
      <c r="LY17" s="475"/>
      <c r="LZ17" s="475"/>
      <c r="MA17" s="475"/>
      <c r="MB17" s="475"/>
      <c r="MC17" s="475"/>
      <c r="MD17" s="475"/>
      <c r="ME17" s="475"/>
      <c r="MF17" s="475"/>
      <c r="MG17" s="475"/>
      <c r="MH17" s="475"/>
      <c r="MI17" s="475"/>
      <c r="MJ17" s="475"/>
      <c r="MK17" s="475"/>
      <c r="ML17" s="475"/>
      <c r="MM17" s="475"/>
      <c r="MN17" s="475"/>
      <c r="MO17" s="475"/>
      <c r="MP17" s="475"/>
      <c r="MQ17" s="475"/>
      <c r="MR17" s="475"/>
      <c r="MS17" s="475"/>
      <c r="MT17" s="475"/>
      <c r="MU17" s="475"/>
      <c r="MV17" s="475"/>
      <c r="MW17" s="475"/>
      <c r="MX17" s="475"/>
      <c r="MY17" s="475"/>
      <c r="MZ17" s="475"/>
      <c r="NA17" s="475"/>
      <c r="NB17" s="475"/>
      <c r="NC17" s="482"/>
      <c r="ND17" s="482"/>
      <c r="NE17" s="482"/>
      <c r="NF17" s="482"/>
      <c r="NG17" s="482"/>
      <c r="NH17" s="482"/>
      <c r="NI17" s="482"/>
      <c r="NJ17" s="482"/>
      <c r="NK17" s="482"/>
      <c r="NL17" s="482"/>
      <c r="NM17" s="482"/>
      <c r="NN17" s="482"/>
      <c r="NO17" s="482"/>
      <c r="NP17" s="482"/>
      <c r="NQ17" s="482"/>
      <c r="NR17" s="482"/>
      <c r="NS17" s="482"/>
      <c r="NT17" s="482"/>
      <c r="NU17" s="482"/>
      <c r="NV17" s="482"/>
      <c r="NW17" s="482"/>
      <c r="NX17" s="482"/>
      <c r="NY17" s="475"/>
      <c r="NZ17" s="475"/>
      <c r="OA17" s="475"/>
      <c r="OB17" s="475" t="s">
        <v>1559</v>
      </c>
      <c r="OC17" s="475" t="s">
        <v>718</v>
      </c>
      <c r="OD17" s="475" t="s">
        <v>1151</v>
      </c>
      <c r="OE17" s="475" t="s">
        <v>1156</v>
      </c>
      <c r="OF17" s="475" t="s">
        <v>1073</v>
      </c>
      <c r="OG17" s="475"/>
      <c r="OH17" s="475"/>
      <c r="OI17" s="475" t="s">
        <v>1260</v>
      </c>
      <c r="OJ17" s="475" t="s">
        <v>899</v>
      </c>
      <c r="OK17" s="475" t="s">
        <v>1011</v>
      </c>
      <c r="OL17" s="475" t="s">
        <v>1006</v>
      </c>
      <c r="OM17" s="475"/>
      <c r="ON17" s="475"/>
      <c r="OO17" s="475"/>
      <c r="OP17" s="475"/>
      <c r="OQ17" s="475"/>
      <c r="OR17" s="475"/>
      <c r="OS17" s="475"/>
      <c r="OT17" s="475"/>
      <c r="OU17" s="475" t="s">
        <v>94</v>
      </c>
      <c r="OV17" s="475"/>
      <c r="OW17" s="475" t="s">
        <v>734</v>
      </c>
      <c r="OX17" s="475" t="s">
        <v>884</v>
      </c>
      <c r="OY17" s="475" t="s">
        <v>91</v>
      </c>
      <c r="OZ17" s="475" t="s">
        <v>742</v>
      </c>
      <c r="PA17" s="475" t="s">
        <v>1080</v>
      </c>
      <c r="PB17" s="475" t="s">
        <v>743</v>
      </c>
      <c r="PC17" s="475" t="s">
        <v>92</v>
      </c>
      <c r="PD17" s="475" t="s">
        <v>1560</v>
      </c>
      <c r="PE17" s="475"/>
      <c r="PF17" s="475" t="s">
        <v>745</v>
      </c>
      <c r="PG17" s="475" t="s">
        <v>746</v>
      </c>
      <c r="PH17" s="475" t="s">
        <v>1561</v>
      </c>
      <c r="PI17" s="475" t="s">
        <v>1562</v>
      </c>
      <c r="PJ17" s="475" t="s">
        <v>749</v>
      </c>
      <c r="PK17" s="475" t="s">
        <v>1081</v>
      </c>
      <c r="PL17" s="475" t="s">
        <v>750</v>
      </c>
      <c r="PM17" s="475" t="s">
        <v>862</v>
      </c>
      <c r="PN17" s="475" t="s">
        <v>753</v>
      </c>
      <c r="PO17" s="483" t="s">
        <v>863</v>
      </c>
      <c r="PP17" s="483"/>
      <c r="PQ17" s="483" t="s">
        <v>853</v>
      </c>
      <c r="PR17" s="483" t="s">
        <v>854</v>
      </c>
      <c r="PS17" s="483" t="s">
        <v>855</v>
      </c>
      <c r="PT17" s="483" t="s">
        <v>861</v>
      </c>
      <c r="PU17" s="483" t="s">
        <v>856</v>
      </c>
      <c r="PV17" s="475" t="s">
        <v>858</v>
      </c>
      <c r="PW17" s="475"/>
      <c r="PX17" s="475" t="s">
        <v>1563</v>
      </c>
      <c r="PY17" s="475" t="s">
        <v>1564</v>
      </c>
      <c r="PZ17" s="475" t="s">
        <v>1565</v>
      </c>
      <c r="QA17" s="475" t="s">
        <v>1566</v>
      </c>
      <c r="QB17" s="475" t="s">
        <v>1567</v>
      </c>
      <c r="QC17" s="475"/>
      <c r="QD17" s="475"/>
      <c r="QE17" s="475"/>
      <c r="QF17" s="475"/>
      <c r="QG17" s="475"/>
      <c r="QH17" s="475"/>
      <c r="QI17" s="475" t="s">
        <v>1568</v>
      </c>
      <c r="QJ17" s="475" t="s">
        <v>1569</v>
      </c>
      <c r="QK17" s="475" t="s">
        <v>752</v>
      </c>
      <c r="QL17" s="475" t="s">
        <v>906</v>
      </c>
      <c r="QM17" s="475" t="s">
        <v>907</v>
      </c>
      <c r="QN17" s="475" t="s">
        <v>908</v>
      </c>
      <c r="QO17" s="475" t="s">
        <v>909</v>
      </c>
      <c r="QP17" s="475" t="s">
        <v>918</v>
      </c>
      <c r="QQ17" s="475" t="s">
        <v>922</v>
      </c>
      <c r="QR17" s="475" t="s">
        <v>923</v>
      </c>
      <c r="QS17" s="475" t="s">
        <v>925</v>
      </c>
      <c r="QT17" s="475" t="s">
        <v>852</v>
      </c>
      <c r="QU17" s="475" t="s">
        <v>756</v>
      </c>
      <c r="QV17" s="475" t="s">
        <v>757</v>
      </c>
      <c r="QW17" s="475" t="s">
        <v>760</v>
      </c>
      <c r="QX17" s="475" t="s">
        <v>927</v>
      </c>
      <c r="QY17" s="475"/>
      <c r="QZ17" s="475"/>
      <c r="RA17" s="475"/>
      <c r="RB17" s="475"/>
      <c r="RC17" s="475"/>
      <c r="RD17" s="475"/>
      <c r="RE17" s="475"/>
      <c r="RF17" s="475"/>
      <c r="RG17" s="475"/>
      <c r="RH17" s="475"/>
      <c r="RI17" s="475"/>
      <c r="RJ17" s="475"/>
      <c r="RK17" s="475"/>
      <c r="RL17" s="475"/>
      <c r="RM17" s="475"/>
      <c r="RN17" s="475"/>
      <c r="RO17" s="475"/>
      <c r="RP17" s="475"/>
      <c r="RQ17" s="475"/>
      <c r="RR17" s="475"/>
      <c r="RS17" s="475" t="s">
        <v>1631</v>
      </c>
      <c r="RT17" s="475" t="s">
        <v>1632</v>
      </c>
      <c r="RU17" s="475"/>
      <c r="RV17" s="475"/>
      <c r="RW17" s="475"/>
      <c r="RX17" s="475" t="s">
        <v>1633</v>
      </c>
      <c r="RY17" s="475" t="s">
        <v>1634</v>
      </c>
      <c r="RZ17" s="475"/>
      <c r="SA17" s="475"/>
      <c r="SB17" s="475"/>
      <c r="SC17" s="475"/>
      <c r="SD17" s="475"/>
      <c r="SE17" s="475"/>
      <c r="SF17" s="475"/>
      <c r="SG17" s="475"/>
      <c r="SH17" s="475"/>
      <c r="SI17" s="475"/>
      <c r="SJ17" s="475"/>
      <c r="SK17" s="475"/>
      <c r="SL17" s="475"/>
      <c r="SM17" s="475"/>
      <c r="SN17" s="475"/>
      <c r="SO17" s="475"/>
      <c r="SP17" s="475"/>
      <c r="SQ17" s="475"/>
      <c r="SR17" s="475" t="s">
        <v>840</v>
      </c>
      <c r="SS17" s="475"/>
      <c r="ST17" s="475"/>
      <c r="SU17" s="475"/>
      <c r="SV17" s="475"/>
      <c r="SW17" s="475"/>
      <c r="SX17" s="475" t="s">
        <v>1635</v>
      </c>
      <c r="SY17" s="475"/>
      <c r="SZ17" s="475"/>
      <c r="TA17" s="475"/>
      <c r="TB17" s="475"/>
      <c r="TC17" s="475"/>
      <c r="TD17" s="475"/>
      <c r="TE17" s="475"/>
      <c r="TF17" s="475"/>
      <c r="TG17" s="475"/>
      <c r="TH17" s="475"/>
      <c r="TI17" s="475"/>
      <c r="TJ17" s="475" t="s">
        <v>1262</v>
      </c>
      <c r="TK17" s="484" t="s">
        <v>1074</v>
      </c>
      <c r="TL17" s="484"/>
      <c r="TM17" s="484"/>
      <c r="TN17" s="484"/>
      <c r="TO17" s="484"/>
      <c r="TP17" s="484"/>
      <c r="TQ17" s="475"/>
      <c r="TR17" s="475"/>
      <c r="TS17" s="475"/>
      <c r="TT17" s="475"/>
      <c r="TU17" s="475" t="s">
        <v>548</v>
      </c>
      <c r="TV17" s="475" t="s">
        <v>549</v>
      </c>
      <c r="TW17" s="475" t="s">
        <v>78</v>
      </c>
      <c r="TX17" s="475"/>
      <c r="TY17" s="475"/>
      <c r="TZ17" s="475"/>
      <c r="UA17" s="475"/>
      <c r="UB17" s="475"/>
      <c r="UC17" s="475" t="s">
        <v>1636</v>
      </c>
      <c r="UD17" s="475" t="s">
        <v>552</v>
      </c>
      <c r="UE17" s="475"/>
      <c r="UF17" s="475"/>
      <c r="UG17" s="475"/>
      <c r="UH17" s="475"/>
      <c r="UI17" s="475" t="s">
        <v>1586</v>
      </c>
      <c r="UJ17" s="475"/>
      <c r="UK17" s="475"/>
      <c r="UL17" s="475"/>
      <c r="UM17" s="475"/>
      <c r="UN17" s="475" t="s">
        <v>111</v>
      </c>
      <c r="UO17" s="475"/>
      <c r="UP17" s="475" t="s">
        <v>1588</v>
      </c>
      <c r="UQ17" s="475"/>
      <c r="UR17" s="475"/>
      <c r="US17" s="475"/>
      <c r="UT17" s="475"/>
      <c r="UU17" s="475"/>
      <c r="UV17" s="475"/>
      <c r="UW17" s="475"/>
      <c r="UX17" s="475" t="s">
        <v>1637</v>
      </c>
      <c r="UY17" s="475" t="s">
        <v>1638</v>
      </c>
      <c r="UZ17" s="475" t="s">
        <v>1639</v>
      </c>
      <c r="VA17" s="475" t="s">
        <v>1640</v>
      </c>
      <c r="VB17" s="475" t="s">
        <v>575</v>
      </c>
      <c r="VC17" s="475"/>
      <c r="VD17" s="475"/>
      <c r="VE17" s="475"/>
      <c r="VF17" s="475" t="s">
        <v>145</v>
      </c>
      <c r="VG17" s="475"/>
      <c r="VH17" s="475"/>
      <c r="VI17" s="475"/>
      <c r="VJ17" s="475"/>
      <c r="VK17" s="475" t="s">
        <v>198</v>
      </c>
      <c r="VL17" s="475" t="s">
        <v>146</v>
      </c>
      <c r="VM17" s="475" t="s">
        <v>147</v>
      </c>
      <c r="VN17" s="479" t="s">
        <v>1590</v>
      </c>
      <c r="VO17" s="479"/>
      <c r="VP17" s="479"/>
      <c r="VQ17" s="479" t="s">
        <v>1591</v>
      </c>
      <c r="VR17" s="479"/>
      <c r="VS17" s="479"/>
      <c r="VT17" s="479"/>
      <c r="VU17" s="479"/>
      <c r="VV17" s="479"/>
      <c r="VW17" s="479" t="s">
        <v>235</v>
      </c>
      <c r="VX17" s="475" t="s">
        <v>51</v>
      </c>
      <c r="VY17" s="475" t="s">
        <v>353</v>
      </c>
      <c r="VZ17" s="475" t="s">
        <v>354</v>
      </c>
      <c r="WA17" s="475" t="s">
        <v>719</v>
      </c>
      <c r="WB17" s="475" t="s">
        <v>2195</v>
      </c>
      <c r="WC17" s="475" t="s">
        <v>2196</v>
      </c>
      <c r="WD17" s="475" t="s">
        <v>2197</v>
      </c>
      <c r="WE17" s="475" t="s">
        <v>152</v>
      </c>
      <c r="WF17" s="475"/>
      <c r="WG17" s="475" t="s">
        <v>931</v>
      </c>
      <c r="WH17" s="475" t="s">
        <v>928</v>
      </c>
      <c r="WI17" s="475"/>
      <c r="WJ17" s="475" t="s">
        <v>199</v>
      </c>
      <c r="WK17" s="475"/>
      <c r="WL17" s="475" t="s">
        <v>629</v>
      </c>
      <c r="WM17" s="475"/>
      <c r="WN17" s="475"/>
      <c r="WO17" s="475" t="s">
        <v>202</v>
      </c>
      <c r="WP17" s="475" t="s">
        <v>203</v>
      </c>
      <c r="WQ17" s="475" t="s">
        <v>451</v>
      </c>
      <c r="WR17" s="475" t="s">
        <v>200</v>
      </c>
      <c r="WS17" s="475" t="s">
        <v>201</v>
      </c>
      <c r="WT17" s="475"/>
      <c r="WU17" s="475" t="s">
        <v>355</v>
      </c>
      <c r="WV17" s="475"/>
      <c r="WW17" s="475" t="s">
        <v>52</v>
      </c>
      <c r="WX17" s="475" t="s">
        <v>53</v>
      </c>
      <c r="WY17" s="475"/>
      <c r="WZ17" s="475"/>
      <c r="XA17" s="475"/>
      <c r="XB17" s="475"/>
      <c r="XC17" s="475"/>
      <c r="XD17" s="475"/>
      <c r="XE17" s="475"/>
      <c r="XF17" s="475"/>
      <c r="XG17" s="475"/>
      <c r="XH17" s="475"/>
      <c r="XI17" s="475"/>
      <c r="XJ17" s="475"/>
      <c r="XK17" s="475"/>
      <c r="XL17" s="475"/>
      <c r="XM17" s="475"/>
      <c r="XN17" s="475"/>
      <c r="XO17" s="475"/>
      <c r="XP17" s="475"/>
      <c r="XQ17" s="475"/>
      <c r="XR17" s="475"/>
      <c r="XS17" s="475"/>
      <c r="XT17" s="475"/>
      <c r="XU17" s="475"/>
      <c r="XV17" s="475"/>
      <c r="XW17" s="475"/>
      <c r="XX17" s="475"/>
      <c r="XY17" s="475"/>
      <c r="XZ17" s="475"/>
      <c r="YA17" s="475"/>
      <c r="YB17" s="475"/>
      <c r="YC17" s="475"/>
      <c r="YD17" s="475"/>
      <c r="YE17" s="475"/>
      <c r="YF17" s="475"/>
      <c r="YG17" s="475"/>
      <c r="YH17" s="475"/>
      <c r="YI17" s="482"/>
      <c r="YJ17" s="475"/>
      <c r="YK17" s="475"/>
      <c r="YL17" s="475"/>
      <c r="YM17" s="475"/>
      <c r="YN17" s="475"/>
      <c r="YO17" s="475"/>
      <c r="YP17" s="475"/>
      <c r="YQ17" s="475"/>
      <c r="YR17" s="475"/>
      <c r="YS17" s="475"/>
      <c r="YT17" s="475"/>
      <c r="YU17" s="475"/>
      <c r="YV17" s="475"/>
      <c r="YW17" s="475"/>
      <c r="YX17" s="475"/>
      <c r="YY17" s="475"/>
      <c r="YZ17" s="475"/>
      <c r="ZA17" s="475"/>
      <c r="ZB17" s="475"/>
      <c r="ZC17" s="475"/>
      <c r="ZD17" s="475"/>
      <c r="ZE17" s="475"/>
      <c r="ZF17" s="475"/>
      <c r="ZG17" s="475"/>
      <c r="ZH17" s="475"/>
      <c r="ZI17" s="475"/>
      <c r="ZJ17" s="475"/>
      <c r="ZK17" s="475"/>
      <c r="ZL17" s="475"/>
      <c r="ZM17" s="475"/>
      <c r="ZN17" s="475"/>
      <c r="ZO17" s="475"/>
      <c r="ZP17" s="475"/>
      <c r="ZQ17" s="475"/>
      <c r="ZR17" s="475"/>
      <c r="ZS17" s="475"/>
      <c r="ZT17" s="475"/>
      <c r="ZU17" s="475"/>
      <c r="ZV17" s="475"/>
      <c r="ZW17" s="475"/>
      <c r="ZX17" s="475"/>
      <c r="ZY17" s="475"/>
      <c r="ZZ17" s="476"/>
      <c r="AAA17" s="475"/>
      <c r="AAB17" s="475"/>
      <c r="AAC17" s="475"/>
      <c r="AAD17" s="475"/>
    </row>
    <row r="18" spans="1:706" s="94" customFormat="1" x14ac:dyDescent="0.2">
      <c r="A18" s="113" t="s">
        <v>378</v>
      </c>
      <c r="B18" s="49" t="s">
        <v>13</v>
      </c>
      <c r="C18" s="49" t="s">
        <v>13</v>
      </c>
      <c r="D18" s="49" t="s">
        <v>13</v>
      </c>
      <c r="E18" s="49" t="s">
        <v>13</v>
      </c>
      <c r="F18" s="49" t="s">
        <v>59</v>
      </c>
      <c r="G18" s="49" t="s">
        <v>31</v>
      </c>
      <c r="H18" s="49" t="s">
        <v>13</v>
      </c>
      <c r="I18" s="49" t="s">
        <v>13</v>
      </c>
      <c r="J18" s="49" t="s">
        <v>13</v>
      </c>
      <c r="K18" s="49" t="s">
        <v>13</v>
      </c>
      <c r="L18" s="49"/>
      <c r="M18" s="49" t="s">
        <v>13</v>
      </c>
      <c r="N18" s="49" t="s">
        <v>13</v>
      </c>
      <c r="O18" s="49" t="s">
        <v>13</v>
      </c>
      <c r="P18" s="49" t="s">
        <v>13</v>
      </c>
      <c r="Q18" s="49" t="s">
        <v>13</v>
      </c>
      <c r="R18" s="49" t="s">
        <v>13</v>
      </c>
      <c r="S18" s="49" t="s">
        <v>13</v>
      </c>
      <c r="T18" s="49" t="s">
        <v>13</v>
      </c>
      <c r="U18" s="49" t="s">
        <v>13</v>
      </c>
      <c r="V18" s="49" t="s">
        <v>13</v>
      </c>
      <c r="W18" s="49" t="s">
        <v>13</v>
      </c>
      <c r="X18" s="49" t="s">
        <v>13</v>
      </c>
      <c r="Y18" s="49" t="s">
        <v>13</v>
      </c>
      <c r="Z18" s="49" t="s">
        <v>13</v>
      </c>
      <c r="AA18" s="49" t="s">
        <v>13</v>
      </c>
      <c r="AB18" s="49" t="s">
        <v>13</v>
      </c>
      <c r="AC18" s="49" t="s">
        <v>13</v>
      </c>
      <c r="AD18" s="49" t="s">
        <v>13</v>
      </c>
      <c r="AE18" s="49" t="s">
        <v>13</v>
      </c>
      <c r="AF18" s="49" t="s">
        <v>13</v>
      </c>
      <c r="AG18" s="49" t="s">
        <v>13</v>
      </c>
      <c r="AH18" s="49" t="s">
        <v>13</v>
      </c>
      <c r="AI18" s="49" t="s">
        <v>13</v>
      </c>
      <c r="AJ18" s="49" t="s">
        <v>13</v>
      </c>
      <c r="AK18" s="49" t="s">
        <v>13</v>
      </c>
      <c r="AL18" s="49" t="s">
        <v>13</v>
      </c>
      <c r="AM18" s="49" t="s">
        <v>59</v>
      </c>
      <c r="AN18" s="49" t="s">
        <v>13</v>
      </c>
      <c r="AO18" s="49" t="s">
        <v>13</v>
      </c>
      <c r="AP18" s="49" t="s">
        <v>13</v>
      </c>
      <c r="AQ18" s="49" t="s">
        <v>13</v>
      </c>
      <c r="AR18" s="49" t="s">
        <v>13</v>
      </c>
      <c r="AS18" s="49" t="s">
        <v>13</v>
      </c>
      <c r="AT18" s="49" t="s">
        <v>13</v>
      </c>
      <c r="AU18" s="49" t="s">
        <v>13</v>
      </c>
      <c r="AV18" s="49" t="s">
        <v>13</v>
      </c>
      <c r="AW18" s="49" t="s">
        <v>13</v>
      </c>
      <c r="AX18" s="49" t="s">
        <v>13</v>
      </c>
      <c r="AY18" s="49" t="s">
        <v>13</v>
      </c>
      <c r="AZ18" s="49" t="s">
        <v>13</v>
      </c>
      <c r="BA18" s="49" t="s">
        <v>13</v>
      </c>
      <c r="BB18" s="49" t="s">
        <v>13</v>
      </c>
      <c r="BC18" s="49" t="s">
        <v>59</v>
      </c>
      <c r="BD18" s="49" t="s">
        <v>13</v>
      </c>
      <c r="BE18" s="49" t="s">
        <v>13</v>
      </c>
      <c r="BF18" s="49" t="s">
        <v>13</v>
      </c>
      <c r="BG18" s="49" t="s">
        <v>13</v>
      </c>
      <c r="BH18" s="49" t="s">
        <v>13</v>
      </c>
      <c r="BI18" s="49" t="s">
        <v>13</v>
      </c>
      <c r="BJ18" s="49" t="s">
        <v>13</v>
      </c>
      <c r="BK18" s="49" t="s">
        <v>13</v>
      </c>
      <c r="BL18" s="49" t="s">
        <v>13</v>
      </c>
      <c r="BM18" s="49" t="s">
        <v>13</v>
      </c>
      <c r="BN18" s="49" t="s">
        <v>13</v>
      </c>
      <c r="BO18" s="49" t="s">
        <v>13</v>
      </c>
      <c r="BP18" s="49" t="s">
        <v>13</v>
      </c>
      <c r="BQ18" s="49" t="s">
        <v>13</v>
      </c>
      <c r="BR18" s="49" t="s">
        <v>13</v>
      </c>
      <c r="BS18" s="49" t="s">
        <v>13</v>
      </c>
      <c r="BT18" s="49" t="s">
        <v>13</v>
      </c>
      <c r="BU18" s="49"/>
      <c r="BV18" s="49"/>
      <c r="BW18" s="49"/>
      <c r="BX18" s="49"/>
      <c r="BY18" s="49"/>
      <c r="BZ18" s="49"/>
      <c r="CA18" s="49"/>
      <c r="CB18" s="49"/>
      <c r="CC18" s="49"/>
      <c r="CD18" s="49"/>
      <c r="CE18" s="49"/>
      <c r="CF18" s="49"/>
      <c r="CG18" s="49"/>
      <c r="CH18" s="49"/>
      <c r="CI18" s="49" t="s">
        <v>13</v>
      </c>
      <c r="CJ18" s="49" t="s">
        <v>13</v>
      </c>
      <c r="CK18" s="49" t="s">
        <v>13</v>
      </c>
      <c r="CL18" s="49" t="s">
        <v>13</v>
      </c>
      <c r="CM18" s="49" t="s">
        <v>13</v>
      </c>
      <c r="CN18" s="49" t="s">
        <v>13</v>
      </c>
      <c r="CO18" s="49" t="s">
        <v>13</v>
      </c>
      <c r="CP18" s="49" t="s">
        <v>13</v>
      </c>
      <c r="CQ18" s="49" t="s">
        <v>13</v>
      </c>
      <c r="CR18" s="49" t="s">
        <v>13</v>
      </c>
      <c r="CS18" s="49" t="s">
        <v>13</v>
      </c>
      <c r="CT18" s="49" t="s">
        <v>13</v>
      </c>
      <c r="CU18" s="49" t="s">
        <v>13</v>
      </c>
      <c r="CV18" s="49" t="s">
        <v>13</v>
      </c>
      <c r="CW18" s="49" t="s">
        <v>13</v>
      </c>
      <c r="CX18" s="49" t="s">
        <v>13</v>
      </c>
      <c r="CY18" s="49" t="s">
        <v>59</v>
      </c>
      <c r="CZ18" s="49" t="s">
        <v>13</v>
      </c>
      <c r="DA18" s="49" t="s">
        <v>59</v>
      </c>
      <c r="DB18" s="49" t="s">
        <v>59</v>
      </c>
      <c r="DC18" s="49" t="s">
        <v>13</v>
      </c>
      <c r="DD18" s="49" t="s">
        <v>13</v>
      </c>
      <c r="DE18" s="49" t="s">
        <v>59</v>
      </c>
      <c r="DF18" s="49" t="s">
        <v>13</v>
      </c>
      <c r="DG18" s="49" t="s">
        <v>13</v>
      </c>
      <c r="DH18" s="49" t="s">
        <v>13</v>
      </c>
      <c r="DI18" s="49" t="s">
        <v>59</v>
      </c>
      <c r="DJ18" s="49" t="s">
        <v>13</v>
      </c>
      <c r="DK18" s="49" t="s">
        <v>13</v>
      </c>
      <c r="DL18" s="49" t="s">
        <v>13</v>
      </c>
      <c r="DM18" s="49"/>
      <c r="DN18" s="49" t="s">
        <v>13</v>
      </c>
      <c r="DO18" s="49" t="s">
        <v>13</v>
      </c>
      <c r="DP18" s="49" t="s">
        <v>13</v>
      </c>
      <c r="DQ18" s="49" t="s">
        <v>13</v>
      </c>
      <c r="DR18" s="49" t="s">
        <v>59</v>
      </c>
      <c r="DS18" s="49" t="s">
        <v>13</v>
      </c>
      <c r="DT18" s="49" t="s">
        <v>13</v>
      </c>
      <c r="DU18" s="49" t="s">
        <v>13</v>
      </c>
      <c r="DV18" s="49" t="s">
        <v>13</v>
      </c>
      <c r="DW18" s="122" t="s">
        <v>13</v>
      </c>
      <c r="DX18" s="49" t="s">
        <v>13</v>
      </c>
      <c r="DY18" s="49" t="s">
        <v>13</v>
      </c>
      <c r="DZ18" s="49" t="s">
        <v>13</v>
      </c>
      <c r="EA18" s="122"/>
      <c r="EB18" s="122"/>
      <c r="EC18" s="122"/>
      <c r="ED18" s="122"/>
      <c r="EE18" s="49" t="s">
        <v>13</v>
      </c>
      <c r="EF18" s="49" t="s">
        <v>13</v>
      </c>
      <c r="EG18" s="49" t="s">
        <v>13</v>
      </c>
      <c r="EH18" s="49" t="s">
        <v>13</v>
      </c>
      <c r="EI18" s="49" t="s">
        <v>13</v>
      </c>
      <c r="EJ18" s="49" t="s">
        <v>59</v>
      </c>
      <c r="EK18" s="49" t="s">
        <v>59</v>
      </c>
      <c r="EL18" s="49" t="s">
        <v>20</v>
      </c>
      <c r="EM18" s="49" t="s">
        <v>13</v>
      </c>
      <c r="EN18" s="49" t="s">
        <v>13</v>
      </c>
      <c r="EO18" s="49" t="s">
        <v>13</v>
      </c>
      <c r="EP18" s="49" t="s">
        <v>13</v>
      </c>
      <c r="EQ18" s="49" t="s">
        <v>13</v>
      </c>
      <c r="ER18" s="49" t="s">
        <v>13</v>
      </c>
      <c r="ES18" s="49" t="s">
        <v>13</v>
      </c>
      <c r="ET18" s="49" t="s">
        <v>13</v>
      </c>
      <c r="EU18" s="49" t="s">
        <v>13</v>
      </c>
      <c r="EV18" s="49" t="s">
        <v>13</v>
      </c>
      <c r="EW18" s="49" t="s">
        <v>13</v>
      </c>
      <c r="EX18" s="49" t="s">
        <v>13</v>
      </c>
      <c r="EY18" s="49" t="s">
        <v>13</v>
      </c>
      <c r="EZ18" s="49" t="s">
        <v>13</v>
      </c>
      <c r="FA18" s="49" t="s">
        <v>13</v>
      </c>
      <c r="FB18" s="49" t="s">
        <v>13</v>
      </c>
      <c r="FC18" s="49" t="s">
        <v>13</v>
      </c>
      <c r="FD18" s="49" t="s">
        <v>13</v>
      </c>
      <c r="FE18" s="49" t="s">
        <v>13</v>
      </c>
      <c r="FF18" s="93" t="s">
        <v>13</v>
      </c>
      <c r="FG18" s="93" t="s">
        <v>13</v>
      </c>
      <c r="FH18" s="93" t="s">
        <v>59</v>
      </c>
      <c r="FI18" s="93" t="s">
        <v>59</v>
      </c>
      <c r="FJ18" s="93" t="s">
        <v>59</v>
      </c>
      <c r="FK18" s="93" t="s">
        <v>13</v>
      </c>
      <c r="FL18" s="93"/>
      <c r="FM18" s="93" t="s">
        <v>13</v>
      </c>
      <c r="FN18" s="93" t="s">
        <v>13</v>
      </c>
      <c r="FO18" s="93"/>
      <c r="FP18" s="93"/>
      <c r="FQ18" s="93" t="s">
        <v>13</v>
      </c>
      <c r="FR18" s="93" t="s">
        <v>13</v>
      </c>
      <c r="FS18" s="93" t="s">
        <v>13</v>
      </c>
      <c r="FT18" s="49" t="s">
        <v>59</v>
      </c>
      <c r="FU18" s="93" t="s">
        <v>13</v>
      </c>
      <c r="FV18" s="93" t="s">
        <v>13</v>
      </c>
      <c r="FW18" s="49"/>
      <c r="FX18" s="49"/>
      <c r="FY18" s="49"/>
      <c r="FZ18" s="49"/>
      <c r="GA18" s="49" t="s">
        <v>13</v>
      </c>
      <c r="GB18" s="93"/>
      <c r="GC18" s="49" t="s">
        <v>13</v>
      </c>
      <c r="GD18" s="49" t="s">
        <v>59</v>
      </c>
      <c r="GE18" s="49" t="s">
        <v>59</v>
      </c>
      <c r="GF18" s="49" t="s">
        <v>59</v>
      </c>
      <c r="GG18" s="49"/>
      <c r="GH18" s="49" t="s">
        <v>13</v>
      </c>
      <c r="GI18" s="49" t="s">
        <v>13</v>
      </c>
      <c r="GJ18" s="49" t="s">
        <v>59</v>
      </c>
      <c r="GK18" s="49" t="s">
        <v>59</v>
      </c>
      <c r="GL18" s="49" t="s">
        <v>59</v>
      </c>
      <c r="GM18" s="49" t="s">
        <v>20</v>
      </c>
      <c r="GN18" s="49"/>
      <c r="GO18" s="49" t="s">
        <v>20</v>
      </c>
      <c r="GP18" s="49" t="s">
        <v>20</v>
      </c>
      <c r="GQ18" s="49"/>
      <c r="GR18" s="49" t="s">
        <v>20</v>
      </c>
      <c r="GS18" s="49"/>
      <c r="GT18" s="49" t="s">
        <v>59</v>
      </c>
      <c r="GU18" s="49" t="s">
        <v>13</v>
      </c>
      <c r="GV18" s="49" t="s">
        <v>13</v>
      </c>
      <c r="GW18" s="49" t="s">
        <v>13</v>
      </c>
      <c r="GX18" s="49" t="s">
        <v>13</v>
      </c>
      <c r="GY18" s="49"/>
      <c r="GZ18" s="49"/>
      <c r="HA18" s="49"/>
      <c r="HB18" s="49"/>
      <c r="HC18" s="49"/>
      <c r="HD18" s="49" t="s">
        <v>13</v>
      </c>
      <c r="HE18" s="49" t="s">
        <v>13</v>
      </c>
      <c r="HF18" s="49"/>
      <c r="HG18" s="49" t="s">
        <v>20</v>
      </c>
      <c r="HH18" s="49" t="s">
        <v>20</v>
      </c>
      <c r="HI18" s="49"/>
      <c r="HJ18" s="49" t="s">
        <v>20</v>
      </c>
      <c r="HK18" s="49" t="s">
        <v>20</v>
      </c>
      <c r="HL18" s="49"/>
      <c r="HM18" s="49"/>
      <c r="HN18" s="49" t="s">
        <v>20</v>
      </c>
      <c r="HO18" s="49"/>
      <c r="HP18" s="49" t="s">
        <v>20</v>
      </c>
      <c r="HQ18" s="49" t="s">
        <v>20</v>
      </c>
      <c r="HR18" s="49" t="s">
        <v>20</v>
      </c>
      <c r="HS18" s="49" t="s">
        <v>20</v>
      </c>
      <c r="HT18" s="49" t="s">
        <v>20</v>
      </c>
      <c r="HU18" s="49"/>
      <c r="HV18" s="49"/>
      <c r="HW18" s="49"/>
      <c r="HX18" s="465" t="s">
        <v>59</v>
      </c>
      <c r="HY18" s="465" t="s">
        <v>59</v>
      </c>
      <c r="HZ18" s="49" t="s">
        <v>59</v>
      </c>
      <c r="IA18" s="49" t="s">
        <v>59</v>
      </c>
      <c r="IB18" s="49" t="s">
        <v>13</v>
      </c>
      <c r="IC18" s="122" t="s">
        <v>13</v>
      </c>
      <c r="ID18" s="49" t="s">
        <v>59</v>
      </c>
      <c r="IE18" s="49"/>
      <c r="IF18" s="49" t="s">
        <v>59</v>
      </c>
      <c r="IG18" s="49" t="s">
        <v>59</v>
      </c>
      <c r="IH18" s="49" t="s">
        <v>59</v>
      </c>
      <c r="II18" s="49" t="s">
        <v>59</v>
      </c>
      <c r="IJ18" s="49" t="s">
        <v>59</v>
      </c>
      <c r="IK18" s="122" t="s">
        <v>59</v>
      </c>
      <c r="IL18" s="49"/>
      <c r="IM18" s="49"/>
      <c r="IN18" s="49"/>
      <c r="IO18" s="49" t="s">
        <v>20</v>
      </c>
      <c r="IP18" s="49"/>
      <c r="IQ18" s="49" t="s">
        <v>20</v>
      </c>
      <c r="IR18" s="49" t="s">
        <v>20</v>
      </c>
      <c r="IS18" s="49" t="s">
        <v>20</v>
      </c>
      <c r="IT18" s="49" t="s">
        <v>59</v>
      </c>
      <c r="IU18" s="49" t="s">
        <v>59</v>
      </c>
      <c r="IV18" s="122" t="s">
        <v>59</v>
      </c>
      <c r="IW18" s="122" t="s">
        <v>59</v>
      </c>
      <c r="IX18" s="49" t="s">
        <v>59</v>
      </c>
      <c r="IY18" s="122" t="s">
        <v>59</v>
      </c>
      <c r="IZ18" s="122" t="s">
        <v>59</v>
      </c>
      <c r="JA18" s="122" t="s">
        <v>59</v>
      </c>
      <c r="JB18" s="49" t="s">
        <v>59</v>
      </c>
      <c r="JC18" s="49" t="s">
        <v>59</v>
      </c>
      <c r="JD18" s="122" t="s">
        <v>59</v>
      </c>
      <c r="JE18" s="122" t="s">
        <v>59</v>
      </c>
      <c r="JF18" s="122" t="s">
        <v>59</v>
      </c>
      <c r="JG18" s="49" t="s">
        <v>59</v>
      </c>
      <c r="JH18" s="49" t="s">
        <v>13</v>
      </c>
      <c r="JI18" s="122" t="s">
        <v>59</v>
      </c>
      <c r="JJ18" s="49" t="s">
        <v>59</v>
      </c>
      <c r="JK18" s="122" t="s">
        <v>59</v>
      </c>
      <c r="JL18" s="49" t="s">
        <v>59</v>
      </c>
      <c r="JM18" s="122" t="s">
        <v>59</v>
      </c>
      <c r="JN18" s="49" t="s">
        <v>59</v>
      </c>
      <c r="JO18" s="49" t="s">
        <v>20</v>
      </c>
      <c r="JP18" s="49" t="s">
        <v>20</v>
      </c>
      <c r="JQ18" s="49" t="s">
        <v>59</v>
      </c>
      <c r="JR18" s="49" t="s">
        <v>59</v>
      </c>
      <c r="JS18" s="49" t="s">
        <v>59</v>
      </c>
      <c r="JT18" s="49" t="s">
        <v>20</v>
      </c>
      <c r="JU18" s="49" t="s">
        <v>59</v>
      </c>
      <c r="JV18" s="122" t="s">
        <v>59</v>
      </c>
      <c r="JW18" s="122"/>
      <c r="JX18" s="122"/>
      <c r="JY18" s="465"/>
      <c r="JZ18" s="465"/>
      <c r="KA18" s="465"/>
      <c r="KB18" s="465"/>
      <c r="KC18" s="465"/>
      <c r="KD18" s="465"/>
      <c r="KE18" s="465"/>
      <c r="KF18" s="465"/>
      <c r="KG18" s="465"/>
      <c r="KH18" s="465"/>
      <c r="KI18" s="465"/>
      <c r="KJ18" s="465"/>
      <c r="KK18" s="465"/>
      <c r="KL18" s="465"/>
      <c r="KM18" s="465"/>
      <c r="KN18" s="465"/>
      <c r="KO18" s="465"/>
      <c r="KP18" s="465"/>
      <c r="KQ18" s="465"/>
      <c r="KR18" s="465"/>
      <c r="KS18" s="465"/>
      <c r="KT18" s="465"/>
      <c r="KU18" s="465"/>
      <c r="KV18" s="465"/>
      <c r="KW18" s="465"/>
      <c r="KX18" s="465"/>
      <c r="KY18" s="465"/>
      <c r="KZ18" s="465"/>
      <c r="LA18" s="49"/>
      <c r="LB18" s="465"/>
      <c r="LC18" s="465"/>
      <c r="LD18" s="465"/>
      <c r="LE18" s="465"/>
      <c r="LF18" s="465"/>
      <c r="LG18" s="465"/>
      <c r="LH18" s="465"/>
      <c r="LI18" s="465"/>
      <c r="LJ18" s="465"/>
      <c r="LK18" s="465"/>
      <c r="LL18" s="465"/>
      <c r="LM18" s="465"/>
      <c r="LN18" s="465"/>
      <c r="LO18" s="465"/>
      <c r="LP18" s="465"/>
      <c r="LQ18" s="465"/>
      <c r="LR18" s="465" t="s">
        <v>59</v>
      </c>
      <c r="LS18" s="465" t="s">
        <v>59</v>
      </c>
      <c r="LT18" s="49"/>
      <c r="LU18" s="49"/>
      <c r="LV18" s="49"/>
      <c r="LW18" s="49"/>
      <c r="LX18" s="49"/>
      <c r="LY18" s="49"/>
      <c r="LZ18" s="49"/>
      <c r="MA18" s="49"/>
      <c r="MB18" s="49"/>
      <c r="MC18" s="49"/>
      <c r="MD18" s="49"/>
      <c r="ME18" s="49"/>
      <c r="MF18" s="49"/>
      <c r="MG18" s="49"/>
      <c r="MH18" s="49"/>
      <c r="MI18" s="49"/>
      <c r="MJ18" s="49"/>
      <c r="MK18" s="49"/>
      <c r="ML18" s="49"/>
      <c r="MM18" s="49"/>
      <c r="MN18" s="49"/>
      <c r="MO18" s="49"/>
      <c r="MP18" s="49"/>
      <c r="MQ18" s="49"/>
      <c r="MR18" s="49"/>
      <c r="MS18" s="49"/>
      <c r="MT18" s="49"/>
      <c r="MU18" s="49"/>
      <c r="MV18" s="49"/>
      <c r="MW18" s="49"/>
      <c r="MX18" s="49"/>
      <c r="MY18" s="49"/>
      <c r="MZ18" s="49"/>
      <c r="NA18" s="49"/>
      <c r="NB18" s="49"/>
      <c r="NC18" s="101"/>
      <c r="ND18" s="49"/>
      <c r="NE18" s="49"/>
      <c r="NF18" s="49"/>
      <c r="NG18" s="49"/>
      <c r="NH18" s="49"/>
      <c r="NI18" s="49"/>
      <c r="NJ18" s="49"/>
      <c r="NK18" s="49"/>
      <c r="NL18" s="49"/>
      <c r="NM18" s="49"/>
      <c r="NN18" s="49"/>
      <c r="NO18" s="49"/>
      <c r="NP18" s="49"/>
      <c r="NQ18" s="49"/>
      <c r="NR18" s="49"/>
      <c r="NS18" s="49"/>
      <c r="NT18" s="49"/>
      <c r="NU18" s="49"/>
      <c r="NV18" s="49"/>
      <c r="NW18" s="49"/>
      <c r="NX18" s="49"/>
      <c r="NY18" s="49"/>
      <c r="NZ18" s="49"/>
      <c r="OA18" s="49"/>
      <c r="OB18" s="49" t="s">
        <v>20</v>
      </c>
      <c r="OC18" s="49" t="s">
        <v>59</v>
      </c>
      <c r="OD18" s="49" t="s">
        <v>59</v>
      </c>
      <c r="OE18" s="49" t="s">
        <v>59</v>
      </c>
      <c r="OF18" s="49" t="s">
        <v>59</v>
      </c>
      <c r="OG18" s="49" t="s">
        <v>59</v>
      </c>
      <c r="OH18" s="49" t="s">
        <v>59</v>
      </c>
      <c r="OI18" s="49" t="s">
        <v>59</v>
      </c>
      <c r="OJ18" s="49" t="s">
        <v>59</v>
      </c>
      <c r="OK18" s="49" t="s">
        <v>59</v>
      </c>
      <c r="OL18" s="49" t="s">
        <v>20</v>
      </c>
      <c r="OM18" s="49"/>
      <c r="ON18" s="49"/>
      <c r="OO18" s="49"/>
      <c r="OP18" s="49"/>
      <c r="OQ18" s="49"/>
      <c r="OR18" s="49"/>
      <c r="OS18" s="49"/>
      <c r="OT18" s="49"/>
      <c r="OU18" s="49" t="s">
        <v>13</v>
      </c>
      <c r="OV18" s="49" t="s">
        <v>59</v>
      </c>
      <c r="OW18" s="49" t="s">
        <v>13</v>
      </c>
      <c r="OX18" s="49" t="s">
        <v>59</v>
      </c>
      <c r="OY18" s="49" t="s">
        <v>13</v>
      </c>
      <c r="OZ18" s="49" t="s">
        <v>13</v>
      </c>
      <c r="PA18" s="49" t="s">
        <v>59</v>
      </c>
      <c r="PB18" s="49" t="s">
        <v>13</v>
      </c>
      <c r="PC18" s="49" t="s">
        <v>13</v>
      </c>
      <c r="PD18" s="49" t="s">
        <v>59</v>
      </c>
      <c r="PE18" s="49" t="s">
        <v>59</v>
      </c>
      <c r="PF18" s="49" t="s">
        <v>59</v>
      </c>
      <c r="PG18" s="49" t="s">
        <v>59</v>
      </c>
      <c r="PH18" s="49" t="s">
        <v>59</v>
      </c>
      <c r="PI18" s="49" t="s">
        <v>59</v>
      </c>
      <c r="PJ18" s="49" t="s">
        <v>59</v>
      </c>
      <c r="PK18" s="49" t="s">
        <v>59</v>
      </c>
      <c r="PL18" s="49" t="s">
        <v>59</v>
      </c>
      <c r="PM18" s="49" t="s">
        <v>59</v>
      </c>
      <c r="PN18" s="49" t="s">
        <v>59</v>
      </c>
      <c r="PO18" s="49" t="s">
        <v>59</v>
      </c>
      <c r="PP18" s="49" t="s">
        <v>59</v>
      </c>
      <c r="PQ18" s="49" t="s">
        <v>59</v>
      </c>
      <c r="PR18" s="49" t="s">
        <v>59</v>
      </c>
      <c r="PS18" s="49" t="s">
        <v>59</v>
      </c>
      <c r="PT18" s="49" t="s">
        <v>59</v>
      </c>
      <c r="PU18" s="49" t="s">
        <v>59</v>
      </c>
      <c r="PV18" s="49" t="s">
        <v>59</v>
      </c>
      <c r="PW18" s="49" t="s">
        <v>59</v>
      </c>
      <c r="PX18" s="49" t="s">
        <v>59</v>
      </c>
      <c r="PY18" s="49" t="s">
        <v>59</v>
      </c>
      <c r="PZ18" s="49" t="s">
        <v>59</v>
      </c>
      <c r="QA18" s="49" t="s">
        <v>59</v>
      </c>
      <c r="QB18" s="49"/>
      <c r="QC18" s="49" t="s">
        <v>59</v>
      </c>
      <c r="QD18" s="49" t="s">
        <v>59</v>
      </c>
      <c r="QE18" s="49" t="s">
        <v>59</v>
      </c>
      <c r="QF18" s="49" t="s">
        <v>59</v>
      </c>
      <c r="QG18" s="49" t="s">
        <v>59</v>
      </c>
      <c r="QH18" s="49" t="s">
        <v>59</v>
      </c>
      <c r="QI18" s="49" t="s">
        <v>59</v>
      </c>
      <c r="QJ18" s="49" t="s">
        <v>59</v>
      </c>
      <c r="QK18" s="49" t="s">
        <v>59</v>
      </c>
      <c r="QL18" s="49" t="s">
        <v>59</v>
      </c>
      <c r="QM18" s="49" t="s">
        <v>59</v>
      </c>
      <c r="QN18" s="49" t="s">
        <v>59</v>
      </c>
      <c r="QO18" s="49" t="s">
        <v>59</v>
      </c>
      <c r="QP18" s="49" t="s">
        <v>59</v>
      </c>
      <c r="QQ18" s="49" t="s">
        <v>59</v>
      </c>
      <c r="QR18" s="49" t="s">
        <v>59</v>
      </c>
      <c r="QS18" s="49" t="s">
        <v>59</v>
      </c>
      <c r="QT18" s="49" t="s">
        <v>59</v>
      </c>
      <c r="QU18" s="49" t="s">
        <v>59</v>
      </c>
      <c r="QV18" s="49" t="s">
        <v>59</v>
      </c>
      <c r="QW18" s="49" t="s">
        <v>59</v>
      </c>
      <c r="QX18" s="49" t="s">
        <v>59</v>
      </c>
      <c r="QY18" s="49" t="s">
        <v>59</v>
      </c>
      <c r="QZ18" s="49" t="s">
        <v>59</v>
      </c>
      <c r="RA18" s="49" t="s">
        <v>59</v>
      </c>
      <c r="RB18" s="49" t="s">
        <v>59</v>
      </c>
      <c r="RC18" s="49"/>
      <c r="RD18" s="49"/>
      <c r="RE18" s="49"/>
      <c r="RF18" s="49"/>
      <c r="RG18" s="49"/>
      <c r="RH18" s="49"/>
      <c r="RI18" s="49"/>
      <c r="RJ18" s="49"/>
      <c r="RK18" s="49"/>
      <c r="RL18" s="49"/>
      <c r="RM18" s="49"/>
      <c r="RN18" s="49"/>
      <c r="RO18" s="49" t="s">
        <v>59</v>
      </c>
      <c r="RP18" s="49"/>
      <c r="RQ18" s="49"/>
      <c r="RR18" s="49"/>
      <c r="RS18" s="49" t="s">
        <v>20</v>
      </c>
      <c r="RT18" s="49" t="s">
        <v>59</v>
      </c>
      <c r="RU18" s="49" t="s">
        <v>59</v>
      </c>
      <c r="RV18" s="49" t="s">
        <v>59</v>
      </c>
      <c r="RW18" s="49" t="s">
        <v>59</v>
      </c>
      <c r="RX18" s="49" t="s">
        <v>59</v>
      </c>
      <c r="RY18" s="49" t="s">
        <v>59</v>
      </c>
      <c r="RZ18" s="49" t="s">
        <v>59</v>
      </c>
      <c r="SA18" s="49" t="s">
        <v>59</v>
      </c>
      <c r="SB18" s="49"/>
      <c r="SC18" s="49"/>
      <c r="SD18" s="49"/>
      <c r="SE18" s="49"/>
      <c r="SF18" s="49"/>
      <c r="SG18" s="49"/>
      <c r="SH18" s="49"/>
      <c r="SI18" s="49"/>
      <c r="SJ18" s="49"/>
      <c r="SK18" s="49"/>
      <c r="SL18" s="49"/>
      <c r="SM18" s="49"/>
      <c r="SN18" s="49"/>
      <c r="SO18" s="49"/>
      <c r="SP18" s="49"/>
      <c r="SQ18" s="49"/>
      <c r="SR18" s="49" t="s">
        <v>59</v>
      </c>
      <c r="SS18" s="49" t="s">
        <v>59</v>
      </c>
      <c r="ST18" s="49" t="s">
        <v>59</v>
      </c>
      <c r="SU18" s="49" t="s">
        <v>59</v>
      </c>
      <c r="SV18" s="49" t="s">
        <v>59</v>
      </c>
      <c r="SW18" s="49" t="s">
        <v>59</v>
      </c>
      <c r="SX18" s="49" t="s">
        <v>59</v>
      </c>
      <c r="SY18" s="49" t="s">
        <v>59</v>
      </c>
      <c r="SZ18" s="49" t="s">
        <v>59</v>
      </c>
      <c r="TA18" s="49"/>
      <c r="TB18" s="49"/>
      <c r="TC18" s="49"/>
      <c r="TD18" s="49"/>
      <c r="TE18" s="49"/>
      <c r="TF18" s="49"/>
      <c r="TG18" s="49"/>
      <c r="TH18" s="49"/>
      <c r="TI18" s="49"/>
      <c r="TJ18" s="49" t="s">
        <v>13</v>
      </c>
      <c r="TK18" s="408" t="s">
        <v>13</v>
      </c>
      <c r="TL18" s="408"/>
      <c r="TM18" s="408"/>
      <c r="TN18" s="408"/>
      <c r="TO18" s="408"/>
      <c r="TP18" s="408" t="s">
        <v>13</v>
      </c>
      <c r="TQ18" s="49"/>
      <c r="TR18" s="49" t="s">
        <v>13</v>
      </c>
      <c r="TS18" s="49" t="s">
        <v>13</v>
      </c>
      <c r="TT18" s="49" t="s">
        <v>13</v>
      </c>
      <c r="TU18" s="49" t="s">
        <v>13</v>
      </c>
      <c r="TV18" s="49" t="s">
        <v>13</v>
      </c>
      <c r="TW18" s="49" t="s">
        <v>20</v>
      </c>
      <c r="TX18" s="49" t="s">
        <v>59</v>
      </c>
      <c r="TY18" s="49" t="s">
        <v>59</v>
      </c>
      <c r="TZ18" s="49" t="s">
        <v>59</v>
      </c>
      <c r="UA18" s="49" t="s">
        <v>59</v>
      </c>
      <c r="UB18" s="49" t="s">
        <v>59</v>
      </c>
      <c r="UC18" s="49" t="s">
        <v>59</v>
      </c>
      <c r="UD18" s="49" t="s">
        <v>59</v>
      </c>
      <c r="UE18" s="49" t="s">
        <v>59</v>
      </c>
      <c r="UF18" s="49"/>
      <c r="UG18" s="49" t="s">
        <v>59</v>
      </c>
      <c r="UH18" s="49" t="s">
        <v>59</v>
      </c>
      <c r="UI18" s="49" t="s">
        <v>20</v>
      </c>
      <c r="UJ18" s="49"/>
      <c r="UK18" s="49"/>
      <c r="UL18" s="49" t="s">
        <v>59</v>
      </c>
      <c r="UM18" s="49" t="s">
        <v>59</v>
      </c>
      <c r="UN18" s="49" t="s">
        <v>20</v>
      </c>
      <c r="UO18" s="49" t="s">
        <v>59</v>
      </c>
      <c r="UP18" s="49" t="s">
        <v>59</v>
      </c>
      <c r="UQ18" s="49"/>
      <c r="UR18" s="49"/>
      <c r="US18" s="49" t="s">
        <v>59</v>
      </c>
      <c r="UT18" s="49" t="s">
        <v>59</v>
      </c>
      <c r="UU18" s="49" t="s">
        <v>59</v>
      </c>
      <c r="UV18" s="49"/>
      <c r="UW18" s="49"/>
      <c r="UX18" s="49"/>
      <c r="UY18" s="49" t="s">
        <v>59</v>
      </c>
      <c r="UZ18" s="49" t="s">
        <v>20</v>
      </c>
      <c r="VA18" s="49" t="s">
        <v>59</v>
      </c>
      <c r="VB18" s="49"/>
      <c r="VC18" s="49"/>
      <c r="VD18" s="49"/>
      <c r="VE18" s="49"/>
      <c r="VF18" s="49"/>
      <c r="VG18" s="49"/>
      <c r="VH18" s="49"/>
      <c r="VI18" s="49"/>
      <c r="VJ18" s="49"/>
      <c r="VK18" s="93"/>
      <c r="VL18" s="93"/>
      <c r="VM18" s="93"/>
      <c r="VN18" s="93"/>
      <c r="VO18" s="93"/>
      <c r="VP18" s="93"/>
      <c r="VQ18" s="93"/>
      <c r="VR18" s="93"/>
      <c r="VS18" s="93"/>
      <c r="VT18" s="93"/>
      <c r="VU18" s="93"/>
      <c r="VV18" s="93"/>
      <c r="VW18" s="93"/>
      <c r="VX18" s="49"/>
      <c r="VY18" s="49"/>
      <c r="VZ18" s="49"/>
      <c r="WA18" s="72"/>
      <c r="WB18" s="72"/>
      <c r="WC18" s="72"/>
      <c r="WD18" s="72"/>
      <c r="WE18" s="49"/>
      <c r="WF18" s="49"/>
      <c r="WG18" s="49"/>
      <c r="WH18" s="49"/>
      <c r="WI18" s="49"/>
      <c r="WJ18" s="49"/>
      <c r="WK18" s="49"/>
      <c r="WL18" s="49"/>
      <c r="WM18" s="49"/>
      <c r="WN18" s="49"/>
      <c r="WO18" s="49"/>
      <c r="WP18" s="49"/>
      <c r="WQ18" s="49"/>
      <c r="WR18" s="49"/>
      <c r="WS18" s="49"/>
      <c r="WT18" s="49"/>
      <c r="WU18" s="49"/>
      <c r="WV18" s="49"/>
      <c r="WW18" s="49"/>
      <c r="WX18" s="49"/>
      <c r="WY18" s="49"/>
      <c r="WZ18" s="49"/>
      <c r="XA18" s="49"/>
      <c r="XB18" s="49"/>
      <c r="XC18" s="49"/>
      <c r="XD18" s="49"/>
      <c r="XE18" s="49"/>
      <c r="XF18" s="49"/>
      <c r="XG18" s="49"/>
      <c r="XH18" s="49"/>
      <c r="XI18" s="49"/>
      <c r="XJ18" s="49"/>
      <c r="XK18" s="49"/>
      <c r="XL18" s="49"/>
      <c r="XM18" s="49"/>
      <c r="XN18" s="49"/>
      <c r="XO18" s="49"/>
      <c r="XP18" s="49"/>
      <c r="XQ18" s="49"/>
      <c r="XR18" s="49"/>
      <c r="XS18" s="49"/>
      <c r="XT18" s="49"/>
      <c r="XU18" s="49"/>
      <c r="XV18" s="49"/>
      <c r="XW18" s="49"/>
      <c r="XX18" s="49"/>
      <c r="XY18" s="49"/>
      <c r="XZ18" s="49"/>
      <c r="YA18" s="49"/>
      <c r="YB18" s="49"/>
      <c r="YC18" s="49"/>
      <c r="YD18" s="49"/>
      <c r="YE18" s="49"/>
      <c r="YF18" s="49"/>
      <c r="YG18" s="49"/>
      <c r="YH18" s="49"/>
      <c r="YI18" s="49"/>
      <c r="YJ18" s="49"/>
      <c r="YK18" s="49"/>
      <c r="YL18" s="49"/>
      <c r="YM18" s="49"/>
      <c r="YN18" s="49"/>
      <c r="YO18" s="49"/>
      <c r="YP18" s="49"/>
      <c r="YQ18" s="49"/>
      <c r="YR18" s="49"/>
      <c r="YS18" s="49"/>
      <c r="YT18" s="49"/>
      <c r="YU18" s="49"/>
      <c r="YV18" s="49"/>
      <c r="YW18" s="49"/>
      <c r="YX18" s="49"/>
      <c r="YY18" s="49"/>
      <c r="YZ18" s="49"/>
      <c r="ZA18" s="49"/>
      <c r="ZB18" s="49"/>
      <c r="ZC18" s="49" t="s">
        <v>13</v>
      </c>
      <c r="ZD18" s="49" t="s">
        <v>13</v>
      </c>
      <c r="ZE18" s="49" t="s">
        <v>13</v>
      </c>
      <c r="ZF18" s="49" t="s">
        <v>13</v>
      </c>
      <c r="ZG18" s="49" t="s">
        <v>13</v>
      </c>
      <c r="ZH18" s="49" t="s">
        <v>59</v>
      </c>
      <c r="ZI18" s="49" t="s">
        <v>13</v>
      </c>
      <c r="ZJ18" s="49" t="s">
        <v>13</v>
      </c>
      <c r="ZK18" s="49" t="s">
        <v>13</v>
      </c>
      <c r="ZL18" s="49" t="s">
        <v>13</v>
      </c>
      <c r="ZM18" s="49" t="s">
        <v>13</v>
      </c>
      <c r="ZN18" s="49" t="s">
        <v>13</v>
      </c>
      <c r="ZO18" s="49" t="s">
        <v>20</v>
      </c>
      <c r="ZP18" s="49" t="s">
        <v>13</v>
      </c>
      <c r="ZQ18" s="49" t="s">
        <v>20</v>
      </c>
      <c r="ZR18" s="49" t="s">
        <v>20</v>
      </c>
      <c r="ZS18" s="49" t="s">
        <v>20</v>
      </c>
      <c r="ZT18" s="49" t="s">
        <v>20</v>
      </c>
      <c r="ZU18" s="49" t="s">
        <v>59</v>
      </c>
      <c r="ZV18" s="49" t="s">
        <v>13</v>
      </c>
      <c r="ZW18" s="49"/>
      <c r="ZX18" s="49"/>
      <c r="ZY18" s="49"/>
      <c r="ZZ18" s="122"/>
      <c r="AAA18" s="49"/>
      <c r="AAB18" s="49"/>
      <c r="AAC18" s="49"/>
      <c r="AAD18" s="49"/>
    </row>
    <row r="19" spans="1:706" s="26" customFormat="1" ht="12.1" customHeight="1" x14ac:dyDescent="0.25">
      <c r="A19" s="195" t="s">
        <v>377</v>
      </c>
      <c r="B19" s="196" t="s">
        <v>263</v>
      </c>
      <c r="C19" s="196" t="s">
        <v>1</v>
      </c>
      <c r="D19" s="196" t="s">
        <v>2</v>
      </c>
      <c r="E19" s="197" t="s">
        <v>3</v>
      </c>
      <c r="F19" s="197" t="s">
        <v>379</v>
      </c>
      <c r="G19" s="197" t="s">
        <v>122</v>
      </c>
      <c r="H19" s="197" t="s">
        <v>234</v>
      </c>
      <c r="I19" s="197" t="s">
        <v>77</v>
      </c>
      <c r="J19" s="198" t="s">
        <v>4</v>
      </c>
      <c r="K19" s="198" t="s">
        <v>5</v>
      </c>
      <c r="L19" s="198"/>
      <c r="M19" s="198" t="s">
        <v>71</v>
      </c>
      <c r="N19" s="198" t="s">
        <v>72</v>
      </c>
      <c r="O19" s="198" t="s">
        <v>73</v>
      </c>
      <c r="P19" s="198" t="s">
        <v>102</v>
      </c>
      <c r="Q19" s="198" t="s">
        <v>103</v>
      </c>
      <c r="R19" s="198" t="s">
        <v>104</v>
      </c>
      <c r="S19" s="198" t="s">
        <v>105</v>
      </c>
      <c r="T19" s="198" t="s">
        <v>110</v>
      </c>
      <c r="U19" s="198" t="s">
        <v>8</v>
      </c>
      <c r="V19" s="198" t="s">
        <v>9</v>
      </c>
      <c r="W19" s="198" t="s">
        <v>106</v>
      </c>
      <c r="X19" s="198" t="s">
        <v>21</v>
      </c>
      <c r="Y19" s="198" t="s">
        <v>254</v>
      </c>
      <c r="Z19" s="198" t="s">
        <v>6</v>
      </c>
      <c r="AA19" s="198" t="s">
        <v>7</v>
      </c>
      <c r="AB19" s="198" t="s">
        <v>107</v>
      </c>
      <c r="AC19" s="198" t="s">
        <v>600</v>
      </c>
      <c r="AD19" s="198" t="s">
        <v>601</v>
      </c>
      <c r="AE19" s="198" t="s">
        <v>602</v>
      </c>
      <c r="AF19" s="198" t="s">
        <v>603</v>
      </c>
      <c r="AG19" s="198" t="s">
        <v>604</v>
      </c>
      <c r="AH19" s="198" t="s">
        <v>605</v>
      </c>
      <c r="AI19" s="198" t="s">
        <v>606</v>
      </c>
      <c r="AJ19" s="198" t="s">
        <v>607</v>
      </c>
      <c r="AK19" s="198" t="s">
        <v>608</v>
      </c>
      <c r="AL19" s="198" t="s">
        <v>609</v>
      </c>
      <c r="AM19" s="198"/>
      <c r="AN19" s="198" t="s">
        <v>610</v>
      </c>
      <c r="AO19" s="198" t="s">
        <v>611</v>
      </c>
      <c r="AP19" s="198" t="s">
        <v>612</v>
      </c>
      <c r="AQ19" s="198" t="s">
        <v>614</v>
      </c>
      <c r="AR19" s="198" t="s">
        <v>1213</v>
      </c>
      <c r="AS19" s="198" t="s">
        <v>1214</v>
      </c>
      <c r="AT19" s="198" t="s">
        <v>1215</v>
      </c>
      <c r="AU19" s="198" t="s">
        <v>1216</v>
      </c>
      <c r="AV19" s="198" t="s">
        <v>1217</v>
      </c>
      <c r="AW19" s="198" t="s">
        <v>1218</v>
      </c>
      <c r="AX19" s="198" t="s">
        <v>1219</v>
      </c>
      <c r="AY19" s="198" t="s">
        <v>1220</v>
      </c>
      <c r="AZ19" s="198" t="s">
        <v>1221</v>
      </c>
      <c r="BA19" s="198" t="s">
        <v>1222</v>
      </c>
      <c r="BB19" s="198" t="s">
        <v>1223</v>
      </c>
      <c r="BC19" s="198" t="s">
        <v>19</v>
      </c>
      <c r="BD19" s="198" t="s">
        <v>22</v>
      </c>
      <c r="BE19" s="198" t="s">
        <v>1224</v>
      </c>
      <c r="BF19" s="198" t="s">
        <v>1225</v>
      </c>
      <c r="BG19" s="198" t="s">
        <v>23</v>
      </c>
      <c r="BH19" s="198" t="s">
        <v>117</v>
      </c>
      <c r="BI19" s="198" t="s">
        <v>867</v>
      </c>
      <c r="BJ19" s="198" t="s">
        <v>126</v>
      </c>
      <c r="BK19" s="198" t="s">
        <v>75</v>
      </c>
      <c r="BL19" s="198" t="s">
        <v>108</v>
      </c>
      <c r="BM19" s="198" t="s">
        <v>109</v>
      </c>
      <c r="BN19" s="198" t="s">
        <v>259</v>
      </c>
      <c r="BO19" s="198" t="s">
        <v>260</v>
      </c>
      <c r="BP19" s="198" t="s">
        <v>1022</v>
      </c>
      <c r="BQ19" s="198" t="s">
        <v>695</v>
      </c>
      <c r="BR19" s="198" t="s">
        <v>697</v>
      </c>
      <c r="BS19" s="198" t="s">
        <v>698</v>
      </c>
      <c r="BT19" s="198" t="s">
        <v>692</v>
      </c>
      <c r="BU19" s="198"/>
      <c r="BV19" s="198"/>
      <c r="BW19" s="198"/>
      <c r="BX19" s="198"/>
      <c r="BY19" s="198"/>
      <c r="BZ19" s="198"/>
      <c r="CA19" s="198"/>
      <c r="CB19" s="198"/>
      <c r="CC19" s="198"/>
      <c r="CD19" s="198"/>
      <c r="CE19" s="198"/>
      <c r="CF19" s="198"/>
      <c r="CG19" s="198"/>
      <c r="CH19" s="198"/>
      <c r="CI19" s="198" t="s">
        <v>1226</v>
      </c>
      <c r="CJ19" s="198" t="s">
        <v>1227</v>
      </c>
      <c r="CK19" s="198" t="s">
        <v>883</v>
      </c>
      <c r="CL19" s="198" t="s">
        <v>70</v>
      </c>
      <c r="CM19" s="198" t="s">
        <v>1228</v>
      </c>
      <c r="CN19" s="198" t="s">
        <v>34</v>
      </c>
      <c r="CO19" s="198" t="s">
        <v>35</v>
      </c>
      <c r="CP19" s="198" t="s">
        <v>144</v>
      </c>
      <c r="CQ19" s="198" t="s">
        <v>96</v>
      </c>
      <c r="CR19" s="198" t="s">
        <v>41</v>
      </c>
      <c r="CS19" s="198" t="s">
        <v>127</v>
      </c>
      <c r="CT19" s="198" t="s">
        <v>142</v>
      </c>
      <c r="CU19" s="198" t="s">
        <v>95</v>
      </c>
      <c r="CV19" s="198" t="s">
        <v>39</v>
      </c>
      <c r="CW19" s="198" t="s">
        <v>143</v>
      </c>
      <c r="CX19" s="198" t="s">
        <v>36</v>
      </c>
      <c r="CY19" s="198" t="s">
        <v>37</v>
      </c>
      <c r="CZ19" s="198" t="s">
        <v>56</v>
      </c>
      <c r="DA19" s="198"/>
      <c r="DB19" s="198"/>
      <c r="DC19" s="198" t="s">
        <v>135</v>
      </c>
      <c r="DD19" s="198" t="s">
        <v>868</v>
      </c>
      <c r="DE19" s="198"/>
      <c r="DF19" s="198" t="s">
        <v>136</v>
      </c>
      <c r="DG19" s="198" t="s">
        <v>208</v>
      </c>
      <c r="DH19" s="198" t="s">
        <v>301</v>
      </c>
      <c r="DI19" s="198"/>
      <c r="DJ19" s="198" t="s">
        <v>1229</v>
      </c>
      <c r="DK19" s="198" t="s">
        <v>1230</v>
      </c>
      <c r="DL19" s="198" t="s">
        <v>1231</v>
      </c>
      <c r="DM19" s="198"/>
      <c r="DN19" s="198" t="s">
        <v>128</v>
      </c>
      <c r="DO19" s="198" t="s">
        <v>40</v>
      </c>
      <c r="DP19" s="198" t="s">
        <v>38</v>
      </c>
      <c r="DQ19" s="198" t="s">
        <v>93</v>
      </c>
      <c r="DR19" s="198"/>
      <c r="DS19" s="198" t="s">
        <v>679</v>
      </c>
      <c r="DT19" s="198" t="s">
        <v>1014</v>
      </c>
      <c r="DU19" s="198" t="s">
        <v>64</v>
      </c>
      <c r="DV19" s="198" t="s">
        <v>65</v>
      </c>
      <c r="DW19" s="199" t="s">
        <v>1232</v>
      </c>
      <c r="DX19" s="198" t="s">
        <v>179</v>
      </c>
      <c r="DY19" s="198" t="s">
        <v>845</v>
      </c>
      <c r="DZ19" s="198" t="s">
        <v>192</v>
      </c>
      <c r="EA19" s="199"/>
      <c r="EB19" s="199"/>
      <c r="EC19" s="199"/>
      <c r="ED19" s="199"/>
      <c r="EE19" s="198" t="s">
        <v>46</v>
      </c>
      <c r="EF19" s="198" t="s">
        <v>1233</v>
      </c>
      <c r="EG19" s="198" t="s">
        <v>42</v>
      </c>
      <c r="EH19" s="198" t="s">
        <v>37</v>
      </c>
      <c r="EI19" s="198" t="s">
        <v>44</v>
      </c>
      <c r="EJ19" s="198"/>
      <c r="EK19" s="198" t="s">
        <v>36</v>
      </c>
      <c r="EL19" s="198" t="s">
        <v>384</v>
      </c>
      <c r="EM19" s="198" t="s">
        <v>63</v>
      </c>
      <c r="EN19" s="198" t="s">
        <v>113</v>
      </c>
      <c r="EO19" s="198" t="s">
        <v>268</v>
      </c>
      <c r="EP19" s="198" t="s">
        <v>101</v>
      </c>
      <c r="EQ19" s="198" t="s">
        <v>269</v>
      </c>
      <c r="ER19" s="198" t="s">
        <v>590</v>
      </c>
      <c r="ES19" s="198" t="s">
        <v>599</v>
      </c>
      <c r="ET19" s="198" t="s">
        <v>24</v>
      </c>
      <c r="EU19" s="198" t="s">
        <v>26</v>
      </c>
      <c r="EV19" s="198" t="s">
        <v>28</v>
      </c>
      <c r="EW19" s="198" t="s">
        <v>25</v>
      </c>
      <c r="EX19" s="198" t="s">
        <v>27</v>
      </c>
      <c r="EY19" s="198" t="s">
        <v>29</v>
      </c>
      <c r="EZ19" s="198" t="s">
        <v>488</v>
      </c>
      <c r="FA19" s="198" t="s">
        <v>598</v>
      </c>
      <c r="FB19" s="198" t="s">
        <v>489</v>
      </c>
      <c r="FC19" s="198" t="s">
        <v>506</v>
      </c>
      <c r="FD19" s="198" t="s">
        <v>507</v>
      </c>
      <c r="FE19" s="198" t="s">
        <v>508</v>
      </c>
      <c r="FF19" s="198" t="s">
        <v>681</v>
      </c>
      <c r="FG19" s="198" t="s">
        <v>682</v>
      </c>
      <c r="FH19" s="198" t="s">
        <v>30</v>
      </c>
      <c r="FI19" s="198" t="s">
        <v>32</v>
      </c>
      <c r="FJ19" s="198" t="s">
        <v>33</v>
      </c>
      <c r="FK19" s="198" t="s">
        <v>270</v>
      </c>
      <c r="FL19" s="198"/>
      <c r="FM19" s="198" t="s">
        <v>271</v>
      </c>
      <c r="FN19" s="198" t="s">
        <v>277</v>
      </c>
      <c r="FO19" s="198"/>
      <c r="FP19" s="198"/>
      <c r="FQ19" s="198" t="s">
        <v>1234</v>
      </c>
      <c r="FR19" s="198" t="s">
        <v>1235</v>
      </c>
      <c r="FS19" s="198" t="s">
        <v>1236</v>
      </c>
      <c r="FT19" s="198" t="s">
        <v>1237</v>
      </c>
      <c r="FU19" s="198" t="s">
        <v>688</v>
      </c>
      <c r="FV19" s="198" t="s">
        <v>1238</v>
      </c>
      <c r="FW19" s="198"/>
      <c r="FX19" s="198"/>
      <c r="FY19" s="198"/>
      <c r="FZ19" s="198"/>
      <c r="GA19" s="198" t="s">
        <v>1055</v>
      </c>
      <c r="GB19" s="198"/>
      <c r="GC19" s="198" t="s">
        <v>1239</v>
      </c>
      <c r="GD19" s="198"/>
      <c r="GE19" s="198"/>
      <c r="GF19" s="198"/>
      <c r="GG19" s="198"/>
      <c r="GH19" s="198" t="s">
        <v>284</v>
      </c>
      <c r="GI19" s="198" t="s">
        <v>216</v>
      </c>
      <c r="GJ19" s="198"/>
      <c r="GK19" s="198"/>
      <c r="GL19" s="198"/>
      <c r="GM19" s="198" t="s">
        <v>429</v>
      </c>
      <c r="GN19" s="198"/>
      <c r="GO19" s="198" t="s">
        <v>188</v>
      </c>
      <c r="GP19" s="198" t="s">
        <v>395</v>
      </c>
      <c r="GQ19" s="198"/>
      <c r="GR19" s="198" t="s">
        <v>399</v>
      </c>
      <c r="GS19" s="198"/>
      <c r="GT19" s="198"/>
      <c r="GU19" s="198" t="s">
        <v>866</v>
      </c>
      <c r="GV19" s="198" t="s">
        <v>1240</v>
      </c>
      <c r="GW19" s="198" t="s">
        <v>1241</v>
      </c>
      <c r="GX19" s="198" t="s">
        <v>1242</v>
      </c>
      <c r="GY19" s="198"/>
      <c r="GZ19" s="198"/>
      <c r="HA19" s="198"/>
      <c r="HB19" s="198"/>
      <c r="HC19" s="198"/>
      <c r="HD19" s="198" t="s">
        <v>257</v>
      </c>
      <c r="HE19" s="198" t="s">
        <v>1243</v>
      </c>
      <c r="HF19" s="198"/>
      <c r="HG19" s="198" t="s">
        <v>404</v>
      </c>
      <c r="HH19" s="198" t="s">
        <v>408</v>
      </c>
      <c r="HI19" s="198"/>
      <c r="HJ19" s="198" t="s">
        <v>414</v>
      </c>
      <c r="HK19" s="198" t="s">
        <v>418</v>
      </c>
      <c r="HL19" s="198"/>
      <c r="HM19" s="198"/>
      <c r="HN19" s="198" t="s">
        <v>422</v>
      </c>
      <c r="HO19" s="198"/>
      <c r="HP19" s="198" t="s">
        <v>426</v>
      </c>
      <c r="HQ19" s="198" t="s">
        <v>1641</v>
      </c>
      <c r="HR19" s="198" t="s">
        <v>1642</v>
      </c>
      <c r="HS19" s="198" t="s">
        <v>432</v>
      </c>
      <c r="HT19" s="198" t="s">
        <v>1643</v>
      </c>
      <c r="HU19" s="198"/>
      <c r="HV19" s="198"/>
      <c r="HW19" s="198"/>
      <c r="HX19" s="485"/>
      <c r="HY19" s="485"/>
      <c r="HZ19" s="200"/>
      <c r="IA19" s="200"/>
      <c r="IB19" s="200" t="s">
        <v>227</v>
      </c>
      <c r="IC19" s="199" t="s">
        <v>1247</v>
      </c>
      <c r="ID19" s="198"/>
      <c r="IE19" s="198"/>
      <c r="IF19" s="198"/>
      <c r="IG19" s="198"/>
      <c r="IH19" s="198"/>
      <c r="II19" s="198"/>
      <c r="IJ19" s="198"/>
      <c r="IK19" s="486"/>
      <c r="IL19" s="198"/>
      <c r="IM19" s="198"/>
      <c r="IN19" s="198"/>
      <c r="IO19" s="198" t="s">
        <v>1644</v>
      </c>
      <c r="IP19" s="198"/>
      <c r="IQ19" s="198" t="s">
        <v>1645</v>
      </c>
      <c r="IR19" s="198" t="s">
        <v>1646</v>
      </c>
      <c r="IS19" s="198" t="s">
        <v>1647</v>
      </c>
      <c r="IT19" s="198"/>
      <c r="IU19" s="198"/>
      <c r="IV19" s="199"/>
      <c r="IW19" s="199"/>
      <c r="IX19" s="198"/>
      <c r="IY19" s="199"/>
      <c r="IZ19" s="199"/>
      <c r="JA19" s="199"/>
      <c r="JB19" s="198"/>
      <c r="JC19" s="198"/>
      <c r="JD19" s="199"/>
      <c r="JE19" s="199"/>
      <c r="JF19" s="486"/>
      <c r="JG19" s="198"/>
      <c r="JH19" s="198" t="s">
        <v>182</v>
      </c>
      <c r="JI19" s="486"/>
      <c r="JJ19" s="198"/>
      <c r="JK19" s="486"/>
      <c r="JL19" s="198"/>
      <c r="JM19" s="486"/>
      <c r="JN19" s="198"/>
      <c r="JO19" s="198" t="s">
        <v>494</v>
      </c>
      <c r="JP19" s="198" t="s">
        <v>502</v>
      </c>
      <c r="JQ19" s="198"/>
      <c r="JR19" s="198"/>
      <c r="JS19" s="198"/>
      <c r="JT19" s="198" t="s">
        <v>498</v>
      </c>
      <c r="JU19" s="198"/>
      <c r="JV19" s="199"/>
      <c r="JW19" s="199"/>
      <c r="JX19" s="199"/>
      <c r="JY19" s="201"/>
      <c r="JZ19" s="201"/>
      <c r="KA19" s="201"/>
      <c r="KB19" s="201"/>
      <c r="KC19" s="201"/>
      <c r="KD19" s="201"/>
      <c r="KE19" s="201"/>
      <c r="KF19" s="201"/>
      <c r="KG19" s="201"/>
      <c r="KH19" s="201"/>
      <c r="KI19" s="201"/>
      <c r="KJ19" s="201"/>
      <c r="KK19" s="201"/>
      <c r="KL19" s="201"/>
      <c r="KM19" s="201"/>
      <c r="KN19" s="201"/>
      <c r="KO19" s="201"/>
      <c r="KP19" s="201"/>
      <c r="KQ19" s="201"/>
      <c r="KR19" s="201"/>
      <c r="KS19" s="201"/>
      <c r="KT19" s="201"/>
      <c r="KU19" s="201"/>
      <c r="KV19" s="201"/>
      <c r="KW19" s="201"/>
      <c r="KX19" s="201"/>
      <c r="KY19" s="201"/>
      <c r="KZ19" s="201"/>
      <c r="LA19" s="198"/>
      <c r="LB19" s="201"/>
      <c r="LC19" s="485"/>
      <c r="LD19" s="485"/>
      <c r="LE19" s="201"/>
      <c r="LF19" s="201"/>
      <c r="LG19" s="201"/>
      <c r="LH19" s="201"/>
      <c r="LI19" s="201"/>
      <c r="LJ19" s="201"/>
      <c r="LK19" s="201"/>
      <c r="LL19" s="201"/>
      <c r="LM19" s="201"/>
      <c r="LN19" s="201"/>
      <c r="LO19" s="201"/>
      <c r="LP19" s="201"/>
      <c r="LQ19" s="201"/>
      <c r="LR19" s="201"/>
      <c r="LS19" s="201"/>
      <c r="LT19" s="201"/>
      <c r="LU19" s="201"/>
      <c r="LV19" s="201"/>
      <c r="LW19" s="201"/>
      <c r="LX19" s="201"/>
      <c r="LY19" s="201"/>
      <c r="LZ19" s="201"/>
      <c r="MA19" s="201"/>
      <c r="MB19" s="201"/>
      <c r="MC19" s="201"/>
      <c r="MD19" s="201"/>
      <c r="ME19" s="201"/>
      <c r="MF19" s="201"/>
      <c r="MG19" s="201"/>
      <c r="MH19" s="201"/>
      <c r="MI19" s="201"/>
      <c r="MJ19" s="201"/>
      <c r="MK19" s="201"/>
      <c r="ML19" s="201"/>
      <c r="MM19" s="201"/>
      <c r="MN19" s="201"/>
      <c r="MO19" s="201"/>
      <c r="MP19" s="201"/>
      <c r="MQ19" s="201"/>
      <c r="MR19" s="201"/>
      <c r="MS19" s="201"/>
      <c r="MT19" s="201"/>
      <c r="MU19" s="201"/>
      <c r="MV19" s="201"/>
      <c r="MW19" s="201"/>
      <c r="MX19" s="201"/>
      <c r="MY19" s="201"/>
      <c r="MZ19" s="201"/>
      <c r="NA19" s="201"/>
      <c r="NB19" s="201"/>
      <c r="NC19" s="202"/>
      <c r="ND19" s="201"/>
      <c r="NE19" s="201"/>
      <c r="NF19" s="201"/>
      <c r="NG19" s="201"/>
      <c r="NH19" s="201"/>
      <c r="NI19" s="201"/>
      <c r="NJ19" s="201"/>
      <c r="NK19" s="198"/>
      <c r="NL19" s="198"/>
      <c r="NM19" s="198"/>
      <c r="NN19" s="198"/>
      <c r="NO19" s="198"/>
      <c r="NP19" s="198"/>
      <c r="NQ19" s="198"/>
      <c r="NR19" s="198"/>
      <c r="NS19" s="198"/>
      <c r="NT19" s="198"/>
      <c r="NU19" s="198"/>
      <c r="NV19" s="198"/>
      <c r="NW19" s="198"/>
      <c r="NX19" s="198"/>
      <c r="NY19" s="198"/>
      <c r="NZ19" s="198"/>
      <c r="OA19" s="198"/>
      <c r="OB19" s="198" t="s">
        <v>1648</v>
      </c>
      <c r="OC19" s="198"/>
      <c r="OD19" s="198"/>
      <c r="OE19" s="198"/>
      <c r="OF19" s="198"/>
      <c r="OG19" s="198"/>
      <c r="OH19" s="198"/>
      <c r="OI19" s="198"/>
      <c r="OJ19" s="198"/>
      <c r="OK19" s="198"/>
      <c r="OL19" s="198" t="s">
        <v>1649</v>
      </c>
      <c r="OM19" s="198"/>
      <c r="ON19" s="198"/>
      <c r="OO19" s="198"/>
      <c r="OP19" s="198"/>
      <c r="OQ19" s="198"/>
      <c r="OR19" s="198"/>
      <c r="OS19" s="198"/>
      <c r="OT19" s="198"/>
      <c r="OU19" s="198" t="s">
        <v>94</v>
      </c>
      <c r="OV19" s="198"/>
      <c r="OW19" s="198" t="s">
        <v>734</v>
      </c>
      <c r="OX19" s="198"/>
      <c r="OY19" s="198" t="s">
        <v>91</v>
      </c>
      <c r="OZ19" s="198" t="s">
        <v>742</v>
      </c>
      <c r="PA19" s="198"/>
      <c r="PB19" s="198" t="s">
        <v>743</v>
      </c>
      <c r="PC19" s="198" t="s">
        <v>92</v>
      </c>
      <c r="PD19" s="198"/>
      <c r="PE19" s="198"/>
      <c r="PF19" s="198"/>
      <c r="PG19" s="198"/>
      <c r="PH19" s="198"/>
      <c r="PI19" s="198"/>
      <c r="PJ19" s="198"/>
      <c r="PK19" s="198"/>
      <c r="PL19" s="198"/>
      <c r="PM19" s="198"/>
      <c r="PN19" s="198"/>
      <c r="PO19" s="198"/>
      <c r="PP19" s="198"/>
      <c r="PQ19" s="198"/>
      <c r="PR19" s="198"/>
      <c r="PS19" s="198"/>
      <c r="PT19" s="198"/>
      <c r="PU19" s="198"/>
      <c r="PV19" s="198"/>
      <c r="PW19" s="198"/>
      <c r="PX19" s="198"/>
      <c r="PY19" s="198"/>
      <c r="PZ19" s="198"/>
      <c r="QA19" s="198"/>
      <c r="QB19" s="198"/>
      <c r="QC19" s="198"/>
      <c r="QD19" s="198"/>
      <c r="QE19" s="198"/>
      <c r="QF19" s="198"/>
      <c r="QG19" s="198"/>
      <c r="QH19" s="198"/>
      <c r="QI19" s="198"/>
      <c r="QJ19" s="198"/>
      <c r="QK19" s="198"/>
      <c r="QL19" s="198"/>
      <c r="QM19" s="198"/>
      <c r="QN19" s="198"/>
      <c r="QO19" s="198"/>
      <c r="QP19" s="198"/>
      <c r="QQ19" s="198"/>
      <c r="QR19" s="198"/>
      <c r="QS19" s="198"/>
      <c r="QT19" s="198"/>
      <c r="QU19" s="198"/>
      <c r="QV19" s="198"/>
      <c r="QW19" s="198"/>
      <c r="QX19" s="198"/>
      <c r="QY19" s="198"/>
      <c r="QZ19" s="198"/>
      <c r="RA19" s="198"/>
      <c r="RB19" s="198"/>
      <c r="RC19" s="198"/>
      <c r="RD19" s="198"/>
      <c r="RE19" s="198"/>
      <c r="RF19" s="198"/>
      <c r="RG19" s="198"/>
      <c r="RH19" s="198"/>
      <c r="RI19" s="198"/>
      <c r="RJ19" s="198"/>
      <c r="RK19" s="198"/>
      <c r="RL19" s="198"/>
      <c r="RM19" s="198"/>
      <c r="RN19" s="198"/>
      <c r="RO19" s="198"/>
      <c r="RP19" s="198"/>
      <c r="RQ19" s="198"/>
      <c r="RR19" s="198"/>
      <c r="RS19" s="198" t="s">
        <v>465</v>
      </c>
      <c r="RT19" s="198"/>
      <c r="RU19" s="198"/>
      <c r="RV19" s="198"/>
      <c r="RW19" s="198"/>
      <c r="RX19" s="198"/>
      <c r="RY19" s="198"/>
      <c r="RZ19" s="198"/>
      <c r="SA19" s="198"/>
      <c r="SB19" s="198"/>
      <c r="SC19" s="198"/>
      <c r="SD19" s="198"/>
      <c r="SE19" s="198"/>
      <c r="SF19" s="198"/>
      <c r="SG19" s="198"/>
      <c r="SH19" s="198"/>
      <c r="SI19" s="198"/>
      <c r="SJ19" s="198"/>
      <c r="SK19" s="198"/>
      <c r="SL19" s="198"/>
      <c r="SM19" s="198"/>
      <c r="SN19" s="198"/>
      <c r="SO19" s="198"/>
      <c r="SP19" s="198"/>
      <c r="SQ19" s="198"/>
      <c r="SR19" s="198"/>
      <c r="SS19" s="198"/>
      <c r="ST19" s="198"/>
      <c r="SU19" s="198"/>
      <c r="SV19" s="198"/>
      <c r="SW19" s="198"/>
      <c r="SX19" s="198"/>
      <c r="SY19" s="198"/>
      <c r="SZ19" s="198"/>
      <c r="TA19" s="198"/>
      <c r="TB19" s="198"/>
      <c r="TC19" s="198"/>
      <c r="TD19" s="198"/>
      <c r="TE19" s="198"/>
      <c r="TF19" s="198"/>
      <c r="TG19" s="198"/>
      <c r="TH19" s="198"/>
      <c r="TI19" s="198"/>
      <c r="TJ19" s="198" t="s">
        <v>1262</v>
      </c>
      <c r="TK19" s="487" t="s">
        <v>1074</v>
      </c>
      <c r="TL19" s="487"/>
      <c r="TM19" s="487"/>
      <c r="TN19" s="487"/>
      <c r="TO19" s="487"/>
      <c r="TP19" s="487" t="s">
        <v>335</v>
      </c>
      <c r="TQ19" s="198"/>
      <c r="TR19" s="198" t="s">
        <v>545</v>
      </c>
      <c r="TS19" s="198" t="s">
        <v>546</v>
      </c>
      <c r="TT19" s="198" t="s">
        <v>547</v>
      </c>
      <c r="TU19" s="198" t="s">
        <v>548</v>
      </c>
      <c r="TV19" s="198" t="s">
        <v>549</v>
      </c>
      <c r="TW19" s="198" t="s">
        <v>1650</v>
      </c>
      <c r="TX19" s="198"/>
      <c r="TY19" s="198"/>
      <c r="TZ19" s="198"/>
      <c r="UA19" s="198"/>
      <c r="UB19" s="198"/>
      <c r="UC19" s="198"/>
      <c r="UD19" s="198"/>
      <c r="UE19" s="198"/>
      <c r="UF19" s="198"/>
      <c r="UG19" s="198"/>
      <c r="UH19" s="198"/>
      <c r="UI19" s="198" t="s">
        <v>446</v>
      </c>
      <c r="UJ19" s="198"/>
      <c r="UK19" s="198"/>
      <c r="UL19" s="198"/>
      <c r="UM19" s="198"/>
      <c r="UN19" s="198" t="s">
        <v>453</v>
      </c>
      <c r="UO19" s="198"/>
      <c r="UP19" s="198"/>
      <c r="UQ19" s="198"/>
      <c r="UR19" s="198"/>
      <c r="US19" s="198"/>
      <c r="UT19" s="198"/>
      <c r="UU19" s="198"/>
      <c r="UV19" s="198"/>
      <c r="UW19" s="198"/>
      <c r="UX19" s="198"/>
      <c r="UY19" s="198"/>
      <c r="UZ19" s="198" t="s">
        <v>470</v>
      </c>
      <c r="VA19" s="198"/>
      <c r="VB19" s="198"/>
      <c r="VC19" s="198"/>
      <c r="VD19" s="198"/>
      <c r="VE19" s="198"/>
      <c r="VF19" s="198"/>
      <c r="VG19" s="198"/>
      <c r="VH19" s="198"/>
      <c r="VI19" s="198"/>
      <c r="VJ19" s="198"/>
      <c r="VK19" s="198"/>
      <c r="VL19" s="198"/>
      <c r="VM19" s="198"/>
      <c r="VN19" s="200"/>
      <c r="VO19" s="200"/>
      <c r="VP19" s="200"/>
      <c r="VQ19" s="200"/>
      <c r="VR19" s="200"/>
      <c r="VS19" s="200"/>
      <c r="VT19" s="200"/>
      <c r="VU19" s="200"/>
      <c r="VV19" s="200"/>
      <c r="VW19" s="200"/>
      <c r="VX19" s="198"/>
      <c r="VY19" s="198"/>
      <c r="VZ19" s="198"/>
      <c r="WA19" s="198"/>
      <c r="WB19" s="198"/>
      <c r="WC19" s="198"/>
      <c r="WD19" s="198"/>
      <c r="WE19" s="198"/>
      <c r="WF19" s="198"/>
      <c r="WG19" s="198"/>
      <c r="WH19" s="198"/>
      <c r="WI19" s="198"/>
      <c r="WJ19" s="198"/>
      <c r="WK19" s="198"/>
      <c r="WL19" s="198"/>
      <c r="WM19" s="198"/>
      <c r="WN19" s="198"/>
      <c r="WO19" s="198"/>
      <c r="WP19" s="198"/>
      <c r="WQ19" s="198"/>
      <c r="WR19" s="198"/>
      <c r="WS19" s="198"/>
      <c r="WT19" s="198"/>
      <c r="WU19" s="198"/>
      <c r="WV19" s="198"/>
      <c r="WW19" s="198"/>
      <c r="WX19" s="198"/>
      <c r="WY19" s="198"/>
      <c r="WZ19" s="198"/>
      <c r="XA19" s="198"/>
      <c r="XB19" s="198"/>
      <c r="XC19" s="198"/>
      <c r="XD19" s="198"/>
      <c r="XE19" s="198"/>
      <c r="XF19" s="198"/>
      <c r="XG19" s="198"/>
      <c r="XH19" s="198"/>
      <c r="XI19" s="198"/>
      <c r="XJ19" s="198"/>
      <c r="XK19" s="198"/>
      <c r="XL19" s="198"/>
      <c r="XM19" s="198"/>
      <c r="XN19" s="198"/>
      <c r="XO19" s="198"/>
      <c r="XP19" s="198"/>
      <c r="XQ19" s="198"/>
      <c r="XR19" s="198"/>
      <c r="XS19" s="198"/>
      <c r="XT19" s="198"/>
      <c r="XU19" s="198"/>
      <c r="XV19" s="198"/>
      <c r="XW19" s="198"/>
      <c r="XX19" s="198"/>
      <c r="XY19" s="198"/>
      <c r="XZ19" s="198"/>
      <c r="YA19" s="198"/>
      <c r="YB19" s="198"/>
      <c r="YC19" s="198"/>
      <c r="YD19" s="198"/>
      <c r="YE19" s="198"/>
      <c r="YF19" s="198"/>
      <c r="YG19" s="198"/>
      <c r="YH19" s="198"/>
      <c r="YI19" s="198"/>
      <c r="YJ19" s="198"/>
      <c r="YK19" s="198"/>
      <c r="YL19" s="198"/>
      <c r="YM19" s="198"/>
      <c r="YN19" s="198"/>
      <c r="YO19" s="198"/>
      <c r="YP19" s="198"/>
      <c r="YQ19" s="198"/>
      <c r="YR19" s="198"/>
      <c r="YS19" s="198"/>
      <c r="YT19" s="198"/>
      <c r="YU19" s="198"/>
      <c r="YV19" s="198"/>
      <c r="YW19" s="198"/>
      <c r="YX19" s="198"/>
      <c r="YY19" s="198"/>
      <c r="YZ19" s="198"/>
      <c r="ZA19" s="198"/>
      <c r="ZB19" s="198"/>
      <c r="ZC19" s="198" t="s">
        <v>204</v>
      </c>
      <c r="ZD19" s="198" t="s">
        <v>205</v>
      </c>
      <c r="ZE19" s="198" t="s">
        <v>802</v>
      </c>
      <c r="ZF19" s="198" t="s">
        <v>801</v>
      </c>
      <c r="ZG19" s="198" t="s">
        <v>1100</v>
      </c>
      <c r="ZH19" s="198"/>
      <c r="ZI19" s="198" t="s">
        <v>800</v>
      </c>
      <c r="ZJ19" s="198" t="s">
        <v>1101</v>
      </c>
      <c r="ZK19" s="198" t="s">
        <v>1102</v>
      </c>
      <c r="ZL19" s="198" t="s">
        <v>1103</v>
      </c>
      <c r="ZM19" s="198" t="s">
        <v>1104</v>
      </c>
      <c r="ZN19" s="198" t="s">
        <v>1105</v>
      </c>
      <c r="ZO19" s="198" t="s">
        <v>1768</v>
      </c>
      <c r="ZP19" s="198" t="s">
        <v>1107</v>
      </c>
      <c r="ZQ19" s="198" t="s">
        <v>1651</v>
      </c>
      <c r="ZR19" s="198" t="s">
        <v>1652</v>
      </c>
      <c r="ZS19" s="198" t="s">
        <v>1653</v>
      </c>
      <c r="ZT19" s="198" t="s">
        <v>1654</v>
      </c>
      <c r="ZU19" s="198"/>
      <c r="ZV19" s="198" t="s">
        <v>807</v>
      </c>
      <c r="ZW19" s="198"/>
      <c r="ZX19" s="198"/>
      <c r="ZY19" s="198"/>
      <c r="ZZ19" s="199"/>
      <c r="AAA19" s="198"/>
      <c r="AAB19" s="198"/>
      <c r="AAC19" s="198"/>
      <c r="AAD19" s="198"/>
    </row>
    <row r="20" spans="1:706" s="94" customFormat="1" x14ac:dyDescent="0.2">
      <c r="A20" s="113" t="s">
        <v>376</v>
      </c>
      <c r="B20" s="49" t="s">
        <v>13</v>
      </c>
      <c r="C20" s="49" t="s">
        <v>13</v>
      </c>
      <c r="D20" s="49" t="s">
        <v>13</v>
      </c>
      <c r="E20" s="49" t="s">
        <v>13</v>
      </c>
      <c r="F20" s="49" t="s">
        <v>59</v>
      </c>
      <c r="G20" s="49" t="s">
        <v>31</v>
      </c>
      <c r="H20" s="49" t="s">
        <v>13</v>
      </c>
      <c r="I20" s="49" t="s">
        <v>13</v>
      </c>
      <c r="J20" s="49" t="s">
        <v>13</v>
      </c>
      <c r="K20" s="49" t="s">
        <v>13</v>
      </c>
      <c r="L20" s="49"/>
      <c r="M20" s="49" t="s">
        <v>13</v>
      </c>
      <c r="N20" s="49" t="s">
        <v>13</v>
      </c>
      <c r="O20" s="49" t="s">
        <v>13</v>
      </c>
      <c r="P20" s="49" t="s">
        <v>13</v>
      </c>
      <c r="Q20" s="49" t="s">
        <v>13</v>
      </c>
      <c r="R20" s="49" t="s">
        <v>13</v>
      </c>
      <c r="S20" s="49" t="s">
        <v>13</v>
      </c>
      <c r="T20" s="49" t="s">
        <v>13</v>
      </c>
      <c r="U20" s="49" t="s">
        <v>13</v>
      </c>
      <c r="V20" s="49" t="s">
        <v>13</v>
      </c>
      <c r="W20" s="49" t="s">
        <v>13</v>
      </c>
      <c r="X20" s="49" t="s">
        <v>13</v>
      </c>
      <c r="Y20" s="49" t="s">
        <v>13</v>
      </c>
      <c r="Z20" s="49" t="s">
        <v>13</v>
      </c>
      <c r="AA20" s="49" t="s">
        <v>13</v>
      </c>
      <c r="AB20" s="49" t="s">
        <v>13</v>
      </c>
      <c r="AC20" s="49" t="s">
        <v>13</v>
      </c>
      <c r="AD20" s="49" t="s">
        <v>13</v>
      </c>
      <c r="AE20" s="49" t="s">
        <v>13</v>
      </c>
      <c r="AF20" s="49" t="s">
        <v>13</v>
      </c>
      <c r="AG20" s="49" t="s">
        <v>13</v>
      </c>
      <c r="AH20" s="49" t="s">
        <v>13</v>
      </c>
      <c r="AI20" s="49" t="s">
        <v>13</v>
      </c>
      <c r="AJ20" s="49" t="s">
        <v>13</v>
      </c>
      <c r="AK20" s="49" t="s">
        <v>13</v>
      </c>
      <c r="AL20" s="49" t="s">
        <v>13</v>
      </c>
      <c r="AM20" s="49" t="s">
        <v>59</v>
      </c>
      <c r="AN20" s="49" t="s">
        <v>13</v>
      </c>
      <c r="AO20" s="49" t="s">
        <v>13</v>
      </c>
      <c r="AP20" s="49" t="s">
        <v>13</v>
      </c>
      <c r="AQ20" s="49" t="s">
        <v>13</v>
      </c>
      <c r="AR20" s="49" t="s">
        <v>13</v>
      </c>
      <c r="AS20" s="49" t="s">
        <v>13</v>
      </c>
      <c r="AT20" s="49" t="s">
        <v>13</v>
      </c>
      <c r="AU20" s="49" t="s">
        <v>13</v>
      </c>
      <c r="AV20" s="49" t="s">
        <v>13</v>
      </c>
      <c r="AW20" s="49" t="s">
        <v>13</v>
      </c>
      <c r="AX20" s="49" t="s">
        <v>13</v>
      </c>
      <c r="AY20" s="49" t="s">
        <v>13</v>
      </c>
      <c r="AZ20" s="49" t="s">
        <v>13</v>
      </c>
      <c r="BA20" s="49" t="s">
        <v>13</v>
      </c>
      <c r="BB20" s="49" t="s">
        <v>13</v>
      </c>
      <c r="BC20" s="49" t="s">
        <v>59</v>
      </c>
      <c r="BD20" s="49" t="s">
        <v>13</v>
      </c>
      <c r="BE20" s="49" t="s">
        <v>13</v>
      </c>
      <c r="BF20" s="49" t="s">
        <v>13</v>
      </c>
      <c r="BG20" s="49" t="s">
        <v>13</v>
      </c>
      <c r="BH20" s="49" t="s">
        <v>13</v>
      </c>
      <c r="BI20" s="49" t="s">
        <v>13</v>
      </c>
      <c r="BJ20" s="49" t="s">
        <v>13</v>
      </c>
      <c r="BK20" s="49" t="s">
        <v>13</v>
      </c>
      <c r="BL20" s="49" t="s">
        <v>13</v>
      </c>
      <c r="BM20" s="49" t="s">
        <v>13</v>
      </c>
      <c r="BN20" s="49" t="s">
        <v>13</v>
      </c>
      <c r="BO20" s="49" t="s">
        <v>13</v>
      </c>
      <c r="BP20" s="49" t="s">
        <v>13</v>
      </c>
      <c r="BQ20" s="49" t="s">
        <v>13</v>
      </c>
      <c r="BR20" s="49" t="s">
        <v>13</v>
      </c>
      <c r="BS20" s="49" t="s">
        <v>13</v>
      </c>
      <c r="BT20" s="49" t="s">
        <v>13</v>
      </c>
      <c r="BU20" s="49"/>
      <c r="BV20" s="49"/>
      <c r="BW20" s="49"/>
      <c r="BX20" s="49"/>
      <c r="BY20" s="49"/>
      <c r="BZ20" s="49"/>
      <c r="CA20" s="49"/>
      <c r="CB20" s="49"/>
      <c r="CC20" s="49"/>
      <c r="CD20" s="49"/>
      <c r="CE20" s="49"/>
      <c r="CF20" s="49"/>
      <c r="CG20" s="49"/>
      <c r="CH20" s="49"/>
      <c r="CI20" s="49" t="s">
        <v>13</v>
      </c>
      <c r="CJ20" s="49" t="s">
        <v>13</v>
      </c>
      <c r="CK20" s="49" t="s">
        <v>13</v>
      </c>
      <c r="CL20" s="49" t="s">
        <v>13</v>
      </c>
      <c r="CM20" s="49" t="s">
        <v>13</v>
      </c>
      <c r="CN20" s="49" t="s">
        <v>13</v>
      </c>
      <c r="CO20" s="49" t="s">
        <v>13</v>
      </c>
      <c r="CP20" s="49" t="s">
        <v>13</v>
      </c>
      <c r="CQ20" s="49" t="s">
        <v>13</v>
      </c>
      <c r="CR20" s="49" t="s">
        <v>13</v>
      </c>
      <c r="CS20" s="49" t="s">
        <v>13</v>
      </c>
      <c r="CT20" s="49" t="s">
        <v>13</v>
      </c>
      <c r="CU20" s="49" t="s">
        <v>13</v>
      </c>
      <c r="CV20" s="49" t="s">
        <v>13</v>
      </c>
      <c r="CW20" s="49" t="s">
        <v>13</v>
      </c>
      <c r="CX20" s="49" t="s">
        <v>13</v>
      </c>
      <c r="CY20" s="49" t="s">
        <v>13</v>
      </c>
      <c r="CZ20" s="49" t="s">
        <v>13</v>
      </c>
      <c r="DA20" s="49" t="s">
        <v>59</v>
      </c>
      <c r="DB20" s="49" t="s">
        <v>59</v>
      </c>
      <c r="DC20" s="49" t="s">
        <v>13</v>
      </c>
      <c r="DD20" s="49" t="s">
        <v>13</v>
      </c>
      <c r="DE20" s="49" t="s">
        <v>59</v>
      </c>
      <c r="DF20" s="49" t="s">
        <v>13</v>
      </c>
      <c r="DG20" s="49" t="s">
        <v>13</v>
      </c>
      <c r="DH20" s="49" t="s">
        <v>13</v>
      </c>
      <c r="DI20" s="49" t="s">
        <v>59</v>
      </c>
      <c r="DJ20" s="49" t="s">
        <v>13</v>
      </c>
      <c r="DK20" s="49" t="s">
        <v>13</v>
      </c>
      <c r="DL20" s="49" t="s">
        <v>13</v>
      </c>
      <c r="DM20" s="49"/>
      <c r="DN20" s="49" t="s">
        <v>13</v>
      </c>
      <c r="DO20" s="49" t="s">
        <v>13</v>
      </c>
      <c r="DP20" s="49" t="s">
        <v>59</v>
      </c>
      <c r="DQ20" s="49" t="s">
        <v>13</v>
      </c>
      <c r="DR20" s="49" t="s">
        <v>59</v>
      </c>
      <c r="DS20" s="49" t="s">
        <v>13</v>
      </c>
      <c r="DT20" s="49" t="s">
        <v>13</v>
      </c>
      <c r="DU20" s="49" t="s">
        <v>13</v>
      </c>
      <c r="DV20" s="49" t="s">
        <v>13</v>
      </c>
      <c r="DW20" s="122" t="s">
        <v>13</v>
      </c>
      <c r="DX20" s="49" t="s">
        <v>13</v>
      </c>
      <c r="DY20" s="49" t="s">
        <v>13</v>
      </c>
      <c r="DZ20" s="49" t="s">
        <v>13</v>
      </c>
      <c r="EA20" s="122"/>
      <c r="EB20" s="122"/>
      <c r="EC20" s="122"/>
      <c r="ED20" s="122"/>
      <c r="EE20" s="49" t="s">
        <v>13</v>
      </c>
      <c r="EF20" s="49" t="s">
        <v>13</v>
      </c>
      <c r="EG20" s="49" t="s">
        <v>13</v>
      </c>
      <c r="EH20" s="49" t="s">
        <v>13</v>
      </c>
      <c r="EI20" s="49" t="s">
        <v>13</v>
      </c>
      <c r="EJ20" s="49" t="s">
        <v>59</v>
      </c>
      <c r="EK20" s="49" t="s">
        <v>20</v>
      </c>
      <c r="EL20" s="49" t="s">
        <v>20</v>
      </c>
      <c r="EM20" s="49" t="s">
        <v>13</v>
      </c>
      <c r="EN20" s="49" t="s">
        <v>13</v>
      </c>
      <c r="EO20" s="49" t="s">
        <v>13</v>
      </c>
      <c r="EP20" s="49" t="s">
        <v>13</v>
      </c>
      <c r="EQ20" s="49" t="s">
        <v>13</v>
      </c>
      <c r="ER20" s="49" t="s">
        <v>13</v>
      </c>
      <c r="ES20" s="49" t="s">
        <v>13</v>
      </c>
      <c r="ET20" s="49" t="s">
        <v>13</v>
      </c>
      <c r="EU20" s="49" t="s">
        <v>13</v>
      </c>
      <c r="EV20" s="49" t="s">
        <v>13</v>
      </c>
      <c r="EW20" s="49" t="s">
        <v>13</v>
      </c>
      <c r="EX20" s="49" t="s">
        <v>13</v>
      </c>
      <c r="EY20" s="49" t="s">
        <v>13</v>
      </c>
      <c r="EZ20" s="49" t="s">
        <v>13</v>
      </c>
      <c r="FA20" s="49" t="s">
        <v>13</v>
      </c>
      <c r="FB20" s="49" t="s">
        <v>13</v>
      </c>
      <c r="FC20" s="49" t="s">
        <v>13</v>
      </c>
      <c r="FD20" s="49" t="s">
        <v>13</v>
      </c>
      <c r="FE20" s="49" t="s">
        <v>13</v>
      </c>
      <c r="FF20" s="93" t="s">
        <v>13</v>
      </c>
      <c r="FG20" s="93" t="s">
        <v>13</v>
      </c>
      <c r="FH20" s="93" t="s">
        <v>59</v>
      </c>
      <c r="FI20" s="93" t="s">
        <v>59</v>
      </c>
      <c r="FJ20" s="93" t="s">
        <v>59</v>
      </c>
      <c r="FK20" s="93" t="s">
        <v>13</v>
      </c>
      <c r="FL20" s="93"/>
      <c r="FM20" s="93" t="s">
        <v>13</v>
      </c>
      <c r="FN20" s="93" t="s">
        <v>13</v>
      </c>
      <c r="FO20" s="93"/>
      <c r="FP20" s="93"/>
      <c r="FQ20" s="93" t="s">
        <v>13</v>
      </c>
      <c r="FR20" s="93" t="s">
        <v>13</v>
      </c>
      <c r="FS20" s="93" t="s">
        <v>13</v>
      </c>
      <c r="FT20" s="49" t="s">
        <v>59</v>
      </c>
      <c r="FU20" s="93" t="s">
        <v>13</v>
      </c>
      <c r="FV20" s="93" t="s">
        <v>13</v>
      </c>
      <c r="FW20" s="49"/>
      <c r="FX20" s="49"/>
      <c r="FY20" s="49"/>
      <c r="FZ20" s="49"/>
      <c r="GA20" s="49" t="s">
        <v>13</v>
      </c>
      <c r="GB20" s="93"/>
      <c r="GC20" s="49" t="s">
        <v>13</v>
      </c>
      <c r="GD20" s="49" t="s">
        <v>59</v>
      </c>
      <c r="GE20" s="49" t="s">
        <v>59</v>
      </c>
      <c r="GF20" s="49" t="s">
        <v>59</v>
      </c>
      <c r="GG20" s="49"/>
      <c r="GH20" s="49" t="s">
        <v>13</v>
      </c>
      <c r="GI20" s="49" t="s">
        <v>13</v>
      </c>
      <c r="GJ20" s="49" t="s">
        <v>20</v>
      </c>
      <c r="GK20" s="49" t="s">
        <v>20</v>
      </c>
      <c r="GL20" s="49" t="s">
        <v>20</v>
      </c>
      <c r="GM20" s="49" t="s">
        <v>20</v>
      </c>
      <c r="GN20" s="49"/>
      <c r="GO20" s="49" t="s">
        <v>20</v>
      </c>
      <c r="GP20" s="49" t="s">
        <v>20</v>
      </c>
      <c r="GQ20" s="49"/>
      <c r="GR20" s="49" t="s">
        <v>20</v>
      </c>
      <c r="GS20" s="49"/>
      <c r="GT20" s="49" t="s">
        <v>59</v>
      </c>
      <c r="GU20" s="49" t="s">
        <v>13</v>
      </c>
      <c r="GV20" s="49" t="s">
        <v>13</v>
      </c>
      <c r="GW20" s="49" t="s">
        <v>13</v>
      </c>
      <c r="GX20" s="49" t="s">
        <v>13</v>
      </c>
      <c r="GY20" s="49"/>
      <c r="GZ20" s="49"/>
      <c r="HA20" s="49"/>
      <c r="HB20" s="49"/>
      <c r="HC20" s="49"/>
      <c r="HD20" s="49" t="s">
        <v>13</v>
      </c>
      <c r="HE20" s="49" t="s">
        <v>13</v>
      </c>
      <c r="HF20" s="49"/>
      <c r="HG20" s="49" t="s">
        <v>20</v>
      </c>
      <c r="HH20" s="49" t="s">
        <v>20</v>
      </c>
      <c r="HI20" s="49"/>
      <c r="HJ20" s="49" t="s">
        <v>20</v>
      </c>
      <c r="HK20" s="49" t="s">
        <v>20</v>
      </c>
      <c r="HL20" s="49"/>
      <c r="HM20" s="49"/>
      <c r="HN20" s="49" t="s">
        <v>20</v>
      </c>
      <c r="HO20" s="49"/>
      <c r="HP20" s="49" t="s">
        <v>20</v>
      </c>
      <c r="HQ20" s="49" t="s">
        <v>20</v>
      </c>
      <c r="HR20" s="49" t="s">
        <v>20</v>
      </c>
      <c r="HS20" s="49" t="s">
        <v>20</v>
      </c>
      <c r="HT20" s="49" t="s">
        <v>20</v>
      </c>
      <c r="HU20" s="49"/>
      <c r="HV20" s="49"/>
      <c r="HW20" s="49"/>
      <c r="HX20" s="465" t="s">
        <v>59</v>
      </c>
      <c r="HY20" s="465" t="s">
        <v>59</v>
      </c>
      <c r="HZ20" s="49" t="s">
        <v>59</v>
      </c>
      <c r="IA20" s="49" t="s">
        <v>59</v>
      </c>
      <c r="IB20" s="49" t="s">
        <v>13</v>
      </c>
      <c r="IC20" s="122" t="s">
        <v>13</v>
      </c>
      <c r="ID20" s="49" t="s">
        <v>20</v>
      </c>
      <c r="IE20" s="49"/>
      <c r="IF20" s="49" t="s">
        <v>20</v>
      </c>
      <c r="IG20" s="49" t="s">
        <v>20</v>
      </c>
      <c r="IH20" s="49" t="s">
        <v>59</v>
      </c>
      <c r="II20" s="49" t="s">
        <v>59</v>
      </c>
      <c r="IJ20" s="49" t="s">
        <v>59</v>
      </c>
      <c r="IK20" s="122" t="s">
        <v>59</v>
      </c>
      <c r="IL20" s="49"/>
      <c r="IM20" s="49"/>
      <c r="IN20" s="49"/>
      <c r="IO20" s="49" t="s">
        <v>20</v>
      </c>
      <c r="IP20" s="49"/>
      <c r="IQ20" s="49" t="s">
        <v>20</v>
      </c>
      <c r="IR20" s="49" t="s">
        <v>20</v>
      </c>
      <c r="IS20" s="49" t="s">
        <v>20</v>
      </c>
      <c r="IT20" s="49" t="s">
        <v>59</v>
      </c>
      <c r="IU20" s="49" t="s">
        <v>59</v>
      </c>
      <c r="IV20" s="122" t="s">
        <v>59</v>
      </c>
      <c r="IW20" s="122" t="s">
        <v>59</v>
      </c>
      <c r="IX20" s="122" t="s">
        <v>59</v>
      </c>
      <c r="IY20" s="122" t="s">
        <v>59</v>
      </c>
      <c r="IZ20" s="122" t="s">
        <v>20</v>
      </c>
      <c r="JA20" s="122" t="s">
        <v>59</v>
      </c>
      <c r="JB20" s="49" t="s">
        <v>59</v>
      </c>
      <c r="JC20" s="49" t="s">
        <v>59</v>
      </c>
      <c r="JD20" s="122" t="s">
        <v>20</v>
      </c>
      <c r="JE20" s="122" t="s">
        <v>59</v>
      </c>
      <c r="JF20" s="122" t="s">
        <v>59</v>
      </c>
      <c r="JG20" s="49" t="s">
        <v>59</v>
      </c>
      <c r="JH20" s="49" t="s">
        <v>13</v>
      </c>
      <c r="JI20" s="122" t="s">
        <v>59</v>
      </c>
      <c r="JJ20" s="49" t="s">
        <v>59</v>
      </c>
      <c r="JK20" s="122" t="s">
        <v>59</v>
      </c>
      <c r="JL20" s="49" t="s">
        <v>59</v>
      </c>
      <c r="JM20" s="122" t="s">
        <v>59</v>
      </c>
      <c r="JN20" s="49" t="s">
        <v>59</v>
      </c>
      <c r="JO20" s="49" t="s">
        <v>20</v>
      </c>
      <c r="JP20" s="49" t="s">
        <v>20</v>
      </c>
      <c r="JQ20" s="49" t="s">
        <v>59</v>
      </c>
      <c r="JR20" s="49" t="s">
        <v>59</v>
      </c>
      <c r="JS20" s="49" t="s">
        <v>59</v>
      </c>
      <c r="JT20" s="49" t="s">
        <v>20</v>
      </c>
      <c r="JU20" s="49" t="s">
        <v>59</v>
      </c>
      <c r="JV20" s="122" t="s">
        <v>59</v>
      </c>
      <c r="JW20" s="122"/>
      <c r="JX20" s="122"/>
      <c r="JY20" s="465"/>
      <c r="JZ20" s="465"/>
      <c r="KA20" s="465"/>
      <c r="KB20" s="465"/>
      <c r="KC20" s="465"/>
      <c r="KD20" s="465"/>
      <c r="KE20" s="465"/>
      <c r="KF20" s="465"/>
      <c r="KG20" s="465"/>
      <c r="KH20" s="465"/>
      <c r="KI20" s="465"/>
      <c r="KJ20" s="465"/>
      <c r="KK20" s="465"/>
      <c r="KL20" s="465"/>
      <c r="KM20" s="465"/>
      <c r="KN20" s="465"/>
      <c r="KO20" s="465"/>
      <c r="KP20" s="465"/>
      <c r="KQ20" s="465"/>
      <c r="KR20" s="465"/>
      <c r="KS20" s="465"/>
      <c r="KT20" s="465"/>
      <c r="KU20" s="465"/>
      <c r="KV20" s="465"/>
      <c r="KW20" s="465"/>
      <c r="KX20" s="465"/>
      <c r="KY20" s="465"/>
      <c r="KZ20" s="465"/>
      <c r="LA20" s="49"/>
      <c r="LB20" s="465"/>
      <c r="LC20" s="465"/>
      <c r="LD20" s="465"/>
      <c r="LE20" s="465"/>
      <c r="LF20" s="465"/>
      <c r="LG20" s="465"/>
      <c r="LH20" s="465"/>
      <c r="LI20" s="465"/>
      <c r="LJ20" s="465"/>
      <c r="LK20" s="465"/>
      <c r="LL20" s="465"/>
      <c r="LM20" s="465"/>
      <c r="LN20" s="465"/>
      <c r="LO20" s="465"/>
      <c r="LP20" s="465"/>
      <c r="LQ20" s="465"/>
      <c r="LR20" s="465" t="s">
        <v>59</v>
      </c>
      <c r="LS20" s="465" t="s">
        <v>59</v>
      </c>
      <c r="LT20" s="49"/>
      <c r="LU20" s="49"/>
      <c r="LV20" s="49"/>
      <c r="LW20" s="49"/>
      <c r="LX20" s="49"/>
      <c r="LY20" s="49"/>
      <c r="LZ20" s="49"/>
      <c r="MA20" s="49"/>
      <c r="MB20" s="49"/>
      <c r="MC20" s="49"/>
      <c r="MD20" s="49"/>
      <c r="ME20" s="49"/>
      <c r="MF20" s="49"/>
      <c r="MG20" s="49"/>
      <c r="MH20" s="49"/>
      <c r="MI20" s="49"/>
      <c r="MJ20" s="49"/>
      <c r="MK20" s="49"/>
      <c r="ML20" s="49"/>
      <c r="MM20" s="49"/>
      <c r="MN20" s="49"/>
      <c r="MO20" s="49"/>
      <c r="MP20" s="49"/>
      <c r="MQ20" s="49"/>
      <c r="MR20" s="49"/>
      <c r="MS20" s="49"/>
      <c r="MT20" s="49"/>
      <c r="MU20" s="49"/>
      <c r="MV20" s="49"/>
      <c r="MW20" s="49"/>
      <c r="MX20" s="49"/>
      <c r="MY20" s="49"/>
      <c r="MZ20" s="49"/>
      <c r="NA20" s="49"/>
      <c r="NB20" s="49"/>
      <c r="NC20" s="101"/>
      <c r="ND20" s="49"/>
      <c r="NE20" s="49"/>
      <c r="NF20" s="49"/>
      <c r="NG20" s="49"/>
      <c r="NH20" s="49"/>
      <c r="NI20" s="49"/>
      <c r="NJ20" s="49"/>
      <c r="NK20" s="49"/>
      <c r="NL20" s="49"/>
      <c r="NM20" s="49"/>
      <c r="NN20" s="49"/>
      <c r="NO20" s="49"/>
      <c r="NP20" s="49"/>
      <c r="NQ20" s="49"/>
      <c r="NR20" s="49"/>
      <c r="NS20" s="49"/>
      <c r="NT20" s="49"/>
      <c r="NU20" s="49"/>
      <c r="NV20" s="49"/>
      <c r="NW20" s="49"/>
      <c r="NX20" s="49"/>
      <c r="NY20" s="49"/>
      <c r="NZ20" s="49"/>
      <c r="OA20" s="49"/>
      <c r="OB20" s="49" t="s">
        <v>20</v>
      </c>
      <c r="OC20" s="49" t="s">
        <v>59</v>
      </c>
      <c r="OD20" s="49" t="s">
        <v>59</v>
      </c>
      <c r="OE20" s="49" t="s">
        <v>59</v>
      </c>
      <c r="OF20" s="49" t="s">
        <v>59</v>
      </c>
      <c r="OG20" s="49" t="s">
        <v>59</v>
      </c>
      <c r="OH20" s="49" t="s">
        <v>59</v>
      </c>
      <c r="OI20" s="49" t="s">
        <v>59</v>
      </c>
      <c r="OJ20" s="49" t="s">
        <v>59</v>
      </c>
      <c r="OK20" s="49" t="s">
        <v>59</v>
      </c>
      <c r="OL20" s="49" t="s">
        <v>20</v>
      </c>
      <c r="OM20" s="49"/>
      <c r="ON20" s="49"/>
      <c r="OO20" s="49"/>
      <c r="OP20" s="49"/>
      <c r="OQ20" s="49"/>
      <c r="OR20" s="49"/>
      <c r="OS20" s="49"/>
      <c r="OT20" s="49"/>
      <c r="OU20" s="49" t="s">
        <v>13</v>
      </c>
      <c r="OV20" s="49" t="s">
        <v>59</v>
      </c>
      <c r="OW20" s="49" t="s">
        <v>13</v>
      </c>
      <c r="OX20" s="49" t="s">
        <v>59</v>
      </c>
      <c r="OY20" s="49" t="s">
        <v>13</v>
      </c>
      <c r="OZ20" s="49" t="s">
        <v>13</v>
      </c>
      <c r="PA20" s="49" t="s">
        <v>59</v>
      </c>
      <c r="PB20" s="49" t="s">
        <v>13</v>
      </c>
      <c r="PC20" s="49" t="s">
        <v>13</v>
      </c>
      <c r="PD20" s="49" t="s">
        <v>59</v>
      </c>
      <c r="PE20" s="49" t="s">
        <v>59</v>
      </c>
      <c r="PF20" s="49" t="s">
        <v>59</v>
      </c>
      <c r="PG20" s="49" t="s">
        <v>59</v>
      </c>
      <c r="PH20" s="49" t="s">
        <v>59</v>
      </c>
      <c r="PI20" s="49" t="s">
        <v>59</v>
      </c>
      <c r="PJ20" s="49" t="s">
        <v>59</v>
      </c>
      <c r="PK20" s="49" t="s">
        <v>59</v>
      </c>
      <c r="PL20" s="49" t="s">
        <v>59</v>
      </c>
      <c r="PM20" s="49" t="s">
        <v>59</v>
      </c>
      <c r="PN20" s="49" t="s">
        <v>59</v>
      </c>
      <c r="PO20" s="49" t="s">
        <v>59</v>
      </c>
      <c r="PP20" s="49" t="s">
        <v>59</v>
      </c>
      <c r="PQ20" s="49" t="s">
        <v>59</v>
      </c>
      <c r="PR20" s="49" t="s">
        <v>59</v>
      </c>
      <c r="PS20" s="49" t="s">
        <v>59</v>
      </c>
      <c r="PT20" s="49" t="s">
        <v>59</v>
      </c>
      <c r="PU20" s="49" t="s">
        <v>59</v>
      </c>
      <c r="PV20" s="49" t="s">
        <v>59</v>
      </c>
      <c r="PW20" s="49" t="s">
        <v>59</v>
      </c>
      <c r="PX20" s="49" t="s">
        <v>59</v>
      </c>
      <c r="PY20" s="49" t="s">
        <v>59</v>
      </c>
      <c r="PZ20" s="49" t="s">
        <v>59</v>
      </c>
      <c r="QA20" s="49" t="s">
        <v>59</v>
      </c>
      <c r="QB20" s="49"/>
      <c r="QC20" s="49" t="s">
        <v>59</v>
      </c>
      <c r="QD20" s="49" t="s">
        <v>59</v>
      </c>
      <c r="QE20" s="49" t="s">
        <v>59</v>
      </c>
      <c r="QF20" s="49" t="s">
        <v>59</v>
      </c>
      <c r="QG20" s="49" t="s">
        <v>59</v>
      </c>
      <c r="QH20" s="49" t="s">
        <v>59</v>
      </c>
      <c r="QI20" s="49" t="s">
        <v>59</v>
      </c>
      <c r="QJ20" s="49" t="s">
        <v>59</v>
      </c>
      <c r="QK20" s="49" t="s">
        <v>59</v>
      </c>
      <c r="QL20" s="49" t="s">
        <v>59</v>
      </c>
      <c r="QM20" s="49" t="s">
        <v>59</v>
      </c>
      <c r="QN20" s="49" t="s">
        <v>59</v>
      </c>
      <c r="QO20" s="49" t="s">
        <v>59</v>
      </c>
      <c r="QP20" s="49" t="s">
        <v>59</v>
      </c>
      <c r="QQ20" s="49" t="s">
        <v>59</v>
      </c>
      <c r="QR20" s="49" t="s">
        <v>59</v>
      </c>
      <c r="QS20" s="49" t="s">
        <v>59</v>
      </c>
      <c r="QT20" s="49" t="s">
        <v>59</v>
      </c>
      <c r="QU20" s="49" t="s">
        <v>59</v>
      </c>
      <c r="QV20" s="49" t="s">
        <v>59</v>
      </c>
      <c r="QW20" s="49" t="s">
        <v>59</v>
      </c>
      <c r="QX20" s="49" t="s">
        <v>59</v>
      </c>
      <c r="QY20" s="49" t="s">
        <v>59</v>
      </c>
      <c r="QZ20" s="49" t="s">
        <v>59</v>
      </c>
      <c r="RA20" s="49" t="s">
        <v>59</v>
      </c>
      <c r="RB20" s="49" t="s">
        <v>59</v>
      </c>
      <c r="RC20" s="49"/>
      <c r="RD20" s="49"/>
      <c r="RE20" s="49"/>
      <c r="RF20" s="49"/>
      <c r="RG20" s="49"/>
      <c r="RH20" s="49"/>
      <c r="RI20" s="49"/>
      <c r="RJ20" s="49"/>
      <c r="RK20" s="49"/>
      <c r="RL20" s="49"/>
      <c r="RM20" s="49"/>
      <c r="RN20" s="49"/>
      <c r="RO20" s="49" t="s">
        <v>59</v>
      </c>
      <c r="RP20" s="49"/>
      <c r="RQ20" s="49"/>
      <c r="RR20" s="49"/>
      <c r="RS20" s="49" t="s">
        <v>20</v>
      </c>
      <c r="RT20" s="49" t="s">
        <v>59</v>
      </c>
      <c r="RU20" s="49" t="s">
        <v>59</v>
      </c>
      <c r="RV20" s="49" t="s">
        <v>59</v>
      </c>
      <c r="RW20" s="49" t="s">
        <v>59</v>
      </c>
      <c r="RX20" s="49" t="s">
        <v>59</v>
      </c>
      <c r="RY20" s="49" t="s">
        <v>59</v>
      </c>
      <c r="RZ20" s="49" t="s">
        <v>59</v>
      </c>
      <c r="SA20" s="49" t="s">
        <v>59</v>
      </c>
      <c r="SB20" s="49"/>
      <c r="SC20" s="49"/>
      <c r="SD20" s="49"/>
      <c r="SE20" s="49"/>
      <c r="SF20" s="49"/>
      <c r="SG20" s="49"/>
      <c r="SH20" s="49"/>
      <c r="SI20" s="49"/>
      <c r="SJ20" s="49"/>
      <c r="SK20" s="49"/>
      <c r="SL20" s="49"/>
      <c r="SM20" s="49"/>
      <c r="SN20" s="49"/>
      <c r="SO20" s="49"/>
      <c r="SP20" s="49"/>
      <c r="SQ20" s="49"/>
      <c r="SR20" s="49" t="s">
        <v>59</v>
      </c>
      <c r="SS20" s="49" t="s">
        <v>59</v>
      </c>
      <c r="ST20" s="49" t="s">
        <v>59</v>
      </c>
      <c r="SU20" s="49" t="s">
        <v>59</v>
      </c>
      <c r="SV20" s="49" t="s">
        <v>59</v>
      </c>
      <c r="SW20" s="49" t="s">
        <v>59</v>
      </c>
      <c r="SX20" s="49" t="s">
        <v>59</v>
      </c>
      <c r="SY20" s="49" t="s">
        <v>59</v>
      </c>
      <c r="SZ20" s="49" t="s">
        <v>59</v>
      </c>
      <c r="TA20" s="49"/>
      <c r="TB20" s="49"/>
      <c r="TC20" s="49"/>
      <c r="TD20" s="49"/>
      <c r="TE20" s="49"/>
      <c r="TF20" s="49"/>
      <c r="TG20" s="49"/>
      <c r="TH20" s="49"/>
      <c r="TI20" s="49"/>
      <c r="TJ20" s="49" t="s">
        <v>13</v>
      </c>
      <c r="TK20" s="408" t="s">
        <v>13</v>
      </c>
      <c r="TL20" s="408"/>
      <c r="TM20" s="408"/>
      <c r="TN20" s="408"/>
      <c r="TO20" s="408"/>
      <c r="TP20" s="408" t="s">
        <v>13</v>
      </c>
      <c r="TQ20" s="49"/>
      <c r="TR20" s="49" t="s">
        <v>13</v>
      </c>
      <c r="TS20" s="49" t="s">
        <v>13</v>
      </c>
      <c r="TT20" s="49" t="s">
        <v>13</v>
      </c>
      <c r="TU20" s="49" t="s">
        <v>13</v>
      </c>
      <c r="TV20" s="49" t="s">
        <v>13</v>
      </c>
      <c r="TW20" s="49" t="s">
        <v>20</v>
      </c>
      <c r="TX20" s="49" t="s">
        <v>59</v>
      </c>
      <c r="TY20" s="49" t="s">
        <v>59</v>
      </c>
      <c r="TZ20" s="49" t="s">
        <v>59</v>
      </c>
      <c r="UA20" s="49" t="s">
        <v>59</v>
      </c>
      <c r="UB20" s="49" t="s">
        <v>59</v>
      </c>
      <c r="UC20" s="49" t="s">
        <v>59</v>
      </c>
      <c r="UD20" s="49" t="s">
        <v>59</v>
      </c>
      <c r="UE20" s="49" t="s">
        <v>59</v>
      </c>
      <c r="UF20" s="49"/>
      <c r="UG20" s="49" t="s">
        <v>59</v>
      </c>
      <c r="UH20" s="49" t="s">
        <v>59</v>
      </c>
      <c r="UI20" s="49" t="s">
        <v>20</v>
      </c>
      <c r="UJ20" s="49"/>
      <c r="UK20" s="49"/>
      <c r="UL20" s="49" t="s">
        <v>59</v>
      </c>
      <c r="UM20" s="49" t="s">
        <v>59</v>
      </c>
      <c r="UN20" s="49" t="s">
        <v>20</v>
      </c>
      <c r="UO20" s="49" t="s">
        <v>59</v>
      </c>
      <c r="UP20" s="49" t="s">
        <v>59</v>
      </c>
      <c r="UQ20" s="49"/>
      <c r="UR20" s="49"/>
      <c r="US20" s="49" t="s">
        <v>59</v>
      </c>
      <c r="UT20" s="49" t="s">
        <v>59</v>
      </c>
      <c r="UU20" s="49" t="s">
        <v>59</v>
      </c>
      <c r="UV20" s="49"/>
      <c r="UW20" s="49"/>
      <c r="UX20" s="49" t="s">
        <v>59</v>
      </c>
      <c r="UY20" s="49" t="s">
        <v>59</v>
      </c>
      <c r="UZ20" s="49" t="s">
        <v>20</v>
      </c>
      <c r="VA20" s="49" t="s">
        <v>59</v>
      </c>
      <c r="VB20" s="49"/>
      <c r="VC20" s="49"/>
      <c r="VD20" s="49"/>
      <c r="VE20" s="49"/>
      <c r="VF20" s="49"/>
      <c r="VG20" s="49"/>
      <c r="VH20" s="49"/>
      <c r="VI20" s="49"/>
      <c r="VJ20" s="49"/>
      <c r="VK20" s="93"/>
      <c r="VL20" s="93"/>
      <c r="VM20" s="93"/>
      <c r="VN20" s="93"/>
      <c r="VO20" s="93"/>
      <c r="VP20" s="93"/>
      <c r="VQ20" s="93"/>
      <c r="VR20" s="93"/>
      <c r="VS20" s="93"/>
      <c r="VT20" s="93"/>
      <c r="VU20" s="93"/>
      <c r="VV20" s="93"/>
      <c r="VW20" s="93"/>
      <c r="VX20" s="49"/>
      <c r="VY20" s="49"/>
      <c r="VZ20" s="49"/>
      <c r="WA20" s="72"/>
      <c r="WB20" s="72"/>
      <c r="WC20" s="72"/>
      <c r="WD20" s="72"/>
      <c r="WE20" s="49"/>
      <c r="WF20" s="49"/>
      <c r="WG20" s="49"/>
      <c r="WH20" s="49"/>
      <c r="WI20" s="49"/>
      <c r="WJ20" s="49"/>
      <c r="WK20" s="49"/>
      <c r="WL20" s="49"/>
      <c r="WM20" s="49"/>
      <c r="WN20" s="49"/>
      <c r="WO20" s="49"/>
      <c r="WP20" s="49"/>
      <c r="WQ20" s="49"/>
      <c r="WR20" s="49"/>
      <c r="WS20" s="49"/>
      <c r="WT20" s="49"/>
      <c r="WU20" s="49"/>
      <c r="WV20" s="49"/>
      <c r="WW20" s="49"/>
      <c r="WX20" s="49"/>
      <c r="WY20" s="49"/>
      <c r="WZ20" s="49"/>
      <c r="XA20" s="49"/>
      <c r="XB20" s="49"/>
      <c r="XC20" s="49"/>
      <c r="XD20" s="49"/>
      <c r="XE20" s="49"/>
      <c r="XF20" s="49"/>
      <c r="XG20" s="49"/>
      <c r="XH20" s="49"/>
      <c r="XI20" s="49"/>
      <c r="XJ20" s="49"/>
      <c r="XK20" s="49"/>
      <c r="XL20" s="49"/>
      <c r="XM20" s="49"/>
      <c r="XN20" s="49"/>
      <c r="XO20" s="49"/>
      <c r="XP20" s="49"/>
      <c r="XQ20" s="49"/>
      <c r="XR20" s="49"/>
      <c r="XS20" s="49"/>
      <c r="XT20" s="49"/>
      <c r="XU20" s="49"/>
      <c r="XV20" s="49"/>
      <c r="XW20" s="49"/>
      <c r="XX20" s="49"/>
      <c r="XY20" s="49"/>
      <c r="XZ20" s="49"/>
      <c r="YA20" s="49"/>
      <c r="YB20" s="49"/>
      <c r="YC20" s="49"/>
      <c r="YD20" s="49"/>
      <c r="YE20" s="49"/>
      <c r="YF20" s="49"/>
      <c r="YG20" s="49"/>
      <c r="YH20" s="49"/>
      <c r="YI20" s="49"/>
      <c r="YJ20" s="49"/>
      <c r="YK20" s="49"/>
      <c r="YL20" s="49"/>
      <c r="YM20" s="49"/>
      <c r="YN20" s="49"/>
      <c r="YO20" s="49"/>
      <c r="YP20" s="49"/>
      <c r="YQ20" s="49"/>
      <c r="YR20" s="49"/>
      <c r="YS20" s="49"/>
      <c r="YT20" s="49"/>
      <c r="YU20" s="49"/>
      <c r="YV20" s="49"/>
      <c r="YW20" s="49"/>
      <c r="YX20" s="49"/>
      <c r="YY20" s="49"/>
      <c r="YZ20" s="49"/>
      <c r="ZA20" s="49"/>
      <c r="ZB20" s="49"/>
      <c r="ZC20" s="49" t="s">
        <v>13</v>
      </c>
      <c r="ZD20" s="49" t="s">
        <v>13</v>
      </c>
      <c r="ZE20" s="49" t="s">
        <v>13</v>
      </c>
      <c r="ZF20" s="49" t="s">
        <v>13</v>
      </c>
      <c r="ZG20" s="49" t="s">
        <v>13</v>
      </c>
      <c r="ZH20" s="49" t="s">
        <v>59</v>
      </c>
      <c r="ZI20" s="49" t="s">
        <v>13</v>
      </c>
      <c r="ZJ20" s="49" t="s">
        <v>13</v>
      </c>
      <c r="ZK20" s="49" t="s">
        <v>13</v>
      </c>
      <c r="ZL20" s="49" t="s">
        <v>13</v>
      </c>
      <c r="ZM20" s="49" t="s">
        <v>13</v>
      </c>
      <c r="ZN20" s="49" t="s">
        <v>13</v>
      </c>
      <c r="ZO20" s="49" t="s">
        <v>20</v>
      </c>
      <c r="ZP20" s="49" t="s">
        <v>13</v>
      </c>
      <c r="ZQ20" s="49" t="s">
        <v>20</v>
      </c>
      <c r="ZR20" s="49" t="s">
        <v>20</v>
      </c>
      <c r="ZS20" s="49" t="s">
        <v>20</v>
      </c>
      <c r="ZT20" s="49" t="s">
        <v>20</v>
      </c>
      <c r="ZU20" s="49" t="s">
        <v>59</v>
      </c>
      <c r="ZV20" s="49" t="s">
        <v>13</v>
      </c>
      <c r="ZW20" s="49"/>
      <c r="ZX20" s="49"/>
      <c r="ZY20" s="49"/>
      <c r="ZZ20" s="122"/>
      <c r="AAA20" s="49"/>
      <c r="AAB20" s="49"/>
      <c r="AAC20" s="49"/>
      <c r="AAD20" s="49"/>
    </row>
    <row r="21" spans="1:706" s="26" customFormat="1" ht="12.1" customHeight="1" x14ac:dyDescent="0.25">
      <c r="A21" s="203" t="s">
        <v>375</v>
      </c>
      <c r="B21" s="204" t="s">
        <v>263</v>
      </c>
      <c r="C21" s="204" t="s">
        <v>1</v>
      </c>
      <c r="D21" s="204" t="s">
        <v>2</v>
      </c>
      <c r="E21" s="205" t="s">
        <v>3</v>
      </c>
      <c r="F21" s="205" t="s">
        <v>379</v>
      </c>
      <c r="G21" s="205" t="s">
        <v>122</v>
      </c>
      <c r="H21" s="205" t="s">
        <v>234</v>
      </c>
      <c r="I21" s="205" t="s">
        <v>77</v>
      </c>
      <c r="J21" s="206" t="s">
        <v>4</v>
      </c>
      <c r="K21" s="206" t="s">
        <v>5</v>
      </c>
      <c r="L21" s="206"/>
      <c r="M21" s="206" t="s">
        <v>71</v>
      </c>
      <c r="N21" s="206" t="s">
        <v>72</v>
      </c>
      <c r="O21" s="206" t="s">
        <v>73</v>
      </c>
      <c r="P21" s="206" t="s">
        <v>102</v>
      </c>
      <c r="Q21" s="206" t="s">
        <v>103</v>
      </c>
      <c r="R21" s="206" t="s">
        <v>104</v>
      </c>
      <c r="S21" s="206" t="s">
        <v>105</v>
      </c>
      <c r="T21" s="206" t="s">
        <v>110</v>
      </c>
      <c r="U21" s="206" t="s">
        <v>8</v>
      </c>
      <c r="V21" s="206" t="s">
        <v>9</v>
      </c>
      <c r="W21" s="206" t="s">
        <v>106</v>
      </c>
      <c r="X21" s="206" t="s">
        <v>21</v>
      </c>
      <c r="Y21" s="206" t="s">
        <v>254</v>
      </c>
      <c r="Z21" s="206" t="s">
        <v>6</v>
      </c>
      <c r="AA21" s="206" t="s">
        <v>7</v>
      </c>
      <c r="AB21" s="206" t="s">
        <v>107</v>
      </c>
      <c r="AC21" s="206" t="s">
        <v>600</v>
      </c>
      <c r="AD21" s="206" t="s">
        <v>601</v>
      </c>
      <c r="AE21" s="206" t="s">
        <v>602</v>
      </c>
      <c r="AF21" s="206" t="s">
        <v>603</v>
      </c>
      <c r="AG21" s="206" t="s">
        <v>604</v>
      </c>
      <c r="AH21" s="206" t="s">
        <v>605</v>
      </c>
      <c r="AI21" s="206" t="s">
        <v>606</v>
      </c>
      <c r="AJ21" s="206" t="s">
        <v>607</v>
      </c>
      <c r="AK21" s="206" t="s">
        <v>608</v>
      </c>
      <c r="AL21" s="206" t="s">
        <v>609</v>
      </c>
      <c r="AM21" s="206"/>
      <c r="AN21" s="206" t="s">
        <v>610</v>
      </c>
      <c r="AO21" s="206" t="s">
        <v>611</v>
      </c>
      <c r="AP21" s="206" t="s">
        <v>612</v>
      </c>
      <c r="AQ21" s="206" t="s">
        <v>614</v>
      </c>
      <c r="AR21" s="206" t="s">
        <v>1213</v>
      </c>
      <c r="AS21" s="206" t="s">
        <v>1214</v>
      </c>
      <c r="AT21" s="206" t="s">
        <v>1215</v>
      </c>
      <c r="AU21" s="206" t="s">
        <v>1216</v>
      </c>
      <c r="AV21" s="206" t="s">
        <v>1217</v>
      </c>
      <c r="AW21" s="206" t="s">
        <v>1218</v>
      </c>
      <c r="AX21" s="206" t="s">
        <v>1219</v>
      </c>
      <c r="AY21" s="206" t="s">
        <v>1220</v>
      </c>
      <c r="AZ21" s="206" t="s">
        <v>1221</v>
      </c>
      <c r="BA21" s="206" t="s">
        <v>1222</v>
      </c>
      <c r="BB21" s="206" t="s">
        <v>1223</v>
      </c>
      <c r="BC21" s="206" t="s">
        <v>19</v>
      </c>
      <c r="BD21" s="206" t="s">
        <v>22</v>
      </c>
      <c r="BE21" s="206" t="s">
        <v>1224</v>
      </c>
      <c r="BF21" s="206" t="s">
        <v>1225</v>
      </c>
      <c r="BG21" s="206" t="s">
        <v>23</v>
      </c>
      <c r="BH21" s="206" t="s">
        <v>117</v>
      </c>
      <c r="BI21" s="206" t="s">
        <v>867</v>
      </c>
      <c r="BJ21" s="206" t="s">
        <v>126</v>
      </c>
      <c r="BK21" s="206" t="s">
        <v>75</v>
      </c>
      <c r="BL21" s="206" t="s">
        <v>108</v>
      </c>
      <c r="BM21" s="206" t="s">
        <v>109</v>
      </c>
      <c r="BN21" s="206" t="s">
        <v>259</v>
      </c>
      <c r="BO21" s="206" t="s">
        <v>260</v>
      </c>
      <c r="BP21" s="206" t="s">
        <v>1022</v>
      </c>
      <c r="BQ21" s="206" t="s">
        <v>695</v>
      </c>
      <c r="BR21" s="206" t="s">
        <v>697</v>
      </c>
      <c r="BS21" s="206" t="s">
        <v>698</v>
      </c>
      <c r="BT21" s="206" t="s">
        <v>692</v>
      </c>
      <c r="BU21" s="206"/>
      <c r="BV21" s="206"/>
      <c r="BW21" s="206"/>
      <c r="BX21" s="206"/>
      <c r="BY21" s="206"/>
      <c r="BZ21" s="206"/>
      <c r="CA21" s="206"/>
      <c r="CB21" s="206"/>
      <c r="CC21" s="206"/>
      <c r="CD21" s="206"/>
      <c r="CE21" s="206"/>
      <c r="CF21" s="206"/>
      <c r="CG21" s="206"/>
      <c r="CH21" s="206"/>
      <c r="CI21" s="206" t="s">
        <v>1226</v>
      </c>
      <c r="CJ21" s="206" t="s">
        <v>1227</v>
      </c>
      <c r="CK21" s="206" t="s">
        <v>883</v>
      </c>
      <c r="CL21" s="206" t="s">
        <v>70</v>
      </c>
      <c r="CM21" s="206" t="s">
        <v>1228</v>
      </c>
      <c r="CN21" s="206" t="s">
        <v>34</v>
      </c>
      <c r="CO21" s="206" t="s">
        <v>35</v>
      </c>
      <c r="CP21" s="206" t="s">
        <v>144</v>
      </c>
      <c r="CQ21" s="206" t="s">
        <v>96</v>
      </c>
      <c r="CR21" s="206" t="s">
        <v>41</v>
      </c>
      <c r="CS21" s="206" t="s">
        <v>127</v>
      </c>
      <c r="CT21" s="206" t="s">
        <v>142</v>
      </c>
      <c r="CU21" s="206" t="s">
        <v>95</v>
      </c>
      <c r="CV21" s="206" t="s">
        <v>39</v>
      </c>
      <c r="CW21" s="206" t="s">
        <v>143</v>
      </c>
      <c r="CX21" s="206" t="s">
        <v>36</v>
      </c>
      <c r="CY21" s="206" t="s">
        <v>37</v>
      </c>
      <c r="CZ21" s="206" t="s">
        <v>56</v>
      </c>
      <c r="DA21" s="206"/>
      <c r="DB21" s="206"/>
      <c r="DC21" s="206" t="s">
        <v>135</v>
      </c>
      <c r="DD21" s="206" t="s">
        <v>868</v>
      </c>
      <c r="DE21" s="206"/>
      <c r="DF21" s="206" t="s">
        <v>136</v>
      </c>
      <c r="DG21" s="206" t="s">
        <v>208</v>
      </c>
      <c r="DH21" s="206" t="s">
        <v>301</v>
      </c>
      <c r="DI21" s="206"/>
      <c r="DJ21" s="206" t="s">
        <v>1229</v>
      </c>
      <c r="DK21" s="206" t="s">
        <v>1230</v>
      </c>
      <c r="DL21" s="206" t="s">
        <v>1231</v>
      </c>
      <c r="DM21" s="206"/>
      <c r="DN21" s="206" t="s">
        <v>128</v>
      </c>
      <c r="DO21" s="206" t="s">
        <v>40</v>
      </c>
      <c r="DP21" s="206" t="s">
        <v>38</v>
      </c>
      <c r="DQ21" s="206" t="s">
        <v>93</v>
      </c>
      <c r="DR21" s="206"/>
      <c r="DS21" s="206" t="s">
        <v>679</v>
      </c>
      <c r="DT21" s="206" t="s">
        <v>1014</v>
      </c>
      <c r="DU21" s="206" t="s">
        <v>64</v>
      </c>
      <c r="DV21" s="206" t="s">
        <v>65</v>
      </c>
      <c r="DW21" s="207" t="s">
        <v>1232</v>
      </c>
      <c r="DX21" s="206" t="s">
        <v>179</v>
      </c>
      <c r="DY21" s="206" t="s">
        <v>845</v>
      </c>
      <c r="DZ21" s="206" t="s">
        <v>192</v>
      </c>
      <c r="EA21" s="207"/>
      <c r="EB21" s="207"/>
      <c r="EC21" s="207"/>
      <c r="ED21" s="207"/>
      <c r="EE21" s="206" t="s">
        <v>46</v>
      </c>
      <c r="EF21" s="206" t="s">
        <v>1233</v>
      </c>
      <c r="EG21" s="206" t="s">
        <v>42</v>
      </c>
      <c r="EH21" s="206" t="s">
        <v>38</v>
      </c>
      <c r="EI21" s="206" t="s">
        <v>44</v>
      </c>
      <c r="EJ21" s="206"/>
      <c r="EK21" s="206" t="s">
        <v>380</v>
      </c>
      <c r="EL21" s="206" t="s">
        <v>383</v>
      </c>
      <c r="EM21" s="206" t="s">
        <v>63</v>
      </c>
      <c r="EN21" s="206" t="s">
        <v>113</v>
      </c>
      <c r="EO21" s="206" t="s">
        <v>268</v>
      </c>
      <c r="EP21" s="206" t="s">
        <v>101</v>
      </c>
      <c r="EQ21" s="206" t="s">
        <v>269</v>
      </c>
      <c r="ER21" s="206" t="s">
        <v>590</v>
      </c>
      <c r="ES21" s="206" t="s">
        <v>599</v>
      </c>
      <c r="ET21" s="206" t="s">
        <v>24</v>
      </c>
      <c r="EU21" s="206" t="s">
        <v>26</v>
      </c>
      <c r="EV21" s="206" t="s">
        <v>28</v>
      </c>
      <c r="EW21" s="206" t="s">
        <v>25</v>
      </c>
      <c r="EX21" s="206" t="s">
        <v>27</v>
      </c>
      <c r="EY21" s="206" t="s">
        <v>29</v>
      </c>
      <c r="EZ21" s="206" t="s">
        <v>488</v>
      </c>
      <c r="FA21" s="206" t="s">
        <v>598</v>
      </c>
      <c r="FB21" s="206" t="s">
        <v>489</v>
      </c>
      <c r="FC21" s="206" t="s">
        <v>506</v>
      </c>
      <c r="FD21" s="206" t="s">
        <v>507</v>
      </c>
      <c r="FE21" s="206" t="s">
        <v>508</v>
      </c>
      <c r="FF21" s="206" t="s">
        <v>681</v>
      </c>
      <c r="FG21" s="206" t="s">
        <v>682</v>
      </c>
      <c r="FH21" s="206" t="s">
        <v>30</v>
      </c>
      <c r="FI21" s="206" t="s">
        <v>32</v>
      </c>
      <c r="FJ21" s="206" t="s">
        <v>33</v>
      </c>
      <c r="FK21" s="206" t="s">
        <v>270</v>
      </c>
      <c r="FL21" s="206"/>
      <c r="FM21" s="206" t="s">
        <v>271</v>
      </c>
      <c r="FN21" s="206" t="s">
        <v>277</v>
      </c>
      <c r="FO21" s="206"/>
      <c r="FP21" s="206"/>
      <c r="FQ21" s="206" t="s">
        <v>1234</v>
      </c>
      <c r="FR21" s="206" t="s">
        <v>1235</v>
      </c>
      <c r="FS21" s="206" t="s">
        <v>1236</v>
      </c>
      <c r="FT21" s="206" t="s">
        <v>1237</v>
      </c>
      <c r="FU21" s="206" t="s">
        <v>688</v>
      </c>
      <c r="FV21" s="206" t="s">
        <v>1238</v>
      </c>
      <c r="FW21" s="206"/>
      <c r="FX21" s="206"/>
      <c r="FY21" s="206"/>
      <c r="FZ21" s="206"/>
      <c r="GA21" s="206" t="s">
        <v>1055</v>
      </c>
      <c r="GB21" s="206"/>
      <c r="GC21" s="206" t="s">
        <v>1239</v>
      </c>
      <c r="GD21" s="206"/>
      <c r="GE21" s="206"/>
      <c r="GF21" s="206"/>
      <c r="GG21" s="206"/>
      <c r="GH21" s="206" t="s">
        <v>284</v>
      </c>
      <c r="GI21" s="206" t="s">
        <v>216</v>
      </c>
      <c r="GJ21" s="206" t="s">
        <v>389</v>
      </c>
      <c r="GK21" s="206" t="s">
        <v>701</v>
      </c>
      <c r="GL21" s="206" t="s">
        <v>391</v>
      </c>
      <c r="GM21" s="206" t="s">
        <v>430</v>
      </c>
      <c r="GN21" s="206"/>
      <c r="GO21" s="206" t="s">
        <v>189</v>
      </c>
      <c r="GP21" s="206" t="s">
        <v>396</v>
      </c>
      <c r="GQ21" s="206"/>
      <c r="GR21" s="206" t="s">
        <v>400</v>
      </c>
      <c r="GS21" s="206"/>
      <c r="GT21" s="206"/>
      <c r="GU21" s="206" t="s">
        <v>866</v>
      </c>
      <c r="GV21" s="206" t="s">
        <v>1240</v>
      </c>
      <c r="GW21" s="206" t="s">
        <v>1241</v>
      </c>
      <c r="GX21" s="206" t="s">
        <v>1242</v>
      </c>
      <c r="GY21" s="206"/>
      <c r="GZ21" s="206"/>
      <c r="HA21" s="206"/>
      <c r="HB21" s="206"/>
      <c r="HC21" s="206"/>
      <c r="HD21" s="206" t="s">
        <v>257</v>
      </c>
      <c r="HE21" s="206" t="s">
        <v>1243</v>
      </c>
      <c r="HF21" s="206"/>
      <c r="HG21" s="206" t="s">
        <v>405</v>
      </c>
      <c r="HH21" s="206" t="s">
        <v>411</v>
      </c>
      <c r="HI21" s="206"/>
      <c r="HJ21" s="206" t="s">
        <v>415</v>
      </c>
      <c r="HK21" s="206" t="s">
        <v>419</v>
      </c>
      <c r="HL21" s="206"/>
      <c r="HM21" s="206"/>
      <c r="HN21" s="206" t="s">
        <v>423</v>
      </c>
      <c r="HO21" s="206"/>
      <c r="HP21" s="206" t="s">
        <v>427</v>
      </c>
      <c r="HQ21" s="206" t="s">
        <v>1655</v>
      </c>
      <c r="HR21" s="206" t="s">
        <v>1656</v>
      </c>
      <c r="HS21" s="206" t="s">
        <v>433</v>
      </c>
      <c r="HT21" s="206" t="s">
        <v>1657</v>
      </c>
      <c r="HU21" s="206"/>
      <c r="HV21" s="206"/>
      <c r="HW21" s="206"/>
      <c r="HX21" s="488"/>
      <c r="HY21" s="488"/>
      <c r="HZ21" s="208"/>
      <c r="IA21" s="208"/>
      <c r="IB21" s="208" t="s">
        <v>227</v>
      </c>
      <c r="IC21" s="207" t="s">
        <v>1247</v>
      </c>
      <c r="ID21" s="206" t="s">
        <v>1658</v>
      </c>
      <c r="IE21" s="206"/>
      <c r="IF21" s="206" t="s">
        <v>762</v>
      </c>
      <c r="IG21" s="206" t="s">
        <v>764</v>
      </c>
      <c r="IH21" s="206"/>
      <c r="II21" s="206"/>
      <c r="IJ21" s="206"/>
      <c r="IK21" s="489"/>
      <c r="IL21" s="206"/>
      <c r="IM21" s="206"/>
      <c r="IN21" s="206"/>
      <c r="IO21" s="206" t="s">
        <v>1659</v>
      </c>
      <c r="IP21" s="206"/>
      <c r="IQ21" s="206" t="s">
        <v>1660</v>
      </c>
      <c r="IR21" s="206" t="s">
        <v>385</v>
      </c>
      <c r="IS21" s="206" t="s">
        <v>767</v>
      </c>
      <c r="IT21" s="206"/>
      <c r="IU21" s="206"/>
      <c r="IV21" s="207"/>
      <c r="IW21" s="207"/>
      <c r="IX21" s="207"/>
      <c r="IY21" s="207"/>
      <c r="IZ21" s="207" t="s">
        <v>519</v>
      </c>
      <c r="JA21" s="207"/>
      <c r="JB21" s="206"/>
      <c r="JC21" s="206"/>
      <c r="JD21" s="207" t="s">
        <v>524</v>
      </c>
      <c r="JE21" s="207"/>
      <c r="JF21" s="489"/>
      <c r="JG21" s="206"/>
      <c r="JH21" s="206" t="s">
        <v>182</v>
      </c>
      <c r="JI21" s="489"/>
      <c r="JJ21" s="206"/>
      <c r="JK21" s="489"/>
      <c r="JL21" s="206"/>
      <c r="JM21" s="489"/>
      <c r="JN21" s="206"/>
      <c r="JO21" s="206" t="s">
        <v>495</v>
      </c>
      <c r="JP21" s="206" t="s">
        <v>503</v>
      </c>
      <c r="JQ21" s="206"/>
      <c r="JR21" s="206"/>
      <c r="JS21" s="206"/>
      <c r="JT21" s="206" t="s">
        <v>499</v>
      </c>
      <c r="JU21" s="206"/>
      <c r="JV21" s="207"/>
      <c r="JW21" s="207"/>
      <c r="JX21" s="207"/>
      <c r="JY21" s="34"/>
      <c r="JZ21" s="34"/>
      <c r="KA21" s="34"/>
      <c r="KB21" s="34"/>
      <c r="KC21" s="34"/>
      <c r="KD21" s="34"/>
      <c r="KE21" s="34"/>
      <c r="KF21" s="34"/>
      <c r="KG21" s="34"/>
      <c r="KH21" s="34"/>
      <c r="KI21" s="34"/>
      <c r="KJ21" s="34"/>
      <c r="KK21" s="34"/>
      <c r="KL21" s="34"/>
      <c r="KM21" s="34"/>
      <c r="KN21" s="34"/>
      <c r="KO21" s="34"/>
      <c r="KP21" s="34"/>
      <c r="KQ21" s="34"/>
      <c r="KR21" s="34"/>
      <c r="KS21" s="34"/>
      <c r="KT21" s="34"/>
      <c r="KU21" s="34"/>
      <c r="KV21" s="34"/>
      <c r="KW21" s="34"/>
      <c r="KX21" s="34"/>
      <c r="KY21" s="34"/>
      <c r="KZ21" s="34"/>
      <c r="LA21" s="210"/>
      <c r="LB21" s="34"/>
      <c r="LC21" s="488"/>
      <c r="LD21" s="488"/>
      <c r="LE21" s="34"/>
      <c r="LF21" s="34"/>
      <c r="LG21" s="34"/>
      <c r="LH21" s="34"/>
      <c r="LI21" s="34"/>
      <c r="LJ21" s="34"/>
      <c r="LK21" s="34"/>
      <c r="LL21" s="34"/>
      <c r="LM21" s="34"/>
      <c r="LN21" s="34"/>
      <c r="LO21" s="34"/>
      <c r="LP21" s="34"/>
      <c r="LQ21" s="34"/>
      <c r="LR21" s="34"/>
      <c r="LS21" s="34"/>
      <c r="LT21" s="34"/>
      <c r="LU21" s="34"/>
      <c r="LV21" s="34"/>
      <c r="LW21" s="34"/>
      <c r="LX21" s="34"/>
      <c r="LY21" s="34"/>
      <c r="LZ21" s="34"/>
      <c r="MA21" s="34"/>
      <c r="MB21" s="34"/>
      <c r="MC21" s="34"/>
      <c r="MD21" s="34"/>
      <c r="ME21" s="34"/>
      <c r="MF21" s="34"/>
      <c r="MG21" s="34"/>
      <c r="MH21" s="34"/>
      <c r="MI21" s="34"/>
      <c r="MJ21" s="34"/>
      <c r="MK21" s="34"/>
      <c r="ML21" s="34"/>
      <c r="MM21" s="34"/>
      <c r="MN21" s="34"/>
      <c r="MO21" s="34"/>
      <c r="MP21" s="34"/>
      <c r="MQ21" s="34"/>
      <c r="MR21" s="34"/>
      <c r="MS21" s="34"/>
      <c r="MT21" s="34"/>
      <c r="MU21" s="34"/>
      <c r="MV21" s="34"/>
      <c r="MW21" s="34"/>
      <c r="MX21" s="34"/>
      <c r="MY21" s="34"/>
      <c r="MZ21" s="34"/>
      <c r="NA21" s="34"/>
      <c r="NB21" s="34"/>
      <c r="NC21" s="209"/>
      <c r="ND21" s="34"/>
      <c r="NE21" s="34"/>
      <c r="NF21" s="34"/>
      <c r="NG21" s="34"/>
      <c r="NH21" s="34"/>
      <c r="NI21" s="34"/>
      <c r="NJ21" s="34"/>
      <c r="NK21" s="206"/>
      <c r="NL21" s="206"/>
      <c r="NM21" s="206"/>
      <c r="NN21" s="206"/>
      <c r="NO21" s="206"/>
      <c r="NP21" s="206"/>
      <c r="NQ21" s="206"/>
      <c r="NR21" s="206"/>
      <c r="NS21" s="206"/>
      <c r="NT21" s="206"/>
      <c r="NU21" s="206"/>
      <c r="NV21" s="206"/>
      <c r="NW21" s="206"/>
      <c r="NX21" s="206"/>
      <c r="NY21" s="206"/>
      <c r="NZ21" s="206"/>
      <c r="OA21" s="206"/>
      <c r="OB21" s="206" t="s">
        <v>1661</v>
      </c>
      <c r="OC21" s="206"/>
      <c r="OD21" s="206"/>
      <c r="OE21" s="206"/>
      <c r="OF21" s="206"/>
      <c r="OG21" s="206"/>
      <c r="OH21" s="206"/>
      <c r="OI21" s="206"/>
      <c r="OJ21" s="206"/>
      <c r="OK21" s="206"/>
      <c r="OL21" s="206" t="s">
        <v>1662</v>
      </c>
      <c r="OM21" s="206"/>
      <c r="ON21" s="206"/>
      <c r="OO21" s="206"/>
      <c r="OP21" s="206"/>
      <c r="OQ21" s="206"/>
      <c r="OR21" s="206"/>
      <c r="OS21" s="206"/>
      <c r="OT21" s="206"/>
      <c r="OU21" s="206" t="s">
        <v>94</v>
      </c>
      <c r="OV21" s="206"/>
      <c r="OW21" s="206" t="s">
        <v>734</v>
      </c>
      <c r="OX21" s="206"/>
      <c r="OY21" s="206" t="s">
        <v>91</v>
      </c>
      <c r="OZ21" s="206" t="s">
        <v>742</v>
      </c>
      <c r="PA21" s="206"/>
      <c r="PB21" s="206" t="s">
        <v>743</v>
      </c>
      <c r="PC21" s="206" t="s">
        <v>92</v>
      </c>
      <c r="PD21" s="206"/>
      <c r="PE21" s="206"/>
      <c r="PF21" s="206"/>
      <c r="PG21" s="206"/>
      <c r="PH21" s="206"/>
      <c r="PI21" s="206"/>
      <c r="PJ21" s="206"/>
      <c r="PK21" s="206"/>
      <c r="PL21" s="206"/>
      <c r="PM21" s="206"/>
      <c r="PN21" s="206"/>
      <c r="PO21" s="206"/>
      <c r="PP21" s="206"/>
      <c r="PQ21" s="206"/>
      <c r="PR21" s="206"/>
      <c r="PS21" s="206"/>
      <c r="PT21" s="206"/>
      <c r="PU21" s="206"/>
      <c r="PV21" s="206"/>
      <c r="PW21" s="206"/>
      <c r="PX21" s="206"/>
      <c r="PY21" s="206"/>
      <c r="PZ21" s="206"/>
      <c r="QA21" s="206"/>
      <c r="QB21" s="206"/>
      <c r="QC21" s="206"/>
      <c r="QD21" s="206"/>
      <c r="QE21" s="206"/>
      <c r="QF21" s="206"/>
      <c r="QG21" s="206"/>
      <c r="QH21" s="206"/>
      <c r="QI21" s="206"/>
      <c r="QJ21" s="206"/>
      <c r="QK21" s="206"/>
      <c r="QL21" s="206"/>
      <c r="QM21" s="206"/>
      <c r="QN21" s="206"/>
      <c r="QO21" s="206"/>
      <c r="QP21" s="206"/>
      <c r="QQ21" s="206"/>
      <c r="QR21" s="206"/>
      <c r="QS21" s="206"/>
      <c r="QT21" s="206"/>
      <c r="QU21" s="206"/>
      <c r="QV21" s="206"/>
      <c r="QW21" s="206"/>
      <c r="QX21" s="206"/>
      <c r="QY21" s="206"/>
      <c r="QZ21" s="206"/>
      <c r="RA21" s="206"/>
      <c r="RB21" s="206"/>
      <c r="RC21" s="206"/>
      <c r="RD21" s="206"/>
      <c r="RE21" s="206"/>
      <c r="RF21" s="206"/>
      <c r="RG21" s="206"/>
      <c r="RH21" s="206"/>
      <c r="RI21" s="206"/>
      <c r="RJ21" s="206"/>
      <c r="RK21" s="206"/>
      <c r="RL21" s="206"/>
      <c r="RM21" s="206"/>
      <c r="RN21" s="206"/>
      <c r="RO21" s="206"/>
      <c r="RP21" s="206"/>
      <c r="RQ21" s="206"/>
      <c r="RR21" s="206"/>
      <c r="RS21" s="206" t="s">
        <v>466</v>
      </c>
      <c r="RT21" s="206"/>
      <c r="RU21" s="206"/>
      <c r="RV21" s="206"/>
      <c r="RW21" s="206"/>
      <c r="RX21" s="206"/>
      <c r="RY21" s="206"/>
      <c r="RZ21" s="206"/>
      <c r="SA21" s="206"/>
      <c r="SB21" s="206"/>
      <c r="SC21" s="206"/>
      <c r="SD21" s="206"/>
      <c r="SE21" s="206"/>
      <c r="SF21" s="206"/>
      <c r="SG21" s="206"/>
      <c r="SH21" s="206"/>
      <c r="SI21" s="206"/>
      <c r="SJ21" s="206"/>
      <c r="SK21" s="206"/>
      <c r="SL21" s="206"/>
      <c r="SM21" s="206"/>
      <c r="SN21" s="206"/>
      <c r="SO21" s="206"/>
      <c r="SP21" s="206"/>
      <c r="SQ21" s="206"/>
      <c r="SR21" s="206"/>
      <c r="SS21" s="206"/>
      <c r="ST21" s="206"/>
      <c r="SU21" s="206"/>
      <c r="SV21" s="206"/>
      <c r="SW21" s="206"/>
      <c r="SX21" s="206"/>
      <c r="SY21" s="206"/>
      <c r="SZ21" s="206"/>
      <c r="TA21" s="206"/>
      <c r="TB21" s="206"/>
      <c r="TC21" s="206"/>
      <c r="TD21" s="206"/>
      <c r="TE21" s="206"/>
      <c r="TF21" s="206"/>
      <c r="TG21" s="206"/>
      <c r="TH21" s="206"/>
      <c r="TI21" s="206"/>
      <c r="TJ21" s="206" t="s">
        <v>1262</v>
      </c>
      <c r="TK21" s="490" t="s">
        <v>1074</v>
      </c>
      <c r="TL21" s="490"/>
      <c r="TM21" s="490"/>
      <c r="TN21" s="490"/>
      <c r="TO21" s="490"/>
      <c r="TP21" s="490" t="s">
        <v>335</v>
      </c>
      <c r="TQ21" s="206"/>
      <c r="TR21" s="206" t="s">
        <v>545</v>
      </c>
      <c r="TS21" s="206" t="s">
        <v>546</v>
      </c>
      <c r="TT21" s="206" t="s">
        <v>547</v>
      </c>
      <c r="TU21" s="206" t="s">
        <v>548</v>
      </c>
      <c r="TV21" s="206" t="s">
        <v>549</v>
      </c>
      <c r="TW21" s="206" t="s">
        <v>554</v>
      </c>
      <c r="TX21" s="206"/>
      <c r="TY21" s="206"/>
      <c r="TZ21" s="206"/>
      <c r="UA21" s="206"/>
      <c r="UB21" s="206"/>
      <c r="UC21" s="206"/>
      <c r="UD21" s="206"/>
      <c r="UE21" s="206"/>
      <c r="UF21" s="206"/>
      <c r="UG21" s="206"/>
      <c r="UH21" s="206"/>
      <c r="UI21" s="206" t="s">
        <v>447</v>
      </c>
      <c r="UJ21" s="206"/>
      <c r="UK21" s="206"/>
      <c r="UL21" s="206"/>
      <c r="UM21" s="206"/>
      <c r="UN21" s="206" t="s">
        <v>454</v>
      </c>
      <c r="UO21" s="206"/>
      <c r="UP21" s="206"/>
      <c r="UQ21" s="206"/>
      <c r="UR21" s="206"/>
      <c r="US21" s="206"/>
      <c r="UT21" s="206"/>
      <c r="UU21" s="206"/>
      <c r="UV21" s="206"/>
      <c r="UW21" s="206"/>
      <c r="UX21" s="206"/>
      <c r="UY21" s="206"/>
      <c r="UZ21" s="206" t="s">
        <v>471</v>
      </c>
      <c r="VA21" s="206"/>
      <c r="VB21" s="206"/>
      <c r="VC21" s="206"/>
      <c r="VD21" s="206"/>
      <c r="VE21" s="206"/>
      <c r="VF21" s="206"/>
      <c r="VG21" s="206"/>
      <c r="VH21" s="206"/>
      <c r="VI21" s="206"/>
      <c r="VJ21" s="206"/>
      <c r="VK21" s="206"/>
      <c r="VL21" s="206"/>
      <c r="VM21" s="206"/>
      <c r="VN21" s="208"/>
      <c r="VO21" s="208"/>
      <c r="VP21" s="208"/>
      <c r="VQ21" s="208"/>
      <c r="VR21" s="208"/>
      <c r="VS21" s="208"/>
      <c r="VT21" s="208"/>
      <c r="VU21" s="208"/>
      <c r="VV21" s="208"/>
      <c r="VW21" s="208"/>
      <c r="VX21" s="206"/>
      <c r="VY21" s="206"/>
      <c r="VZ21" s="206"/>
      <c r="WA21" s="206"/>
      <c r="WB21" s="206"/>
      <c r="WC21" s="206"/>
      <c r="WD21" s="206"/>
      <c r="WE21" s="206"/>
      <c r="WF21" s="206"/>
      <c r="WG21" s="206"/>
      <c r="WH21" s="206"/>
      <c r="WI21" s="206"/>
      <c r="WJ21" s="206"/>
      <c r="WK21" s="206"/>
      <c r="WL21" s="206"/>
      <c r="WM21" s="206"/>
      <c r="WN21" s="206"/>
      <c r="WO21" s="206"/>
      <c r="WP21" s="206"/>
      <c r="WQ21" s="206"/>
      <c r="WR21" s="206"/>
      <c r="WS21" s="206"/>
      <c r="WT21" s="206"/>
      <c r="WU21" s="206"/>
      <c r="WV21" s="206"/>
      <c r="WW21" s="206"/>
      <c r="WX21" s="206"/>
      <c r="WY21" s="206"/>
      <c r="WZ21" s="206"/>
      <c r="XA21" s="206"/>
      <c r="XB21" s="206"/>
      <c r="XC21" s="206"/>
      <c r="XD21" s="206"/>
      <c r="XE21" s="206"/>
      <c r="XF21" s="206"/>
      <c r="XG21" s="206"/>
      <c r="XH21" s="206"/>
      <c r="XI21" s="206"/>
      <c r="XJ21" s="206"/>
      <c r="XK21" s="206"/>
      <c r="XL21" s="206"/>
      <c r="XM21" s="206"/>
      <c r="XN21" s="206"/>
      <c r="XO21" s="206"/>
      <c r="XP21" s="206"/>
      <c r="XQ21" s="206"/>
      <c r="XR21" s="206"/>
      <c r="XS21" s="206"/>
      <c r="XT21" s="206"/>
      <c r="XU21" s="206"/>
      <c r="XV21" s="206"/>
      <c r="XW21" s="206"/>
      <c r="XX21" s="206"/>
      <c r="XY21" s="206"/>
      <c r="XZ21" s="206"/>
      <c r="YA21" s="206"/>
      <c r="YB21" s="206"/>
      <c r="YC21" s="206"/>
      <c r="YD21" s="206"/>
      <c r="YE21" s="206"/>
      <c r="YF21" s="206"/>
      <c r="YG21" s="206"/>
      <c r="YH21" s="206"/>
      <c r="YI21" s="206"/>
      <c r="YJ21" s="206"/>
      <c r="YK21" s="206"/>
      <c r="YL21" s="206"/>
      <c r="YM21" s="206"/>
      <c r="YN21" s="206"/>
      <c r="YO21" s="206"/>
      <c r="YP21" s="206"/>
      <c r="YQ21" s="206"/>
      <c r="YR21" s="206"/>
      <c r="YS21" s="206"/>
      <c r="YT21" s="206"/>
      <c r="YU21" s="206"/>
      <c r="YV21" s="206"/>
      <c r="YW21" s="206"/>
      <c r="YX21" s="206"/>
      <c r="YY21" s="206"/>
      <c r="YZ21" s="206"/>
      <c r="ZA21" s="206"/>
      <c r="ZB21" s="206"/>
      <c r="ZC21" s="206" t="s">
        <v>204</v>
      </c>
      <c r="ZD21" s="206" t="s">
        <v>205</v>
      </c>
      <c r="ZE21" s="206" t="s">
        <v>802</v>
      </c>
      <c r="ZF21" s="206" t="s">
        <v>801</v>
      </c>
      <c r="ZG21" s="206" t="s">
        <v>1100</v>
      </c>
      <c r="ZH21" s="206"/>
      <c r="ZI21" s="206" t="s">
        <v>800</v>
      </c>
      <c r="ZJ21" s="206" t="s">
        <v>1101</v>
      </c>
      <c r="ZK21" s="206" t="s">
        <v>1102</v>
      </c>
      <c r="ZL21" s="206" t="s">
        <v>1103</v>
      </c>
      <c r="ZM21" s="206" t="s">
        <v>1104</v>
      </c>
      <c r="ZN21" s="206" t="s">
        <v>1105</v>
      </c>
      <c r="ZO21" s="206" t="s">
        <v>1769</v>
      </c>
      <c r="ZP21" s="206" t="s">
        <v>1107</v>
      </c>
      <c r="ZQ21" s="206" t="s">
        <v>1663</v>
      </c>
      <c r="ZR21" s="206" t="s">
        <v>1664</v>
      </c>
      <c r="ZS21" s="206" t="s">
        <v>1665</v>
      </c>
      <c r="ZT21" s="206" t="s">
        <v>1666</v>
      </c>
      <c r="ZU21" s="206"/>
      <c r="ZV21" s="206" t="s">
        <v>807</v>
      </c>
      <c r="ZW21" s="206"/>
      <c r="ZX21" s="206"/>
      <c r="ZY21" s="206"/>
      <c r="ZZ21" s="207"/>
      <c r="AAA21" s="206"/>
      <c r="AAB21" s="206"/>
      <c r="AAC21" s="206"/>
      <c r="AAD21" s="206"/>
    </row>
    <row r="22" spans="1:706" s="94" customFormat="1" x14ac:dyDescent="0.2">
      <c r="A22" s="113" t="s">
        <v>374</v>
      </c>
      <c r="B22" s="49" t="s">
        <v>13</v>
      </c>
      <c r="C22" s="49" t="s">
        <v>13</v>
      </c>
      <c r="D22" s="49" t="s">
        <v>13</v>
      </c>
      <c r="E22" s="49" t="s">
        <v>13</v>
      </c>
      <c r="F22" s="49" t="s">
        <v>59</v>
      </c>
      <c r="G22" s="49" t="s">
        <v>31</v>
      </c>
      <c r="H22" s="49" t="s">
        <v>13</v>
      </c>
      <c r="I22" s="49" t="s">
        <v>13</v>
      </c>
      <c r="J22" s="49" t="s">
        <v>13</v>
      </c>
      <c r="K22" s="49" t="s">
        <v>13</v>
      </c>
      <c r="L22" s="49"/>
      <c r="M22" s="49" t="s">
        <v>13</v>
      </c>
      <c r="N22" s="49" t="s">
        <v>13</v>
      </c>
      <c r="O22" s="49" t="s">
        <v>13</v>
      </c>
      <c r="P22" s="49" t="s">
        <v>13</v>
      </c>
      <c r="Q22" s="49" t="s">
        <v>13</v>
      </c>
      <c r="R22" s="49" t="s">
        <v>13</v>
      </c>
      <c r="S22" s="49" t="s">
        <v>13</v>
      </c>
      <c r="T22" s="49" t="s">
        <v>13</v>
      </c>
      <c r="U22" s="49" t="s">
        <v>13</v>
      </c>
      <c r="V22" s="49" t="s">
        <v>13</v>
      </c>
      <c r="W22" s="49" t="s">
        <v>13</v>
      </c>
      <c r="X22" s="49" t="s">
        <v>13</v>
      </c>
      <c r="Y22" s="49" t="s">
        <v>13</v>
      </c>
      <c r="Z22" s="49" t="s">
        <v>13</v>
      </c>
      <c r="AA22" s="49" t="s">
        <v>13</v>
      </c>
      <c r="AB22" s="49" t="s">
        <v>13</v>
      </c>
      <c r="AC22" s="49" t="s">
        <v>13</v>
      </c>
      <c r="AD22" s="49" t="s">
        <v>13</v>
      </c>
      <c r="AE22" s="49" t="s">
        <v>13</v>
      </c>
      <c r="AF22" s="49" t="s">
        <v>13</v>
      </c>
      <c r="AG22" s="49" t="s">
        <v>13</v>
      </c>
      <c r="AH22" s="49" t="s">
        <v>13</v>
      </c>
      <c r="AI22" s="49" t="s">
        <v>13</v>
      </c>
      <c r="AJ22" s="49" t="s">
        <v>13</v>
      </c>
      <c r="AK22" s="49" t="s">
        <v>13</v>
      </c>
      <c r="AL22" s="49" t="s">
        <v>13</v>
      </c>
      <c r="AM22" s="49" t="s">
        <v>59</v>
      </c>
      <c r="AN22" s="49" t="s">
        <v>13</v>
      </c>
      <c r="AO22" s="49" t="s">
        <v>13</v>
      </c>
      <c r="AP22" s="49" t="s">
        <v>13</v>
      </c>
      <c r="AQ22" s="49" t="s">
        <v>13</v>
      </c>
      <c r="AR22" s="49" t="s">
        <v>13</v>
      </c>
      <c r="AS22" s="49" t="s">
        <v>13</v>
      </c>
      <c r="AT22" s="49" t="s">
        <v>13</v>
      </c>
      <c r="AU22" s="49" t="s">
        <v>13</v>
      </c>
      <c r="AV22" s="49" t="s">
        <v>13</v>
      </c>
      <c r="AW22" s="49" t="s">
        <v>13</v>
      </c>
      <c r="AX22" s="49" t="s">
        <v>13</v>
      </c>
      <c r="AY22" s="49" t="s">
        <v>13</v>
      </c>
      <c r="AZ22" s="49" t="s">
        <v>13</v>
      </c>
      <c r="BA22" s="49" t="s">
        <v>13</v>
      </c>
      <c r="BB22" s="49" t="s">
        <v>13</v>
      </c>
      <c r="BC22" s="49" t="s">
        <v>59</v>
      </c>
      <c r="BD22" s="49" t="s">
        <v>13</v>
      </c>
      <c r="BE22" s="49" t="s">
        <v>13</v>
      </c>
      <c r="BF22" s="49" t="s">
        <v>13</v>
      </c>
      <c r="BG22" s="49" t="s">
        <v>13</v>
      </c>
      <c r="BH22" s="49" t="s">
        <v>13</v>
      </c>
      <c r="BI22" s="49" t="s">
        <v>13</v>
      </c>
      <c r="BJ22" s="49" t="s">
        <v>13</v>
      </c>
      <c r="BK22" s="49" t="s">
        <v>13</v>
      </c>
      <c r="BL22" s="49" t="s">
        <v>13</v>
      </c>
      <c r="BM22" s="49" t="s">
        <v>13</v>
      </c>
      <c r="BN22" s="49" t="s">
        <v>13</v>
      </c>
      <c r="BO22" s="49" t="s">
        <v>13</v>
      </c>
      <c r="BP22" s="49" t="s">
        <v>13</v>
      </c>
      <c r="BQ22" s="49" t="s">
        <v>13</v>
      </c>
      <c r="BR22" s="49" t="s">
        <v>13</v>
      </c>
      <c r="BS22" s="49" t="s">
        <v>13</v>
      </c>
      <c r="BT22" s="49" t="s">
        <v>13</v>
      </c>
      <c r="BU22" s="49"/>
      <c r="BV22" s="49"/>
      <c r="BW22" s="49"/>
      <c r="BX22" s="49"/>
      <c r="BY22" s="49"/>
      <c r="BZ22" s="49"/>
      <c r="CA22" s="49"/>
      <c r="CB22" s="49"/>
      <c r="CC22" s="49"/>
      <c r="CD22" s="49"/>
      <c r="CE22" s="49"/>
      <c r="CF22" s="49"/>
      <c r="CG22" s="49"/>
      <c r="CH22" s="49"/>
      <c r="CI22" s="49" t="s">
        <v>13</v>
      </c>
      <c r="CJ22" s="49" t="s">
        <v>13</v>
      </c>
      <c r="CK22" s="49" t="s">
        <v>13</v>
      </c>
      <c r="CL22" s="49" t="s">
        <v>13</v>
      </c>
      <c r="CM22" s="49" t="s">
        <v>13</v>
      </c>
      <c r="CN22" s="49" t="s">
        <v>13</v>
      </c>
      <c r="CO22" s="49" t="s">
        <v>13</v>
      </c>
      <c r="CP22" s="49" t="s">
        <v>13</v>
      </c>
      <c r="CQ22" s="49" t="s">
        <v>13</v>
      </c>
      <c r="CR22" s="49" t="s">
        <v>13</v>
      </c>
      <c r="CS22" s="49" t="s">
        <v>13</v>
      </c>
      <c r="CT22" s="49" t="s">
        <v>13</v>
      </c>
      <c r="CU22" s="49" t="s">
        <v>13</v>
      </c>
      <c r="CV22" s="49" t="s">
        <v>13</v>
      </c>
      <c r="CW22" s="49" t="s">
        <v>13</v>
      </c>
      <c r="CX22" s="49" t="s">
        <v>13</v>
      </c>
      <c r="CY22" s="49" t="s">
        <v>13</v>
      </c>
      <c r="CZ22" s="49" t="s">
        <v>13</v>
      </c>
      <c r="DA22" s="49" t="s">
        <v>59</v>
      </c>
      <c r="DB22" s="49" t="s">
        <v>59</v>
      </c>
      <c r="DC22" s="49" t="s">
        <v>13</v>
      </c>
      <c r="DD22" s="49" t="s">
        <v>13</v>
      </c>
      <c r="DE22" s="49" t="s">
        <v>59</v>
      </c>
      <c r="DF22" s="49" t="s">
        <v>13</v>
      </c>
      <c r="DG22" s="49" t="s">
        <v>13</v>
      </c>
      <c r="DH22" s="49" t="s">
        <v>13</v>
      </c>
      <c r="DI22" s="49" t="s">
        <v>59</v>
      </c>
      <c r="DJ22" s="49" t="s">
        <v>13</v>
      </c>
      <c r="DK22" s="49" t="s">
        <v>13</v>
      </c>
      <c r="DL22" s="49" t="s">
        <v>13</v>
      </c>
      <c r="DM22" s="49"/>
      <c r="DN22" s="49" t="s">
        <v>13</v>
      </c>
      <c r="DO22" s="49" t="s">
        <v>59</v>
      </c>
      <c r="DP22" s="49" t="s">
        <v>13</v>
      </c>
      <c r="DQ22" s="49" t="s">
        <v>13</v>
      </c>
      <c r="DR22" s="49" t="s">
        <v>59</v>
      </c>
      <c r="DS22" s="49" t="s">
        <v>13</v>
      </c>
      <c r="DT22" s="49" t="s">
        <v>13</v>
      </c>
      <c r="DU22" s="49" t="s">
        <v>13</v>
      </c>
      <c r="DV22" s="49" t="s">
        <v>13</v>
      </c>
      <c r="DW22" s="122" t="s">
        <v>13</v>
      </c>
      <c r="DX22" s="49" t="s">
        <v>13</v>
      </c>
      <c r="DY22" s="49" t="s">
        <v>13</v>
      </c>
      <c r="DZ22" s="49" t="s">
        <v>13</v>
      </c>
      <c r="EA22" s="122"/>
      <c r="EB22" s="122"/>
      <c r="EC22" s="122"/>
      <c r="ED22" s="122"/>
      <c r="EE22" s="49" t="s">
        <v>13</v>
      </c>
      <c r="EF22" s="49" t="s">
        <v>13</v>
      </c>
      <c r="EG22" s="49" t="s">
        <v>13</v>
      </c>
      <c r="EH22" s="49" t="s">
        <v>13</v>
      </c>
      <c r="EI22" s="49" t="s">
        <v>13</v>
      </c>
      <c r="EJ22" s="49" t="s">
        <v>59</v>
      </c>
      <c r="EK22" s="49" t="s">
        <v>20</v>
      </c>
      <c r="EL22" s="49" t="s">
        <v>20</v>
      </c>
      <c r="EM22" s="49" t="s">
        <v>13</v>
      </c>
      <c r="EN22" s="49" t="s">
        <v>13</v>
      </c>
      <c r="EO22" s="49" t="s">
        <v>13</v>
      </c>
      <c r="EP22" s="49" t="s">
        <v>13</v>
      </c>
      <c r="EQ22" s="49" t="s">
        <v>13</v>
      </c>
      <c r="ER22" s="49" t="s">
        <v>13</v>
      </c>
      <c r="ES22" s="49" t="s">
        <v>13</v>
      </c>
      <c r="ET22" s="49" t="s">
        <v>13</v>
      </c>
      <c r="EU22" s="49" t="s">
        <v>13</v>
      </c>
      <c r="EV22" s="49" t="s">
        <v>13</v>
      </c>
      <c r="EW22" s="49" t="s">
        <v>13</v>
      </c>
      <c r="EX22" s="49" t="s">
        <v>13</v>
      </c>
      <c r="EY22" s="49" t="s">
        <v>13</v>
      </c>
      <c r="EZ22" s="49" t="s">
        <v>13</v>
      </c>
      <c r="FA22" s="49" t="s">
        <v>13</v>
      </c>
      <c r="FB22" s="49" t="s">
        <v>13</v>
      </c>
      <c r="FC22" s="49" t="s">
        <v>13</v>
      </c>
      <c r="FD22" s="49" t="s">
        <v>13</v>
      </c>
      <c r="FE22" s="49" t="s">
        <v>13</v>
      </c>
      <c r="FF22" s="93" t="s">
        <v>13</v>
      </c>
      <c r="FG22" s="93" t="s">
        <v>13</v>
      </c>
      <c r="FH22" s="93" t="s">
        <v>59</v>
      </c>
      <c r="FI22" s="93" t="s">
        <v>59</v>
      </c>
      <c r="FJ22" s="93" t="s">
        <v>59</v>
      </c>
      <c r="FK22" s="93" t="s">
        <v>13</v>
      </c>
      <c r="FL22" s="93"/>
      <c r="FM22" s="93" t="s">
        <v>13</v>
      </c>
      <c r="FN22" s="93" t="s">
        <v>13</v>
      </c>
      <c r="FO22" s="93"/>
      <c r="FP22" s="93"/>
      <c r="FQ22" s="93" t="s">
        <v>13</v>
      </c>
      <c r="FR22" s="93" t="s">
        <v>13</v>
      </c>
      <c r="FS22" s="93" t="s">
        <v>13</v>
      </c>
      <c r="FT22" s="49" t="s">
        <v>59</v>
      </c>
      <c r="FU22" s="93" t="s">
        <v>13</v>
      </c>
      <c r="FV22" s="93" t="s">
        <v>13</v>
      </c>
      <c r="FW22" s="49"/>
      <c r="FX22" s="49"/>
      <c r="FY22" s="49"/>
      <c r="FZ22" s="49"/>
      <c r="GA22" s="49" t="s">
        <v>13</v>
      </c>
      <c r="GB22" s="93"/>
      <c r="GC22" s="49" t="s">
        <v>13</v>
      </c>
      <c r="GD22" s="49" t="s">
        <v>59</v>
      </c>
      <c r="GE22" s="49" t="s">
        <v>20</v>
      </c>
      <c r="GF22" s="49" t="s">
        <v>20</v>
      </c>
      <c r="GG22" s="49"/>
      <c r="GH22" s="49" t="s">
        <v>13</v>
      </c>
      <c r="GI22" s="49" t="s">
        <v>13</v>
      </c>
      <c r="GJ22" s="49" t="s">
        <v>20</v>
      </c>
      <c r="GK22" s="49" t="s">
        <v>20</v>
      </c>
      <c r="GL22" s="49" t="s">
        <v>20</v>
      </c>
      <c r="GM22" s="49" t="s">
        <v>20</v>
      </c>
      <c r="GN22" s="49"/>
      <c r="GO22" s="49" t="s">
        <v>20</v>
      </c>
      <c r="GP22" s="49" t="s">
        <v>20</v>
      </c>
      <c r="GQ22" s="49"/>
      <c r="GR22" s="49" t="s">
        <v>20</v>
      </c>
      <c r="GS22" s="49"/>
      <c r="GT22" s="49" t="s">
        <v>59</v>
      </c>
      <c r="GU22" s="49" t="s">
        <v>13</v>
      </c>
      <c r="GV22" s="49" t="s">
        <v>13</v>
      </c>
      <c r="GW22" s="49" t="s">
        <v>13</v>
      </c>
      <c r="GX22" s="49" t="s">
        <v>13</v>
      </c>
      <c r="GY22" s="49"/>
      <c r="GZ22" s="49"/>
      <c r="HA22" s="49"/>
      <c r="HB22" s="49"/>
      <c r="HC22" s="49"/>
      <c r="HD22" s="49" t="s">
        <v>13</v>
      </c>
      <c r="HE22" s="49" t="s">
        <v>13</v>
      </c>
      <c r="HF22" s="49"/>
      <c r="HG22" s="49" t="s">
        <v>20</v>
      </c>
      <c r="HH22" s="49" t="s">
        <v>20</v>
      </c>
      <c r="HI22" s="49"/>
      <c r="HJ22" s="49" t="s">
        <v>20</v>
      </c>
      <c r="HK22" s="49" t="s">
        <v>20</v>
      </c>
      <c r="HL22" s="49"/>
      <c r="HM22" s="49"/>
      <c r="HN22" s="49" t="s">
        <v>20</v>
      </c>
      <c r="HO22" s="49"/>
      <c r="HP22" s="49" t="s">
        <v>20</v>
      </c>
      <c r="HQ22" s="49" t="s">
        <v>20</v>
      </c>
      <c r="HR22" s="49" t="s">
        <v>20</v>
      </c>
      <c r="HS22" s="49" t="s">
        <v>20</v>
      </c>
      <c r="HT22" s="49" t="s">
        <v>20</v>
      </c>
      <c r="HU22" s="49"/>
      <c r="HV22" s="49"/>
      <c r="HW22" s="49"/>
      <c r="HX22" s="465" t="s">
        <v>59</v>
      </c>
      <c r="HY22" s="465" t="s">
        <v>59</v>
      </c>
      <c r="HZ22" s="49" t="s">
        <v>59</v>
      </c>
      <c r="IA22" s="49" t="s">
        <v>59</v>
      </c>
      <c r="IB22" s="49" t="s">
        <v>13</v>
      </c>
      <c r="IC22" s="122" t="s">
        <v>13</v>
      </c>
      <c r="ID22" s="49" t="s">
        <v>20</v>
      </c>
      <c r="IE22" s="49"/>
      <c r="IF22" s="49" t="s">
        <v>20</v>
      </c>
      <c r="IG22" s="49" t="s">
        <v>20</v>
      </c>
      <c r="IH22" s="49" t="s">
        <v>59</v>
      </c>
      <c r="II22" s="49" t="s">
        <v>59</v>
      </c>
      <c r="IJ22" s="49" t="s">
        <v>20</v>
      </c>
      <c r="IK22" s="123" t="s">
        <v>59</v>
      </c>
      <c r="IL22" s="49"/>
      <c r="IM22" s="49"/>
      <c r="IN22" s="49"/>
      <c r="IO22" s="49" t="s">
        <v>20</v>
      </c>
      <c r="IP22" s="49"/>
      <c r="IQ22" s="49" t="s">
        <v>20</v>
      </c>
      <c r="IR22" s="49" t="s">
        <v>20</v>
      </c>
      <c r="IS22" s="49" t="s">
        <v>20</v>
      </c>
      <c r="IT22" s="49" t="s">
        <v>59</v>
      </c>
      <c r="IU22" s="49" t="s">
        <v>59</v>
      </c>
      <c r="IV22" s="123" t="s">
        <v>59</v>
      </c>
      <c r="IW22" s="123" t="s">
        <v>59</v>
      </c>
      <c r="IX22" s="123" t="s">
        <v>59</v>
      </c>
      <c r="IY22" s="123" t="s">
        <v>59</v>
      </c>
      <c r="IZ22" s="122" t="s">
        <v>20</v>
      </c>
      <c r="JA22" s="123" t="s">
        <v>59</v>
      </c>
      <c r="JB22" s="49" t="s">
        <v>59</v>
      </c>
      <c r="JC22" s="49" t="s">
        <v>59</v>
      </c>
      <c r="JD22" s="122" t="s">
        <v>20</v>
      </c>
      <c r="JE22" s="122" t="s">
        <v>59</v>
      </c>
      <c r="JF22" s="123" t="s">
        <v>59</v>
      </c>
      <c r="JG22" s="49" t="s">
        <v>59</v>
      </c>
      <c r="JH22" s="49" t="s">
        <v>13</v>
      </c>
      <c r="JI22" s="123" t="s">
        <v>59</v>
      </c>
      <c r="JJ22" s="49" t="s">
        <v>59</v>
      </c>
      <c r="JK22" s="123" t="s">
        <v>59</v>
      </c>
      <c r="JL22" s="49" t="s">
        <v>59</v>
      </c>
      <c r="JM22" s="123" t="s">
        <v>59</v>
      </c>
      <c r="JN22" s="49" t="s">
        <v>59</v>
      </c>
      <c r="JO22" s="49" t="s">
        <v>20</v>
      </c>
      <c r="JP22" s="49" t="s">
        <v>20</v>
      </c>
      <c r="JQ22" s="49" t="s">
        <v>59</v>
      </c>
      <c r="JR22" s="49" t="s">
        <v>59</v>
      </c>
      <c r="JS22" s="49" t="s">
        <v>59</v>
      </c>
      <c r="JT22" s="49" t="s">
        <v>20</v>
      </c>
      <c r="JU22" s="49" t="s">
        <v>59</v>
      </c>
      <c r="JV22" s="49" t="s">
        <v>59</v>
      </c>
      <c r="JW22" s="49"/>
      <c r="JX22" s="49"/>
      <c r="JY22" s="465"/>
      <c r="JZ22" s="465"/>
      <c r="KA22" s="465"/>
      <c r="KB22" s="465"/>
      <c r="KC22" s="465"/>
      <c r="KD22" s="465"/>
      <c r="KE22" s="465"/>
      <c r="KF22" s="465"/>
      <c r="KG22" s="465"/>
      <c r="KH22" s="465"/>
      <c r="KI22" s="465"/>
      <c r="KJ22" s="465"/>
      <c r="KK22" s="465"/>
      <c r="KL22" s="465"/>
      <c r="KM22" s="465"/>
      <c r="KN22" s="465"/>
      <c r="KO22" s="465"/>
      <c r="KP22" s="465"/>
      <c r="KQ22" s="465"/>
      <c r="KR22" s="465"/>
      <c r="KS22" s="465"/>
      <c r="KT22" s="465"/>
      <c r="KU22" s="465"/>
      <c r="KV22" s="465"/>
      <c r="KW22" s="465"/>
      <c r="KX22" s="465"/>
      <c r="KY22" s="465"/>
      <c r="KZ22" s="465"/>
      <c r="LA22" s="49"/>
      <c r="LB22" s="465"/>
      <c r="LC22" s="465"/>
      <c r="LD22" s="465"/>
      <c r="LE22" s="465"/>
      <c r="LF22" s="465"/>
      <c r="LG22" s="465"/>
      <c r="LH22" s="465"/>
      <c r="LI22" s="465"/>
      <c r="LJ22" s="465"/>
      <c r="LK22" s="465"/>
      <c r="LL22" s="465"/>
      <c r="LM22" s="465"/>
      <c r="LN22" s="465"/>
      <c r="LO22" s="465"/>
      <c r="LP22" s="465"/>
      <c r="LQ22" s="465"/>
      <c r="LR22" s="465" t="s">
        <v>59</v>
      </c>
      <c r="LS22" s="465" t="s">
        <v>59</v>
      </c>
      <c r="LT22" s="49"/>
      <c r="LU22" s="49"/>
      <c r="LV22" s="49"/>
      <c r="LW22" s="49"/>
      <c r="LX22" s="49"/>
      <c r="LY22" s="49"/>
      <c r="LZ22" s="49"/>
      <c r="MA22" s="49"/>
      <c r="MB22" s="49"/>
      <c r="MC22" s="49"/>
      <c r="MD22" s="49"/>
      <c r="ME22" s="49"/>
      <c r="MF22" s="49"/>
      <c r="MG22" s="49"/>
      <c r="MH22" s="49"/>
      <c r="MI22" s="49"/>
      <c r="MJ22" s="49"/>
      <c r="MK22" s="49"/>
      <c r="ML22" s="49"/>
      <c r="MM22" s="49"/>
      <c r="MN22" s="49"/>
      <c r="MO22" s="49"/>
      <c r="MP22" s="49"/>
      <c r="MQ22" s="49"/>
      <c r="MR22" s="49"/>
      <c r="MS22" s="49"/>
      <c r="MT22" s="49"/>
      <c r="MU22" s="49"/>
      <c r="MV22" s="49"/>
      <c r="MW22" s="49"/>
      <c r="MX22" s="49"/>
      <c r="MY22" s="49"/>
      <c r="MZ22" s="49"/>
      <c r="NA22" s="49"/>
      <c r="NB22" s="49"/>
      <c r="NC22" s="101"/>
      <c r="ND22" s="49"/>
      <c r="NE22" s="49"/>
      <c r="NF22" s="49"/>
      <c r="NG22" s="49"/>
      <c r="NH22" s="49"/>
      <c r="NI22" s="49"/>
      <c r="NJ22" s="49"/>
      <c r="NK22" s="49"/>
      <c r="NL22" s="49"/>
      <c r="NM22" s="49"/>
      <c r="NN22" s="49"/>
      <c r="NO22" s="49"/>
      <c r="NP22" s="49"/>
      <c r="NQ22" s="49"/>
      <c r="NR22" s="49"/>
      <c r="NS22" s="49"/>
      <c r="NT22" s="49"/>
      <c r="NU22" s="49"/>
      <c r="NV22" s="49"/>
      <c r="NW22" s="49"/>
      <c r="NX22" s="49"/>
      <c r="NY22" s="49"/>
      <c r="NZ22" s="49"/>
      <c r="OA22" s="49"/>
      <c r="OB22" s="49" t="s">
        <v>20</v>
      </c>
      <c r="OC22" s="49" t="s">
        <v>59</v>
      </c>
      <c r="OD22" s="49" t="s">
        <v>59</v>
      </c>
      <c r="OE22" s="49" t="s">
        <v>59</v>
      </c>
      <c r="OF22" s="49" t="s">
        <v>59</v>
      </c>
      <c r="OG22" s="49" t="s">
        <v>59</v>
      </c>
      <c r="OH22" s="49" t="s">
        <v>59</v>
      </c>
      <c r="OI22" s="49" t="s">
        <v>59</v>
      </c>
      <c r="OJ22" s="49" t="s">
        <v>59</v>
      </c>
      <c r="OK22" s="49" t="s">
        <v>59</v>
      </c>
      <c r="OL22" s="49" t="s">
        <v>59</v>
      </c>
      <c r="OM22" s="49"/>
      <c r="ON22" s="49"/>
      <c r="OO22" s="49"/>
      <c r="OP22" s="49"/>
      <c r="OQ22" s="49"/>
      <c r="OR22" s="49"/>
      <c r="OS22" s="49"/>
      <c r="OT22" s="49"/>
      <c r="OU22" s="49" t="s">
        <v>13</v>
      </c>
      <c r="OV22" s="49" t="s">
        <v>59</v>
      </c>
      <c r="OW22" s="49" t="s">
        <v>13</v>
      </c>
      <c r="OX22" s="49" t="s">
        <v>59</v>
      </c>
      <c r="OY22" s="49" t="s">
        <v>13</v>
      </c>
      <c r="OZ22" s="49" t="s">
        <v>13</v>
      </c>
      <c r="PA22" s="49" t="s">
        <v>59</v>
      </c>
      <c r="PB22" s="49" t="s">
        <v>13</v>
      </c>
      <c r="PC22" s="49" t="s">
        <v>13</v>
      </c>
      <c r="PD22" s="49" t="s">
        <v>59</v>
      </c>
      <c r="PE22" s="49" t="s">
        <v>59</v>
      </c>
      <c r="PF22" s="49" t="s">
        <v>59</v>
      </c>
      <c r="PG22" s="49" t="s">
        <v>59</v>
      </c>
      <c r="PH22" s="49" t="s">
        <v>59</v>
      </c>
      <c r="PI22" s="49" t="s">
        <v>59</v>
      </c>
      <c r="PJ22" s="49" t="s">
        <v>59</v>
      </c>
      <c r="PK22" s="49" t="s">
        <v>59</v>
      </c>
      <c r="PL22" s="49" t="s">
        <v>59</v>
      </c>
      <c r="PM22" s="49" t="s">
        <v>59</v>
      </c>
      <c r="PN22" s="49" t="s">
        <v>59</v>
      </c>
      <c r="PO22" s="49" t="s">
        <v>59</v>
      </c>
      <c r="PP22" s="49" t="s">
        <v>59</v>
      </c>
      <c r="PQ22" s="49" t="s">
        <v>59</v>
      </c>
      <c r="PR22" s="49" t="s">
        <v>59</v>
      </c>
      <c r="PS22" s="49" t="s">
        <v>59</v>
      </c>
      <c r="PT22" s="49" t="s">
        <v>59</v>
      </c>
      <c r="PU22" s="49" t="s">
        <v>59</v>
      </c>
      <c r="PV22" s="49" t="s">
        <v>59</v>
      </c>
      <c r="PW22" s="49" t="s">
        <v>59</v>
      </c>
      <c r="PX22" s="49" t="s">
        <v>59</v>
      </c>
      <c r="PY22" s="49" t="s">
        <v>59</v>
      </c>
      <c r="PZ22" s="49" t="s">
        <v>59</v>
      </c>
      <c r="QA22" s="49" t="s">
        <v>59</v>
      </c>
      <c r="QB22" s="49"/>
      <c r="QC22" s="49" t="s">
        <v>59</v>
      </c>
      <c r="QD22" s="49" t="s">
        <v>59</v>
      </c>
      <c r="QE22" s="49" t="s">
        <v>59</v>
      </c>
      <c r="QF22" s="49" t="s">
        <v>59</v>
      </c>
      <c r="QG22" s="49" t="s">
        <v>59</v>
      </c>
      <c r="QH22" s="49" t="s">
        <v>59</v>
      </c>
      <c r="QI22" s="49" t="s">
        <v>59</v>
      </c>
      <c r="QJ22" s="49" t="s">
        <v>59</v>
      </c>
      <c r="QK22" s="49" t="s">
        <v>59</v>
      </c>
      <c r="QL22" s="49" t="s">
        <v>59</v>
      </c>
      <c r="QM22" s="49" t="s">
        <v>59</v>
      </c>
      <c r="QN22" s="49" t="s">
        <v>59</v>
      </c>
      <c r="QO22" s="49" t="s">
        <v>59</v>
      </c>
      <c r="QP22" s="49" t="s">
        <v>59</v>
      </c>
      <c r="QQ22" s="49" t="s">
        <v>59</v>
      </c>
      <c r="QR22" s="49" t="s">
        <v>59</v>
      </c>
      <c r="QS22" s="49" t="s">
        <v>59</v>
      </c>
      <c r="QT22" s="49" t="s">
        <v>59</v>
      </c>
      <c r="QU22" s="49" t="s">
        <v>59</v>
      </c>
      <c r="QV22" s="49" t="s">
        <v>59</v>
      </c>
      <c r="QW22" s="49" t="s">
        <v>59</v>
      </c>
      <c r="QX22" s="49" t="s">
        <v>59</v>
      </c>
      <c r="QY22" s="49" t="s">
        <v>59</v>
      </c>
      <c r="QZ22" s="49" t="s">
        <v>59</v>
      </c>
      <c r="RA22" s="49" t="s">
        <v>59</v>
      </c>
      <c r="RB22" s="49" t="s">
        <v>59</v>
      </c>
      <c r="RC22" s="49"/>
      <c r="RD22" s="49"/>
      <c r="RE22" s="49"/>
      <c r="RF22" s="49"/>
      <c r="RG22" s="49"/>
      <c r="RH22" s="49"/>
      <c r="RI22" s="49"/>
      <c r="RJ22" s="49"/>
      <c r="RK22" s="49"/>
      <c r="RL22" s="49"/>
      <c r="RM22" s="49"/>
      <c r="RN22" s="49"/>
      <c r="RO22" s="49" t="s">
        <v>59</v>
      </c>
      <c r="RP22" s="49"/>
      <c r="RQ22" s="49"/>
      <c r="RR22" s="49"/>
      <c r="RS22" s="49" t="s">
        <v>20</v>
      </c>
      <c r="RT22" s="49" t="s">
        <v>59</v>
      </c>
      <c r="RU22" s="49" t="s">
        <v>59</v>
      </c>
      <c r="RV22" s="49" t="s">
        <v>59</v>
      </c>
      <c r="RW22" s="49" t="s">
        <v>59</v>
      </c>
      <c r="RX22" s="49" t="s">
        <v>59</v>
      </c>
      <c r="RY22" s="49" t="s">
        <v>59</v>
      </c>
      <c r="RZ22" s="49" t="s">
        <v>59</v>
      </c>
      <c r="SA22" s="49" t="s">
        <v>59</v>
      </c>
      <c r="SB22" s="49"/>
      <c r="SC22" s="49"/>
      <c r="SD22" s="49"/>
      <c r="SE22" s="49"/>
      <c r="SF22" s="49"/>
      <c r="SG22" s="49"/>
      <c r="SH22" s="49"/>
      <c r="SI22" s="49"/>
      <c r="SJ22" s="49"/>
      <c r="SK22" s="49"/>
      <c r="SL22" s="49"/>
      <c r="SM22" s="49"/>
      <c r="SN22" s="49"/>
      <c r="SO22" s="49"/>
      <c r="SP22" s="49"/>
      <c r="SQ22" s="49"/>
      <c r="SR22" s="49" t="s">
        <v>59</v>
      </c>
      <c r="SS22" s="49" t="s">
        <v>59</v>
      </c>
      <c r="ST22" s="49" t="s">
        <v>59</v>
      </c>
      <c r="SU22" s="49" t="s">
        <v>59</v>
      </c>
      <c r="SV22" s="49" t="s">
        <v>59</v>
      </c>
      <c r="SW22" s="49" t="s">
        <v>59</v>
      </c>
      <c r="SX22" s="49" t="s">
        <v>59</v>
      </c>
      <c r="SY22" s="49" t="s">
        <v>59</v>
      </c>
      <c r="SZ22" s="49" t="s">
        <v>59</v>
      </c>
      <c r="TA22" s="49"/>
      <c r="TB22" s="49"/>
      <c r="TC22" s="49"/>
      <c r="TD22" s="49"/>
      <c r="TE22" s="49"/>
      <c r="TF22" s="49"/>
      <c r="TG22" s="49"/>
      <c r="TH22" s="49"/>
      <c r="TI22" s="49"/>
      <c r="TJ22" s="49" t="s">
        <v>13</v>
      </c>
      <c r="TK22" s="408" t="s">
        <v>13</v>
      </c>
      <c r="TL22" s="408"/>
      <c r="TM22" s="408"/>
      <c r="TN22" s="408"/>
      <c r="TO22" s="408"/>
      <c r="TP22" s="408" t="s">
        <v>13</v>
      </c>
      <c r="TQ22" s="49"/>
      <c r="TR22" s="49" t="s">
        <v>13</v>
      </c>
      <c r="TS22" s="49" t="s">
        <v>13</v>
      </c>
      <c r="TT22" s="49" t="s">
        <v>13</v>
      </c>
      <c r="TU22" s="49" t="s">
        <v>13</v>
      </c>
      <c r="TV22" s="49" t="s">
        <v>13</v>
      </c>
      <c r="TW22" s="49" t="s">
        <v>20</v>
      </c>
      <c r="TX22" s="49" t="s">
        <v>59</v>
      </c>
      <c r="TY22" s="49" t="s">
        <v>59</v>
      </c>
      <c r="TZ22" s="49" t="s">
        <v>59</v>
      </c>
      <c r="UA22" s="49" t="s">
        <v>59</v>
      </c>
      <c r="UB22" s="49" t="s">
        <v>59</v>
      </c>
      <c r="UC22" s="49" t="s">
        <v>20</v>
      </c>
      <c r="UD22" s="49" t="s">
        <v>20</v>
      </c>
      <c r="UE22" s="49" t="s">
        <v>59</v>
      </c>
      <c r="UF22" s="49"/>
      <c r="UG22" s="49" t="s">
        <v>59</v>
      </c>
      <c r="UH22" s="49" t="s">
        <v>59</v>
      </c>
      <c r="UI22" s="49" t="s">
        <v>20</v>
      </c>
      <c r="UJ22" s="49"/>
      <c r="UK22" s="49"/>
      <c r="UL22" s="49" t="s">
        <v>59</v>
      </c>
      <c r="UM22" s="49" t="s">
        <v>59</v>
      </c>
      <c r="UN22" s="49" t="s">
        <v>20</v>
      </c>
      <c r="UO22" s="49" t="s">
        <v>59</v>
      </c>
      <c r="UP22" s="49" t="s">
        <v>59</v>
      </c>
      <c r="UQ22" s="49"/>
      <c r="UR22" s="49"/>
      <c r="US22" s="49" t="s">
        <v>59</v>
      </c>
      <c r="UT22" s="49" t="s">
        <v>59</v>
      </c>
      <c r="UU22" s="49" t="s">
        <v>59</v>
      </c>
      <c r="UV22" s="49"/>
      <c r="UW22" s="49"/>
      <c r="UX22" s="49" t="s">
        <v>20</v>
      </c>
      <c r="UY22" s="49" t="s">
        <v>59</v>
      </c>
      <c r="UZ22" s="49" t="s">
        <v>20</v>
      </c>
      <c r="VA22" s="49" t="s">
        <v>59</v>
      </c>
      <c r="VB22" s="49"/>
      <c r="VC22" s="49"/>
      <c r="VD22" s="49"/>
      <c r="VE22" s="49"/>
      <c r="VF22" s="49"/>
      <c r="VG22" s="49"/>
      <c r="VH22" s="49"/>
      <c r="VI22" s="49"/>
      <c r="VJ22" s="49"/>
      <c r="VK22" s="93"/>
      <c r="VL22" s="93"/>
      <c r="VM22" s="93"/>
      <c r="VN22" s="93"/>
      <c r="VO22" s="93"/>
      <c r="VP22" s="93"/>
      <c r="VQ22" s="93"/>
      <c r="VR22" s="93"/>
      <c r="VS22" s="93"/>
      <c r="VT22" s="93"/>
      <c r="VU22" s="93"/>
      <c r="VV22" s="93"/>
      <c r="VW22" s="93"/>
      <c r="VX22" s="49"/>
      <c r="VY22" s="49"/>
      <c r="VZ22" s="49"/>
      <c r="WA22" s="72"/>
      <c r="WB22" s="72"/>
      <c r="WC22" s="72"/>
      <c r="WD22" s="72"/>
      <c r="WE22" s="49"/>
      <c r="WF22" s="49"/>
      <c r="WG22" s="49"/>
      <c r="WH22" s="49"/>
      <c r="WI22" s="49"/>
      <c r="WJ22" s="49"/>
      <c r="WK22" s="49"/>
      <c r="WL22" s="49"/>
      <c r="WM22" s="49"/>
      <c r="WN22" s="49"/>
      <c r="WO22" s="49"/>
      <c r="WP22" s="49"/>
      <c r="WQ22" s="49"/>
      <c r="WR22" s="49"/>
      <c r="WS22" s="49"/>
      <c r="WT22" s="49"/>
      <c r="WU22" s="49"/>
      <c r="WV22" s="49"/>
      <c r="WW22" s="49"/>
      <c r="WX22" s="49"/>
      <c r="WY22" s="49"/>
      <c r="WZ22" s="49"/>
      <c r="XA22" s="49"/>
      <c r="XB22" s="49"/>
      <c r="XC22" s="49"/>
      <c r="XD22" s="49"/>
      <c r="XE22" s="49"/>
      <c r="XF22" s="49"/>
      <c r="XG22" s="49"/>
      <c r="XH22" s="49"/>
      <c r="XI22" s="49"/>
      <c r="XJ22" s="49"/>
      <c r="XK22" s="49"/>
      <c r="XL22" s="49"/>
      <c r="XM22" s="49"/>
      <c r="XN22" s="49"/>
      <c r="XO22" s="49"/>
      <c r="XP22" s="49"/>
      <c r="XQ22" s="49"/>
      <c r="XR22" s="49"/>
      <c r="XS22" s="49"/>
      <c r="XT22" s="49"/>
      <c r="XU22" s="49"/>
      <c r="XV22" s="49"/>
      <c r="XW22" s="49"/>
      <c r="XX22" s="49"/>
      <c r="XY22" s="49"/>
      <c r="XZ22" s="49"/>
      <c r="YA22" s="49"/>
      <c r="YB22" s="49"/>
      <c r="YC22" s="49"/>
      <c r="YD22" s="49"/>
      <c r="YE22" s="49"/>
      <c r="YF22" s="49"/>
      <c r="YG22" s="49"/>
      <c r="YH22" s="49"/>
      <c r="YI22" s="49"/>
      <c r="YJ22" s="49"/>
      <c r="YK22" s="49"/>
      <c r="YL22" s="49"/>
      <c r="YM22" s="49"/>
      <c r="YN22" s="49"/>
      <c r="YO22" s="49"/>
      <c r="YP22" s="49"/>
      <c r="YQ22" s="49"/>
      <c r="YR22" s="49"/>
      <c r="YS22" s="49"/>
      <c r="YT22" s="49"/>
      <c r="YU22" s="49"/>
      <c r="YV22" s="49"/>
      <c r="YW22" s="49"/>
      <c r="YX22" s="49"/>
      <c r="YY22" s="49"/>
      <c r="YZ22" s="49"/>
      <c r="ZA22" s="49"/>
      <c r="ZB22" s="49"/>
      <c r="ZC22" s="49" t="s">
        <v>13</v>
      </c>
      <c r="ZD22" s="49" t="s">
        <v>13</v>
      </c>
      <c r="ZE22" s="49" t="s">
        <v>13</v>
      </c>
      <c r="ZF22" s="49" t="s">
        <v>13</v>
      </c>
      <c r="ZG22" s="49" t="s">
        <v>13</v>
      </c>
      <c r="ZH22" s="49" t="s">
        <v>59</v>
      </c>
      <c r="ZI22" s="49" t="s">
        <v>13</v>
      </c>
      <c r="ZJ22" s="49" t="s">
        <v>13</v>
      </c>
      <c r="ZK22" s="49" t="s">
        <v>13</v>
      </c>
      <c r="ZL22" s="49" t="s">
        <v>13</v>
      </c>
      <c r="ZM22" s="49" t="s">
        <v>13</v>
      </c>
      <c r="ZN22" s="49" t="s">
        <v>13</v>
      </c>
      <c r="ZO22" s="49" t="s">
        <v>20</v>
      </c>
      <c r="ZP22" s="49" t="s">
        <v>13</v>
      </c>
      <c r="ZQ22" s="49" t="s">
        <v>20</v>
      </c>
      <c r="ZR22" s="49" t="s">
        <v>20</v>
      </c>
      <c r="ZS22" s="49" t="s">
        <v>20</v>
      </c>
      <c r="ZT22" s="49" t="s">
        <v>20</v>
      </c>
      <c r="ZU22" s="49" t="s">
        <v>59</v>
      </c>
      <c r="ZV22" s="49" t="s">
        <v>13</v>
      </c>
      <c r="ZW22" s="49"/>
      <c r="ZX22" s="49"/>
      <c r="ZY22" s="49"/>
      <c r="ZZ22" s="122"/>
      <c r="AAA22" s="49"/>
      <c r="AAB22" s="49"/>
      <c r="AAC22" s="49"/>
      <c r="AAD22" s="49"/>
    </row>
    <row r="23" spans="1:706" s="26" customFormat="1" ht="12.1" customHeight="1" x14ac:dyDescent="0.25">
      <c r="A23" s="211" t="s">
        <v>373</v>
      </c>
      <c r="B23" s="212" t="s">
        <v>263</v>
      </c>
      <c r="C23" s="212" t="s">
        <v>1</v>
      </c>
      <c r="D23" s="212" t="s">
        <v>2</v>
      </c>
      <c r="E23" s="213" t="s">
        <v>3</v>
      </c>
      <c r="F23" s="213" t="s">
        <v>379</v>
      </c>
      <c r="G23" s="213" t="s">
        <v>122</v>
      </c>
      <c r="H23" s="213" t="s">
        <v>234</v>
      </c>
      <c r="I23" s="213" t="s">
        <v>77</v>
      </c>
      <c r="J23" s="214" t="s">
        <v>4</v>
      </c>
      <c r="K23" s="214" t="s">
        <v>5</v>
      </c>
      <c r="L23" s="214"/>
      <c r="M23" s="214" t="s">
        <v>71</v>
      </c>
      <c r="N23" s="214" t="s">
        <v>72</v>
      </c>
      <c r="O23" s="214" t="s">
        <v>73</v>
      </c>
      <c r="P23" s="214" t="s">
        <v>102</v>
      </c>
      <c r="Q23" s="214" t="s">
        <v>103</v>
      </c>
      <c r="R23" s="214" t="s">
        <v>104</v>
      </c>
      <c r="S23" s="214" t="s">
        <v>105</v>
      </c>
      <c r="T23" s="214" t="s">
        <v>110</v>
      </c>
      <c r="U23" s="214" t="s">
        <v>8</v>
      </c>
      <c r="V23" s="214" t="s">
        <v>9</v>
      </c>
      <c r="W23" s="214" t="s">
        <v>106</v>
      </c>
      <c r="X23" s="214" t="s">
        <v>21</v>
      </c>
      <c r="Y23" s="214" t="s">
        <v>254</v>
      </c>
      <c r="Z23" s="214" t="s">
        <v>6</v>
      </c>
      <c r="AA23" s="214" t="s">
        <v>7</v>
      </c>
      <c r="AB23" s="214" t="s">
        <v>107</v>
      </c>
      <c r="AC23" s="214" t="s">
        <v>600</v>
      </c>
      <c r="AD23" s="214" t="s">
        <v>601</v>
      </c>
      <c r="AE23" s="214" t="s">
        <v>602</v>
      </c>
      <c r="AF23" s="214" t="s">
        <v>603</v>
      </c>
      <c r="AG23" s="214" t="s">
        <v>604</v>
      </c>
      <c r="AH23" s="214" t="s">
        <v>605</v>
      </c>
      <c r="AI23" s="214" t="s">
        <v>606</v>
      </c>
      <c r="AJ23" s="214" t="s">
        <v>607</v>
      </c>
      <c r="AK23" s="214" t="s">
        <v>608</v>
      </c>
      <c r="AL23" s="214" t="s">
        <v>609</v>
      </c>
      <c r="AM23" s="214"/>
      <c r="AN23" s="214" t="s">
        <v>610</v>
      </c>
      <c r="AO23" s="214" t="s">
        <v>611</v>
      </c>
      <c r="AP23" s="214" t="s">
        <v>612</v>
      </c>
      <c r="AQ23" s="214" t="s">
        <v>614</v>
      </c>
      <c r="AR23" s="214" t="s">
        <v>1213</v>
      </c>
      <c r="AS23" s="214" t="s">
        <v>1214</v>
      </c>
      <c r="AT23" s="214" t="s">
        <v>1215</v>
      </c>
      <c r="AU23" s="214" t="s">
        <v>1216</v>
      </c>
      <c r="AV23" s="214" t="s">
        <v>1217</v>
      </c>
      <c r="AW23" s="214" t="s">
        <v>1218</v>
      </c>
      <c r="AX23" s="214" t="s">
        <v>1219</v>
      </c>
      <c r="AY23" s="214" t="s">
        <v>1220</v>
      </c>
      <c r="AZ23" s="214" t="s">
        <v>1221</v>
      </c>
      <c r="BA23" s="214" t="s">
        <v>1222</v>
      </c>
      <c r="BB23" s="214" t="s">
        <v>1223</v>
      </c>
      <c r="BC23" s="214" t="s">
        <v>19</v>
      </c>
      <c r="BD23" s="214" t="s">
        <v>22</v>
      </c>
      <c r="BE23" s="214" t="s">
        <v>1224</v>
      </c>
      <c r="BF23" s="214" t="s">
        <v>1225</v>
      </c>
      <c r="BG23" s="214" t="s">
        <v>23</v>
      </c>
      <c r="BH23" s="214" t="s">
        <v>117</v>
      </c>
      <c r="BI23" s="214" t="s">
        <v>867</v>
      </c>
      <c r="BJ23" s="214" t="s">
        <v>126</v>
      </c>
      <c r="BK23" s="214" t="s">
        <v>75</v>
      </c>
      <c r="BL23" s="214" t="s">
        <v>108</v>
      </c>
      <c r="BM23" s="214" t="s">
        <v>109</v>
      </c>
      <c r="BN23" s="214" t="s">
        <v>259</v>
      </c>
      <c r="BO23" s="214" t="s">
        <v>260</v>
      </c>
      <c r="BP23" s="214" t="s">
        <v>1022</v>
      </c>
      <c r="BQ23" s="214" t="s">
        <v>695</v>
      </c>
      <c r="BR23" s="214" t="s">
        <v>697</v>
      </c>
      <c r="BS23" s="214" t="s">
        <v>698</v>
      </c>
      <c r="BT23" s="214" t="s">
        <v>692</v>
      </c>
      <c r="BU23" s="214"/>
      <c r="BV23" s="214"/>
      <c r="BW23" s="214"/>
      <c r="BX23" s="214"/>
      <c r="BY23" s="214"/>
      <c r="BZ23" s="214"/>
      <c r="CA23" s="214"/>
      <c r="CB23" s="214"/>
      <c r="CC23" s="214"/>
      <c r="CD23" s="214"/>
      <c r="CE23" s="214"/>
      <c r="CF23" s="214"/>
      <c r="CG23" s="214"/>
      <c r="CH23" s="214"/>
      <c r="CI23" s="214" t="s">
        <v>1226</v>
      </c>
      <c r="CJ23" s="214" t="s">
        <v>1227</v>
      </c>
      <c r="CK23" s="214" t="s">
        <v>883</v>
      </c>
      <c r="CL23" s="214" t="s">
        <v>70</v>
      </c>
      <c r="CM23" s="214" t="s">
        <v>1228</v>
      </c>
      <c r="CN23" s="214" t="s">
        <v>34</v>
      </c>
      <c r="CO23" s="214" t="s">
        <v>35</v>
      </c>
      <c r="CP23" s="214" t="s">
        <v>144</v>
      </c>
      <c r="CQ23" s="214" t="s">
        <v>96</v>
      </c>
      <c r="CR23" s="214" t="s">
        <v>41</v>
      </c>
      <c r="CS23" s="214" t="s">
        <v>127</v>
      </c>
      <c r="CT23" s="214" t="s">
        <v>142</v>
      </c>
      <c r="CU23" s="214" t="s">
        <v>95</v>
      </c>
      <c r="CV23" s="214" t="s">
        <v>39</v>
      </c>
      <c r="CW23" s="214" t="s">
        <v>143</v>
      </c>
      <c r="CX23" s="214" t="s">
        <v>36</v>
      </c>
      <c r="CY23" s="214" t="s">
        <v>37</v>
      </c>
      <c r="CZ23" s="214" t="s">
        <v>56</v>
      </c>
      <c r="DA23" s="214"/>
      <c r="DB23" s="214"/>
      <c r="DC23" s="214" t="s">
        <v>135</v>
      </c>
      <c r="DD23" s="214" t="s">
        <v>868</v>
      </c>
      <c r="DE23" s="214"/>
      <c r="DF23" s="214" t="s">
        <v>136</v>
      </c>
      <c r="DG23" s="214" t="s">
        <v>208</v>
      </c>
      <c r="DH23" s="214" t="s">
        <v>301</v>
      </c>
      <c r="DI23" s="214"/>
      <c r="DJ23" s="214" t="s">
        <v>1229</v>
      </c>
      <c r="DK23" s="214" t="s">
        <v>1230</v>
      </c>
      <c r="DL23" s="214" t="s">
        <v>1231</v>
      </c>
      <c r="DM23" s="214"/>
      <c r="DN23" s="214" t="s">
        <v>128</v>
      </c>
      <c r="DO23" s="214" t="s">
        <v>40</v>
      </c>
      <c r="DP23" s="214" t="s">
        <v>38</v>
      </c>
      <c r="DQ23" s="214" t="s">
        <v>93</v>
      </c>
      <c r="DR23" s="214"/>
      <c r="DS23" s="214" t="s">
        <v>679</v>
      </c>
      <c r="DT23" s="214" t="s">
        <v>1014</v>
      </c>
      <c r="DU23" s="214" t="s">
        <v>64</v>
      </c>
      <c r="DV23" s="214" t="s">
        <v>65</v>
      </c>
      <c r="DW23" s="215" t="s">
        <v>1232</v>
      </c>
      <c r="DX23" s="214" t="s">
        <v>179</v>
      </c>
      <c r="DY23" s="214" t="s">
        <v>845</v>
      </c>
      <c r="DZ23" s="214" t="s">
        <v>192</v>
      </c>
      <c r="EA23" s="215"/>
      <c r="EB23" s="215"/>
      <c r="EC23" s="215"/>
      <c r="ED23" s="215"/>
      <c r="EE23" s="214" t="s">
        <v>46</v>
      </c>
      <c r="EF23" s="214" t="s">
        <v>1233</v>
      </c>
      <c r="EG23" s="214" t="s">
        <v>42</v>
      </c>
      <c r="EH23" s="214" t="s">
        <v>40</v>
      </c>
      <c r="EI23" s="214" t="s">
        <v>44</v>
      </c>
      <c r="EJ23" s="214"/>
      <c r="EK23" s="214" t="s">
        <v>381</v>
      </c>
      <c r="EL23" s="214" t="s">
        <v>382</v>
      </c>
      <c r="EM23" s="214" t="s">
        <v>63</v>
      </c>
      <c r="EN23" s="214" t="s">
        <v>113</v>
      </c>
      <c r="EO23" s="214" t="s">
        <v>268</v>
      </c>
      <c r="EP23" s="214" t="s">
        <v>101</v>
      </c>
      <c r="EQ23" s="214" t="s">
        <v>269</v>
      </c>
      <c r="ER23" s="214" t="s">
        <v>590</v>
      </c>
      <c r="ES23" s="214" t="s">
        <v>599</v>
      </c>
      <c r="ET23" s="214" t="s">
        <v>24</v>
      </c>
      <c r="EU23" s="214" t="s">
        <v>26</v>
      </c>
      <c r="EV23" s="214" t="s">
        <v>28</v>
      </c>
      <c r="EW23" s="214" t="s">
        <v>25</v>
      </c>
      <c r="EX23" s="214" t="s">
        <v>27</v>
      </c>
      <c r="EY23" s="214" t="s">
        <v>29</v>
      </c>
      <c r="EZ23" s="214" t="s">
        <v>488</v>
      </c>
      <c r="FA23" s="214" t="s">
        <v>598</v>
      </c>
      <c r="FB23" s="214" t="s">
        <v>489</v>
      </c>
      <c r="FC23" s="214" t="s">
        <v>506</v>
      </c>
      <c r="FD23" s="214" t="s">
        <v>507</v>
      </c>
      <c r="FE23" s="214" t="s">
        <v>508</v>
      </c>
      <c r="FF23" s="214" t="s">
        <v>681</v>
      </c>
      <c r="FG23" s="214" t="s">
        <v>682</v>
      </c>
      <c r="FH23" s="214" t="s">
        <v>30</v>
      </c>
      <c r="FI23" s="214" t="s">
        <v>32</v>
      </c>
      <c r="FJ23" s="214" t="s">
        <v>33</v>
      </c>
      <c r="FK23" s="214" t="s">
        <v>270</v>
      </c>
      <c r="FL23" s="214"/>
      <c r="FM23" s="214" t="s">
        <v>271</v>
      </c>
      <c r="FN23" s="214" t="s">
        <v>277</v>
      </c>
      <c r="FO23" s="214"/>
      <c r="FP23" s="214"/>
      <c r="FQ23" s="214" t="s">
        <v>1234</v>
      </c>
      <c r="FR23" s="214" t="s">
        <v>1235</v>
      </c>
      <c r="FS23" s="214" t="s">
        <v>1236</v>
      </c>
      <c r="FT23" s="214" t="s">
        <v>1237</v>
      </c>
      <c r="FU23" s="214" t="s">
        <v>688</v>
      </c>
      <c r="FV23" s="214" t="s">
        <v>1238</v>
      </c>
      <c r="FW23" s="214"/>
      <c r="FX23" s="214"/>
      <c r="FY23" s="214"/>
      <c r="FZ23" s="214"/>
      <c r="GA23" s="214" t="s">
        <v>1055</v>
      </c>
      <c r="GB23" s="214"/>
      <c r="GC23" s="214" t="s">
        <v>1239</v>
      </c>
      <c r="GD23" s="214"/>
      <c r="GE23" s="214" t="s">
        <v>387</v>
      </c>
      <c r="GF23" s="214" t="s">
        <v>388</v>
      </c>
      <c r="GG23" s="214"/>
      <c r="GH23" s="214" t="s">
        <v>284</v>
      </c>
      <c r="GI23" s="214" t="s">
        <v>216</v>
      </c>
      <c r="GJ23" s="214" t="s">
        <v>390</v>
      </c>
      <c r="GK23" s="214" t="s">
        <v>702</v>
      </c>
      <c r="GL23" s="214" t="s">
        <v>392</v>
      </c>
      <c r="GM23" s="214" t="s">
        <v>431</v>
      </c>
      <c r="GN23" s="214"/>
      <c r="GO23" s="214" t="s">
        <v>393</v>
      </c>
      <c r="GP23" s="214" t="s">
        <v>397</v>
      </c>
      <c r="GQ23" s="214"/>
      <c r="GR23" s="214" t="s">
        <v>401</v>
      </c>
      <c r="GS23" s="214"/>
      <c r="GT23" s="214"/>
      <c r="GU23" s="214" t="s">
        <v>866</v>
      </c>
      <c r="GV23" s="214" t="s">
        <v>1240</v>
      </c>
      <c r="GW23" s="214" t="s">
        <v>1241</v>
      </c>
      <c r="GX23" s="214" t="s">
        <v>1242</v>
      </c>
      <c r="GY23" s="214"/>
      <c r="GZ23" s="214"/>
      <c r="HA23" s="214"/>
      <c r="HB23" s="214"/>
      <c r="HC23" s="214"/>
      <c r="HD23" s="214" t="s">
        <v>257</v>
      </c>
      <c r="HE23" s="214" t="s">
        <v>1243</v>
      </c>
      <c r="HF23" s="214"/>
      <c r="HG23" s="214" t="s">
        <v>406</v>
      </c>
      <c r="HH23" s="214" t="s">
        <v>412</v>
      </c>
      <c r="HI23" s="214"/>
      <c r="HJ23" s="214" t="s">
        <v>416</v>
      </c>
      <c r="HK23" s="214" t="s">
        <v>409</v>
      </c>
      <c r="HL23" s="214"/>
      <c r="HM23" s="214"/>
      <c r="HN23" s="214" t="s">
        <v>424</v>
      </c>
      <c r="HO23" s="214"/>
      <c r="HP23" s="214" t="s">
        <v>428</v>
      </c>
      <c r="HQ23" s="214" t="s">
        <v>1667</v>
      </c>
      <c r="HR23" s="214" t="s">
        <v>1668</v>
      </c>
      <c r="HS23" s="214" t="s">
        <v>434</v>
      </c>
      <c r="HT23" s="214" t="s">
        <v>1669</v>
      </c>
      <c r="HU23" s="214"/>
      <c r="HV23" s="214"/>
      <c r="HW23" s="214"/>
      <c r="HX23" s="491"/>
      <c r="HY23" s="491"/>
      <c r="HZ23" s="216"/>
      <c r="IA23" s="216"/>
      <c r="IB23" s="216" t="s">
        <v>227</v>
      </c>
      <c r="IC23" s="215" t="s">
        <v>1247</v>
      </c>
      <c r="ID23" s="214" t="s">
        <v>1670</v>
      </c>
      <c r="IE23" s="214"/>
      <c r="IF23" s="214" t="s">
        <v>628</v>
      </c>
      <c r="IG23" s="214" t="s">
        <v>540</v>
      </c>
      <c r="IH23" s="214"/>
      <c r="II23" s="214"/>
      <c r="IJ23" s="214" t="s">
        <v>626</v>
      </c>
      <c r="IK23" s="492"/>
      <c r="IL23" s="214"/>
      <c r="IM23" s="214"/>
      <c r="IN23" s="214"/>
      <c r="IO23" s="214" t="s">
        <v>1671</v>
      </c>
      <c r="IP23" s="214"/>
      <c r="IQ23" s="214" t="s">
        <v>509</v>
      </c>
      <c r="IR23" s="214" t="s">
        <v>386</v>
      </c>
      <c r="IS23" s="214" t="s">
        <v>766</v>
      </c>
      <c r="IT23" s="214"/>
      <c r="IU23" s="214"/>
      <c r="IV23" s="215"/>
      <c r="IW23" s="215"/>
      <c r="IX23" s="215"/>
      <c r="IY23" s="215"/>
      <c r="IZ23" s="215" t="s">
        <v>520</v>
      </c>
      <c r="JA23" s="215"/>
      <c r="JB23" s="214"/>
      <c r="JC23" s="214"/>
      <c r="JD23" s="215" t="s">
        <v>525</v>
      </c>
      <c r="JE23" s="215"/>
      <c r="JF23" s="492"/>
      <c r="JG23" s="214"/>
      <c r="JH23" s="214" t="s">
        <v>182</v>
      </c>
      <c r="JI23" s="492"/>
      <c r="JJ23" s="214"/>
      <c r="JK23" s="492"/>
      <c r="JL23" s="214"/>
      <c r="JM23" s="492"/>
      <c r="JN23" s="214"/>
      <c r="JO23" s="214" t="s">
        <v>496</v>
      </c>
      <c r="JP23" s="214" t="s">
        <v>504</v>
      </c>
      <c r="JQ23" s="214"/>
      <c r="JR23" s="214"/>
      <c r="JS23" s="214"/>
      <c r="JT23" s="214" t="s">
        <v>500</v>
      </c>
      <c r="JU23" s="214"/>
      <c r="JV23" s="214"/>
      <c r="JW23" s="214"/>
      <c r="JX23" s="214"/>
      <c r="JY23" s="214"/>
      <c r="JZ23" s="214"/>
      <c r="KA23" s="214"/>
      <c r="KB23" s="214"/>
      <c r="KC23" s="214"/>
      <c r="KD23" s="214"/>
      <c r="KE23" s="214"/>
      <c r="KF23" s="214"/>
      <c r="KG23" s="214"/>
      <c r="KH23" s="214"/>
      <c r="KI23" s="214"/>
      <c r="KJ23" s="214"/>
      <c r="KK23" s="214"/>
      <c r="KL23" s="214"/>
      <c r="KM23" s="214"/>
      <c r="KN23" s="214"/>
      <c r="KO23" s="214"/>
      <c r="KP23" s="214"/>
      <c r="KQ23" s="214"/>
      <c r="KR23" s="214"/>
      <c r="KS23" s="214"/>
      <c r="KT23" s="214"/>
      <c r="KU23" s="214"/>
      <c r="KV23" s="214"/>
      <c r="KW23" s="214"/>
      <c r="KX23" s="214"/>
      <c r="KY23" s="214"/>
      <c r="KZ23" s="214"/>
      <c r="LA23" s="214"/>
      <c r="LB23" s="214"/>
      <c r="LC23" s="491"/>
      <c r="LD23" s="491"/>
      <c r="LE23" s="214"/>
      <c r="LF23" s="214"/>
      <c r="LG23" s="214"/>
      <c r="LH23" s="214"/>
      <c r="LI23" s="214"/>
      <c r="LJ23" s="214"/>
      <c r="LK23" s="214"/>
      <c r="LL23" s="214"/>
      <c r="LM23" s="214"/>
      <c r="LN23" s="214"/>
      <c r="LO23" s="214"/>
      <c r="LP23" s="214"/>
      <c r="LQ23" s="214"/>
      <c r="LR23" s="214"/>
      <c r="LS23" s="214"/>
      <c r="LT23" s="214"/>
      <c r="LU23" s="214"/>
      <c r="LV23" s="214"/>
      <c r="LW23" s="214"/>
      <c r="LX23" s="214"/>
      <c r="LY23" s="214"/>
      <c r="LZ23" s="214"/>
      <c r="MA23" s="214"/>
      <c r="MB23" s="214"/>
      <c r="MC23" s="214"/>
      <c r="MD23" s="214"/>
      <c r="ME23" s="214"/>
      <c r="MF23" s="214"/>
      <c r="MG23" s="214"/>
      <c r="MH23" s="214"/>
      <c r="MI23" s="214"/>
      <c r="MJ23" s="214"/>
      <c r="MK23" s="214"/>
      <c r="ML23" s="214"/>
      <c r="MM23" s="214"/>
      <c r="MN23" s="214"/>
      <c r="MO23" s="214"/>
      <c r="MP23" s="214"/>
      <c r="MQ23" s="214"/>
      <c r="MR23" s="214"/>
      <c r="MS23" s="214"/>
      <c r="MT23" s="214"/>
      <c r="MU23" s="214"/>
      <c r="MV23" s="214"/>
      <c r="MW23" s="214"/>
      <c r="MX23" s="214"/>
      <c r="MY23" s="214"/>
      <c r="MZ23" s="214"/>
      <c r="NA23" s="214"/>
      <c r="NB23" s="214"/>
      <c r="NC23" s="217"/>
      <c r="ND23" s="214"/>
      <c r="NE23" s="214"/>
      <c r="NF23" s="214"/>
      <c r="NG23" s="214"/>
      <c r="NH23" s="214"/>
      <c r="NI23" s="214"/>
      <c r="NJ23" s="214"/>
      <c r="NK23" s="214"/>
      <c r="NL23" s="214"/>
      <c r="NM23" s="214"/>
      <c r="NN23" s="214"/>
      <c r="NO23" s="214"/>
      <c r="NP23" s="214"/>
      <c r="NQ23" s="214"/>
      <c r="NR23" s="214"/>
      <c r="NS23" s="214"/>
      <c r="NT23" s="214"/>
      <c r="NU23" s="214"/>
      <c r="NV23" s="214"/>
      <c r="NW23" s="214"/>
      <c r="NX23" s="214"/>
      <c r="NY23" s="214"/>
      <c r="NZ23" s="214"/>
      <c r="OA23" s="214"/>
      <c r="OB23" s="214" t="s">
        <v>1672</v>
      </c>
      <c r="OC23" s="214"/>
      <c r="OD23" s="214"/>
      <c r="OE23" s="214"/>
      <c r="OF23" s="214"/>
      <c r="OG23" s="214"/>
      <c r="OH23" s="214"/>
      <c r="OI23" s="214"/>
      <c r="OJ23" s="214"/>
      <c r="OK23" s="214"/>
      <c r="OL23" s="214"/>
      <c r="OM23" s="214"/>
      <c r="ON23" s="214"/>
      <c r="OO23" s="214"/>
      <c r="OP23" s="214"/>
      <c r="OQ23" s="214"/>
      <c r="OR23" s="214"/>
      <c r="OS23" s="214"/>
      <c r="OT23" s="214"/>
      <c r="OU23" s="214" t="s">
        <v>94</v>
      </c>
      <c r="OV23" s="214"/>
      <c r="OW23" s="214" t="s">
        <v>734</v>
      </c>
      <c r="OX23" s="214"/>
      <c r="OY23" s="214" t="s">
        <v>91</v>
      </c>
      <c r="OZ23" s="214" t="s">
        <v>742</v>
      </c>
      <c r="PA23" s="214"/>
      <c r="PB23" s="214" t="s">
        <v>743</v>
      </c>
      <c r="PC23" s="214" t="s">
        <v>92</v>
      </c>
      <c r="PD23" s="214"/>
      <c r="PE23" s="214"/>
      <c r="PF23" s="214"/>
      <c r="PG23" s="214"/>
      <c r="PH23" s="214"/>
      <c r="PI23" s="214"/>
      <c r="PJ23" s="214"/>
      <c r="PK23" s="214"/>
      <c r="PL23" s="214"/>
      <c r="PM23" s="214"/>
      <c r="PN23" s="214"/>
      <c r="PO23" s="214"/>
      <c r="PP23" s="214"/>
      <c r="PQ23" s="214"/>
      <c r="PR23" s="214"/>
      <c r="PS23" s="214"/>
      <c r="PT23" s="214"/>
      <c r="PU23" s="214"/>
      <c r="PV23" s="214"/>
      <c r="PW23" s="214"/>
      <c r="PX23" s="214"/>
      <c r="PY23" s="214"/>
      <c r="PZ23" s="214"/>
      <c r="QA23" s="214"/>
      <c r="QB23" s="214"/>
      <c r="QC23" s="214"/>
      <c r="QD23" s="214"/>
      <c r="QE23" s="214"/>
      <c r="QF23" s="214"/>
      <c r="QG23" s="214"/>
      <c r="QH23" s="214"/>
      <c r="QI23" s="214"/>
      <c r="QJ23" s="214"/>
      <c r="QK23" s="214"/>
      <c r="QL23" s="214"/>
      <c r="QM23" s="214"/>
      <c r="QN23" s="214"/>
      <c r="QO23" s="214"/>
      <c r="QP23" s="214"/>
      <c r="QQ23" s="214"/>
      <c r="QR23" s="214"/>
      <c r="QS23" s="214"/>
      <c r="QT23" s="214"/>
      <c r="QU23" s="214"/>
      <c r="QV23" s="214"/>
      <c r="QW23" s="214"/>
      <c r="QX23" s="214"/>
      <c r="QY23" s="214"/>
      <c r="QZ23" s="214"/>
      <c r="RA23" s="214"/>
      <c r="RB23" s="214"/>
      <c r="RC23" s="214"/>
      <c r="RD23" s="214"/>
      <c r="RE23" s="214"/>
      <c r="RF23" s="214"/>
      <c r="RG23" s="214"/>
      <c r="RH23" s="214"/>
      <c r="RI23" s="214"/>
      <c r="RJ23" s="214"/>
      <c r="RK23" s="214"/>
      <c r="RL23" s="214"/>
      <c r="RM23" s="214"/>
      <c r="RN23" s="214"/>
      <c r="RO23" s="214"/>
      <c r="RP23" s="214"/>
      <c r="RQ23" s="214"/>
      <c r="RR23" s="214"/>
      <c r="RS23" s="214" t="s">
        <v>467</v>
      </c>
      <c r="RT23" s="214"/>
      <c r="RU23" s="214"/>
      <c r="RV23" s="214"/>
      <c r="RW23" s="214"/>
      <c r="RX23" s="214"/>
      <c r="RY23" s="214"/>
      <c r="RZ23" s="214"/>
      <c r="SA23" s="214"/>
      <c r="SB23" s="214"/>
      <c r="SC23" s="214"/>
      <c r="SD23" s="214"/>
      <c r="SE23" s="214"/>
      <c r="SF23" s="214"/>
      <c r="SG23" s="214"/>
      <c r="SH23" s="214"/>
      <c r="SI23" s="214"/>
      <c r="SJ23" s="214"/>
      <c r="SK23" s="214"/>
      <c r="SL23" s="214"/>
      <c r="SM23" s="214"/>
      <c r="SN23" s="214"/>
      <c r="SO23" s="214"/>
      <c r="SP23" s="214"/>
      <c r="SQ23" s="214"/>
      <c r="SR23" s="214"/>
      <c r="SS23" s="214"/>
      <c r="ST23" s="214"/>
      <c r="SU23" s="214"/>
      <c r="SV23" s="214"/>
      <c r="SW23" s="214"/>
      <c r="SX23" s="214"/>
      <c r="SY23" s="214"/>
      <c r="SZ23" s="214"/>
      <c r="TA23" s="214"/>
      <c r="TB23" s="214"/>
      <c r="TC23" s="214"/>
      <c r="TD23" s="214"/>
      <c r="TE23" s="214"/>
      <c r="TF23" s="214"/>
      <c r="TG23" s="214"/>
      <c r="TH23" s="214"/>
      <c r="TI23" s="214"/>
      <c r="TJ23" s="214" t="s">
        <v>1262</v>
      </c>
      <c r="TK23" s="493" t="s">
        <v>1074</v>
      </c>
      <c r="TL23" s="493"/>
      <c r="TM23" s="493"/>
      <c r="TN23" s="493"/>
      <c r="TO23" s="493"/>
      <c r="TP23" s="493" t="s">
        <v>335</v>
      </c>
      <c r="TQ23" s="214"/>
      <c r="TR23" s="214" t="s">
        <v>545</v>
      </c>
      <c r="TS23" s="214" t="s">
        <v>546</v>
      </c>
      <c r="TT23" s="214" t="s">
        <v>547</v>
      </c>
      <c r="TU23" s="214" t="s">
        <v>548</v>
      </c>
      <c r="TV23" s="214" t="s">
        <v>549</v>
      </c>
      <c r="TW23" s="214" t="s">
        <v>555</v>
      </c>
      <c r="TX23" s="214"/>
      <c r="TY23" s="214"/>
      <c r="TZ23" s="214"/>
      <c r="UA23" s="214"/>
      <c r="UB23" s="214"/>
      <c r="UC23" s="214" t="s">
        <v>558</v>
      </c>
      <c r="UD23" s="214" t="s">
        <v>560</v>
      </c>
      <c r="UE23" s="214"/>
      <c r="UF23" s="214"/>
      <c r="UG23" s="214"/>
      <c r="UH23" s="214"/>
      <c r="UI23" s="214" t="s">
        <v>448</v>
      </c>
      <c r="UJ23" s="214"/>
      <c r="UK23" s="214"/>
      <c r="UL23" s="214"/>
      <c r="UM23" s="214"/>
      <c r="UN23" s="214" t="s">
        <v>455</v>
      </c>
      <c r="UO23" s="214"/>
      <c r="UP23" s="214"/>
      <c r="UQ23" s="214"/>
      <c r="UR23" s="214"/>
      <c r="US23" s="214"/>
      <c r="UT23" s="214"/>
      <c r="UU23" s="214"/>
      <c r="UV23" s="214"/>
      <c r="UW23" s="214"/>
      <c r="UX23" s="214" t="s">
        <v>576</v>
      </c>
      <c r="UY23" s="214"/>
      <c r="UZ23" s="214" t="s">
        <v>472</v>
      </c>
      <c r="VA23" s="214"/>
      <c r="VB23" s="214"/>
      <c r="VC23" s="214"/>
      <c r="VD23" s="214"/>
      <c r="VE23" s="214"/>
      <c r="VF23" s="214"/>
      <c r="VG23" s="214"/>
      <c r="VH23" s="214"/>
      <c r="VI23" s="214"/>
      <c r="VJ23" s="214"/>
      <c r="VK23" s="214"/>
      <c r="VL23" s="214"/>
      <c r="VM23" s="214"/>
      <c r="VN23" s="216"/>
      <c r="VO23" s="216"/>
      <c r="VP23" s="216"/>
      <c r="VQ23" s="216"/>
      <c r="VR23" s="216"/>
      <c r="VS23" s="216"/>
      <c r="VT23" s="216"/>
      <c r="VU23" s="216"/>
      <c r="VV23" s="216"/>
      <c r="VW23" s="216"/>
      <c r="VX23" s="214"/>
      <c r="VY23" s="214"/>
      <c r="VZ23" s="214"/>
      <c r="WA23" s="214"/>
      <c r="WB23" s="214"/>
      <c r="WC23" s="214"/>
      <c r="WD23" s="214"/>
      <c r="WE23" s="214"/>
      <c r="WF23" s="214"/>
      <c r="WG23" s="214"/>
      <c r="WH23" s="214"/>
      <c r="WI23" s="214"/>
      <c r="WJ23" s="214"/>
      <c r="WK23" s="214"/>
      <c r="WL23" s="214"/>
      <c r="WM23" s="214"/>
      <c r="WN23" s="214"/>
      <c r="WO23" s="214"/>
      <c r="WP23" s="214"/>
      <c r="WQ23" s="214"/>
      <c r="WR23" s="214"/>
      <c r="WS23" s="214"/>
      <c r="WT23" s="214"/>
      <c r="WU23" s="214"/>
      <c r="WV23" s="214"/>
      <c r="WW23" s="214"/>
      <c r="WX23" s="214"/>
      <c r="WY23" s="214"/>
      <c r="WZ23" s="214"/>
      <c r="XA23" s="214"/>
      <c r="XB23" s="214"/>
      <c r="XC23" s="214"/>
      <c r="XD23" s="214"/>
      <c r="XE23" s="214"/>
      <c r="XF23" s="214"/>
      <c r="XG23" s="214"/>
      <c r="XH23" s="214"/>
      <c r="XI23" s="214"/>
      <c r="XJ23" s="214"/>
      <c r="XK23" s="214"/>
      <c r="XL23" s="214"/>
      <c r="XM23" s="214"/>
      <c r="XN23" s="214"/>
      <c r="XO23" s="214"/>
      <c r="XP23" s="214"/>
      <c r="XQ23" s="214"/>
      <c r="XR23" s="214"/>
      <c r="XS23" s="214"/>
      <c r="XT23" s="214"/>
      <c r="XU23" s="214"/>
      <c r="XV23" s="214"/>
      <c r="XW23" s="214"/>
      <c r="XX23" s="214"/>
      <c r="XY23" s="214"/>
      <c r="XZ23" s="214"/>
      <c r="YA23" s="214"/>
      <c r="YB23" s="214"/>
      <c r="YC23" s="214"/>
      <c r="YD23" s="214"/>
      <c r="YE23" s="214"/>
      <c r="YF23" s="214"/>
      <c r="YG23" s="214"/>
      <c r="YH23" s="214"/>
      <c r="YI23" s="214"/>
      <c r="YJ23" s="214"/>
      <c r="YK23" s="214"/>
      <c r="YL23" s="214"/>
      <c r="YM23" s="214"/>
      <c r="YN23" s="214"/>
      <c r="YO23" s="214"/>
      <c r="YP23" s="214"/>
      <c r="YQ23" s="214"/>
      <c r="YR23" s="214"/>
      <c r="YS23" s="214"/>
      <c r="YT23" s="214"/>
      <c r="YU23" s="214"/>
      <c r="YV23" s="214"/>
      <c r="YW23" s="214"/>
      <c r="YX23" s="214"/>
      <c r="YY23" s="214"/>
      <c r="YZ23" s="214"/>
      <c r="ZA23" s="214"/>
      <c r="ZB23" s="214"/>
      <c r="ZC23" s="214" t="s">
        <v>204</v>
      </c>
      <c r="ZD23" s="214" t="s">
        <v>205</v>
      </c>
      <c r="ZE23" s="214" t="s">
        <v>802</v>
      </c>
      <c r="ZF23" s="214" t="s">
        <v>801</v>
      </c>
      <c r="ZG23" s="214" t="s">
        <v>1100</v>
      </c>
      <c r="ZH23" s="214"/>
      <c r="ZI23" s="214" t="s">
        <v>800</v>
      </c>
      <c r="ZJ23" s="214" t="s">
        <v>1101</v>
      </c>
      <c r="ZK23" s="214" t="s">
        <v>1102</v>
      </c>
      <c r="ZL23" s="214" t="s">
        <v>1103</v>
      </c>
      <c r="ZM23" s="214" t="s">
        <v>1104</v>
      </c>
      <c r="ZN23" s="214" t="s">
        <v>1105</v>
      </c>
      <c r="ZO23" s="214" t="s">
        <v>1770</v>
      </c>
      <c r="ZP23" s="214" t="s">
        <v>1107</v>
      </c>
      <c r="ZQ23" s="214" t="s">
        <v>1673</v>
      </c>
      <c r="ZR23" s="214" t="s">
        <v>1674</v>
      </c>
      <c r="ZS23" s="214" t="s">
        <v>1675</v>
      </c>
      <c r="ZT23" s="214" t="s">
        <v>1676</v>
      </c>
      <c r="ZU23" s="214"/>
      <c r="ZV23" s="214" t="s">
        <v>807</v>
      </c>
      <c r="ZW23" s="214"/>
      <c r="ZX23" s="214"/>
      <c r="ZY23" s="214"/>
      <c r="ZZ23" s="215"/>
      <c r="AAA23" s="214"/>
      <c r="AAB23" s="214"/>
      <c r="AAC23" s="214"/>
      <c r="AAD23" s="214"/>
    </row>
    <row r="24" spans="1:706" s="94" customFormat="1" x14ac:dyDescent="0.2">
      <c r="A24" s="113" t="s">
        <v>482</v>
      </c>
      <c r="B24" s="49" t="s">
        <v>13</v>
      </c>
      <c r="C24" s="49" t="s">
        <v>13</v>
      </c>
      <c r="D24" s="49" t="s">
        <v>13</v>
      </c>
      <c r="E24" s="49" t="s">
        <v>13</v>
      </c>
      <c r="F24" s="49" t="s">
        <v>59</v>
      </c>
      <c r="G24" s="49" t="s">
        <v>31</v>
      </c>
      <c r="H24" s="49" t="s">
        <v>13</v>
      </c>
      <c r="I24" s="49" t="s">
        <v>13</v>
      </c>
      <c r="J24" s="49" t="s">
        <v>13</v>
      </c>
      <c r="K24" s="49" t="s">
        <v>13</v>
      </c>
      <c r="L24" s="49"/>
      <c r="M24" s="49" t="s">
        <v>13</v>
      </c>
      <c r="N24" s="49" t="s">
        <v>13</v>
      </c>
      <c r="O24" s="49" t="s">
        <v>13</v>
      </c>
      <c r="P24" s="49" t="s">
        <v>13</v>
      </c>
      <c r="Q24" s="49" t="s">
        <v>13</v>
      </c>
      <c r="R24" s="49" t="s">
        <v>13</v>
      </c>
      <c r="S24" s="49" t="s">
        <v>13</v>
      </c>
      <c r="T24" s="49" t="s">
        <v>13</v>
      </c>
      <c r="U24" s="49" t="s">
        <v>13</v>
      </c>
      <c r="V24" s="49" t="s">
        <v>13</v>
      </c>
      <c r="W24" s="49" t="s">
        <v>13</v>
      </c>
      <c r="X24" s="49" t="s">
        <v>13</v>
      </c>
      <c r="Y24" s="49" t="s">
        <v>13</v>
      </c>
      <c r="Z24" s="49" t="s">
        <v>13</v>
      </c>
      <c r="AA24" s="49" t="s">
        <v>13</v>
      </c>
      <c r="AB24" s="49" t="s">
        <v>13</v>
      </c>
      <c r="AC24" s="49" t="s">
        <v>13</v>
      </c>
      <c r="AD24" s="49" t="s">
        <v>13</v>
      </c>
      <c r="AE24" s="49" t="s">
        <v>13</v>
      </c>
      <c r="AF24" s="49" t="s">
        <v>13</v>
      </c>
      <c r="AG24" s="49" t="s">
        <v>13</v>
      </c>
      <c r="AH24" s="49" t="s">
        <v>13</v>
      </c>
      <c r="AI24" s="49" t="s">
        <v>13</v>
      </c>
      <c r="AJ24" s="49" t="s">
        <v>13</v>
      </c>
      <c r="AK24" s="49" t="s">
        <v>13</v>
      </c>
      <c r="AL24" s="49" t="s">
        <v>13</v>
      </c>
      <c r="AM24" s="49" t="s">
        <v>59</v>
      </c>
      <c r="AN24" s="49" t="s">
        <v>13</v>
      </c>
      <c r="AO24" s="49" t="s">
        <v>13</v>
      </c>
      <c r="AP24" s="49" t="s">
        <v>13</v>
      </c>
      <c r="AQ24" s="49" t="s">
        <v>13</v>
      </c>
      <c r="AR24" s="49" t="s">
        <v>13</v>
      </c>
      <c r="AS24" s="49" t="s">
        <v>13</v>
      </c>
      <c r="AT24" s="49" t="s">
        <v>13</v>
      </c>
      <c r="AU24" s="49" t="s">
        <v>13</v>
      </c>
      <c r="AV24" s="49" t="s">
        <v>13</v>
      </c>
      <c r="AW24" s="49" t="s">
        <v>13</v>
      </c>
      <c r="AX24" s="49" t="s">
        <v>13</v>
      </c>
      <c r="AY24" s="49" t="s">
        <v>13</v>
      </c>
      <c r="AZ24" s="49" t="s">
        <v>13</v>
      </c>
      <c r="BA24" s="49" t="s">
        <v>13</v>
      </c>
      <c r="BB24" s="49" t="s">
        <v>13</v>
      </c>
      <c r="BC24" s="49" t="s">
        <v>59</v>
      </c>
      <c r="BD24" s="49" t="s">
        <v>13</v>
      </c>
      <c r="BE24" s="49" t="s">
        <v>13</v>
      </c>
      <c r="BF24" s="49" t="s">
        <v>13</v>
      </c>
      <c r="BG24" s="49" t="s">
        <v>13</v>
      </c>
      <c r="BH24" s="49" t="s">
        <v>13</v>
      </c>
      <c r="BI24" s="49" t="s">
        <v>13</v>
      </c>
      <c r="BJ24" s="49" t="s">
        <v>13</v>
      </c>
      <c r="BK24" s="49" t="s">
        <v>13</v>
      </c>
      <c r="BL24" s="49" t="s">
        <v>13</v>
      </c>
      <c r="BM24" s="49" t="s">
        <v>13</v>
      </c>
      <c r="BN24" s="49" t="s">
        <v>13</v>
      </c>
      <c r="BO24" s="49" t="s">
        <v>13</v>
      </c>
      <c r="BP24" s="49" t="s">
        <v>13</v>
      </c>
      <c r="BQ24" s="49" t="s">
        <v>13</v>
      </c>
      <c r="BR24" s="49" t="s">
        <v>13</v>
      </c>
      <c r="BS24" s="49" t="s">
        <v>13</v>
      </c>
      <c r="BT24" s="49" t="s">
        <v>13</v>
      </c>
      <c r="BU24" s="49"/>
      <c r="BV24" s="49"/>
      <c r="BW24" s="49"/>
      <c r="BX24" s="49"/>
      <c r="BY24" s="49"/>
      <c r="BZ24" s="49"/>
      <c r="CA24" s="49"/>
      <c r="CB24" s="49"/>
      <c r="CC24" s="49"/>
      <c r="CD24" s="49"/>
      <c r="CE24" s="49"/>
      <c r="CF24" s="49"/>
      <c r="CG24" s="49"/>
      <c r="CH24" s="49"/>
      <c r="CI24" s="49" t="s">
        <v>13</v>
      </c>
      <c r="CJ24" s="49" t="s">
        <v>13</v>
      </c>
      <c r="CK24" s="49" t="s">
        <v>13</v>
      </c>
      <c r="CL24" s="49" t="s">
        <v>13</v>
      </c>
      <c r="CM24" s="49" t="s">
        <v>13</v>
      </c>
      <c r="CN24" s="49" t="s">
        <v>13</v>
      </c>
      <c r="CO24" s="49" t="s">
        <v>13</v>
      </c>
      <c r="CP24" s="49" t="s">
        <v>13</v>
      </c>
      <c r="CQ24" s="49" t="s">
        <v>13</v>
      </c>
      <c r="CR24" s="49" t="s">
        <v>13</v>
      </c>
      <c r="CS24" s="49" t="s">
        <v>13</v>
      </c>
      <c r="CT24" s="49" t="s">
        <v>13</v>
      </c>
      <c r="CU24" s="49" t="s">
        <v>13</v>
      </c>
      <c r="CV24" s="49" t="s">
        <v>13</v>
      </c>
      <c r="CW24" s="49" t="s">
        <v>13</v>
      </c>
      <c r="CX24" s="49" t="s">
        <v>13</v>
      </c>
      <c r="CY24" s="49" t="s">
        <v>13</v>
      </c>
      <c r="CZ24" s="49" t="s">
        <v>13</v>
      </c>
      <c r="DA24" s="49" t="s">
        <v>59</v>
      </c>
      <c r="DB24" s="49" t="s">
        <v>59</v>
      </c>
      <c r="DC24" s="49" t="s">
        <v>59</v>
      </c>
      <c r="DD24" s="49" t="s">
        <v>59</v>
      </c>
      <c r="DE24" s="49" t="s">
        <v>59</v>
      </c>
      <c r="DF24" s="49" t="s">
        <v>13</v>
      </c>
      <c r="DG24" s="49" t="s">
        <v>13</v>
      </c>
      <c r="DH24" s="49" t="s">
        <v>13</v>
      </c>
      <c r="DI24" s="49" t="s">
        <v>59</v>
      </c>
      <c r="DJ24" s="49" t="s">
        <v>13</v>
      </c>
      <c r="DK24" s="49" t="s">
        <v>13</v>
      </c>
      <c r="DL24" s="49" t="s">
        <v>13</v>
      </c>
      <c r="DM24" s="49"/>
      <c r="DN24" s="49" t="s">
        <v>13</v>
      </c>
      <c r="DO24" s="49" t="s">
        <v>13</v>
      </c>
      <c r="DP24" s="49" t="s">
        <v>13</v>
      </c>
      <c r="DQ24" s="49" t="s">
        <v>13</v>
      </c>
      <c r="DR24" s="49" t="s">
        <v>59</v>
      </c>
      <c r="DS24" s="49" t="s">
        <v>13</v>
      </c>
      <c r="DT24" s="49" t="s">
        <v>13</v>
      </c>
      <c r="DU24" s="49" t="s">
        <v>13</v>
      </c>
      <c r="DV24" s="49" t="s">
        <v>13</v>
      </c>
      <c r="DW24" s="122" t="s">
        <v>13</v>
      </c>
      <c r="DX24" s="49" t="s">
        <v>13</v>
      </c>
      <c r="DY24" s="49" t="s">
        <v>13</v>
      </c>
      <c r="DZ24" s="49" t="s">
        <v>13</v>
      </c>
      <c r="EA24" s="122"/>
      <c r="EB24" s="122"/>
      <c r="EC24" s="122"/>
      <c r="ED24" s="122"/>
      <c r="EE24" s="49" t="s">
        <v>13</v>
      </c>
      <c r="EF24" s="49" t="s">
        <v>13</v>
      </c>
      <c r="EG24" s="49" t="s">
        <v>13</v>
      </c>
      <c r="EH24" s="49" t="s">
        <v>13</v>
      </c>
      <c r="EI24" s="49" t="s">
        <v>13</v>
      </c>
      <c r="EJ24" s="49" t="s">
        <v>59</v>
      </c>
      <c r="EK24" s="49" t="s">
        <v>59</v>
      </c>
      <c r="EL24" s="49" t="s">
        <v>59</v>
      </c>
      <c r="EM24" s="49" t="s">
        <v>13</v>
      </c>
      <c r="EN24" s="49" t="s">
        <v>13</v>
      </c>
      <c r="EO24" s="49" t="s">
        <v>13</v>
      </c>
      <c r="EP24" s="49" t="s">
        <v>13</v>
      </c>
      <c r="EQ24" s="49" t="s">
        <v>13</v>
      </c>
      <c r="ER24" s="49" t="s">
        <v>13</v>
      </c>
      <c r="ES24" s="49" t="s">
        <v>13</v>
      </c>
      <c r="ET24" s="49" t="s">
        <v>13</v>
      </c>
      <c r="EU24" s="49" t="s">
        <v>13</v>
      </c>
      <c r="EV24" s="49" t="s">
        <v>13</v>
      </c>
      <c r="EW24" s="49" t="s">
        <v>13</v>
      </c>
      <c r="EX24" s="49" t="s">
        <v>13</v>
      </c>
      <c r="EY24" s="49" t="s">
        <v>13</v>
      </c>
      <c r="EZ24" s="49" t="s">
        <v>13</v>
      </c>
      <c r="FA24" s="49" t="s">
        <v>13</v>
      </c>
      <c r="FB24" s="49" t="s">
        <v>13</v>
      </c>
      <c r="FC24" s="49" t="s">
        <v>13</v>
      </c>
      <c r="FD24" s="49" t="s">
        <v>13</v>
      </c>
      <c r="FE24" s="49" t="s">
        <v>13</v>
      </c>
      <c r="FF24" s="49" t="s">
        <v>13</v>
      </c>
      <c r="FG24" s="49" t="s">
        <v>13</v>
      </c>
      <c r="FH24" s="49" t="s">
        <v>59</v>
      </c>
      <c r="FI24" s="49" t="s">
        <v>59</v>
      </c>
      <c r="FJ24" s="49" t="s">
        <v>59</v>
      </c>
      <c r="FK24" s="49" t="s">
        <v>13</v>
      </c>
      <c r="FL24" s="49"/>
      <c r="FM24" s="49" t="s">
        <v>13</v>
      </c>
      <c r="FN24" s="49" t="s">
        <v>13</v>
      </c>
      <c r="FO24" s="49"/>
      <c r="FP24" s="49"/>
      <c r="FQ24" s="49" t="s">
        <v>13</v>
      </c>
      <c r="FR24" s="49" t="s">
        <v>13</v>
      </c>
      <c r="FS24" s="49" t="s">
        <v>13</v>
      </c>
      <c r="FT24" s="49" t="s">
        <v>59</v>
      </c>
      <c r="FU24" s="49" t="s">
        <v>13</v>
      </c>
      <c r="FV24" s="49" t="s">
        <v>13</v>
      </c>
      <c r="FW24" s="49"/>
      <c r="FX24" s="49"/>
      <c r="FY24" s="49"/>
      <c r="FZ24" s="49"/>
      <c r="GA24" s="49" t="s">
        <v>13</v>
      </c>
      <c r="GB24" s="49"/>
      <c r="GC24" s="49" t="s">
        <v>13</v>
      </c>
      <c r="GD24" s="49" t="s">
        <v>59</v>
      </c>
      <c r="GE24" s="49" t="s">
        <v>59</v>
      </c>
      <c r="GF24" s="49" t="s">
        <v>59</v>
      </c>
      <c r="GG24" s="49"/>
      <c r="GH24" s="49" t="s">
        <v>13</v>
      </c>
      <c r="GI24" s="49" t="s">
        <v>59</v>
      </c>
      <c r="GJ24" s="49" t="s">
        <v>59</v>
      </c>
      <c r="GK24" s="49" t="s">
        <v>59</v>
      </c>
      <c r="GL24" s="49" t="s">
        <v>59</v>
      </c>
      <c r="GM24" s="94" t="s">
        <v>59</v>
      </c>
      <c r="GO24" s="94" t="s">
        <v>59</v>
      </c>
      <c r="GP24" s="49" t="s">
        <v>59</v>
      </c>
      <c r="GQ24" s="49"/>
      <c r="GR24" s="94" t="s">
        <v>59</v>
      </c>
      <c r="GT24" s="49" t="s">
        <v>59</v>
      </c>
      <c r="GU24" s="94" t="s">
        <v>13</v>
      </c>
      <c r="GV24" s="94" t="s">
        <v>13</v>
      </c>
      <c r="GW24" s="94" t="s">
        <v>13</v>
      </c>
      <c r="GX24" s="94" t="s">
        <v>13</v>
      </c>
      <c r="GY24" s="49"/>
      <c r="GZ24" s="49"/>
      <c r="HA24" s="49"/>
      <c r="HB24" s="49"/>
      <c r="HC24" s="49"/>
      <c r="HD24" s="49" t="s">
        <v>13</v>
      </c>
      <c r="HE24" s="49" t="s">
        <v>13</v>
      </c>
      <c r="HF24" s="49"/>
      <c r="HG24" s="94" t="s">
        <v>59</v>
      </c>
      <c r="HH24" s="94" t="s">
        <v>59</v>
      </c>
      <c r="HJ24" s="94" t="s">
        <v>59</v>
      </c>
      <c r="HK24" s="94" t="s">
        <v>59</v>
      </c>
      <c r="HN24" s="94" t="s">
        <v>59</v>
      </c>
      <c r="HP24" s="94" t="s">
        <v>59</v>
      </c>
      <c r="HQ24" s="94" t="s">
        <v>59</v>
      </c>
      <c r="HR24" s="94" t="s">
        <v>59</v>
      </c>
      <c r="HS24" s="94" t="s">
        <v>59</v>
      </c>
      <c r="HT24" s="94" t="s">
        <v>59</v>
      </c>
      <c r="HU24" s="49"/>
      <c r="HV24" s="49"/>
      <c r="HW24" s="49"/>
      <c r="HX24" s="465" t="s">
        <v>59</v>
      </c>
      <c r="HY24" s="465" t="s">
        <v>59</v>
      </c>
      <c r="HZ24" s="49" t="s">
        <v>59</v>
      </c>
      <c r="IA24" s="49" t="s">
        <v>59</v>
      </c>
      <c r="IB24" s="49" t="s">
        <v>13</v>
      </c>
      <c r="IC24" s="122" t="s">
        <v>13</v>
      </c>
      <c r="ID24" s="49" t="s">
        <v>59</v>
      </c>
      <c r="IE24" s="49"/>
      <c r="IF24" s="49" t="s">
        <v>59</v>
      </c>
      <c r="IG24" s="49" t="s">
        <v>59</v>
      </c>
      <c r="IH24" s="49" t="s">
        <v>59</v>
      </c>
      <c r="II24" s="49" t="s">
        <v>59</v>
      </c>
      <c r="IJ24" s="49" t="s">
        <v>59</v>
      </c>
      <c r="IK24" s="123" t="s">
        <v>59</v>
      </c>
      <c r="IL24" s="49"/>
      <c r="IM24" s="49"/>
      <c r="IN24" s="49"/>
      <c r="IO24" s="49" t="s">
        <v>59</v>
      </c>
      <c r="IP24" s="49"/>
      <c r="IQ24" s="49" t="s">
        <v>59</v>
      </c>
      <c r="IR24" s="49" t="s">
        <v>59</v>
      </c>
      <c r="IS24" s="49" t="s">
        <v>59</v>
      </c>
      <c r="IT24" s="49" t="s">
        <v>59</v>
      </c>
      <c r="IU24" s="49" t="s">
        <v>59</v>
      </c>
      <c r="IV24" s="123" t="s">
        <v>59</v>
      </c>
      <c r="IW24" s="123" t="s">
        <v>59</v>
      </c>
      <c r="IX24" s="123" t="s">
        <v>59</v>
      </c>
      <c r="IY24" s="123" t="s">
        <v>59</v>
      </c>
      <c r="IZ24" s="123" t="s">
        <v>59</v>
      </c>
      <c r="JA24" s="123" t="s">
        <v>59</v>
      </c>
      <c r="JB24" s="94" t="s">
        <v>59</v>
      </c>
      <c r="JC24" s="94" t="s">
        <v>59</v>
      </c>
      <c r="JD24" s="123" t="s">
        <v>59</v>
      </c>
      <c r="JE24" s="123" t="s">
        <v>59</v>
      </c>
      <c r="JF24" s="123" t="s">
        <v>59</v>
      </c>
      <c r="JG24" s="94" t="s">
        <v>59</v>
      </c>
      <c r="JH24" s="49" t="s">
        <v>13</v>
      </c>
      <c r="JI24" s="123" t="s">
        <v>59</v>
      </c>
      <c r="JJ24" s="49" t="s">
        <v>59</v>
      </c>
      <c r="JK24" s="123" t="s">
        <v>59</v>
      </c>
      <c r="JL24" s="49" t="s">
        <v>59</v>
      </c>
      <c r="JM24" s="123" t="s">
        <v>59</v>
      </c>
      <c r="JN24" s="49" t="s">
        <v>59</v>
      </c>
      <c r="JO24" s="49" t="s">
        <v>59</v>
      </c>
      <c r="JP24" s="49" t="s">
        <v>59</v>
      </c>
      <c r="JQ24" s="49" t="s">
        <v>59</v>
      </c>
      <c r="JR24" s="49" t="s">
        <v>59</v>
      </c>
      <c r="JS24" s="49" t="s">
        <v>59</v>
      </c>
      <c r="JT24" s="49" t="s">
        <v>59</v>
      </c>
      <c r="JU24" s="49" t="s">
        <v>59</v>
      </c>
      <c r="JV24" s="49" t="s">
        <v>59</v>
      </c>
      <c r="JW24" s="49"/>
      <c r="JX24" s="49"/>
      <c r="JY24" s="465"/>
      <c r="JZ24" s="465"/>
      <c r="KA24" s="465"/>
      <c r="KB24" s="465"/>
      <c r="KC24" s="465"/>
      <c r="KD24" s="465"/>
      <c r="KE24" s="465"/>
      <c r="KF24" s="465"/>
      <c r="KG24" s="465"/>
      <c r="KH24" s="465"/>
      <c r="KI24" s="465"/>
      <c r="KJ24" s="465"/>
      <c r="KK24" s="465"/>
      <c r="KL24" s="465"/>
      <c r="KM24" s="465"/>
      <c r="KN24" s="465"/>
      <c r="KO24" s="465"/>
      <c r="KP24" s="465"/>
      <c r="KQ24" s="465"/>
      <c r="KR24" s="465"/>
      <c r="KS24" s="465"/>
      <c r="KT24" s="465"/>
      <c r="KU24" s="465"/>
      <c r="KV24" s="465"/>
      <c r="KW24" s="465"/>
      <c r="KX24" s="465"/>
      <c r="KY24" s="465"/>
      <c r="KZ24" s="465"/>
      <c r="LA24" s="49"/>
      <c r="LB24" s="465"/>
      <c r="LC24" s="465"/>
      <c r="LD24" s="465"/>
      <c r="LE24" s="465"/>
      <c r="LF24" s="465"/>
      <c r="LG24" s="465"/>
      <c r="LH24" s="465"/>
      <c r="LI24" s="465"/>
      <c r="LJ24" s="465"/>
      <c r="LK24" s="465"/>
      <c r="LL24" s="465"/>
      <c r="LM24" s="465"/>
      <c r="LN24" s="465"/>
      <c r="LO24" s="465"/>
      <c r="LP24" s="465"/>
      <c r="LQ24" s="465"/>
      <c r="LR24" s="465" t="s">
        <v>59</v>
      </c>
      <c r="LS24" s="465" t="s">
        <v>59</v>
      </c>
      <c r="LT24" s="49"/>
      <c r="LU24" s="49"/>
      <c r="LV24" s="49"/>
      <c r="LW24" s="49"/>
      <c r="LX24" s="49"/>
      <c r="LY24" s="49"/>
      <c r="LZ24" s="49"/>
      <c r="MA24" s="49"/>
      <c r="MB24" s="49"/>
      <c r="MC24" s="49"/>
      <c r="MD24" s="49"/>
      <c r="ME24" s="49"/>
      <c r="MF24" s="49"/>
      <c r="MG24" s="49"/>
      <c r="MH24" s="49"/>
      <c r="MI24" s="49"/>
      <c r="MJ24" s="49"/>
      <c r="MK24" s="49"/>
      <c r="ML24" s="49"/>
      <c r="MM24" s="49"/>
      <c r="MN24" s="49"/>
      <c r="MO24" s="49"/>
      <c r="MP24" s="49"/>
      <c r="MQ24" s="49"/>
      <c r="MR24" s="49"/>
      <c r="MS24" s="49"/>
      <c r="MT24" s="49"/>
      <c r="MU24" s="49"/>
      <c r="MV24" s="49"/>
      <c r="MW24" s="49"/>
      <c r="MX24" s="49"/>
      <c r="MY24" s="49"/>
      <c r="MZ24" s="49"/>
      <c r="NA24" s="49"/>
      <c r="NB24" s="49"/>
      <c r="NC24" s="101"/>
      <c r="ND24" s="49"/>
      <c r="NE24" s="49"/>
      <c r="NF24" s="49"/>
      <c r="NG24" s="49"/>
      <c r="NH24" s="49"/>
      <c r="NI24" s="49"/>
      <c r="NJ24" s="49"/>
      <c r="NK24" s="49"/>
      <c r="NL24" s="49"/>
      <c r="NM24" s="49"/>
      <c r="NN24" s="49"/>
      <c r="NO24" s="49"/>
      <c r="NP24" s="49"/>
      <c r="NQ24" s="49"/>
      <c r="NR24" s="49"/>
      <c r="NS24" s="49"/>
      <c r="NT24" s="49"/>
      <c r="NU24" s="49"/>
      <c r="NV24" s="49"/>
      <c r="NW24" s="49"/>
      <c r="NX24" s="49"/>
      <c r="NY24" s="49"/>
      <c r="NZ24" s="49"/>
      <c r="OA24" s="49"/>
      <c r="OB24" s="49" t="s">
        <v>59</v>
      </c>
      <c r="OC24" s="49" t="s">
        <v>59</v>
      </c>
      <c r="OD24" s="49" t="s">
        <v>59</v>
      </c>
      <c r="OE24" s="49" t="s">
        <v>59</v>
      </c>
      <c r="OF24" s="49" t="s">
        <v>59</v>
      </c>
      <c r="OG24" s="49" t="s">
        <v>59</v>
      </c>
      <c r="OH24" s="49" t="s">
        <v>59</v>
      </c>
      <c r="OI24" s="49" t="s">
        <v>59</v>
      </c>
      <c r="OJ24" s="49" t="s">
        <v>59</v>
      </c>
      <c r="OK24" s="49" t="s">
        <v>59</v>
      </c>
      <c r="OL24" s="49" t="s">
        <v>59</v>
      </c>
      <c r="OM24" s="49"/>
      <c r="ON24" s="49"/>
      <c r="OO24" s="49"/>
      <c r="OP24" s="49"/>
      <c r="OQ24" s="49"/>
      <c r="OR24" s="49"/>
      <c r="OS24" s="49"/>
      <c r="OT24" s="49"/>
      <c r="OU24" s="49" t="s">
        <v>13</v>
      </c>
      <c r="OV24" s="49" t="s">
        <v>59</v>
      </c>
      <c r="OW24" s="49" t="s">
        <v>13</v>
      </c>
      <c r="OX24" s="49" t="s">
        <v>59</v>
      </c>
      <c r="OY24" s="49" t="s">
        <v>13</v>
      </c>
      <c r="OZ24" s="49" t="s">
        <v>13</v>
      </c>
      <c r="PA24" s="49" t="s">
        <v>59</v>
      </c>
      <c r="PB24" s="49" t="s">
        <v>13</v>
      </c>
      <c r="PC24" s="49" t="s">
        <v>13</v>
      </c>
      <c r="PD24" s="49" t="s">
        <v>59</v>
      </c>
      <c r="PE24" s="49" t="s">
        <v>59</v>
      </c>
      <c r="PF24" s="49" t="s">
        <v>59</v>
      </c>
      <c r="PG24" s="49" t="s">
        <v>59</v>
      </c>
      <c r="PH24" s="49" t="s">
        <v>59</v>
      </c>
      <c r="PI24" s="49" t="s">
        <v>59</v>
      </c>
      <c r="PJ24" s="49" t="s">
        <v>59</v>
      </c>
      <c r="PK24" s="49" t="s">
        <v>59</v>
      </c>
      <c r="PL24" s="49" t="s">
        <v>59</v>
      </c>
      <c r="PM24" s="49" t="s">
        <v>59</v>
      </c>
      <c r="PN24" s="49" t="s">
        <v>59</v>
      </c>
      <c r="PO24" s="49" t="s">
        <v>59</v>
      </c>
      <c r="PP24" s="49" t="s">
        <v>59</v>
      </c>
      <c r="PQ24" s="49" t="s">
        <v>59</v>
      </c>
      <c r="PR24" s="49" t="s">
        <v>59</v>
      </c>
      <c r="PS24" s="49" t="s">
        <v>59</v>
      </c>
      <c r="PT24" s="49" t="s">
        <v>59</v>
      </c>
      <c r="PU24" s="49" t="s">
        <v>59</v>
      </c>
      <c r="PV24" s="49" t="s">
        <v>59</v>
      </c>
      <c r="PW24" s="49" t="s">
        <v>59</v>
      </c>
      <c r="PX24" s="49" t="s">
        <v>59</v>
      </c>
      <c r="PY24" s="49" t="s">
        <v>59</v>
      </c>
      <c r="PZ24" s="49" t="s">
        <v>59</v>
      </c>
      <c r="QA24" s="49" t="s">
        <v>59</v>
      </c>
      <c r="QB24" s="49"/>
      <c r="QC24" s="49" t="s">
        <v>59</v>
      </c>
      <c r="QD24" s="49" t="s">
        <v>59</v>
      </c>
      <c r="QE24" s="49" t="s">
        <v>59</v>
      </c>
      <c r="QF24" s="49" t="s">
        <v>59</v>
      </c>
      <c r="QG24" s="49" t="s">
        <v>59</v>
      </c>
      <c r="QH24" s="49" t="s">
        <v>59</v>
      </c>
      <c r="QI24" s="49" t="s">
        <v>59</v>
      </c>
      <c r="QJ24" s="49" t="s">
        <v>59</v>
      </c>
      <c r="QK24" s="49" t="s">
        <v>59</v>
      </c>
      <c r="QL24" s="49" t="s">
        <v>59</v>
      </c>
      <c r="QM24" s="49" t="s">
        <v>59</v>
      </c>
      <c r="QN24" s="49" t="s">
        <v>59</v>
      </c>
      <c r="QO24" s="49" t="s">
        <v>59</v>
      </c>
      <c r="QP24" s="49" t="s">
        <v>59</v>
      </c>
      <c r="QQ24" s="49" t="s">
        <v>59</v>
      </c>
      <c r="QR24" s="49" t="s">
        <v>59</v>
      </c>
      <c r="QS24" s="49" t="s">
        <v>59</v>
      </c>
      <c r="QT24" s="49" t="s">
        <v>59</v>
      </c>
      <c r="QU24" s="49" t="s">
        <v>59</v>
      </c>
      <c r="QV24" s="49" t="s">
        <v>59</v>
      </c>
      <c r="QW24" s="49" t="s">
        <v>59</v>
      </c>
      <c r="QX24" s="49" t="s">
        <v>59</v>
      </c>
      <c r="QY24" s="49" t="s">
        <v>59</v>
      </c>
      <c r="QZ24" s="49" t="s">
        <v>59</v>
      </c>
      <c r="RA24" s="49" t="s">
        <v>59</v>
      </c>
      <c r="RB24" s="49" t="s">
        <v>59</v>
      </c>
      <c r="RC24" s="49"/>
      <c r="RD24" s="49"/>
      <c r="RE24" s="49"/>
      <c r="RF24" s="49"/>
      <c r="RG24" s="49"/>
      <c r="RH24" s="49"/>
      <c r="RI24" s="49"/>
      <c r="RJ24" s="49"/>
      <c r="RK24" s="49"/>
      <c r="RL24" s="49"/>
      <c r="RM24" s="49"/>
      <c r="RN24" s="49"/>
      <c r="RO24" s="49" t="s">
        <v>59</v>
      </c>
      <c r="RP24" s="49"/>
      <c r="RQ24" s="49"/>
      <c r="RR24" s="49"/>
      <c r="RS24" s="49" t="s">
        <v>20</v>
      </c>
      <c r="RT24" s="49" t="s">
        <v>59</v>
      </c>
      <c r="RU24" s="49" t="s">
        <v>59</v>
      </c>
      <c r="RV24" s="49" t="s">
        <v>59</v>
      </c>
      <c r="RW24" s="49" t="s">
        <v>59</v>
      </c>
      <c r="RX24" s="49" t="s">
        <v>59</v>
      </c>
      <c r="RY24" s="49" t="s">
        <v>59</v>
      </c>
      <c r="RZ24" s="49" t="s">
        <v>59</v>
      </c>
      <c r="SA24" s="49" t="s">
        <v>59</v>
      </c>
      <c r="SB24" s="49"/>
      <c r="SC24" s="49"/>
      <c r="SD24" s="49"/>
      <c r="SE24" s="49"/>
      <c r="SF24" s="49"/>
      <c r="SG24" s="49"/>
      <c r="SH24" s="49"/>
      <c r="SI24" s="49"/>
      <c r="SJ24" s="49"/>
      <c r="SK24" s="49"/>
      <c r="SL24" s="49"/>
      <c r="SM24" s="49"/>
      <c r="SN24" s="49"/>
      <c r="SO24" s="49"/>
      <c r="SP24" s="49"/>
      <c r="SQ24" s="49"/>
      <c r="SR24" s="49" t="s">
        <v>59</v>
      </c>
      <c r="SS24" s="49" t="s">
        <v>59</v>
      </c>
      <c r="ST24" s="49" t="s">
        <v>59</v>
      </c>
      <c r="SU24" s="49" t="s">
        <v>59</v>
      </c>
      <c r="SV24" s="49" t="s">
        <v>59</v>
      </c>
      <c r="SW24" s="49" t="s">
        <v>59</v>
      </c>
      <c r="SX24" s="49" t="s">
        <v>59</v>
      </c>
      <c r="SY24" s="49" t="s">
        <v>59</v>
      </c>
      <c r="SZ24" s="49" t="s">
        <v>59</v>
      </c>
      <c r="TA24" s="49"/>
      <c r="TB24" s="49"/>
      <c r="TC24" s="49"/>
      <c r="TD24" s="49"/>
      <c r="TE24" s="49"/>
      <c r="TF24" s="49"/>
      <c r="TG24" s="49"/>
      <c r="TH24" s="49"/>
      <c r="TI24" s="49"/>
      <c r="TJ24" s="49" t="s">
        <v>13</v>
      </c>
      <c r="TK24" s="408" t="s">
        <v>13</v>
      </c>
      <c r="TL24" s="408"/>
      <c r="TM24" s="408"/>
      <c r="TN24" s="408"/>
      <c r="TO24" s="408"/>
      <c r="TP24" s="408" t="s">
        <v>13</v>
      </c>
      <c r="TQ24" s="49"/>
      <c r="TR24" s="49" t="s">
        <v>13</v>
      </c>
      <c r="TS24" s="49" t="s">
        <v>13</v>
      </c>
      <c r="TT24" s="49" t="s">
        <v>13</v>
      </c>
      <c r="TU24" s="49" t="s">
        <v>13</v>
      </c>
      <c r="TV24" s="49" t="s">
        <v>13</v>
      </c>
      <c r="TW24" s="49" t="s">
        <v>20</v>
      </c>
      <c r="TX24" s="49" t="s">
        <v>59</v>
      </c>
      <c r="TY24" s="49" t="s">
        <v>59</v>
      </c>
      <c r="TZ24" s="49" t="s">
        <v>59</v>
      </c>
      <c r="UA24" s="49" t="s">
        <v>59</v>
      </c>
      <c r="UB24" s="49" t="s">
        <v>59</v>
      </c>
      <c r="UC24" s="49" t="s">
        <v>59</v>
      </c>
      <c r="UD24" s="49" t="s">
        <v>59</v>
      </c>
      <c r="UE24" s="49" t="s">
        <v>59</v>
      </c>
      <c r="UF24" s="49"/>
      <c r="UG24" s="49" t="s">
        <v>59</v>
      </c>
      <c r="UH24" s="49" t="s">
        <v>59</v>
      </c>
      <c r="UI24" s="49" t="s">
        <v>20</v>
      </c>
      <c r="UJ24" s="49"/>
      <c r="UK24" s="49"/>
      <c r="UL24" s="49" t="s">
        <v>59</v>
      </c>
      <c r="UM24" s="49" t="s">
        <v>59</v>
      </c>
      <c r="UN24" s="49" t="s">
        <v>20</v>
      </c>
      <c r="UO24" s="49" t="s">
        <v>59</v>
      </c>
      <c r="UP24" s="49" t="s">
        <v>59</v>
      </c>
      <c r="UQ24" s="49"/>
      <c r="UR24" s="49"/>
      <c r="US24" s="49" t="s">
        <v>59</v>
      </c>
      <c r="UT24" s="49" t="s">
        <v>59</v>
      </c>
      <c r="UU24" s="49" t="s">
        <v>59</v>
      </c>
      <c r="UV24" s="49"/>
      <c r="UW24" s="49"/>
      <c r="UX24" s="49"/>
      <c r="UY24" s="49" t="s">
        <v>59</v>
      </c>
      <c r="UZ24" s="49"/>
      <c r="VA24" s="49" t="s">
        <v>59</v>
      </c>
      <c r="VB24" s="49"/>
      <c r="VC24" s="49"/>
      <c r="VD24" s="49"/>
      <c r="VE24" s="49"/>
      <c r="VF24" s="49"/>
      <c r="VG24" s="49"/>
      <c r="VH24" s="49"/>
      <c r="VI24" s="49"/>
      <c r="VJ24" s="49"/>
      <c r="VK24" s="93"/>
      <c r="VL24" s="93"/>
      <c r="VM24" s="93"/>
      <c r="VN24" s="93"/>
      <c r="VO24" s="93"/>
      <c r="VP24" s="93"/>
      <c r="VQ24" s="93"/>
      <c r="VR24" s="93"/>
      <c r="VS24" s="93"/>
      <c r="VT24" s="93"/>
      <c r="VU24" s="93"/>
      <c r="VV24" s="93"/>
      <c r="VW24" s="93"/>
      <c r="VX24" s="49"/>
      <c r="VY24" s="49"/>
      <c r="VZ24" s="49"/>
      <c r="WA24" s="72"/>
      <c r="WB24" s="72"/>
      <c r="WC24" s="72"/>
      <c r="WD24" s="72"/>
      <c r="WE24" s="49"/>
      <c r="WF24" s="49"/>
      <c r="WG24" s="49"/>
      <c r="WH24" s="49"/>
      <c r="WI24" s="49"/>
      <c r="WJ24" s="49"/>
      <c r="WK24" s="49"/>
      <c r="WL24" s="49"/>
      <c r="WM24" s="49"/>
      <c r="WN24" s="49"/>
      <c r="WO24" s="49"/>
      <c r="WP24" s="49"/>
      <c r="WQ24" s="49"/>
      <c r="WR24" s="49"/>
      <c r="WS24" s="49"/>
      <c r="WT24" s="49"/>
      <c r="WU24" s="49"/>
      <c r="WV24" s="49"/>
      <c r="WW24" s="49"/>
      <c r="WX24" s="49"/>
      <c r="WY24" s="49"/>
      <c r="WZ24" s="49"/>
      <c r="XA24" s="49"/>
      <c r="XB24" s="49"/>
      <c r="XC24" s="49"/>
      <c r="XD24" s="49"/>
      <c r="XE24" s="49"/>
      <c r="XF24" s="49"/>
      <c r="XG24" s="49"/>
      <c r="XH24" s="49"/>
      <c r="XI24" s="49"/>
      <c r="XJ24" s="49"/>
      <c r="XK24" s="49"/>
      <c r="XL24" s="49"/>
      <c r="XM24" s="49"/>
      <c r="XN24" s="49"/>
      <c r="XO24" s="49"/>
      <c r="XP24" s="49"/>
      <c r="XQ24" s="49"/>
      <c r="XR24" s="49"/>
      <c r="XS24" s="49"/>
      <c r="XT24" s="49"/>
      <c r="XU24" s="49"/>
      <c r="XV24" s="49"/>
      <c r="XW24" s="49"/>
      <c r="XX24" s="49"/>
      <c r="XY24" s="49"/>
      <c r="XZ24" s="49"/>
      <c r="YA24" s="49"/>
      <c r="YB24" s="49"/>
      <c r="YC24" s="49"/>
      <c r="YD24" s="49"/>
      <c r="YE24" s="49"/>
      <c r="YF24" s="49"/>
      <c r="YG24" s="49"/>
      <c r="YH24" s="49"/>
      <c r="YI24" s="49"/>
      <c r="YJ24" s="49"/>
      <c r="YK24" s="49"/>
      <c r="YL24" s="49"/>
      <c r="YM24" s="49"/>
      <c r="YN24" s="49"/>
      <c r="YO24" s="49"/>
      <c r="YP24" s="49"/>
      <c r="YQ24" s="49"/>
      <c r="YR24" s="49"/>
      <c r="YS24" s="49"/>
      <c r="YT24" s="49"/>
      <c r="YU24" s="49"/>
      <c r="YV24" s="49"/>
      <c r="YW24" s="49"/>
      <c r="YX24" s="49"/>
      <c r="YY24" s="49"/>
      <c r="YZ24" s="49"/>
      <c r="ZA24" s="49"/>
      <c r="ZB24" s="49"/>
      <c r="ZC24" s="49" t="s">
        <v>13</v>
      </c>
      <c r="ZD24" s="49" t="s">
        <v>13</v>
      </c>
      <c r="ZE24" s="49" t="s">
        <v>13</v>
      </c>
      <c r="ZF24" s="49" t="s">
        <v>13</v>
      </c>
      <c r="ZG24" s="49" t="s">
        <v>13</v>
      </c>
      <c r="ZH24" s="49" t="s">
        <v>59</v>
      </c>
      <c r="ZI24" s="49" t="s">
        <v>13</v>
      </c>
      <c r="ZJ24" s="49" t="s">
        <v>13</v>
      </c>
      <c r="ZK24" s="49" t="s">
        <v>13</v>
      </c>
      <c r="ZL24" s="49" t="s">
        <v>13</v>
      </c>
      <c r="ZM24" s="49" t="s">
        <v>13</v>
      </c>
      <c r="ZN24" s="49" t="s">
        <v>13</v>
      </c>
      <c r="ZO24" s="49" t="s">
        <v>13</v>
      </c>
      <c r="ZP24" s="49" t="s">
        <v>13</v>
      </c>
      <c r="ZQ24" s="49" t="s">
        <v>59</v>
      </c>
      <c r="ZR24" s="49" t="s">
        <v>59</v>
      </c>
      <c r="ZS24" s="49" t="s">
        <v>59</v>
      </c>
      <c r="ZT24" s="49" t="s">
        <v>59</v>
      </c>
      <c r="ZU24" s="49" t="s">
        <v>59</v>
      </c>
      <c r="ZV24" s="49" t="s">
        <v>13</v>
      </c>
      <c r="ZW24" s="49"/>
      <c r="ZX24" s="49"/>
      <c r="ZY24" s="49"/>
      <c r="ZZ24" s="122"/>
      <c r="AAA24" s="49"/>
      <c r="AAB24" s="49"/>
      <c r="AAC24" s="49"/>
      <c r="AAD24" s="49"/>
    </row>
    <row r="25" spans="1:706" s="26" customFormat="1" ht="12.1" customHeight="1" x14ac:dyDescent="0.25">
      <c r="A25" s="112" t="s">
        <v>483</v>
      </c>
      <c r="B25" s="218" t="s">
        <v>263</v>
      </c>
      <c r="C25" s="218" t="s">
        <v>1</v>
      </c>
      <c r="D25" s="218" t="s">
        <v>2</v>
      </c>
      <c r="E25" s="219" t="s">
        <v>3</v>
      </c>
      <c r="F25" s="219" t="s">
        <v>379</v>
      </c>
      <c r="G25" s="219" t="s">
        <v>122</v>
      </c>
      <c r="H25" s="219" t="s">
        <v>234</v>
      </c>
      <c r="I25" s="219" t="s">
        <v>77</v>
      </c>
      <c r="J25" s="220" t="s">
        <v>4</v>
      </c>
      <c r="K25" s="220" t="s">
        <v>5</v>
      </c>
      <c r="L25" s="220"/>
      <c r="M25" s="220" t="s">
        <v>71</v>
      </c>
      <c r="N25" s="220" t="s">
        <v>72</v>
      </c>
      <c r="O25" s="220" t="s">
        <v>73</v>
      </c>
      <c r="P25" s="220" t="s">
        <v>102</v>
      </c>
      <c r="Q25" s="220" t="s">
        <v>103</v>
      </c>
      <c r="R25" s="220" t="s">
        <v>104</v>
      </c>
      <c r="S25" s="220" t="s">
        <v>105</v>
      </c>
      <c r="T25" s="220" t="s">
        <v>110</v>
      </c>
      <c r="U25" s="220" t="s">
        <v>8</v>
      </c>
      <c r="V25" s="220" t="s">
        <v>9</v>
      </c>
      <c r="W25" s="220" t="s">
        <v>106</v>
      </c>
      <c r="X25" s="220" t="s">
        <v>21</v>
      </c>
      <c r="Y25" s="220" t="s">
        <v>254</v>
      </c>
      <c r="Z25" s="220" t="s">
        <v>6</v>
      </c>
      <c r="AA25" s="220" t="s">
        <v>7</v>
      </c>
      <c r="AB25" s="220" t="s">
        <v>107</v>
      </c>
      <c r="AC25" s="220" t="s">
        <v>600</v>
      </c>
      <c r="AD25" s="220" t="s">
        <v>601</v>
      </c>
      <c r="AE25" s="220" t="s">
        <v>602</v>
      </c>
      <c r="AF25" s="220" t="s">
        <v>603</v>
      </c>
      <c r="AG25" s="220" t="s">
        <v>604</v>
      </c>
      <c r="AH25" s="220" t="s">
        <v>605</v>
      </c>
      <c r="AI25" s="220" t="s">
        <v>606</v>
      </c>
      <c r="AJ25" s="220" t="s">
        <v>607</v>
      </c>
      <c r="AK25" s="220" t="s">
        <v>608</v>
      </c>
      <c r="AL25" s="220" t="s">
        <v>609</v>
      </c>
      <c r="AM25" s="220"/>
      <c r="AN25" s="220" t="s">
        <v>610</v>
      </c>
      <c r="AO25" s="220" t="s">
        <v>611</v>
      </c>
      <c r="AP25" s="220" t="s">
        <v>612</v>
      </c>
      <c r="AQ25" s="220" t="s">
        <v>614</v>
      </c>
      <c r="AR25" s="220" t="s">
        <v>1213</v>
      </c>
      <c r="AS25" s="220" t="s">
        <v>1214</v>
      </c>
      <c r="AT25" s="220" t="s">
        <v>1215</v>
      </c>
      <c r="AU25" s="220" t="s">
        <v>1216</v>
      </c>
      <c r="AV25" s="220" t="s">
        <v>1217</v>
      </c>
      <c r="AW25" s="220" t="s">
        <v>1218</v>
      </c>
      <c r="AX25" s="220" t="s">
        <v>1219</v>
      </c>
      <c r="AY25" s="220" t="s">
        <v>1220</v>
      </c>
      <c r="AZ25" s="220" t="s">
        <v>1221</v>
      </c>
      <c r="BA25" s="220" t="s">
        <v>1222</v>
      </c>
      <c r="BB25" s="220" t="s">
        <v>1223</v>
      </c>
      <c r="BC25" s="220" t="s">
        <v>19</v>
      </c>
      <c r="BD25" s="220" t="s">
        <v>22</v>
      </c>
      <c r="BE25" s="220" t="s">
        <v>1224</v>
      </c>
      <c r="BF25" s="220" t="s">
        <v>1225</v>
      </c>
      <c r="BG25" s="220" t="s">
        <v>23</v>
      </c>
      <c r="BH25" s="220" t="s">
        <v>117</v>
      </c>
      <c r="BI25" s="220" t="s">
        <v>867</v>
      </c>
      <c r="BJ25" s="220" t="s">
        <v>126</v>
      </c>
      <c r="BK25" s="220" t="s">
        <v>75</v>
      </c>
      <c r="BL25" s="220" t="s">
        <v>108</v>
      </c>
      <c r="BM25" s="220" t="s">
        <v>109</v>
      </c>
      <c r="BN25" s="220" t="s">
        <v>259</v>
      </c>
      <c r="BO25" s="220" t="s">
        <v>260</v>
      </c>
      <c r="BP25" s="220" t="s">
        <v>1022</v>
      </c>
      <c r="BQ25" s="220" t="s">
        <v>695</v>
      </c>
      <c r="BR25" s="220" t="s">
        <v>697</v>
      </c>
      <c r="BS25" s="220" t="s">
        <v>698</v>
      </c>
      <c r="BT25" s="220" t="s">
        <v>692</v>
      </c>
      <c r="BU25" s="220"/>
      <c r="BV25" s="220"/>
      <c r="BW25" s="220"/>
      <c r="BX25" s="220"/>
      <c r="BY25" s="220"/>
      <c r="BZ25" s="220"/>
      <c r="CA25" s="220"/>
      <c r="CB25" s="220"/>
      <c r="CC25" s="220"/>
      <c r="CD25" s="220"/>
      <c r="CE25" s="220"/>
      <c r="CF25" s="220"/>
      <c r="CG25" s="220"/>
      <c r="CH25" s="220"/>
      <c r="CI25" s="220" t="s">
        <v>1226</v>
      </c>
      <c r="CJ25" s="220" t="s">
        <v>1227</v>
      </c>
      <c r="CK25" s="220" t="s">
        <v>883</v>
      </c>
      <c r="CL25" s="220" t="s">
        <v>70</v>
      </c>
      <c r="CM25" s="220" t="s">
        <v>1228</v>
      </c>
      <c r="CN25" s="220" t="s">
        <v>34</v>
      </c>
      <c r="CO25" s="220" t="s">
        <v>35</v>
      </c>
      <c r="CP25" s="220" t="s">
        <v>144</v>
      </c>
      <c r="CQ25" s="220" t="s">
        <v>96</v>
      </c>
      <c r="CR25" s="220" t="s">
        <v>41</v>
      </c>
      <c r="CS25" s="220" t="s">
        <v>127</v>
      </c>
      <c r="CT25" s="220" t="s">
        <v>142</v>
      </c>
      <c r="CU25" s="220" t="s">
        <v>95</v>
      </c>
      <c r="CV25" s="220" t="s">
        <v>39</v>
      </c>
      <c r="CW25" s="220" t="s">
        <v>143</v>
      </c>
      <c r="CX25" s="220" t="s">
        <v>36</v>
      </c>
      <c r="CY25" s="220" t="s">
        <v>37</v>
      </c>
      <c r="CZ25" s="220" t="s">
        <v>56</v>
      </c>
      <c r="DA25" s="220"/>
      <c r="DB25" s="220"/>
      <c r="DC25" s="220" t="s">
        <v>135</v>
      </c>
      <c r="DD25" s="220" t="s">
        <v>868</v>
      </c>
      <c r="DE25" s="220"/>
      <c r="DF25" s="220" t="s">
        <v>136</v>
      </c>
      <c r="DG25" s="220" t="s">
        <v>208</v>
      </c>
      <c r="DH25" s="220" t="s">
        <v>301</v>
      </c>
      <c r="DI25" s="220"/>
      <c r="DJ25" s="220" t="s">
        <v>1229</v>
      </c>
      <c r="DK25" s="220" t="s">
        <v>1230</v>
      </c>
      <c r="DL25" s="220" t="s">
        <v>1231</v>
      </c>
      <c r="DM25" s="220"/>
      <c r="DN25" s="220" t="s">
        <v>128</v>
      </c>
      <c r="DO25" s="220" t="s">
        <v>40</v>
      </c>
      <c r="DP25" s="220" t="s">
        <v>38</v>
      </c>
      <c r="DQ25" s="220" t="s">
        <v>93</v>
      </c>
      <c r="DR25" s="220"/>
      <c r="DS25" s="220" t="s">
        <v>679</v>
      </c>
      <c r="DT25" s="220" t="s">
        <v>1014</v>
      </c>
      <c r="DU25" s="220" t="s">
        <v>64</v>
      </c>
      <c r="DV25" s="220" t="s">
        <v>65</v>
      </c>
      <c r="DW25" s="223" t="s">
        <v>1232</v>
      </c>
      <c r="DX25" s="220" t="s">
        <v>179</v>
      </c>
      <c r="DY25" s="220" t="s">
        <v>845</v>
      </c>
      <c r="DZ25" s="220" t="s">
        <v>192</v>
      </c>
      <c r="EA25" s="223"/>
      <c r="EB25" s="223"/>
      <c r="EC25" s="223"/>
      <c r="ED25" s="223"/>
      <c r="EE25" s="220" t="s">
        <v>46</v>
      </c>
      <c r="EF25" s="220" t="s">
        <v>1233</v>
      </c>
      <c r="EG25" s="220" t="s">
        <v>42</v>
      </c>
      <c r="EH25" s="220" t="s">
        <v>868</v>
      </c>
      <c r="EI25" s="220" t="s">
        <v>44</v>
      </c>
      <c r="EJ25" s="220"/>
      <c r="EK25" s="220"/>
      <c r="EL25" s="220"/>
      <c r="EM25" s="220" t="s">
        <v>63</v>
      </c>
      <c r="EN25" s="220" t="s">
        <v>113</v>
      </c>
      <c r="EO25" s="220" t="s">
        <v>268</v>
      </c>
      <c r="EP25" s="220" t="s">
        <v>101</v>
      </c>
      <c r="EQ25" s="220" t="s">
        <v>269</v>
      </c>
      <c r="ER25" s="220" t="s">
        <v>590</v>
      </c>
      <c r="ES25" s="220" t="s">
        <v>599</v>
      </c>
      <c r="ET25" s="220" t="s">
        <v>24</v>
      </c>
      <c r="EU25" s="220" t="s">
        <v>26</v>
      </c>
      <c r="EV25" s="220" t="s">
        <v>28</v>
      </c>
      <c r="EW25" s="220" t="s">
        <v>25</v>
      </c>
      <c r="EX25" s="220" t="s">
        <v>27</v>
      </c>
      <c r="EY25" s="220" t="s">
        <v>29</v>
      </c>
      <c r="EZ25" s="220" t="s">
        <v>488</v>
      </c>
      <c r="FA25" s="220" t="s">
        <v>598</v>
      </c>
      <c r="FB25" s="220" t="s">
        <v>489</v>
      </c>
      <c r="FC25" s="220" t="s">
        <v>506</v>
      </c>
      <c r="FD25" s="220" t="s">
        <v>507</v>
      </c>
      <c r="FE25" s="220" t="s">
        <v>508</v>
      </c>
      <c r="FF25" s="220" t="s">
        <v>681</v>
      </c>
      <c r="FG25" s="220" t="s">
        <v>682</v>
      </c>
      <c r="FH25" s="220" t="s">
        <v>30</v>
      </c>
      <c r="FI25" s="220" t="s">
        <v>32</v>
      </c>
      <c r="FJ25" s="220" t="s">
        <v>33</v>
      </c>
      <c r="FK25" s="220" t="s">
        <v>270</v>
      </c>
      <c r="FL25" s="220"/>
      <c r="FM25" s="220" t="s">
        <v>271</v>
      </c>
      <c r="FN25" s="220" t="s">
        <v>277</v>
      </c>
      <c r="FO25" s="220"/>
      <c r="FP25" s="220"/>
      <c r="FQ25" s="220" t="s">
        <v>1234</v>
      </c>
      <c r="FR25" s="220" t="s">
        <v>1235</v>
      </c>
      <c r="FS25" s="220" t="s">
        <v>1494</v>
      </c>
      <c r="FT25" s="220" t="s">
        <v>1237</v>
      </c>
      <c r="FU25" s="220" t="s">
        <v>1495</v>
      </c>
      <c r="FV25" s="220" t="s">
        <v>1496</v>
      </c>
      <c r="FW25" s="220"/>
      <c r="FX25" s="220"/>
      <c r="FY25" s="220"/>
      <c r="FZ25" s="220"/>
      <c r="GA25" s="220" t="s">
        <v>1055</v>
      </c>
      <c r="GB25" s="220"/>
      <c r="GC25" s="220" t="s">
        <v>1070</v>
      </c>
      <c r="GD25" s="220"/>
      <c r="GE25" s="220"/>
      <c r="GF25" s="220"/>
      <c r="GG25" s="220"/>
      <c r="GH25" s="220" t="s">
        <v>284</v>
      </c>
      <c r="GI25" s="220"/>
      <c r="GJ25" s="220"/>
      <c r="GK25" s="220"/>
      <c r="GL25" s="220"/>
      <c r="GM25" s="221"/>
      <c r="GN25" s="221"/>
      <c r="GO25" s="221"/>
      <c r="GP25" s="220"/>
      <c r="GQ25" s="220"/>
      <c r="GR25" s="221"/>
      <c r="GS25" s="221"/>
      <c r="GT25" s="220"/>
      <c r="GU25" s="221" t="s">
        <v>866</v>
      </c>
      <c r="GV25" s="221" t="s">
        <v>1240</v>
      </c>
      <c r="GW25" s="221" t="s">
        <v>1241</v>
      </c>
      <c r="GX25" s="221" t="s">
        <v>1242</v>
      </c>
      <c r="GY25" s="220"/>
      <c r="GZ25" s="220"/>
      <c r="HA25" s="220"/>
      <c r="HB25" s="220"/>
      <c r="HC25" s="220"/>
      <c r="HD25" s="220" t="s">
        <v>257</v>
      </c>
      <c r="HE25" s="220" t="s">
        <v>194</v>
      </c>
      <c r="HF25" s="220"/>
      <c r="HG25" s="221"/>
      <c r="HH25" s="221"/>
      <c r="HI25" s="221"/>
      <c r="HJ25" s="221"/>
      <c r="HK25" s="221"/>
      <c r="HL25" s="221"/>
      <c r="HM25" s="221"/>
      <c r="HN25" s="221"/>
      <c r="HO25" s="221"/>
      <c r="HP25" s="221"/>
      <c r="HQ25" s="220"/>
      <c r="HR25" s="220"/>
      <c r="HS25" s="221"/>
      <c r="HT25" s="221"/>
      <c r="HU25" s="220"/>
      <c r="HV25" s="220"/>
      <c r="HW25" s="220"/>
      <c r="HX25" s="494"/>
      <c r="HY25" s="494"/>
      <c r="HZ25" s="224"/>
      <c r="IA25" s="224"/>
      <c r="IB25" s="224" t="s">
        <v>227</v>
      </c>
      <c r="IC25" s="223" t="s">
        <v>1247</v>
      </c>
      <c r="ID25" s="220" t="s">
        <v>2316</v>
      </c>
      <c r="IE25" s="220"/>
      <c r="IF25" s="220"/>
      <c r="IG25" s="220"/>
      <c r="IH25" s="220"/>
      <c r="II25" s="220"/>
      <c r="IJ25" s="220"/>
      <c r="IK25" s="495"/>
      <c r="IL25" s="220"/>
      <c r="IM25" s="220"/>
      <c r="IN25" s="220"/>
      <c r="IO25" s="220" t="s">
        <v>1644</v>
      </c>
      <c r="IP25" s="220"/>
      <c r="IQ25" s="220"/>
      <c r="IR25" s="220"/>
      <c r="IS25" s="220"/>
      <c r="IT25" s="220"/>
      <c r="IU25" s="220"/>
      <c r="IV25" s="222"/>
      <c r="IW25" s="222"/>
      <c r="IX25" s="222"/>
      <c r="IY25" s="222"/>
      <c r="IZ25" s="222"/>
      <c r="JA25" s="222"/>
      <c r="JB25" s="221"/>
      <c r="JC25" s="221"/>
      <c r="JD25" s="222"/>
      <c r="JE25" s="222"/>
      <c r="JF25" s="495"/>
      <c r="JG25" s="221"/>
      <c r="JH25" s="220" t="s">
        <v>182</v>
      </c>
      <c r="JI25" s="495"/>
      <c r="JJ25" s="220"/>
      <c r="JK25" s="495"/>
      <c r="JL25" s="220"/>
      <c r="JM25" s="495"/>
      <c r="JN25" s="220"/>
      <c r="JO25" s="220"/>
      <c r="JP25" s="220"/>
      <c r="JQ25" s="220"/>
      <c r="JR25" s="220"/>
      <c r="JS25" s="220"/>
      <c r="JT25" s="220"/>
      <c r="JU25" s="220"/>
      <c r="JV25" s="223"/>
      <c r="JW25" s="223"/>
      <c r="JX25" s="223"/>
      <c r="JY25" s="220"/>
      <c r="JZ25" s="220"/>
      <c r="KA25" s="220"/>
      <c r="KB25" s="220"/>
      <c r="KC25" s="220"/>
      <c r="KD25" s="220"/>
      <c r="KE25" s="220"/>
      <c r="KF25" s="220"/>
      <c r="KG25" s="220"/>
      <c r="KH25" s="220"/>
      <c r="KI25" s="220"/>
      <c r="KJ25" s="220"/>
      <c r="KK25" s="220"/>
      <c r="KL25" s="220"/>
      <c r="KM25" s="220"/>
      <c r="KN25" s="220"/>
      <c r="KO25" s="220"/>
      <c r="KP25" s="220"/>
      <c r="KQ25" s="220"/>
      <c r="KR25" s="220"/>
      <c r="KS25" s="220"/>
      <c r="KT25" s="220"/>
      <c r="KU25" s="220"/>
      <c r="KV25" s="220"/>
      <c r="KW25" s="220"/>
      <c r="KX25" s="220"/>
      <c r="KY25" s="220"/>
      <c r="KZ25" s="220"/>
      <c r="LA25" s="220"/>
      <c r="LB25" s="220"/>
      <c r="LC25" s="494"/>
      <c r="LD25" s="494"/>
      <c r="LE25" s="220"/>
      <c r="LF25" s="220"/>
      <c r="LG25" s="220"/>
      <c r="LH25" s="220"/>
      <c r="LI25" s="220"/>
      <c r="LJ25" s="220"/>
      <c r="LK25" s="220"/>
      <c r="LL25" s="220"/>
      <c r="LM25" s="220"/>
      <c r="LN25" s="220"/>
      <c r="LO25" s="220"/>
      <c r="LP25" s="220"/>
      <c r="LQ25" s="220"/>
      <c r="LR25" s="220"/>
      <c r="LS25" s="220"/>
      <c r="LT25" s="220"/>
      <c r="LU25" s="220"/>
      <c r="LV25" s="220"/>
      <c r="LW25" s="220"/>
      <c r="LX25" s="220"/>
      <c r="LY25" s="220"/>
      <c r="LZ25" s="220"/>
      <c r="MA25" s="220"/>
      <c r="MB25" s="220"/>
      <c r="MC25" s="220"/>
      <c r="MD25" s="220"/>
      <c r="ME25" s="220"/>
      <c r="MF25" s="220"/>
      <c r="MG25" s="220"/>
      <c r="MH25" s="220"/>
      <c r="MI25" s="220"/>
      <c r="MJ25" s="220"/>
      <c r="MK25" s="220"/>
      <c r="ML25" s="220"/>
      <c r="MM25" s="220"/>
      <c r="MN25" s="220"/>
      <c r="MO25" s="220"/>
      <c r="MP25" s="220"/>
      <c r="MQ25" s="220"/>
      <c r="MR25" s="220"/>
      <c r="MS25" s="220"/>
      <c r="MT25" s="220"/>
      <c r="MU25" s="220"/>
      <c r="MV25" s="220"/>
      <c r="MW25" s="220"/>
      <c r="MX25" s="220"/>
      <c r="MY25" s="220"/>
      <c r="MZ25" s="220"/>
      <c r="NA25" s="220"/>
      <c r="NB25" s="220"/>
      <c r="NC25" s="225"/>
      <c r="ND25" s="220"/>
      <c r="NE25" s="220"/>
      <c r="NF25" s="220"/>
      <c r="NG25" s="220"/>
      <c r="NH25" s="220"/>
      <c r="NI25" s="220"/>
      <c r="NJ25" s="220"/>
      <c r="NK25" s="220"/>
      <c r="NL25" s="220"/>
      <c r="NM25" s="220"/>
      <c r="NN25" s="220"/>
      <c r="NO25" s="220"/>
      <c r="NP25" s="220"/>
      <c r="NQ25" s="220"/>
      <c r="NR25" s="220"/>
      <c r="NS25" s="220"/>
      <c r="NT25" s="220"/>
      <c r="NU25" s="220"/>
      <c r="NV25" s="220"/>
      <c r="NW25" s="220"/>
      <c r="NX25" s="220"/>
      <c r="NY25" s="220"/>
      <c r="NZ25" s="220"/>
      <c r="OA25" s="220"/>
      <c r="OB25" s="220"/>
      <c r="OC25" s="220"/>
      <c r="OD25" s="220"/>
      <c r="OE25" s="220"/>
      <c r="OF25" s="220"/>
      <c r="OG25" s="220"/>
      <c r="OH25" s="220"/>
      <c r="OI25" s="220"/>
      <c r="OJ25" s="220"/>
      <c r="OK25" s="220"/>
      <c r="OL25" s="220"/>
      <c r="OM25" s="220"/>
      <c r="ON25" s="220"/>
      <c r="OO25" s="220"/>
      <c r="OP25" s="220"/>
      <c r="OQ25" s="220"/>
      <c r="OR25" s="220"/>
      <c r="OS25" s="220"/>
      <c r="OT25" s="220"/>
      <c r="OU25" s="220" t="s">
        <v>94</v>
      </c>
      <c r="OV25" s="220"/>
      <c r="OW25" s="220" t="s">
        <v>734</v>
      </c>
      <c r="OX25" s="220"/>
      <c r="OY25" s="220" t="s">
        <v>91</v>
      </c>
      <c r="OZ25" s="220" t="s">
        <v>742</v>
      </c>
      <c r="PA25" s="220"/>
      <c r="PB25" s="220" t="s">
        <v>743</v>
      </c>
      <c r="PC25" s="220" t="s">
        <v>92</v>
      </c>
      <c r="PD25" s="220"/>
      <c r="PE25" s="220"/>
      <c r="PF25" s="220"/>
      <c r="PG25" s="220"/>
      <c r="PH25" s="220"/>
      <c r="PI25" s="220"/>
      <c r="PJ25" s="220"/>
      <c r="PK25" s="220"/>
      <c r="PL25" s="220"/>
      <c r="PM25" s="220"/>
      <c r="PN25" s="220"/>
      <c r="PO25" s="220"/>
      <c r="PP25" s="220"/>
      <c r="PQ25" s="220"/>
      <c r="PR25" s="220"/>
      <c r="PS25" s="220"/>
      <c r="PT25" s="220"/>
      <c r="PU25" s="220"/>
      <c r="PV25" s="220"/>
      <c r="PW25" s="220"/>
      <c r="PX25" s="220"/>
      <c r="PY25" s="220"/>
      <c r="PZ25" s="220"/>
      <c r="QA25" s="220"/>
      <c r="QB25" s="220"/>
      <c r="QC25" s="220"/>
      <c r="QD25" s="220"/>
      <c r="QE25" s="220"/>
      <c r="QF25" s="220"/>
      <c r="QG25" s="220"/>
      <c r="QH25" s="220"/>
      <c r="QI25" s="220"/>
      <c r="QJ25" s="220"/>
      <c r="QK25" s="220"/>
      <c r="QL25" s="220"/>
      <c r="QM25" s="220"/>
      <c r="QN25" s="220"/>
      <c r="QO25" s="220"/>
      <c r="QP25" s="220"/>
      <c r="QQ25" s="220"/>
      <c r="QR25" s="220"/>
      <c r="QS25" s="220"/>
      <c r="QT25" s="220"/>
      <c r="QU25" s="220"/>
      <c r="QV25" s="220"/>
      <c r="QW25" s="220"/>
      <c r="QX25" s="220"/>
      <c r="QY25" s="220"/>
      <c r="QZ25" s="220"/>
      <c r="RA25" s="220"/>
      <c r="RB25" s="220"/>
      <c r="RC25" s="220"/>
      <c r="RD25" s="220"/>
      <c r="RE25" s="220"/>
      <c r="RF25" s="220"/>
      <c r="RG25" s="220"/>
      <c r="RH25" s="220"/>
      <c r="RI25" s="220"/>
      <c r="RJ25" s="220"/>
      <c r="RK25" s="220"/>
      <c r="RL25" s="220"/>
      <c r="RM25" s="220"/>
      <c r="RN25" s="220"/>
      <c r="RO25" s="220"/>
      <c r="RP25" s="220"/>
      <c r="RQ25" s="220"/>
      <c r="RR25" s="220"/>
      <c r="RS25" s="220" t="s">
        <v>484</v>
      </c>
      <c r="RT25" s="220"/>
      <c r="RU25" s="220"/>
      <c r="RV25" s="220"/>
      <c r="RW25" s="220"/>
      <c r="RX25" s="220"/>
      <c r="RY25" s="220"/>
      <c r="RZ25" s="220"/>
      <c r="SA25" s="220"/>
      <c r="SB25" s="220"/>
      <c r="SC25" s="220"/>
      <c r="SD25" s="220"/>
      <c r="SE25" s="220"/>
      <c r="SF25" s="220"/>
      <c r="SG25" s="220"/>
      <c r="SH25" s="220"/>
      <c r="SI25" s="220"/>
      <c r="SJ25" s="220"/>
      <c r="SK25" s="220"/>
      <c r="SL25" s="220"/>
      <c r="SM25" s="220"/>
      <c r="SN25" s="220"/>
      <c r="SO25" s="220"/>
      <c r="SP25" s="220"/>
      <c r="SQ25" s="220"/>
      <c r="SR25" s="220"/>
      <c r="SS25" s="220"/>
      <c r="ST25" s="220"/>
      <c r="SU25" s="220"/>
      <c r="SV25" s="220"/>
      <c r="SW25" s="220"/>
      <c r="SX25" s="220"/>
      <c r="SY25" s="220"/>
      <c r="SZ25" s="220"/>
      <c r="TA25" s="220"/>
      <c r="TB25" s="220"/>
      <c r="TC25" s="220"/>
      <c r="TD25" s="220"/>
      <c r="TE25" s="220"/>
      <c r="TF25" s="220"/>
      <c r="TG25" s="220"/>
      <c r="TH25" s="220"/>
      <c r="TI25" s="220"/>
      <c r="TJ25" s="220" t="s">
        <v>1262</v>
      </c>
      <c r="TK25" s="496" t="s">
        <v>1074</v>
      </c>
      <c r="TL25" s="496"/>
      <c r="TM25" s="496"/>
      <c r="TN25" s="496"/>
      <c r="TO25" s="496"/>
      <c r="TP25" s="496" t="s">
        <v>335</v>
      </c>
      <c r="TQ25" s="220"/>
      <c r="TR25" s="220" t="s">
        <v>545</v>
      </c>
      <c r="TS25" s="220" t="s">
        <v>546</v>
      </c>
      <c r="TT25" s="220" t="s">
        <v>547</v>
      </c>
      <c r="TU25" s="220" t="s">
        <v>548</v>
      </c>
      <c r="TV25" s="220" t="s">
        <v>549</v>
      </c>
      <c r="TW25" s="220" t="s">
        <v>556</v>
      </c>
      <c r="TX25" s="220"/>
      <c r="TY25" s="220"/>
      <c r="TZ25" s="220"/>
      <c r="UA25" s="220"/>
      <c r="UB25" s="220"/>
      <c r="UC25" s="220"/>
      <c r="UD25" s="220"/>
      <c r="UE25" s="220"/>
      <c r="UF25" s="220"/>
      <c r="UG25" s="220"/>
      <c r="UH25" s="220"/>
      <c r="UI25" s="220" t="s">
        <v>485</v>
      </c>
      <c r="UJ25" s="220"/>
      <c r="UK25" s="220"/>
      <c r="UL25" s="220"/>
      <c r="UM25" s="220"/>
      <c r="UN25" s="220" t="s">
        <v>1677</v>
      </c>
      <c r="UO25" s="220"/>
      <c r="UP25" s="220"/>
      <c r="UQ25" s="220"/>
      <c r="UR25" s="220"/>
      <c r="US25" s="220"/>
      <c r="UT25" s="220"/>
      <c r="UU25" s="220"/>
      <c r="UV25" s="220"/>
      <c r="UW25" s="220"/>
      <c r="UX25" s="220"/>
      <c r="UY25" s="220"/>
      <c r="UZ25" s="220"/>
      <c r="VA25" s="220"/>
      <c r="VB25" s="220"/>
      <c r="VC25" s="220"/>
      <c r="VD25" s="220"/>
      <c r="VE25" s="220"/>
      <c r="VF25" s="220"/>
      <c r="VG25" s="220"/>
      <c r="VH25" s="220"/>
      <c r="VI25" s="220"/>
      <c r="VJ25" s="220"/>
      <c r="VK25" s="220"/>
      <c r="VL25" s="220"/>
      <c r="VM25" s="220"/>
      <c r="VN25" s="224"/>
      <c r="VO25" s="224"/>
      <c r="VP25" s="224"/>
      <c r="VQ25" s="224"/>
      <c r="VR25" s="224"/>
      <c r="VS25" s="224"/>
      <c r="VT25" s="224"/>
      <c r="VU25" s="224"/>
      <c r="VV25" s="224"/>
      <c r="VW25" s="224"/>
      <c r="VX25" s="220"/>
      <c r="VY25" s="220"/>
      <c r="VZ25" s="220"/>
      <c r="WA25" s="220"/>
      <c r="WB25" s="220"/>
      <c r="WC25" s="220"/>
      <c r="WD25" s="220"/>
      <c r="WE25" s="220"/>
      <c r="WF25" s="220"/>
      <c r="WG25" s="220"/>
      <c r="WH25" s="220"/>
      <c r="WI25" s="220"/>
      <c r="WJ25" s="220"/>
      <c r="WK25" s="220"/>
      <c r="WL25" s="220"/>
      <c r="WM25" s="220"/>
      <c r="WN25" s="220"/>
      <c r="WO25" s="220"/>
      <c r="WP25" s="220"/>
      <c r="WQ25" s="220"/>
      <c r="WR25" s="220"/>
      <c r="WS25" s="220"/>
      <c r="WT25" s="220"/>
      <c r="WU25" s="220"/>
      <c r="WV25" s="220"/>
      <c r="WW25" s="220"/>
      <c r="WX25" s="220"/>
      <c r="WY25" s="220"/>
      <c r="WZ25" s="220"/>
      <c r="XA25" s="220"/>
      <c r="XB25" s="220"/>
      <c r="XC25" s="220"/>
      <c r="XD25" s="220"/>
      <c r="XE25" s="220"/>
      <c r="XF25" s="220"/>
      <c r="XG25" s="220"/>
      <c r="XH25" s="220"/>
      <c r="XI25" s="220"/>
      <c r="XJ25" s="220"/>
      <c r="XK25" s="220"/>
      <c r="XL25" s="220"/>
      <c r="XM25" s="220"/>
      <c r="XN25" s="220"/>
      <c r="XO25" s="220"/>
      <c r="XP25" s="220"/>
      <c r="XQ25" s="220"/>
      <c r="XR25" s="220"/>
      <c r="XS25" s="220"/>
      <c r="XT25" s="220"/>
      <c r="XU25" s="220"/>
      <c r="XV25" s="220"/>
      <c r="XW25" s="220"/>
      <c r="XX25" s="220"/>
      <c r="XY25" s="220"/>
      <c r="XZ25" s="220"/>
      <c r="YA25" s="220"/>
      <c r="YB25" s="220"/>
      <c r="YC25" s="220"/>
      <c r="YD25" s="220"/>
      <c r="YE25" s="220"/>
      <c r="YF25" s="220"/>
      <c r="YG25" s="220"/>
      <c r="YH25" s="220"/>
      <c r="YI25" s="220"/>
      <c r="YJ25" s="220"/>
      <c r="YK25" s="220"/>
      <c r="YL25" s="220"/>
      <c r="YM25" s="220"/>
      <c r="YN25" s="220"/>
      <c r="YO25" s="220"/>
      <c r="YP25" s="220"/>
      <c r="YQ25" s="220"/>
      <c r="YR25" s="220"/>
      <c r="YS25" s="220"/>
      <c r="YT25" s="220"/>
      <c r="YU25" s="220"/>
      <c r="YV25" s="220"/>
      <c r="YW25" s="220"/>
      <c r="YX25" s="220"/>
      <c r="YY25" s="220"/>
      <c r="YZ25" s="220"/>
      <c r="ZA25" s="220"/>
      <c r="ZB25" s="220"/>
      <c r="ZC25" s="220" t="s">
        <v>204</v>
      </c>
      <c r="ZD25" s="220" t="s">
        <v>205</v>
      </c>
      <c r="ZE25" s="220" t="s">
        <v>802</v>
      </c>
      <c r="ZF25" s="220" t="s">
        <v>801</v>
      </c>
      <c r="ZG25" s="220" t="s">
        <v>1100</v>
      </c>
      <c r="ZH25" s="220"/>
      <c r="ZI25" s="220" t="s">
        <v>800</v>
      </c>
      <c r="ZJ25" s="220" t="s">
        <v>1101</v>
      </c>
      <c r="ZK25" s="220" t="s">
        <v>1102</v>
      </c>
      <c r="ZL25" s="220" t="s">
        <v>1103</v>
      </c>
      <c r="ZM25" s="220" t="s">
        <v>1104</v>
      </c>
      <c r="ZN25" s="220" t="s">
        <v>1105</v>
      </c>
      <c r="ZO25" s="220" t="s">
        <v>1106</v>
      </c>
      <c r="ZP25" s="220" t="s">
        <v>1107</v>
      </c>
      <c r="ZQ25" s="220"/>
      <c r="ZR25" s="220"/>
      <c r="ZS25" s="220"/>
      <c r="ZT25" s="220"/>
      <c r="ZU25" s="220"/>
      <c r="ZV25" s="220" t="s">
        <v>807</v>
      </c>
      <c r="ZW25" s="220"/>
      <c r="ZX25" s="220"/>
      <c r="ZY25" s="220"/>
      <c r="ZZ25" s="223"/>
      <c r="AAA25" s="220"/>
      <c r="AAB25" s="220"/>
      <c r="AAC25" s="220"/>
      <c r="AAD25" s="220"/>
    </row>
    <row r="26" spans="1:706" s="94" customFormat="1" x14ac:dyDescent="0.2">
      <c r="A26" s="113" t="s">
        <v>372</v>
      </c>
      <c r="B26" s="49" t="s">
        <v>13</v>
      </c>
      <c r="C26" s="49" t="s">
        <v>13</v>
      </c>
      <c r="D26" s="49" t="s">
        <v>13</v>
      </c>
      <c r="E26" s="49" t="s">
        <v>13</v>
      </c>
      <c r="F26" s="49" t="s">
        <v>59</v>
      </c>
      <c r="G26" s="49" t="s">
        <v>31</v>
      </c>
      <c r="H26" s="49" t="s">
        <v>13</v>
      </c>
      <c r="I26" s="49" t="s">
        <v>13</v>
      </c>
      <c r="J26" s="49" t="s">
        <v>13</v>
      </c>
      <c r="K26" s="49" t="s">
        <v>13</v>
      </c>
      <c r="L26" s="49"/>
      <c r="M26" s="49" t="s">
        <v>13</v>
      </c>
      <c r="N26" s="49" t="s">
        <v>13</v>
      </c>
      <c r="O26" s="49" t="s">
        <v>13</v>
      </c>
      <c r="P26" s="49" t="s">
        <v>13</v>
      </c>
      <c r="Q26" s="49" t="s">
        <v>13</v>
      </c>
      <c r="R26" s="49" t="s">
        <v>13</v>
      </c>
      <c r="S26" s="49" t="s">
        <v>13</v>
      </c>
      <c r="T26" s="49" t="s">
        <v>13</v>
      </c>
      <c r="U26" s="49" t="s">
        <v>13</v>
      </c>
      <c r="V26" s="49" t="s">
        <v>13</v>
      </c>
      <c r="W26" s="49" t="s">
        <v>13</v>
      </c>
      <c r="X26" s="49" t="s">
        <v>13</v>
      </c>
      <c r="Y26" s="49" t="s">
        <v>13</v>
      </c>
      <c r="Z26" s="49" t="s">
        <v>13</v>
      </c>
      <c r="AA26" s="49" t="s">
        <v>13</v>
      </c>
      <c r="AB26" s="49" t="s">
        <v>13</v>
      </c>
      <c r="AC26" s="49" t="s">
        <v>13</v>
      </c>
      <c r="AD26" s="49" t="s">
        <v>13</v>
      </c>
      <c r="AE26" s="49" t="s">
        <v>13</v>
      </c>
      <c r="AF26" s="49" t="s">
        <v>13</v>
      </c>
      <c r="AG26" s="49" t="s">
        <v>13</v>
      </c>
      <c r="AH26" s="49" t="s">
        <v>13</v>
      </c>
      <c r="AI26" s="49" t="s">
        <v>13</v>
      </c>
      <c r="AJ26" s="49" t="s">
        <v>13</v>
      </c>
      <c r="AK26" s="49" t="s">
        <v>13</v>
      </c>
      <c r="AL26" s="49" t="s">
        <v>13</v>
      </c>
      <c r="AM26" s="49" t="s">
        <v>59</v>
      </c>
      <c r="AN26" s="49" t="s">
        <v>13</v>
      </c>
      <c r="AO26" s="49" t="s">
        <v>13</v>
      </c>
      <c r="AP26" s="49" t="s">
        <v>13</v>
      </c>
      <c r="AQ26" s="49" t="s">
        <v>13</v>
      </c>
      <c r="AR26" s="49" t="s">
        <v>13</v>
      </c>
      <c r="AS26" s="49" t="s">
        <v>13</v>
      </c>
      <c r="AT26" s="49" t="s">
        <v>13</v>
      </c>
      <c r="AU26" s="49" t="s">
        <v>13</v>
      </c>
      <c r="AV26" s="49" t="s">
        <v>13</v>
      </c>
      <c r="AW26" s="49" t="s">
        <v>13</v>
      </c>
      <c r="AX26" s="49" t="s">
        <v>13</v>
      </c>
      <c r="AY26" s="49" t="s">
        <v>13</v>
      </c>
      <c r="AZ26" s="49" t="s">
        <v>13</v>
      </c>
      <c r="BA26" s="49" t="s">
        <v>13</v>
      </c>
      <c r="BB26" s="49" t="s">
        <v>13</v>
      </c>
      <c r="BC26" s="49" t="s">
        <v>59</v>
      </c>
      <c r="BD26" s="49" t="s">
        <v>13</v>
      </c>
      <c r="BE26" s="49" t="s">
        <v>13</v>
      </c>
      <c r="BF26" s="49" t="s">
        <v>13</v>
      </c>
      <c r="BG26" s="49" t="s">
        <v>13</v>
      </c>
      <c r="BH26" s="49" t="s">
        <v>13</v>
      </c>
      <c r="BI26" s="49" t="s">
        <v>13</v>
      </c>
      <c r="BJ26" s="49" t="s">
        <v>13</v>
      </c>
      <c r="BK26" s="49" t="s">
        <v>13</v>
      </c>
      <c r="BL26" s="49" t="s">
        <v>13</v>
      </c>
      <c r="BM26" s="49" t="s">
        <v>13</v>
      </c>
      <c r="BN26" s="49" t="s">
        <v>13</v>
      </c>
      <c r="BO26" s="49" t="s">
        <v>13</v>
      </c>
      <c r="BP26" s="49" t="s">
        <v>13</v>
      </c>
      <c r="BQ26" s="49" t="s">
        <v>13</v>
      </c>
      <c r="BR26" s="49" t="s">
        <v>13</v>
      </c>
      <c r="BS26" s="49" t="s">
        <v>13</v>
      </c>
      <c r="BT26" s="49" t="s">
        <v>13</v>
      </c>
      <c r="BU26" s="49"/>
      <c r="BV26" s="49"/>
      <c r="BW26" s="49"/>
      <c r="BX26" s="49"/>
      <c r="BY26" s="49"/>
      <c r="BZ26" s="49"/>
      <c r="CA26" s="49"/>
      <c r="CB26" s="49"/>
      <c r="CC26" s="49"/>
      <c r="CD26" s="49"/>
      <c r="CE26" s="49"/>
      <c r="CF26" s="49"/>
      <c r="CG26" s="49"/>
      <c r="CH26" s="49"/>
      <c r="CI26" s="49" t="s">
        <v>13</v>
      </c>
      <c r="CJ26" s="49" t="s">
        <v>13</v>
      </c>
      <c r="CK26" s="49" t="s">
        <v>13</v>
      </c>
      <c r="CL26" s="49" t="s">
        <v>13</v>
      </c>
      <c r="CM26" s="49" t="s">
        <v>13</v>
      </c>
      <c r="CN26" s="49" t="s">
        <v>13</v>
      </c>
      <c r="CO26" s="49" t="s">
        <v>13</v>
      </c>
      <c r="CP26" s="49" t="s">
        <v>13</v>
      </c>
      <c r="CQ26" s="49" t="s">
        <v>13</v>
      </c>
      <c r="CR26" s="49" t="s">
        <v>13</v>
      </c>
      <c r="CS26" s="49" t="s">
        <v>13</v>
      </c>
      <c r="CT26" s="49" t="s">
        <v>13</v>
      </c>
      <c r="CU26" s="49" t="s">
        <v>13</v>
      </c>
      <c r="CV26" s="49" t="s">
        <v>13</v>
      </c>
      <c r="CW26" s="49" t="s">
        <v>13</v>
      </c>
      <c r="CX26" s="49" t="s">
        <v>13</v>
      </c>
      <c r="CY26" s="49" t="s">
        <v>13</v>
      </c>
      <c r="CZ26" s="49" t="s">
        <v>13</v>
      </c>
      <c r="DA26" s="49" t="s">
        <v>59</v>
      </c>
      <c r="DB26" s="49" t="s">
        <v>59</v>
      </c>
      <c r="DC26" s="49" t="s">
        <v>13</v>
      </c>
      <c r="DD26" s="49" t="s">
        <v>13</v>
      </c>
      <c r="DE26" s="49" t="s">
        <v>59</v>
      </c>
      <c r="DF26" s="49" t="s">
        <v>59</v>
      </c>
      <c r="DG26" s="49" t="s">
        <v>13</v>
      </c>
      <c r="DH26" s="49" t="s">
        <v>13</v>
      </c>
      <c r="DI26" s="49" t="s">
        <v>59</v>
      </c>
      <c r="DJ26" s="49" t="s">
        <v>13</v>
      </c>
      <c r="DK26" s="49" t="s">
        <v>13</v>
      </c>
      <c r="DL26" s="49" t="s">
        <v>13</v>
      </c>
      <c r="DM26" s="49"/>
      <c r="DN26" s="49" t="s">
        <v>13</v>
      </c>
      <c r="DO26" s="49" t="s">
        <v>13</v>
      </c>
      <c r="DP26" s="49" t="s">
        <v>13</v>
      </c>
      <c r="DQ26" s="49" t="s">
        <v>13</v>
      </c>
      <c r="DR26" s="49" t="s">
        <v>59</v>
      </c>
      <c r="DS26" s="49" t="s">
        <v>13</v>
      </c>
      <c r="DT26" s="49" t="s">
        <v>13</v>
      </c>
      <c r="DU26" s="49" t="s">
        <v>13</v>
      </c>
      <c r="DV26" s="49" t="s">
        <v>13</v>
      </c>
      <c r="DW26" s="122" t="s">
        <v>13</v>
      </c>
      <c r="DX26" s="49" t="s">
        <v>13</v>
      </c>
      <c r="DY26" s="49" t="s">
        <v>13</v>
      </c>
      <c r="DZ26" s="49" t="s">
        <v>13</v>
      </c>
      <c r="EA26" s="122"/>
      <c r="EB26" s="122"/>
      <c r="EC26" s="122"/>
      <c r="ED26" s="122"/>
      <c r="EE26" s="49" t="s">
        <v>13</v>
      </c>
      <c r="EF26" s="49" t="s">
        <v>13</v>
      </c>
      <c r="EG26" s="49" t="s">
        <v>13</v>
      </c>
      <c r="EH26" s="49" t="s">
        <v>13</v>
      </c>
      <c r="EI26" s="49" t="s">
        <v>13</v>
      </c>
      <c r="EJ26" s="49" t="s">
        <v>59</v>
      </c>
      <c r="EK26" s="49" t="s">
        <v>20</v>
      </c>
      <c r="EL26" s="49" t="s">
        <v>20</v>
      </c>
      <c r="EM26" s="49" t="s">
        <v>13</v>
      </c>
      <c r="EN26" s="49" t="s">
        <v>13</v>
      </c>
      <c r="EO26" s="49" t="s">
        <v>13</v>
      </c>
      <c r="EP26" s="49" t="s">
        <v>13</v>
      </c>
      <c r="EQ26" s="49" t="s">
        <v>13</v>
      </c>
      <c r="ER26" s="49" t="s">
        <v>13</v>
      </c>
      <c r="ES26" s="49" t="s">
        <v>13</v>
      </c>
      <c r="ET26" s="49" t="s">
        <v>13</v>
      </c>
      <c r="EU26" s="49" t="s">
        <v>13</v>
      </c>
      <c r="EV26" s="49" t="s">
        <v>13</v>
      </c>
      <c r="EW26" s="49" t="s">
        <v>13</v>
      </c>
      <c r="EX26" s="49" t="s">
        <v>13</v>
      </c>
      <c r="EY26" s="49" t="s">
        <v>13</v>
      </c>
      <c r="EZ26" s="49" t="s">
        <v>13</v>
      </c>
      <c r="FA26" s="49" t="s">
        <v>13</v>
      </c>
      <c r="FB26" s="49" t="s">
        <v>13</v>
      </c>
      <c r="FC26" s="49" t="s">
        <v>13</v>
      </c>
      <c r="FD26" s="49" t="s">
        <v>13</v>
      </c>
      <c r="FE26" s="49" t="s">
        <v>13</v>
      </c>
      <c r="FF26" s="93" t="s">
        <v>13</v>
      </c>
      <c r="FG26" s="93" t="s">
        <v>13</v>
      </c>
      <c r="FH26" s="93" t="s">
        <v>59</v>
      </c>
      <c r="FI26" s="93" t="s">
        <v>59</v>
      </c>
      <c r="FJ26" s="93" t="s">
        <v>59</v>
      </c>
      <c r="FK26" s="93" t="s">
        <v>13</v>
      </c>
      <c r="FL26" s="93" t="s">
        <v>59</v>
      </c>
      <c r="FM26" s="93" t="s">
        <v>13</v>
      </c>
      <c r="FN26" s="93" t="s">
        <v>13</v>
      </c>
      <c r="FO26" s="93"/>
      <c r="FP26" s="93"/>
      <c r="FQ26" s="93" t="s">
        <v>13</v>
      </c>
      <c r="FR26" s="93" t="s">
        <v>13</v>
      </c>
      <c r="FS26" s="93" t="s">
        <v>13</v>
      </c>
      <c r="FT26" s="49" t="s">
        <v>59</v>
      </c>
      <c r="FU26" s="93" t="s">
        <v>13</v>
      </c>
      <c r="FV26" s="93" t="s">
        <v>13</v>
      </c>
      <c r="FW26" s="49"/>
      <c r="FX26" s="49"/>
      <c r="FY26" s="49"/>
      <c r="FZ26" s="49"/>
      <c r="GA26" s="49" t="s">
        <v>13</v>
      </c>
      <c r="GB26" s="49" t="s">
        <v>13</v>
      </c>
      <c r="GC26" s="49" t="s">
        <v>13</v>
      </c>
      <c r="GD26" s="49" t="s">
        <v>59</v>
      </c>
      <c r="GE26" s="49" t="s">
        <v>59</v>
      </c>
      <c r="GF26" s="49" t="s">
        <v>59</v>
      </c>
      <c r="GG26" s="49" t="s">
        <v>13</v>
      </c>
      <c r="GH26" s="49" t="s">
        <v>13</v>
      </c>
      <c r="GI26" s="49" t="s">
        <v>13</v>
      </c>
      <c r="GJ26" s="49" t="s">
        <v>59</v>
      </c>
      <c r="GK26" s="49" t="s">
        <v>59</v>
      </c>
      <c r="GL26" s="49" t="s">
        <v>59</v>
      </c>
      <c r="GM26" s="49" t="s">
        <v>59</v>
      </c>
      <c r="GN26" s="49" t="s">
        <v>13</v>
      </c>
      <c r="GO26" s="49" t="s">
        <v>59</v>
      </c>
      <c r="GP26" s="49" t="s">
        <v>59</v>
      </c>
      <c r="GQ26" s="49" t="s">
        <v>13</v>
      </c>
      <c r="GR26" s="49" t="s">
        <v>59</v>
      </c>
      <c r="GS26" s="49" t="s">
        <v>13</v>
      </c>
      <c r="GT26" s="49" t="s">
        <v>59</v>
      </c>
      <c r="GU26" s="49" t="s">
        <v>13</v>
      </c>
      <c r="GV26" s="49" t="s">
        <v>13</v>
      </c>
      <c r="GW26" s="49" t="s">
        <v>13</v>
      </c>
      <c r="GX26" s="49" t="s">
        <v>13</v>
      </c>
      <c r="GY26" s="49"/>
      <c r="GZ26" s="49"/>
      <c r="HA26" s="49"/>
      <c r="HB26" s="49"/>
      <c r="HC26" s="49"/>
      <c r="HD26" s="49" t="s">
        <v>13</v>
      </c>
      <c r="HE26" s="49" t="s">
        <v>13</v>
      </c>
      <c r="HF26" s="49" t="s">
        <v>13</v>
      </c>
      <c r="HG26" s="94" t="s">
        <v>59</v>
      </c>
      <c r="HH26" s="94" t="s">
        <v>59</v>
      </c>
      <c r="HI26" s="49" t="s">
        <v>13</v>
      </c>
      <c r="HJ26" s="94" t="s">
        <v>59</v>
      </c>
      <c r="HK26" s="94" t="s">
        <v>59</v>
      </c>
      <c r="HL26" s="49" t="s">
        <v>13</v>
      </c>
      <c r="HM26" s="49" t="s">
        <v>13</v>
      </c>
      <c r="HN26" s="94" t="s">
        <v>59</v>
      </c>
      <c r="HO26" s="49" t="s">
        <v>13</v>
      </c>
      <c r="HP26" s="94" t="s">
        <v>59</v>
      </c>
      <c r="HQ26" s="94" t="s">
        <v>59</v>
      </c>
      <c r="HR26" s="94" t="s">
        <v>59</v>
      </c>
      <c r="HS26" s="94" t="s">
        <v>59</v>
      </c>
      <c r="HT26" s="94" t="s">
        <v>59</v>
      </c>
      <c r="HU26" s="49" t="s">
        <v>59</v>
      </c>
      <c r="HV26" s="49" t="s">
        <v>59</v>
      </c>
      <c r="HW26" s="49" t="s">
        <v>59</v>
      </c>
      <c r="HX26" s="465" t="s">
        <v>59</v>
      </c>
      <c r="HY26" s="465" t="s">
        <v>59</v>
      </c>
      <c r="HZ26" s="49" t="s">
        <v>59</v>
      </c>
      <c r="IA26" s="49" t="s">
        <v>59</v>
      </c>
      <c r="IB26" s="49" t="s">
        <v>13</v>
      </c>
      <c r="IC26" s="122" t="s">
        <v>13</v>
      </c>
      <c r="ID26" s="49" t="s">
        <v>59</v>
      </c>
      <c r="IE26" s="49"/>
      <c r="IF26" s="49" t="s">
        <v>59</v>
      </c>
      <c r="IG26" s="49" t="s">
        <v>59</v>
      </c>
      <c r="IH26" s="49" t="s">
        <v>59</v>
      </c>
      <c r="II26" s="49" t="s">
        <v>20</v>
      </c>
      <c r="IJ26" s="49" t="s">
        <v>20</v>
      </c>
      <c r="IK26" s="122" t="s">
        <v>59</v>
      </c>
      <c r="IL26" s="49" t="s">
        <v>13</v>
      </c>
      <c r="IM26" s="49" t="s">
        <v>13</v>
      </c>
      <c r="IN26" s="49" t="s">
        <v>13</v>
      </c>
      <c r="IO26" s="49" t="s">
        <v>59</v>
      </c>
      <c r="IP26" s="49"/>
      <c r="IQ26" s="49" t="s">
        <v>20</v>
      </c>
      <c r="IR26" s="49" t="s">
        <v>59</v>
      </c>
      <c r="IS26" s="49" t="s">
        <v>59</v>
      </c>
      <c r="IT26" s="49" t="s">
        <v>59</v>
      </c>
      <c r="IU26" s="49" t="s">
        <v>59</v>
      </c>
      <c r="IV26" s="122" t="s">
        <v>59</v>
      </c>
      <c r="IW26" s="122" t="s">
        <v>59</v>
      </c>
      <c r="IX26" s="122" t="s">
        <v>59</v>
      </c>
      <c r="IY26" s="122" t="s">
        <v>59</v>
      </c>
      <c r="IZ26" s="122" t="s">
        <v>59</v>
      </c>
      <c r="JA26" s="122" t="s">
        <v>59</v>
      </c>
      <c r="JB26" s="122" t="s">
        <v>59</v>
      </c>
      <c r="JC26" s="122" t="s">
        <v>59</v>
      </c>
      <c r="JD26" s="122" t="s">
        <v>59</v>
      </c>
      <c r="JE26" s="122" t="s">
        <v>59</v>
      </c>
      <c r="JF26" s="122" t="s">
        <v>59</v>
      </c>
      <c r="JG26" s="49" t="s">
        <v>59</v>
      </c>
      <c r="JH26" s="49" t="s">
        <v>13</v>
      </c>
      <c r="JI26" s="122" t="s">
        <v>59</v>
      </c>
      <c r="JJ26" s="49" t="s">
        <v>59</v>
      </c>
      <c r="JK26" s="122" t="s">
        <v>59</v>
      </c>
      <c r="JL26" s="49" t="s">
        <v>59</v>
      </c>
      <c r="JM26" s="122" t="s">
        <v>59</v>
      </c>
      <c r="JN26" s="49" t="s">
        <v>59</v>
      </c>
      <c r="JO26" s="49" t="s">
        <v>59</v>
      </c>
      <c r="JP26" s="49" t="s">
        <v>59</v>
      </c>
      <c r="JQ26" s="49" t="s">
        <v>59</v>
      </c>
      <c r="JR26" s="49" t="s">
        <v>59</v>
      </c>
      <c r="JS26" s="49" t="s">
        <v>59</v>
      </c>
      <c r="JT26" s="49" t="s">
        <v>59</v>
      </c>
      <c r="JU26" s="49" t="s">
        <v>59</v>
      </c>
      <c r="JV26" s="122" t="s">
        <v>59</v>
      </c>
      <c r="JW26" s="122"/>
      <c r="JX26" s="122"/>
      <c r="JY26" s="465"/>
      <c r="JZ26" s="465"/>
      <c r="KA26" s="465"/>
      <c r="KB26" s="465"/>
      <c r="KC26" s="465"/>
      <c r="KD26" s="465"/>
      <c r="KE26" s="465"/>
      <c r="KF26" s="465"/>
      <c r="KG26" s="465"/>
      <c r="KH26" s="465"/>
      <c r="KI26" s="465"/>
      <c r="KJ26" s="465"/>
      <c r="KK26" s="465"/>
      <c r="KL26" s="465"/>
      <c r="KM26" s="465"/>
      <c r="KN26" s="465"/>
      <c r="KO26" s="465"/>
      <c r="KP26" s="465"/>
      <c r="KQ26" s="465"/>
      <c r="KR26" s="465"/>
      <c r="KS26" s="465"/>
      <c r="KT26" s="465"/>
      <c r="KU26" s="465"/>
      <c r="KV26" s="465"/>
      <c r="KW26" s="465"/>
      <c r="KX26" s="465"/>
      <c r="KY26" s="465"/>
      <c r="KZ26" s="465"/>
      <c r="LA26" s="49"/>
      <c r="LB26" s="465"/>
      <c r="LC26" s="465"/>
      <c r="LD26" s="465"/>
      <c r="LE26" s="465"/>
      <c r="LF26" s="465"/>
      <c r="LG26" s="465"/>
      <c r="LH26" s="465"/>
      <c r="LI26" s="465"/>
      <c r="LJ26" s="465"/>
      <c r="LK26" s="465"/>
      <c r="LL26" s="465"/>
      <c r="LM26" s="465"/>
      <c r="LN26" s="465"/>
      <c r="LO26" s="465"/>
      <c r="LP26" s="465"/>
      <c r="LQ26" s="465"/>
      <c r="LR26" s="465" t="s">
        <v>59</v>
      </c>
      <c r="LS26" s="465" t="s">
        <v>59</v>
      </c>
      <c r="LT26" s="49"/>
      <c r="LU26" s="49"/>
      <c r="LV26" s="49"/>
      <c r="LW26" s="49"/>
      <c r="LX26" s="49"/>
      <c r="LY26" s="49"/>
      <c r="LZ26" s="49"/>
      <c r="MA26" s="49"/>
      <c r="MB26" s="49"/>
      <c r="MC26" s="49"/>
      <c r="MD26" s="49"/>
      <c r="ME26" s="49"/>
      <c r="MF26" s="49"/>
      <c r="MG26" s="49"/>
      <c r="MH26" s="49"/>
      <c r="MI26" s="49"/>
      <c r="MJ26" s="49"/>
      <c r="MK26" s="49"/>
      <c r="ML26" s="49"/>
      <c r="MM26" s="49"/>
      <c r="MN26" s="49"/>
      <c r="MO26" s="49"/>
      <c r="MP26" s="49"/>
      <c r="MQ26" s="49"/>
      <c r="MR26" s="49"/>
      <c r="MS26" s="49"/>
      <c r="MT26" s="49"/>
      <c r="MU26" s="49"/>
      <c r="MV26" s="49"/>
      <c r="MW26" s="49"/>
      <c r="MX26" s="49"/>
      <c r="MY26" s="49"/>
      <c r="MZ26" s="49"/>
      <c r="NA26" s="49"/>
      <c r="NB26" s="49"/>
      <c r="NC26" s="101"/>
      <c r="ND26" s="49"/>
      <c r="NE26" s="49"/>
      <c r="NF26" s="49"/>
      <c r="NG26" s="49"/>
      <c r="NH26" s="49"/>
      <c r="NI26" s="49"/>
      <c r="NJ26" s="49"/>
      <c r="NK26" s="49"/>
      <c r="NL26" s="49"/>
      <c r="NM26" s="49"/>
      <c r="NN26" s="49"/>
      <c r="NO26" s="49"/>
      <c r="NP26" s="49"/>
      <c r="NQ26" s="49"/>
      <c r="NR26" s="49"/>
      <c r="NS26" s="49"/>
      <c r="NT26" s="49"/>
      <c r="NU26" s="49"/>
      <c r="NV26" s="49"/>
      <c r="NW26" s="49"/>
      <c r="NX26" s="49"/>
      <c r="NY26" s="49"/>
      <c r="NZ26" s="49"/>
      <c r="OA26" s="49"/>
      <c r="OB26" s="49" t="s">
        <v>59</v>
      </c>
      <c r="OC26" s="49" t="s">
        <v>59</v>
      </c>
      <c r="OD26" s="49" t="s">
        <v>59</v>
      </c>
      <c r="OE26" s="49" t="s">
        <v>59</v>
      </c>
      <c r="OF26" s="49" t="s">
        <v>59</v>
      </c>
      <c r="OG26" s="49" t="s">
        <v>59</v>
      </c>
      <c r="OH26" s="49" t="s">
        <v>59</v>
      </c>
      <c r="OI26" s="49" t="s">
        <v>59</v>
      </c>
      <c r="OJ26" s="49" t="s">
        <v>59</v>
      </c>
      <c r="OK26" s="49" t="s">
        <v>59</v>
      </c>
      <c r="OL26" s="49" t="s">
        <v>59</v>
      </c>
      <c r="OM26" s="49"/>
      <c r="ON26" s="49"/>
      <c r="OO26" s="49"/>
      <c r="OP26" s="49"/>
      <c r="OQ26" s="49"/>
      <c r="OR26" s="49"/>
      <c r="OS26" s="49"/>
      <c r="OT26" s="49"/>
      <c r="OU26" s="49" t="s">
        <v>13</v>
      </c>
      <c r="OV26" s="49" t="s">
        <v>59</v>
      </c>
      <c r="OW26" s="49" t="s">
        <v>13</v>
      </c>
      <c r="OX26" s="49" t="s">
        <v>59</v>
      </c>
      <c r="OY26" s="49" t="s">
        <v>13</v>
      </c>
      <c r="OZ26" s="49" t="s">
        <v>13</v>
      </c>
      <c r="PA26" s="49" t="s">
        <v>59</v>
      </c>
      <c r="PB26" s="49" t="s">
        <v>13</v>
      </c>
      <c r="PC26" s="49" t="s">
        <v>13</v>
      </c>
      <c r="PD26" s="49" t="s">
        <v>59</v>
      </c>
      <c r="PE26" s="49" t="s">
        <v>59</v>
      </c>
      <c r="PF26" s="49" t="s">
        <v>59</v>
      </c>
      <c r="PG26" s="49" t="s">
        <v>59</v>
      </c>
      <c r="PH26" s="49" t="s">
        <v>59</v>
      </c>
      <c r="PI26" s="49" t="s">
        <v>59</v>
      </c>
      <c r="PJ26" s="49" t="s">
        <v>59</v>
      </c>
      <c r="PK26" s="49" t="s">
        <v>59</v>
      </c>
      <c r="PL26" s="49" t="s">
        <v>59</v>
      </c>
      <c r="PM26" s="49" t="s">
        <v>59</v>
      </c>
      <c r="PN26" s="49" t="s">
        <v>59</v>
      </c>
      <c r="PO26" s="49" t="s">
        <v>59</v>
      </c>
      <c r="PP26" s="49" t="s">
        <v>59</v>
      </c>
      <c r="PQ26" s="49" t="s">
        <v>59</v>
      </c>
      <c r="PR26" s="49" t="s">
        <v>59</v>
      </c>
      <c r="PS26" s="49" t="s">
        <v>59</v>
      </c>
      <c r="PT26" s="49" t="s">
        <v>59</v>
      </c>
      <c r="PU26" s="49" t="s">
        <v>59</v>
      </c>
      <c r="PV26" s="49" t="s">
        <v>59</v>
      </c>
      <c r="PW26" s="49" t="s">
        <v>59</v>
      </c>
      <c r="PX26" s="49" t="s">
        <v>59</v>
      </c>
      <c r="PY26" s="49" t="s">
        <v>59</v>
      </c>
      <c r="PZ26" s="49" t="s">
        <v>59</v>
      </c>
      <c r="QA26" s="49" t="s">
        <v>59</v>
      </c>
      <c r="QB26" s="49"/>
      <c r="QC26" s="49" t="s">
        <v>59</v>
      </c>
      <c r="QD26" s="49" t="s">
        <v>59</v>
      </c>
      <c r="QE26" s="49" t="s">
        <v>59</v>
      </c>
      <c r="QF26" s="49" t="s">
        <v>59</v>
      </c>
      <c r="QG26" s="49" t="s">
        <v>59</v>
      </c>
      <c r="QH26" s="49" t="s">
        <v>59</v>
      </c>
      <c r="QI26" s="49" t="s">
        <v>59</v>
      </c>
      <c r="QJ26" s="49" t="s">
        <v>59</v>
      </c>
      <c r="QK26" s="49" t="s">
        <v>59</v>
      </c>
      <c r="QL26" s="49" t="s">
        <v>59</v>
      </c>
      <c r="QM26" s="49" t="s">
        <v>59</v>
      </c>
      <c r="QN26" s="49" t="s">
        <v>59</v>
      </c>
      <c r="QO26" s="49" t="s">
        <v>59</v>
      </c>
      <c r="QP26" s="49" t="s">
        <v>59</v>
      </c>
      <c r="QQ26" s="49" t="s">
        <v>59</v>
      </c>
      <c r="QR26" s="49" t="s">
        <v>59</v>
      </c>
      <c r="QS26" s="49" t="s">
        <v>59</v>
      </c>
      <c r="QT26" s="49" t="s">
        <v>59</v>
      </c>
      <c r="QU26" s="49" t="s">
        <v>59</v>
      </c>
      <c r="QV26" s="49" t="s">
        <v>59</v>
      </c>
      <c r="QW26" s="49" t="s">
        <v>59</v>
      </c>
      <c r="QX26" s="49" t="s">
        <v>59</v>
      </c>
      <c r="QY26" s="49" t="s">
        <v>59</v>
      </c>
      <c r="QZ26" s="49" t="s">
        <v>59</v>
      </c>
      <c r="RA26" s="49" t="s">
        <v>59</v>
      </c>
      <c r="RB26" s="49" t="s">
        <v>59</v>
      </c>
      <c r="RC26" s="49"/>
      <c r="RD26" s="49"/>
      <c r="RE26" s="49"/>
      <c r="RF26" s="49"/>
      <c r="RG26" s="49"/>
      <c r="RH26" s="49"/>
      <c r="RI26" s="49"/>
      <c r="RJ26" s="49"/>
      <c r="RK26" s="49"/>
      <c r="RL26" s="49"/>
      <c r="RM26" s="49"/>
      <c r="RN26" s="49"/>
      <c r="RO26" s="49" t="s">
        <v>59</v>
      </c>
      <c r="RP26" s="49"/>
      <c r="RQ26" s="49"/>
      <c r="RR26" s="49"/>
      <c r="RS26" s="49" t="s">
        <v>20</v>
      </c>
      <c r="RT26" s="49" t="s">
        <v>59</v>
      </c>
      <c r="RU26" s="49" t="s">
        <v>59</v>
      </c>
      <c r="RV26" s="49" t="s">
        <v>59</v>
      </c>
      <c r="RW26" s="49" t="s">
        <v>59</v>
      </c>
      <c r="RX26" s="49" t="s">
        <v>59</v>
      </c>
      <c r="RY26" s="49" t="s">
        <v>59</v>
      </c>
      <c r="RZ26" s="49" t="s">
        <v>59</v>
      </c>
      <c r="SA26" s="49" t="s">
        <v>59</v>
      </c>
      <c r="SB26" s="49"/>
      <c r="SC26" s="49"/>
      <c r="SD26" s="49"/>
      <c r="SE26" s="49"/>
      <c r="SF26" s="49"/>
      <c r="SG26" s="49"/>
      <c r="SH26" s="49"/>
      <c r="SI26" s="49"/>
      <c r="SJ26" s="49"/>
      <c r="SK26" s="49"/>
      <c r="SL26" s="49"/>
      <c r="SM26" s="49"/>
      <c r="SN26" s="49"/>
      <c r="SO26" s="49"/>
      <c r="SP26" s="49"/>
      <c r="SQ26" s="49"/>
      <c r="SR26" s="49" t="s">
        <v>59</v>
      </c>
      <c r="SS26" s="49" t="s">
        <v>59</v>
      </c>
      <c r="ST26" s="49" t="s">
        <v>59</v>
      </c>
      <c r="SU26" s="49" t="s">
        <v>59</v>
      </c>
      <c r="SV26" s="49" t="s">
        <v>59</v>
      </c>
      <c r="SW26" s="49" t="s">
        <v>59</v>
      </c>
      <c r="SX26" s="49" t="s">
        <v>59</v>
      </c>
      <c r="SY26" s="49" t="s">
        <v>59</v>
      </c>
      <c r="SZ26" s="49" t="s">
        <v>59</v>
      </c>
      <c r="TA26" s="49"/>
      <c r="TB26" s="49"/>
      <c r="TC26" s="49"/>
      <c r="TD26" s="49"/>
      <c r="TE26" s="49"/>
      <c r="TF26" s="49"/>
      <c r="TG26" s="49"/>
      <c r="TH26" s="49"/>
      <c r="TI26" s="49"/>
      <c r="TJ26" s="49" t="s">
        <v>13</v>
      </c>
      <c r="TK26" s="408" t="s">
        <v>13</v>
      </c>
      <c r="TL26" s="408"/>
      <c r="TM26" s="408"/>
      <c r="TN26" s="408"/>
      <c r="TO26" s="408"/>
      <c r="TP26" s="408" t="s">
        <v>13</v>
      </c>
      <c r="TQ26" s="49"/>
      <c r="TR26" s="49" t="s">
        <v>13</v>
      </c>
      <c r="TS26" s="49" t="s">
        <v>13</v>
      </c>
      <c r="TT26" s="49" t="s">
        <v>13</v>
      </c>
      <c r="TU26" s="49" t="s">
        <v>13</v>
      </c>
      <c r="TV26" s="49" t="s">
        <v>13</v>
      </c>
      <c r="TW26" s="49" t="s">
        <v>59</v>
      </c>
      <c r="TX26" s="49" t="s">
        <v>59</v>
      </c>
      <c r="TY26" s="49" t="s">
        <v>59</v>
      </c>
      <c r="TZ26" s="49" t="s">
        <v>59</v>
      </c>
      <c r="UA26" s="49" t="s">
        <v>59</v>
      </c>
      <c r="UB26" s="49" t="s">
        <v>59</v>
      </c>
      <c r="UC26" s="49" t="s">
        <v>59</v>
      </c>
      <c r="UD26" s="49" t="s">
        <v>59</v>
      </c>
      <c r="UE26" s="49" t="s">
        <v>59</v>
      </c>
      <c r="UF26" s="49"/>
      <c r="UG26" s="49" t="s">
        <v>59</v>
      </c>
      <c r="UH26" s="49" t="s">
        <v>59</v>
      </c>
      <c r="UI26" s="49" t="s">
        <v>59</v>
      </c>
      <c r="UJ26" s="49"/>
      <c r="UK26" s="49"/>
      <c r="UL26" s="49" t="s">
        <v>59</v>
      </c>
      <c r="UM26" s="49" t="s">
        <v>59</v>
      </c>
      <c r="UN26" s="49" t="s">
        <v>59</v>
      </c>
      <c r="UO26" s="49" t="s">
        <v>59</v>
      </c>
      <c r="UP26" s="49" t="s">
        <v>59</v>
      </c>
      <c r="UQ26" s="49"/>
      <c r="UR26" s="49"/>
      <c r="US26" s="49" t="s">
        <v>59</v>
      </c>
      <c r="UT26" s="49" t="s">
        <v>59</v>
      </c>
      <c r="UU26" s="49" t="s">
        <v>59</v>
      </c>
      <c r="UV26" s="49"/>
      <c r="UW26" s="49"/>
      <c r="UX26" s="49" t="s">
        <v>59</v>
      </c>
      <c r="UY26" s="49" t="s">
        <v>59</v>
      </c>
      <c r="UZ26" s="49" t="s">
        <v>59</v>
      </c>
      <c r="VA26" s="49" t="s">
        <v>59</v>
      </c>
      <c r="VB26" s="49"/>
      <c r="VC26" s="49"/>
      <c r="VD26" s="49"/>
      <c r="VE26" s="49"/>
      <c r="VF26" s="49"/>
      <c r="VG26" s="49"/>
      <c r="VH26" s="49"/>
      <c r="VI26" s="49"/>
      <c r="VJ26" s="49"/>
      <c r="VK26" s="93"/>
      <c r="VL26" s="93"/>
      <c r="VM26" s="93"/>
      <c r="VN26" s="93"/>
      <c r="VO26" s="93"/>
      <c r="VP26" s="93"/>
      <c r="VQ26" s="93"/>
      <c r="VR26" s="93"/>
      <c r="VS26" s="93"/>
      <c r="VT26" s="93"/>
      <c r="VU26" s="93"/>
      <c r="VV26" s="93"/>
      <c r="VW26" s="93"/>
      <c r="VX26" s="49"/>
      <c r="VY26" s="49"/>
      <c r="VZ26" s="49"/>
      <c r="WA26" s="72"/>
      <c r="WB26" s="72"/>
      <c r="WC26" s="72"/>
      <c r="WD26" s="72"/>
      <c r="WE26" s="49"/>
      <c r="WF26" s="49"/>
      <c r="WG26" s="49"/>
      <c r="WH26" s="49"/>
      <c r="WI26" s="49"/>
      <c r="WJ26" s="49"/>
      <c r="WK26" s="49"/>
      <c r="WL26" s="49"/>
      <c r="WM26" s="49"/>
      <c r="WN26" s="49"/>
      <c r="WO26" s="49"/>
      <c r="WP26" s="49"/>
      <c r="WQ26" s="49"/>
      <c r="WR26" s="49"/>
      <c r="WS26" s="49"/>
      <c r="WT26" s="49"/>
      <c r="WU26" s="49"/>
      <c r="WV26" s="49"/>
      <c r="WW26" s="49"/>
      <c r="WX26" s="49"/>
      <c r="WY26" s="49"/>
      <c r="WZ26" s="49"/>
      <c r="XA26" s="49"/>
      <c r="XB26" s="49"/>
      <c r="XC26" s="49" t="s">
        <v>20</v>
      </c>
      <c r="XD26" s="49" t="s">
        <v>20</v>
      </c>
      <c r="XE26" s="49" t="s">
        <v>20</v>
      </c>
      <c r="XF26" s="49" t="s">
        <v>20</v>
      </c>
      <c r="XG26" s="49" t="s">
        <v>20</v>
      </c>
      <c r="XH26" s="49" t="s">
        <v>20</v>
      </c>
      <c r="XI26" s="49" t="s">
        <v>59</v>
      </c>
      <c r="XJ26" s="49" t="s">
        <v>59</v>
      </c>
      <c r="XK26" s="49" t="s">
        <v>59</v>
      </c>
      <c r="XL26" s="49" t="s">
        <v>59</v>
      </c>
      <c r="XM26" s="49" t="s">
        <v>59</v>
      </c>
      <c r="XN26" s="49" t="s">
        <v>59</v>
      </c>
      <c r="XO26" s="49" t="s">
        <v>59</v>
      </c>
      <c r="XP26" s="49" t="s">
        <v>59</v>
      </c>
      <c r="XQ26" s="49" t="s">
        <v>59</v>
      </c>
      <c r="XR26" s="49" t="s">
        <v>59</v>
      </c>
      <c r="XS26" s="49" t="s">
        <v>59</v>
      </c>
      <c r="XT26" s="49" t="s">
        <v>59</v>
      </c>
      <c r="XU26" s="49" t="s">
        <v>59</v>
      </c>
      <c r="XV26" s="49" t="s">
        <v>59</v>
      </c>
      <c r="XW26" s="49" t="s">
        <v>59</v>
      </c>
      <c r="XX26" s="49"/>
      <c r="XY26" s="49"/>
      <c r="XZ26" s="49"/>
      <c r="YA26" s="49"/>
      <c r="YB26" s="49"/>
      <c r="YC26" s="49"/>
      <c r="YD26" s="49"/>
      <c r="YE26" s="49"/>
      <c r="YF26" s="49"/>
      <c r="YG26" s="49"/>
      <c r="YH26" s="49"/>
      <c r="YI26" s="49"/>
      <c r="YJ26" s="49"/>
      <c r="YK26" s="49"/>
      <c r="YL26" s="49"/>
      <c r="YM26" s="49"/>
      <c r="YN26" s="49"/>
      <c r="YO26" s="49"/>
      <c r="YP26" s="49"/>
      <c r="YQ26" s="49"/>
      <c r="YR26" s="49"/>
      <c r="YS26" s="49"/>
      <c r="YT26" s="49"/>
      <c r="YU26" s="49"/>
      <c r="YV26" s="49"/>
      <c r="YW26" s="49"/>
      <c r="YX26" s="49"/>
      <c r="YY26" s="49"/>
      <c r="YZ26" s="49"/>
      <c r="ZA26" s="49"/>
      <c r="ZB26" s="49"/>
      <c r="ZC26" s="49" t="s">
        <v>13</v>
      </c>
      <c r="ZD26" s="49" t="s">
        <v>13</v>
      </c>
      <c r="ZE26" s="49" t="s">
        <v>13</v>
      </c>
      <c r="ZF26" s="49" t="s">
        <v>13</v>
      </c>
      <c r="ZG26" s="49" t="s">
        <v>13</v>
      </c>
      <c r="ZH26" s="49" t="s">
        <v>59</v>
      </c>
      <c r="ZI26" s="49" t="s">
        <v>13</v>
      </c>
      <c r="ZJ26" s="49" t="s">
        <v>13</v>
      </c>
      <c r="ZK26" s="49" t="s">
        <v>13</v>
      </c>
      <c r="ZL26" s="49" t="s">
        <v>13</v>
      </c>
      <c r="ZM26" s="49" t="s">
        <v>13</v>
      </c>
      <c r="ZN26" s="49" t="s">
        <v>13</v>
      </c>
      <c r="ZO26" s="49" t="s">
        <v>13</v>
      </c>
      <c r="ZP26" s="49" t="s">
        <v>13</v>
      </c>
      <c r="ZQ26" s="49" t="s">
        <v>59</v>
      </c>
      <c r="ZR26" s="49" t="s">
        <v>59</v>
      </c>
      <c r="ZS26" s="49" t="s">
        <v>59</v>
      </c>
      <c r="ZT26" s="49" t="s">
        <v>59</v>
      </c>
      <c r="ZU26" s="49" t="s">
        <v>59</v>
      </c>
      <c r="ZV26" s="49" t="s">
        <v>13</v>
      </c>
      <c r="ZW26" s="49"/>
      <c r="ZX26" s="49"/>
      <c r="ZY26" s="49"/>
      <c r="ZZ26" s="122"/>
      <c r="AAA26" s="49"/>
      <c r="AAB26" s="49"/>
      <c r="AAC26" s="49"/>
      <c r="AAD26" s="49"/>
    </row>
    <row r="27" spans="1:706" s="26" customFormat="1" ht="12.1" customHeight="1" x14ac:dyDescent="0.25">
      <c r="A27" s="226" t="s">
        <v>371</v>
      </c>
      <c r="B27" s="227" t="s">
        <v>263</v>
      </c>
      <c r="C27" s="227" t="s">
        <v>1</v>
      </c>
      <c r="D27" s="227" t="s">
        <v>2</v>
      </c>
      <c r="E27" s="228" t="s">
        <v>3</v>
      </c>
      <c r="F27" s="228" t="s">
        <v>379</v>
      </c>
      <c r="G27" s="228" t="s">
        <v>122</v>
      </c>
      <c r="H27" s="228" t="s">
        <v>234</v>
      </c>
      <c r="I27" s="228" t="s">
        <v>77</v>
      </c>
      <c r="J27" s="229" t="s">
        <v>4</v>
      </c>
      <c r="K27" s="229" t="s">
        <v>5</v>
      </c>
      <c r="L27" s="229"/>
      <c r="M27" s="229" t="s">
        <v>71</v>
      </c>
      <c r="N27" s="229" t="s">
        <v>72</v>
      </c>
      <c r="O27" s="229" t="s">
        <v>73</v>
      </c>
      <c r="P27" s="229" t="s">
        <v>102</v>
      </c>
      <c r="Q27" s="229" t="s">
        <v>103</v>
      </c>
      <c r="R27" s="229" t="s">
        <v>104</v>
      </c>
      <c r="S27" s="229" t="s">
        <v>105</v>
      </c>
      <c r="T27" s="229" t="s">
        <v>110</v>
      </c>
      <c r="U27" s="229" t="s">
        <v>8</v>
      </c>
      <c r="V27" s="229" t="s">
        <v>9</v>
      </c>
      <c r="W27" s="229" t="s">
        <v>106</v>
      </c>
      <c r="X27" s="229" t="s">
        <v>21</v>
      </c>
      <c r="Y27" s="229" t="s">
        <v>254</v>
      </c>
      <c r="Z27" s="229" t="s">
        <v>6</v>
      </c>
      <c r="AA27" s="229" t="s">
        <v>7</v>
      </c>
      <c r="AB27" s="229" t="s">
        <v>107</v>
      </c>
      <c r="AC27" s="229" t="s">
        <v>600</v>
      </c>
      <c r="AD27" s="229" t="s">
        <v>601</v>
      </c>
      <c r="AE27" s="229" t="s">
        <v>602</v>
      </c>
      <c r="AF27" s="229" t="s">
        <v>603</v>
      </c>
      <c r="AG27" s="229" t="s">
        <v>604</v>
      </c>
      <c r="AH27" s="229" t="s">
        <v>605</v>
      </c>
      <c r="AI27" s="229" t="s">
        <v>606</v>
      </c>
      <c r="AJ27" s="229" t="s">
        <v>607</v>
      </c>
      <c r="AK27" s="229" t="s">
        <v>608</v>
      </c>
      <c r="AL27" s="229" t="s">
        <v>609</v>
      </c>
      <c r="AM27" s="229"/>
      <c r="AN27" s="229" t="s">
        <v>610</v>
      </c>
      <c r="AO27" s="229" t="s">
        <v>611</v>
      </c>
      <c r="AP27" s="229" t="s">
        <v>612</v>
      </c>
      <c r="AQ27" s="229" t="s">
        <v>614</v>
      </c>
      <c r="AR27" s="229" t="s">
        <v>1213</v>
      </c>
      <c r="AS27" s="229" t="s">
        <v>1214</v>
      </c>
      <c r="AT27" s="229" t="s">
        <v>1215</v>
      </c>
      <c r="AU27" s="229" t="s">
        <v>1216</v>
      </c>
      <c r="AV27" s="229" t="s">
        <v>1217</v>
      </c>
      <c r="AW27" s="229" t="s">
        <v>1218</v>
      </c>
      <c r="AX27" s="229" t="s">
        <v>1219</v>
      </c>
      <c r="AY27" s="229" t="s">
        <v>1220</v>
      </c>
      <c r="AZ27" s="229" t="s">
        <v>1221</v>
      </c>
      <c r="BA27" s="229" t="s">
        <v>1222</v>
      </c>
      <c r="BB27" s="229" t="s">
        <v>1223</v>
      </c>
      <c r="BC27" s="229" t="s">
        <v>19</v>
      </c>
      <c r="BD27" s="229" t="s">
        <v>22</v>
      </c>
      <c r="BE27" s="229" t="s">
        <v>1224</v>
      </c>
      <c r="BF27" s="229" t="s">
        <v>1225</v>
      </c>
      <c r="BG27" s="229" t="s">
        <v>23</v>
      </c>
      <c r="BH27" s="229" t="s">
        <v>117</v>
      </c>
      <c r="BI27" s="229" t="s">
        <v>867</v>
      </c>
      <c r="BJ27" s="229" t="s">
        <v>126</v>
      </c>
      <c r="BK27" s="229" t="s">
        <v>75</v>
      </c>
      <c r="BL27" s="229" t="s">
        <v>108</v>
      </c>
      <c r="BM27" s="229" t="s">
        <v>109</v>
      </c>
      <c r="BN27" s="229" t="s">
        <v>259</v>
      </c>
      <c r="BO27" s="229" t="s">
        <v>260</v>
      </c>
      <c r="BP27" s="229" t="s">
        <v>1022</v>
      </c>
      <c r="BQ27" s="229" t="s">
        <v>695</v>
      </c>
      <c r="BR27" s="229" t="s">
        <v>697</v>
      </c>
      <c r="BS27" s="229" t="s">
        <v>698</v>
      </c>
      <c r="BT27" s="229" t="s">
        <v>692</v>
      </c>
      <c r="BU27" s="229"/>
      <c r="BV27" s="229"/>
      <c r="BW27" s="229"/>
      <c r="BX27" s="229"/>
      <c r="BY27" s="229"/>
      <c r="BZ27" s="229"/>
      <c r="CA27" s="229"/>
      <c r="CB27" s="229"/>
      <c r="CC27" s="229"/>
      <c r="CD27" s="229"/>
      <c r="CE27" s="229"/>
      <c r="CF27" s="229"/>
      <c r="CG27" s="229"/>
      <c r="CH27" s="229"/>
      <c r="CI27" s="229" t="s">
        <v>1226</v>
      </c>
      <c r="CJ27" s="229" t="s">
        <v>1227</v>
      </c>
      <c r="CK27" s="229" t="s">
        <v>883</v>
      </c>
      <c r="CL27" s="229" t="s">
        <v>70</v>
      </c>
      <c r="CM27" s="229" t="s">
        <v>1228</v>
      </c>
      <c r="CN27" s="229" t="s">
        <v>34</v>
      </c>
      <c r="CO27" s="229" t="s">
        <v>35</v>
      </c>
      <c r="CP27" s="229" t="s">
        <v>144</v>
      </c>
      <c r="CQ27" s="229" t="s">
        <v>96</v>
      </c>
      <c r="CR27" s="229" t="s">
        <v>41</v>
      </c>
      <c r="CS27" s="229" t="s">
        <v>127</v>
      </c>
      <c r="CT27" s="229" t="s">
        <v>142</v>
      </c>
      <c r="CU27" s="229" t="s">
        <v>95</v>
      </c>
      <c r="CV27" s="229" t="s">
        <v>39</v>
      </c>
      <c r="CW27" s="229" t="s">
        <v>143</v>
      </c>
      <c r="CX27" s="229" t="s">
        <v>36</v>
      </c>
      <c r="CY27" s="229" t="s">
        <v>37</v>
      </c>
      <c r="CZ27" s="229" t="s">
        <v>56</v>
      </c>
      <c r="DA27" s="229"/>
      <c r="DB27" s="229"/>
      <c r="DC27" s="229" t="s">
        <v>135</v>
      </c>
      <c r="DD27" s="229" t="s">
        <v>868</v>
      </c>
      <c r="DE27" s="229"/>
      <c r="DF27" s="229"/>
      <c r="DG27" s="229" t="s">
        <v>208</v>
      </c>
      <c r="DH27" s="229" t="s">
        <v>301</v>
      </c>
      <c r="DI27" s="229"/>
      <c r="DJ27" s="229" t="s">
        <v>1229</v>
      </c>
      <c r="DK27" s="229" t="s">
        <v>1230</v>
      </c>
      <c r="DL27" s="229" t="s">
        <v>1231</v>
      </c>
      <c r="DM27" s="229"/>
      <c r="DN27" s="229" t="s">
        <v>128</v>
      </c>
      <c r="DO27" s="229" t="s">
        <v>40</v>
      </c>
      <c r="DP27" s="229" t="s">
        <v>38</v>
      </c>
      <c r="DQ27" s="229" t="s">
        <v>93</v>
      </c>
      <c r="DR27" s="229"/>
      <c r="DS27" s="229" t="s">
        <v>679</v>
      </c>
      <c r="DT27" s="229" t="s">
        <v>1014</v>
      </c>
      <c r="DU27" s="229" t="s">
        <v>64</v>
      </c>
      <c r="DV27" s="229" t="s">
        <v>65</v>
      </c>
      <c r="DW27" s="231" t="s">
        <v>1232</v>
      </c>
      <c r="DX27" s="229" t="s">
        <v>179</v>
      </c>
      <c r="DY27" s="229" t="s">
        <v>845</v>
      </c>
      <c r="DZ27" s="229" t="s">
        <v>192</v>
      </c>
      <c r="EA27" s="231"/>
      <c r="EB27" s="231"/>
      <c r="EC27" s="231"/>
      <c r="ED27" s="231"/>
      <c r="EE27" s="229" t="s">
        <v>46</v>
      </c>
      <c r="EF27" s="229" t="s">
        <v>1233</v>
      </c>
      <c r="EG27" s="229" t="s">
        <v>42</v>
      </c>
      <c r="EH27" s="229" t="s">
        <v>136</v>
      </c>
      <c r="EI27" s="229" t="s">
        <v>44</v>
      </c>
      <c r="EJ27" s="229"/>
      <c r="EK27" s="229" t="s">
        <v>275</v>
      </c>
      <c r="EL27" s="229" t="s">
        <v>66</v>
      </c>
      <c r="EM27" s="229" t="s">
        <v>63</v>
      </c>
      <c r="EN27" s="229" t="s">
        <v>113</v>
      </c>
      <c r="EO27" s="229" t="s">
        <v>268</v>
      </c>
      <c r="EP27" s="229" t="s">
        <v>101</v>
      </c>
      <c r="EQ27" s="229" t="s">
        <v>269</v>
      </c>
      <c r="ER27" s="229" t="s">
        <v>590</v>
      </c>
      <c r="ES27" s="229" t="s">
        <v>599</v>
      </c>
      <c r="ET27" s="229" t="s">
        <v>24</v>
      </c>
      <c r="EU27" s="229" t="s">
        <v>26</v>
      </c>
      <c r="EV27" s="229" t="s">
        <v>28</v>
      </c>
      <c r="EW27" s="229" t="s">
        <v>25</v>
      </c>
      <c r="EX27" s="229" t="s">
        <v>27</v>
      </c>
      <c r="EY27" s="229" t="s">
        <v>29</v>
      </c>
      <c r="EZ27" s="229" t="s">
        <v>488</v>
      </c>
      <c r="FA27" s="229" t="s">
        <v>598</v>
      </c>
      <c r="FB27" s="229" t="s">
        <v>489</v>
      </c>
      <c r="FC27" s="229" t="s">
        <v>506</v>
      </c>
      <c r="FD27" s="229" t="s">
        <v>507</v>
      </c>
      <c r="FE27" s="229" t="s">
        <v>508</v>
      </c>
      <c r="FF27" s="229" t="s">
        <v>681</v>
      </c>
      <c r="FG27" s="229" t="s">
        <v>682</v>
      </c>
      <c r="FH27" s="229" t="s">
        <v>30</v>
      </c>
      <c r="FI27" s="229" t="s">
        <v>32</v>
      </c>
      <c r="FJ27" s="229" t="s">
        <v>33</v>
      </c>
      <c r="FK27" s="229" t="s">
        <v>270</v>
      </c>
      <c r="FL27" s="229"/>
      <c r="FM27" s="229" t="s">
        <v>271</v>
      </c>
      <c r="FN27" s="229" t="s">
        <v>277</v>
      </c>
      <c r="FO27" s="229"/>
      <c r="FP27" s="229"/>
      <c r="FQ27" s="229" t="s">
        <v>1234</v>
      </c>
      <c r="FR27" s="229" t="s">
        <v>1235</v>
      </c>
      <c r="FS27" s="229" t="s">
        <v>1236</v>
      </c>
      <c r="FT27" s="229" t="s">
        <v>1237</v>
      </c>
      <c r="FU27" s="229" t="s">
        <v>688</v>
      </c>
      <c r="FV27" s="229" t="s">
        <v>1238</v>
      </c>
      <c r="FW27" s="229"/>
      <c r="FX27" s="229"/>
      <c r="FY27" s="229"/>
      <c r="FZ27" s="229"/>
      <c r="GA27" s="229" t="s">
        <v>1055</v>
      </c>
      <c r="GB27" s="229" t="s">
        <v>815</v>
      </c>
      <c r="GC27" s="229" t="s">
        <v>1239</v>
      </c>
      <c r="GD27" s="229"/>
      <c r="GE27" s="229"/>
      <c r="GF27" s="229"/>
      <c r="GG27" s="229" t="s">
        <v>814</v>
      </c>
      <c r="GH27" s="229" t="s">
        <v>284</v>
      </c>
      <c r="GI27" s="229" t="s">
        <v>216</v>
      </c>
      <c r="GJ27" s="229"/>
      <c r="GK27" s="229"/>
      <c r="GL27" s="229"/>
      <c r="GM27" s="229"/>
      <c r="GN27" s="229" t="s">
        <v>816</v>
      </c>
      <c r="GO27" s="229"/>
      <c r="GP27" s="229"/>
      <c r="GQ27" s="229" t="s">
        <v>817</v>
      </c>
      <c r="GR27" s="229"/>
      <c r="GS27" s="229" t="s">
        <v>818</v>
      </c>
      <c r="GT27" s="229"/>
      <c r="GU27" s="229" t="s">
        <v>866</v>
      </c>
      <c r="GV27" s="229" t="s">
        <v>1240</v>
      </c>
      <c r="GW27" s="229" t="s">
        <v>1241</v>
      </c>
      <c r="GX27" s="229" t="s">
        <v>1242</v>
      </c>
      <c r="GY27" s="229"/>
      <c r="GZ27" s="229"/>
      <c r="HA27" s="229"/>
      <c r="HB27" s="229"/>
      <c r="HC27" s="229"/>
      <c r="HD27" s="229" t="s">
        <v>257</v>
      </c>
      <c r="HE27" s="229" t="s">
        <v>1243</v>
      </c>
      <c r="HF27" s="229" t="s">
        <v>819</v>
      </c>
      <c r="HG27" s="229"/>
      <c r="HH27" s="229"/>
      <c r="HI27" s="229" t="s">
        <v>820</v>
      </c>
      <c r="HJ27" s="229"/>
      <c r="HK27" s="229"/>
      <c r="HL27" s="229" t="s">
        <v>821</v>
      </c>
      <c r="HM27" s="229" t="s">
        <v>822</v>
      </c>
      <c r="HN27" s="229"/>
      <c r="HO27" s="229" t="s">
        <v>823</v>
      </c>
      <c r="HP27" s="229"/>
      <c r="HQ27" s="229"/>
      <c r="HR27" s="229"/>
      <c r="HS27" s="229"/>
      <c r="HT27" s="229"/>
      <c r="HU27" s="229"/>
      <c r="HV27" s="229"/>
      <c r="HW27" s="229"/>
      <c r="HX27" s="497"/>
      <c r="HY27" s="497"/>
      <c r="HZ27" s="232"/>
      <c r="IA27" s="232"/>
      <c r="IB27" s="235" t="s">
        <v>227</v>
      </c>
      <c r="IC27" s="231" t="s">
        <v>1247</v>
      </c>
      <c r="ID27" s="229" t="s">
        <v>2316</v>
      </c>
      <c r="IE27" s="229"/>
      <c r="IF27" s="229"/>
      <c r="IG27" s="229"/>
      <c r="IH27" s="229"/>
      <c r="II27" s="229" t="s">
        <v>493</v>
      </c>
      <c r="IJ27" s="229" t="s">
        <v>627</v>
      </c>
      <c r="IK27" s="498"/>
      <c r="IL27" s="229" t="s">
        <v>289</v>
      </c>
      <c r="IM27" s="229" t="s">
        <v>290</v>
      </c>
      <c r="IN27" s="229" t="s">
        <v>768</v>
      </c>
      <c r="IO27" s="229"/>
      <c r="IP27" s="229"/>
      <c r="IQ27" s="229" t="s">
        <v>510</v>
      </c>
      <c r="IR27" s="229"/>
      <c r="IS27" s="229"/>
      <c r="IT27" s="229"/>
      <c r="IU27" s="229"/>
      <c r="IV27" s="231"/>
      <c r="IW27" s="231"/>
      <c r="IX27" s="229"/>
      <c r="IY27" s="231"/>
      <c r="IZ27" s="231"/>
      <c r="JA27" s="231"/>
      <c r="JB27" s="229"/>
      <c r="JC27" s="229"/>
      <c r="JD27" s="231"/>
      <c r="JE27" s="231"/>
      <c r="JF27" s="498"/>
      <c r="JG27" s="229"/>
      <c r="JH27" s="229" t="s">
        <v>182</v>
      </c>
      <c r="JI27" s="498"/>
      <c r="JJ27" s="229"/>
      <c r="JK27" s="498"/>
      <c r="JL27" s="229"/>
      <c r="JM27" s="498"/>
      <c r="JN27" s="229"/>
      <c r="JO27" s="229" t="s">
        <v>497</v>
      </c>
      <c r="JP27" s="229" t="s">
        <v>505</v>
      </c>
      <c r="JQ27" s="229"/>
      <c r="JR27" s="229"/>
      <c r="JS27" s="229"/>
      <c r="JT27" s="229" t="s">
        <v>501</v>
      </c>
      <c r="JU27" s="229"/>
      <c r="JV27" s="231"/>
      <c r="JW27" s="231"/>
      <c r="JX27" s="231"/>
      <c r="JY27" s="230"/>
      <c r="JZ27" s="230"/>
      <c r="KA27" s="230"/>
      <c r="KB27" s="230"/>
      <c r="KC27" s="230"/>
      <c r="KD27" s="230"/>
      <c r="KE27" s="230"/>
      <c r="KF27" s="230"/>
      <c r="KG27" s="230"/>
      <c r="KH27" s="230"/>
      <c r="KI27" s="230"/>
      <c r="KJ27" s="230"/>
      <c r="KK27" s="230"/>
      <c r="KL27" s="230"/>
      <c r="KM27" s="230"/>
      <c r="KN27" s="230"/>
      <c r="KO27" s="230"/>
      <c r="KP27" s="230"/>
      <c r="KQ27" s="230"/>
      <c r="KR27" s="230"/>
      <c r="KS27" s="230"/>
      <c r="KT27" s="230"/>
      <c r="KU27" s="230"/>
      <c r="KV27" s="230"/>
      <c r="KW27" s="230"/>
      <c r="KX27" s="230"/>
      <c r="KY27" s="230"/>
      <c r="KZ27" s="230"/>
      <c r="LA27" s="230"/>
      <c r="LB27" s="230"/>
      <c r="LC27" s="497"/>
      <c r="LD27" s="497"/>
      <c r="LE27" s="230"/>
      <c r="LF27" s="230"/>
      <c r="LG27" s="230"/>
      <c r="LH27" s="230"/>
      <c r="LI27" s="230"/>
      <c r="LJ27" s="230"/>
      <c r="LK27" s="230"/>
      <c r="LL27" s="230"/>
      <c r="LM27" s="230"/>
      <c r="LN27" s="230"/>
      <c r="LO27" s="230"/>
      <c r="LP27" s="230"/>
      <c r="LQ27" s="230"/>
      <c r="LR27" s="230"/>
      <c r="LS27" s="230"/>
      <c r="LT27" s="230"/>
      <c r="LU27" s="230"/>
      <c r="LV27" s="230"/>
      <c r="LW27" s="230"/>
      <c r="LX27" s="230"/>
      <c r="LY27" s="230"/>
      <c r="LZ27" s="230"/>
      <c r="MA27" s="230"/>
      <c r="MB27" s="230"/>
      <c r="MC27" s="230"/>
      <c r="MD27" s="230"/>
      <c r="ME27" s="230"/>
      <c r="MF27" s="230"/>
      <c r="MG27" s="230"/>
      <c r="MH27" s="230"/>
      <c r="MI27" s="230"/>
      <c r="MJ27" s="230"/>
      <c r="MK27" s="230"/>
      <c r="ML27" s="230"/>
      <c r="MM27" s="230"/>
      <c r="MN27" s="230"/>
      <c r="MO27" s="230"/>
      <c r="MP27" s="230"/>
      <c r="MQ27" s="230"/>
      <c r="MR27" s="230"/>
      <c r="MS27" s="230"/>
      <c r="MT27" s="230"/>
      <c r="MU27" s="230"/>
      <c r="MV27" s="230"/>
      <c r="MW27" s="230"/>
      <c r="MX27" s="230"/>
      <c r="MY27" s="230"/>
      <c r="MZ27" s="230"/>
      <c r="NA27" s="230"/>
      <c r="NB27" s="230"/>
      <c r="NC27" s="233"/>
      <c r="ND27" s="230"/>
      <c r="NE27" s="230"/>
      <c r="NF27" s="230"/>
      <c r="NG27" s="230"/>
      <c r="NH27" s="230"/>
      <c r="NI27" s="230"/>
      <c r="NJ27" s="230"/>
      <c r="NK27" s="229"/>
      <c r="NL27" s="229"/>
      <c r="NM27" s="229"/>
      <c r="NN27" s="229"/>
      <c r="NO27" s="229"/>
      <c r="NP27" s="229"/>
      <c r="NQ27" s="229"/>
      <c r="NR27" s="229"/>
      <c r="NS27" s="229"/>
      <c r="NT27" s="229"/>
      <c r="NU27" s="229"/>
      <c r="NV27" s="229"/>
      <c r="NW27" s="229"/>
      <c r="NX27" s="229"/>
      <c r="NY27" s="229"/>
      <c r="NZ27" s="229"/>
      <c r="OA27" s="229"/>
      <c r="OB27" s="229"/>
      <c r="OC27" s="229"/>
      <c r="OD27" s="229"/>
      <c r="OE27" s="229"/>
      <c r="OF27" s="229"/>
      <c r="OG27" s="229"/>
      <c r="OH27" s="229"/>
      <c r="OI27" s="229"/>
      <c r="OJ27" s="229"/>
      <c r="OK27" s="229"/>
      <c r="OL27" s="229"/>
      <c r="OM27" s="229"/>
      <c r="ON27" s="229"/>
      <c r="OO27" s="229"/>
      <c r="OP27" s="229"/>
      <c r="OQ27" s="229"/>
      <c r="OR27" s="229"/>
      <c r="OS27" s="229"/>
      <c r="OT27" s="229"/>
      <c r="OU27" s="229" t="s">
        <v>94</v>
      </c>
      <c r="OV27" s="229"/>
      <c r="OW27" s="229" t="s">
        <v>734</v>
      </c>
      <c r="OX27" s="229"/>
      <c r="OY27" s="229" t="s">
        <v>91</v>
      </c>
      <c r="OZ27" s="229" t="s">
        <v>742</v>
      </c>
      <c r="PA27" s="229"/>
      <c r="PB27" s="229" t="s">
        <v>743</v>
      </c>
      <c r="PC27" s="229" t="s">
        <v>92</v>
      </c>
      <c r="PD27" s="229"/>
      <c r="PE27" s="229"/>
      <c r="PF27" s="229"/>
      <c r="PG27" s="229"/>
      <c r="PH27" s="229"/>
      <c r="PI27" s="229"/>
      <c r="PJ27" s="229"/>
      <c r="PK27" s="229"/>
      <c r="PL27" s="229"/>
      <c r="PM27" s="229"/>
      <c r="PN27" s="229"/>
      <c r="PO27" s="229"/>
      <c r="PP27" s="229"/>
      <c r="PQ27" s="229"/>
      <c r="PR27" s="229"/>
      <c r="PS27" s="229"/>
      <c r="PT27" s="229"/>
      <c r="PU27" s="229"/>
      <c r="PV27" s="229"/>
      <c r="PW27" s="229"/>
      <c r="PX27" s="229"/>
      <c r="PY27" s="229"/>
      <c r="PZ27" s="229"/>
      <c r="QA27" s="229"/>
      <c r="QB27" s="229"/>
      <c r="QC27" s="229"/>
      <c r="QD27" s="229"/>
      <c r="QE27" s="229"/>
      <c r="QF27" s="229"/>
      <c r="QG27" s="229"/>
      <c r="QH27" s="229"/>
      <c r="QI27" s="229"/>
      <c r="QJ27" s="229"/>
      <c r="QK27" s="229"/>
      <c r="QL27" s="229"/>
      <c r="QM27" s="229"/>
      <c r="QN27" s="229"/>
      <c r="QO27" s="229"/>
      <c r="QP27" s="229"/>
      <c r="QQ27" s="229"/>
      <c r="QR27" s="229"/>
      <c r="QS27" s="229"/>
      <c r="QT27" s="229"/>
      <c r="QU27" s="229"/>
      <c r="QV27" s="229"/>
      <c r="QW27" s="229"/>
      <c r="QX27" s="229"/>
      <c r="QY27" s="229"/>
      <c r="QZ27" s="229"/>
      <c r="RA27" s="229"/>
      <c r="RB27" s="229"/>
      <c r="RC27" s="229"/>
      <c r="RD27" s="229"/>
      <c r="RE27" s="229"/>
      <c r="RF27" s="229"/>
      <c r="RG27" s="229"/>
      <c r="RH27" s="229"/>
      <c r="RI27" s="229"/>
      <c r="RJ27" s="229"/>
      <c r="RK27" s="229"/>
      <c r="RL27" s="229"/>
      <c r="RM27" s="229"/>
      <c r="RN27" s="229"/>
      <c r="RO27" s="229"/>
      <c r="RP27" s="229"/>
      <c r="RQ27" s="229"/>
      <c r="RR27" s="229"/>
      <c r="RS27" s="229" t="s">
        <v>468</v>
      </c>
      <c r="RT27" s="229"/>
      <c r="RU27" s="229"/>
      <c r="RV27" s="229"/>
      <c r="RW27" s="229"/>
      <c r="RX27" s="229"/>
      <c r="RY27" s="229"/>
      <c r="RZ27" s="229"/>
      <c r="SA27" s="229"/>
      <c r="SB27" s="229"/>
      <c r="SC27" s="229"/>
      <c r="SD27" s="229"/>
      <c r="SE27" s="229"/>
      <c r="SF27" s="229"/>
      <c r="SG27" s="229"/>
      <c r="SH27" s="229"/>
      <c r="SI27" s="229"/>
      <c r="SJ27" s="229"/>
      <c r="SK27" s="229"/>
      <c r="SL27" s="229"/>
      <c r="SM27" s="229"/>
      <c r="SN27" s="229"/>
      <c r="SO27" s="229"/>
      <c r="SP27" s="229"/>
      <c r="SQ27" s="229"/>
      <c r="SR27" s="229"/>
      <c r="SS27" s="229"/>
      <c r="ST27" s="229"/>
      <c r="SU27" s="229"/>
      <c r="SV27" s="229"/>
      <c r="SW27" s="229"/>
      <c r="SX27" s="229"/>
      <c r="SY27" s="229"/>
      <c r="SZ27" s="229"/>
      <c r="TA27" s="229"/>
      <c r="TB27" s="229"/>
      <c r="TC27" s="229"/>
      <c r="TD27" s="229"/>
      <c r="TE27" s="229"/>
      <c r="TF27" s="229"/>
      <c r="TG27" s="229"/>
      <c r="TH27" s="229"/>
      <c r="TI27" s="229"/>
      <c r="TJ27" s="229" t="s">
        <v>1262</v>
      </c>
      <c r="TK27" s="499" t="s">
        <v>1074</v>
      </c>
      <c r="TL27" s="499"/>
      <c r="TM27" s="499"/>
      <c r="TN27" s="499"/>
      <c r="TO27" s="499"/>
      <c r="TP27" s="499" t="s">
        <v>335</v>
      </c>
      <c r="TQ27" s="229"/>
      <c r="TR27" s="229" t="s">
        <v>545</v>
      </c>
      <c r="TS27" s="229" t="s">
        <v>546</v>
      </c>
      <c r="TT27" s="229" t="s">
        <v>547</v>
      </c>
      <c r="TU27" s="229" t="s">
        <v>548</v>
      </c>
      <c r="TV27" s="229" t="s">
        <v>549</v>
      </c>
      <c r="TW27" s="229"/>
      <c r="TX27" s="229"/>
      <c r="TY27" s="229"/>
      <c r="TZ27" s="229"/>
      <c r="UA27" s="229"/>
      <c r="UB27" s="229"/>
      <c r="UC27" s="229"/>
      <c r="UD27" s="229"/>
      <c r="UE27" s="229"/>
      <c r="UF27" s="229"/>
      <c r="UG27" s="229"/>
      <c r="UH27" s="229"/>
      <c r="UI27" s="229"/>
      <c r="UJ27" s="229"/>
      <c r="UK27" s="229"/>
      <c r="UL27" s="229"/>
      <c r="UM27" s="229"/>
      <c r="UN27" s="229"/>
      <c r="UO27" s="229"/>
      <c r="UP27" s="229"/>
      <c r="UQ27" s="229"/>
      <c r="UR27" s="229"/>
      <c r="US27" s="229"/>
      <c r="UT27" s="229"/>
      <c r="UU27" s="229"/>
      <c r="UV27" s="229"/>
      <c r="UW27" s="229"/>
      <c r="UX27" s="229"/>
      <c r="UY27" s="229"/>
      <c r="UZ27" s="229"/>
      <c r="VA27" s="229"/>
      <c r="VB27" s="229"/>
      <c r="VC27" s="229"/>
      <c r="VD27" s="229"/>
      <c r="VE27" s="229"/>
      <c r="VF27" s="229"/>
      <c r="VG27" s="229"/>
      <c r="VH27" s="229"/>
      <c r="VI27" s="229"/>
      <c r="VJ27" s="229"/>
      <c r="VK27" s="229"/>
      <c r="VL27" s="229"/>
      <c r="VM27" s="229"/>
      <c r="VN27" s="235"/>
      <c r="VO27" s="235"/>
      <c r="VP27" s="235"/>
      <c r="VQ27" s="235"/>
      <c r="VR27" s="235"/>
      <c r="VS27" s="235"/>
      <c r="VT27" s="235"/>
      <c r="VU27" s="235"/>
      <c r="VV27" s="235"/>
      <c r="VW27" s="235"/>
      <c r="VX27" s="229"/>
      <c r="VY27" s="229"/>
      <c r="VZ27" s="229"/>
      <c r="WA27" s="229"/>
      <c r="WB27" s="229"/>
      <c r="WC27" s="229"/>
      <c r="WD27" s="229"/>
      <c r="WE27" s="229"/>
      <c r="WF27" s="229"/>
      <c r="WG27" s="229"/>
      <c r="WH27" s="229"/>
      <c r="WI27" s="229"/>
      <c r="WJ27" s="229"/>
      <c r="WK27" s="229"/>
      <c r="WL27" s="229"/>
      <c r="WM27" s="229"/>
      <c r="WN27" s="229"/>
      <c r="WO27" s="229"/>
      <c r="WP27" s="229"/>
      <c r="WQ27" s="229"/>
      <c r="WR27" s="229"/>
      <c r="WS27" s="229"/>
      <c r="WT27" s="229"/>
      <c r="WU27" s="229"/>
      <c r="WV27" s="229"/>
      <c r="WW27" s="229"/>
      <c r="WX27" s="229"/>
      <c r="WY27" s="229"/>
      <c r="WZ27" s="229"/>
      <c r="XA27" s="229"/>
      <c r="XB27" s="229"/>
      <c r="XC27" s="229" t="s">
        <v>452</v>
      </c>
      <c r="XD27" s="229" t="s">
        <v>116</v>
      </c>
      <c r="XE27" s="229" t="s">
        <v>83</v>
      </c>
      <c r="XF27" s="229" t="s">
        <v>84</v>
      </c>
      <c r="XG27" s="229" t="s">
        <v>85</v>
      </c>
      <c r="XH27" s="229" t="s">
        <v>86</v>
      </c>
      <c r="XI27" s="229"/>
      <c r="XJ27" s="229"/>
      <c r="XK27" s="229"/>
      <c r="XL27" s="229"/>
      <c r="XM27" s="229"/>
      <c r="XN27" s="229"/>
      <c r="XO27" s="229"/>
      <c r="XP27" s="229"/>
      <c r="XQ27" s="229"/>
      <c r="XR27" s="229"/>
      <c r="XS27" s="229"/>
      <c r="XT27" s="229"/>
      <c r="XU27" s="229"/>
      <c r="XV27" s="229"/>
      <c r="XW27" s="229"/>
      <c r="XX27" s="229"/>
      <c r="XY27" s="229"/>
      <c r="XZ27" s="229"/>
      <c r="YA27" s="229"/>
      <c r="YB27" s="229"/>
      <c r="YC27" s="229"/>
      <c r="YD27" s="229"/>
      <c r="YE27" s="229"/>
      <c r="YF27" s="229"/>
      <c r="YG27" s="229"/>
      <c r="YH27" s="229"/>
      <c r="YI27" s="229"/>
      <c r="YJ27" s="229"/>
      <c r="YK27" s="229"/>
      <c r="YL27" s="229"/>
      <c r="YM27" s="229"/>
      <c r="YN27" s="229"/>
      <c r="YO27" s="229"/>
      <c r="YP27" s="229"/>
      <c r="YQ27" s="229"/>
      <c r="YR27" s="229"/>
      <c r="YS27" s="229"/>
      <c r="YT27" s="229"/>
      <c r="YU27" s="229"/>
      <c r="YV27" s="229"/>
      <c r="YW27" s="229"/>
      <c r="YX27" s="229"/>
      <c r="YY27" s="229"/>
      <c r="YZ27" s="229"/>
      <c r="ZA27" s="229"/>
      <c r="ZB27" s="229"/>
      <c r="ZC27" s="229" t="s">
        <v>204</v>
      </c>
      <c r="ZD27" s="229" t="s">
        <v>205</v>
      </c>
      <c r="ZE27" s="229" t="s">
        <v>802</v>
      </c>
      <c r="ZF27" s="229" t="s">
        <v>801</v>
      </c>
      <c r="ZG27" s="229" t="s">
        <v>1100</v>
      </c>
      <c r="ZH27" s="229"/>
      <c r="ZI27" s="229" t="s">
        <v>800</v>
      </c>
      <c r="ZJ27" s="229" t="s">
        <v>1101</v>
      </c>
      <c r="ZK27" s="229" t="s">
        <v>1102</v>
      </c>
      <c r="ZL27" s="229" t="s">
        <v>1103</v>
      </c>
      <c r="ZM27" s="229" t="s">
        <v>1104</v>
      </c>
      <c r="ZN27" s="229" t="s">
        <v>1105</v>
      </c>
      <c r="ZO27" s="229" t="s">
        <v>1106</v>
      </c>
      <c r="ZP27" s="229" t="s">
        <v>1107</v>
      </c>
      <c r="ZQ27" s="229"/>
      <c r="ZR27" s="229"/>
      <c r="ZS27" s="229"/>
      <c r="ZT27" s="229"/>
      <c r="ZU27" s="229"/>
      <c r="ZV27" s="229" t="s">
        <v>807</v>
      </c>
      <c r="ZW27" s="229"/>
      <c r="ZX27" s="229"/>
      <c r="ZY27" s="229"/>
      <c r="ZZ27" s="231"/>
      <c r="AAA27" s="229"/>
      <c r="AAB27" s="229"/>
      <c r="AAC27" s="229"/>
      <c r="AAD27" s="229"/>
    </row>
    <row r="28" spans="1:706" s="94" customFormat="1" x14ac:dyDescent="0.2">
      <c r="A28" s="113" t="s">
        <v>369</v>
      </c>
      <c r="B28" s="49" t="s">
        <v>13</v>
      </c>
      <c r="C28" s="49" t="s">
        <v>13</v>
      </c>
      <c r="D28" s="49" t="s">
        <v>13</v>
      </c>
      <c r="E28" s="49" t="s">
        <v>13</v>
      </c>
      <c r="F28" s="49" t="s">
        <v>59</v>
      </c>
      <c r="G28" s="49" t="s">
        <v>31</v>
      </c>
      <c r="H28" s="49" t="s">
        <v>13</v>
      </c>
      <c r="I28" s="49" t="s">
        <v>13</v>
      </c>
      <c r="J28" s="49" t="s">
        <v>13</v>
      </c>
      <c r="K28" s="49" t="s">
        <v>13</v>
      </c>
      <c r="L28" s="49"/>
      <c r="M28" s="49" t="s">
        <v>13</v>
      </c>
      <c r="N28" s="49" t="s">
        <v>13</v>
      </c>
      <c r="O28" s="49" t="s">
        <v>13</v>
      </c>
      <c r="P28" s="49" t="s">
        <v>13</v>
      </c>
      <c r="Q28" s="49" t="s">
        <v>13</v>
      </c>
      <c r="R28" s="49" t="s">
        <v>13</v>
      </c>
      <c r="S28" s="49" t="s">
        <v>13</v>
      </c>
      <c r="T28" s="49" t="s">
        <v>13</v>
      </c>
      <c r="U28" s="49" t="s">
        <v>13</v>
      </c>
      <c r="V28" s="49" t="s">
        <v>13</v>
      </c>
      <c r="W28" s="49" t="s">
        <v>13</v>
      </c>
      <c r="X28" s="49" t="s">
        <v>13</v>
      </c>
      <c r="Y28" s="49" t="s">
        <v>13</v>
      </c>
      <c r="Z28" s="49" t="s">
        <v>13</v>
      </c>
      <c r="AA28" s="49" t="s">
        <v>13</v>
      </c>
      <c r="AB28" s="49" t="s">
        <v>13</v>
      </c>
      <c r="AC28" s="49" t="s">
        <v>13</v>
      </c>
      <c r="AD28" s="49" t="s">
        <v>13</v>
      </c>
      <c r="AE28" s="49" t="s">
        <v>13</v>
      </c>
      <c r="AF28" s="49" t="s">
        <v>13</v>
      </c>
      <c r="AG28" s="49" t="s">
        <v>13</v>
      </c>
      <c r="AH28" s="49" t="s">
        <v>13</v>
      </c>
      <c r="AI28" s="49" t="s">
        <v>13</v>
      </c>
      <c r="AJ28" s="49" t="s">
        <v>13</v>
      </c>
      <c r="AK28" s="49" t="s">
        <v>13</v>
      </c>
      <c r="AL28" s="49" t="s">
        <v>13</v>
      </c>
      <c r="AM28" s="49" t="s">
        <v>59</v>
      </c>
      <c r="AN28" s="49" t="s">
        <v>13</v>
      </c>
      <c r="AO28" s="49" t="s">
        <v>13</v>
      </c>
      <c r="AP28" s="49" t="s">
        <v>13</v>
      </c>
      <c r="AQ28" s="49" t="s">
        <v>13</v>
      </c>
      <c r="AR28" s="49" t="s">
        <v>13</v>
      </c>
      <c r="AS28" s="49" t="s">
        <v>13</v>
      </c>
      <c r="AT28" s="49" t="s">
        <v>13</v>
      </c>
      <c r="AU28" s="49" t="s">
        <v>13</v>
      </c>
      <c r="AV28" s="49" t="s">
        <v>13</v>
      </c>
      <c r="AW28" s="49" t="s">
        <v>13</v>
      </c>
      <c r="AX28" s="49" t="s">
        <v>13</v>
      </c>
      <c r="AY28" s="49" t="s">
        <v>13</v>
      </c>
      <c r="AZ28" s="49" t="s">
        <v>13</v>
      </c>
      <c r="BA28" s="49" t="s">
        <v>13</v>
      </c>
      <c r="BB28" s="49" t="s">
        <v>13</v>
      </c>
      <c r="BC28" s="49" t="s">
        <v>59</v>
      </c>
      <c r="BD28" s="49" t="s">
        <v>13</v>
      </c>
      <c r="BE28" s="49" t="s">
        <v>13</v>
      </c>
      <c r="BF28" s="49" t="s">
        <v>13</v>
      </c>
      <c r="BG28" s="49" t="s">
        <v>13</v>
      </c>
      <c r="BH28" s="49" t="s">
        <v>13</v>
      </c>
      <c r="BI28" s="49" t="s">
        <v>13</v>
      </c>
      <c r="BJ28" s="49" t="s">
        <v>13</v>
      </c>
      <c r="BK28" s="49" t="s">
        <v>13</v>
      </c>
      <c r="BL28" s="49" t="s">
        <v>13</v>
      </c>
      <c r="BM28" s="49" t="s">
        <v>13</v>
      </c>
      <c r="BN28" s="49" t="s">
        <v>13</v>
      </c>
      <c r="BO28" s="49" t="s">
        <v>13</v>
      </c>
      <c r="BP28" s="49" t="s">
        <v>13</v>
      </c>
      <c r="BQ28" s="49" t="s">
        <v>13</v>
      </c>
      <c r="BR28" s="49" t="s">
        <v>13</v>
      </c>
      <c r="BS28" s="49" t="s">
        <v>13</v>
      </c>
      <c r="BT28" s="49" t="s">
        <v>13</v>
      </c>
      <c r="BU28" s="49"/>
      <c r="BV28" s="49"/>
      <c r="BW28" s="49"/>
      <c r="BX28" s="49"/>
      <c r="BY28" s="49"/>
      <c r="BZ28" s="49"/>
      <c r="CA28" s="49"/>
      <c r="CB28" s="49"/>
      <c r="CC28" s="49"/>
      <c r="CD28" s="49"/>
      <c r="CE28" s="49"/>
      <c r="CF28" s="49"/>
      <c r="CG28" s="49"/>
      <c r="CH28" s="49"/>
      <c r="CI28" s="49" t="s">
        <v>13</v>
      </c>
      <c r="CJ28" s="49" t="s">
        <v>13</v>
      </c>
      <c r="CK28" s="49" t="s">
        <v>13</v>
      </c>
      <c r="CL28" s="49" t="s">
        <v>13</v>
      </c>
      <c r="CM28" s="49" t="s">
        <v>13</v>
      </c>
      <c r="CN28" s="49" t="s">
        <v>13</v>
      </c>
      <c r="CO28" s="49" t="s">
        <v>13</v>
      </c>
      <c r="CP28" s="49" t="s">
        <v>13</v>
      </c>
      <c r="CQ28" s="49" t="s">
        <v>13</v>
      </c>
      <c r="CR28" s="49" t="s">
        <v>13</v>
      </c>
      <c r="CS28" s="49" t="s">
        <v>13</v>
      </c>
      <c r="CT28" s="49" t="s">
        <v>13</v>
      </c>
      <c r="CU28" s="49" t="s">
        <v>13</v>
      </c>
      <c r="CV28" s="49" t="s">
        <v>13</v>
      </c>
      <c r="CW28" s="49" t="s">
        <v>13</v>
      </c>
      <c r="CX28" s="49" t="s">
        <v>13</v>
      </c>
      <c r="CY28" s="49" t="s">
        <v>13</v>
      </c>
      <c r="CZ28" s="49" t="s">
        <v>13</v>
      </c>
      <c r="DA28" s="49" t="s">
        <v>59</v>
      </c>
      <c r="DB28" s="49" t="s">
        <v>59</v>
      </c>
      <c r="DC28" s="49" t="s">
        <v>13</v>
      </c>
      <c r="DD28" s="49" t="s">
        <v>13</v>
      </c>
      <c r="DE28" s="49" t="s">
        <v>59</v>
      </c>
      <c r="DF28" s="49" t="s">
        <v>59</v>
      </c>
      <c r="DG28" s="49" t="s">
        <v>13</v>
      </c>
      <c r="DH28" s="49" t="s">
        <v>13</v>
      </c>
      <c r="DI28" s="49" t="s">
        <v>59</v>
      </c>
      <c r="DJ28" s="49" t="s">
        <v>13</v>
      </c>
      <c r="DK28" s="49" t="s">
        <v>13</v>
      </c>
      <c r="DL28" s="49" t="s">
        <v>13</v>
      </c>
      <c r="DM28" s="49"/>
      <c r="DN28" s="49" t="s">
        <v>13</v>
      </c>
      <c r="DO28" s="49" t="s">
        <v>13</v>
      </c>
      <c r="DP28" s="49" t="s">
        <v>13</v>
      </c>
      <c r="DQ28" s="49" t="s">
        <v>13</v>
      </c>
      <c r="DR28" s="49" t="s">
        <v>59</v>
      </c>
      <c r="DS28" s="49" t="s">
        <v>13</v>
      </c>
      <c r="DT28" s="49" t="s">
        <v>13</v>
      </c>
      <c r="DU28" s="49" t="s">
        <v>13</v>
      </c>
      <c r="DV28" s="49" t="s">
        <v>13</v>
      </c>
      <c r="DW28" s="122" t="s">
        <v>13</v>
      </c>
      <c r="DX28" s="49" t="s">
        <v>13</v>
      </c>
      <c r="DY28" s="49" t="s">
        <v>13</v>
      </c>
      <c r="DZ28" s="49" t="s">
        <v>13</v>
      </c>
      <c r="EA28" s="122"/>
      <c r="EB28" s="122"/>
      <c r="EC28" s="122"/>
      <c r="ED28" s="122"/>
      <c r="EE28" s="49" t="s">
        <v>13</v>
      </c>
      <c r="EF28" s="49" t="s">
        <v>13</v>
      </c>
      <c r="EG28" s="49" t="s">
        <v>13</v>
      </c>
      <c r="EH28" s="49" t="s">
        <v>13</v>
      </c>
      <c r="EI28" s="49" t="s">
        <v>13</v>
      </c>
      <c r="EJ28" s="49" t="s">
        <v>59</v>
      </c>
      <c r="EK28" s="49" t="s">
        <v>20</v>
      </c>
      <c r="EL28" s="49" t="s">
        <v>20</v>
      </c>
      <c r="EM28" s="49" t="s">
        <v>13</v>
      </c>
      <c r="EN28" s="49" t="s">
        <v>13</v>
      </c>
      <c r="EO28" s="49" t="s">
        <v>13</v>
      </c>
      <c r="EP28" s="49" t="s">
        <v>13</v>
      </c>
      <c r="EQ28" s="49" t="s">
        <v>13</v>
      </c>
      <c r="ER28" s="49" t="s">
        <v>13</v>
      </c>
      <c r="ES28" s="49" t="s">
        <v>13</v>
      </c>
      <c r="ET28" s="49" t="s">
        <v>13</v>
      </c>
      <c r="EU28" s="49" t="s">
        <v>13</v>
      </c>
      <c r="EV28" s="49" t="s">
        <v>13</v>
      </c>
      <c r="EW28" s="49" t="s">
        <v>13</v>
      </c>
      <c r="EX28" s="49" t="s">
        <v>13</v>
      </c>
      <c r="EY28" s="49" t="s">
        <v>13</v>
      </c>
      <c r="EZ28" s="49" t="s">
        <v>13</v>
      </c>
      <c r="FA28" s="49" t="s">
        <v>13</v>
      </c>
      <c r="FB28" s="49" t="s">
        <v>13</v>
      </c>
      <c r="FC28" s="49" t="s">
        <v>13</v>
      </c>
      <c r="FD28" s="49" t="s">
        <v>13</v>
      </c>
      <c r="FE28" s="49" t="s">
        <v>13</v>
      </c>
      <c r="FF28" s="49" t="s">
        <v>13</v>
      </c>
      <c r="FG28" s="49" t="s">
        <v>13</v>
      </c>
      <c r="FH28" s="49" t="s">
        <v>59</v>
      </c>
      <c r="FI28" s="49" t="s">
        <v>59</v>
      </c>
      <c r="FJ28" s="49" t="s">
        <v>59</v>
      </c>
      <c r="FK28" s="49" t="s">
        <v>13</v>
      </c>
      <c r="FL28" s="49" t="s">
        <v>59</v>
      </c>
      <c r="FM28" s="49" t="s">
        <v>13</v>
      </c>
      <c r="FN28" s="49" t="s">
        <v>13</v>
      </c>
      <c r="FO28" s="49"/>
      <c r="FP28" s="49"/>
      <c r="FQ28" s="49" t="s">
        <v>13</v>
      </c>
      <c r="FR28" s="49" t="s">
        <v>13</v>
      </c>
      <c r="FS28" s="49" t="s">
        <v>13</v>
      </c>
      <c r="FT28" s="49" t="s">
        <v>59</v>
      </c>
      <c r="FU28" s="49" t="s">
        <v>13</v>
      </c>
      <c r="FV28" s="49" t="s">
        <v>13</v>
      </c>
      <c r="FW28" s="49"/>
      <c r="FX28" s="49"/>
      <c r="FY28" s="49"/>
      <c r="FZ28" s="49"/>
      <c r="GA28" s="49" t="s">
        <v>13</v>
      </c>
      <c r="GB28" s="49" t="s">
        <v>13</v>
      </c>
      <c r="GC28" s="49" t="s">
        <v>13</v>
      </c>
      <c r="GD28" s="49" t="s">
        <v>59</v>
      </c>
      <c r="GE28" s="49" t="s">
        <v>20</v>
      </c>
      <c r="GF28" s="49" t="s">
        <v>20</v>
      </c>
      <c r="GG28" s="49" t="s">
        <v>13</v>
      </c>
      <c r="GH28" s="49" t="s">
        <v>13</v>
      </c>
      <c r="GI28" s="49" t="s">
        <v>13</v>
      </c>
      <c r="GJ28" s="49" t="s">
        <v>20</v>
      </c>
      <c r="GK28" s="49" t="s">
        <v>20</v>
      </c>
      <c r="GL28" s="49" t="s">
        <v>20</v>
      </c>
      <c r="GM28" s="49" t="s">
        <v>20</v>
      </c>
      <c r="GN28" s="49" t="s">
        <v>13</v>
      </c>
      <c r="GO28" s="49" t="s">
        <v>20</v>
      </c>
      <c r="GP28" s="49" t="s">
        <v>20</v>
      </c>
      <c r="GQ28" s="49" t="s">
        <v>13</v>
      </c>
      <c r="GR28" s="49" t="s">
        <v>20</v>
      </c>
      <c r="GS28" s="49" t="s">
        <v>13</v>
      </c>
      <c r="GT28" s="49" t="s">
        <v>59</v>
      </c>
      <c r="GU28" s="49" t="s">
        <v>13</v>
      </c>
      <c r="GV28" s="49" t="s">
        <v>13</v>
      </c>
      <c r="GW28" s="49" t="s">
        <v>13</v>
      </c>
      <c r="GX28" s="49" t="s">
        <v>13</v>
      </c>
      <c r="GY28" s="49"/>
      <c r="GZ28" s="49"/>
      <c r="HA28" s="49"/>
      <c r="HB28" s="49"/>
      <c r="HC28" s="49"/>
      <c r="HD28" s="49" t="s">
        <v>13</v>
      </c>
      <c r="HE28" s="49" t="s">
        <v>13</v>
      </c>
      <c r="HF28" s="49" t="s">
        <v>13</v>
      </c>
      <c r="HG28" s="49" t="s">
        <v>20</v>
      </c>
      <c r="HH28" s="49" t="s">
        <v>20</v>
      </c>
      <c r="HI28" s="49" t="s">
        <v>13</v>
      </c>
      <c r="HJ28" s="49" t="s">
        <v>20</v>
      </c>
      <c r="HK28" s="49" t="s">
        <v>20</v>
      </c>
      <c r="HL28" s="49" t="s">
        <v>13</v>
      </c>
      <c r="HM28" s="49" t="s">
        <v>13</v>
      </c>
      <c r="HN28" s="49" t="s">
        <v>20</v>
      </c>
      <c r="HO28" s="49" t="s">
        <v>13</v>
      </c>
      <c r="HP28" s="49" t="s">
        <v>20</v>
      </c>
      <c r="HQ28" s="49" t="s">
        <v>20</v>
      </c>
      <c r="HR28" s="49" t="s">
        <v>20</v>
      </c>
      <c r="HS28" s="49" t="s">
        <v>20</v>
      </c>
      <c r="HT28" s="49" t="s">
        <v>20</v>
      </c>
      <c r="HU28" s="49" t="s">
        <v>20</v>
      </c>
      <c r="HV28" s="49" t="s">
        <v>20</v>
      </c>
      <c r="HW28" s="49" t="s">
        <v>20</v>
      </c>
      <c r="HX28" s="465" t="s">
        <v>20</v>
      </c>
      <c r="HY28" s="465" t="s">
        <v>59</v>
      </c>
      <c r="HZ28" s="49" t="s">
        <v>59</v>
      </c>
      <c r="IA28" s="49" t="s">
        <v>59</v>
      </c>
      <c r="IB28" s="122" t="s">
        <v>13</v>
      </c>
      <c r="IC28" s="122" t="s">
        <v>13</v>
      </c>
      <c r="ID28" s="49" t="s">
        <v>59</v>
      </c>
      <c r="IE28" s="49"/>
      <c r="IF28" s="49" t="s">
        <v>20</v>
      </c>
      <c r="IG28" s="49" t="s">
        <v>20</v>
      </c>
      <c r="IH28" s="49" t="s">
        <v>59</v>
      </c>
      <c r="II28" s="49" t="s">
        <v>20</v>
      </c>
      <c r="IJ28" s="49" t="s">
        <v>20</v>
      </c>
      <c r="IK28" s="122" t="s">
        <v>59</v>
      </c>
      <c r="IL28" s="49" t="s">
        <v>13</v>
      </c>
      <c r="IM28" s="49" t="s">
        <v>13</v>
      </c>
      <c r="IN28" s="49" t="s">
        <v>13</v>
      </c>
      <c r="IO28" s="49" t="s">
        <v>20</v>
      </c>
      <c r="IP28" s="49"/>
      <c r="IQ28" s="49" t="s">
        <v>20</v>
      </c>
      <c r="IR28" s="49" t="s">
        <v>20</v>
      </c>
      <c r="IS28" s="49" t="s">
        <v>20</v>
      </c>
      <c r="IT28" s="49" t="s">
        <v>59</v>
      </c>
      <c r="IU28" s="49" t="s">
        <v>59</v>
      </c>
      <c r="IV28" s="122" t="s">
        <v>20</v>
      </c>
      <c r="IW28" s="122" t="s">
        <v>59</v>
      </c>
      <c r="IX28" s="49" t="s">
        <v>20</v>
      </c>
      <c r="IY28" s="122" t="s">
        <v>20</v>
      </c>
      <c r="IZ28" s="122" t="s">
        <v>20</v>
      </c>
      <c r="JA28" s="122" t="s">
        <v>59</v>
      </c>
      <c r="JB28" s="49" t="s">
        <v>20</v>
      </c>
      <c r="JC28" s="94" t="s">
        <v>59</v>
      </c>
      <c r="JD28" s="122" t="s">
        <v>20</v>
      </c>
      <c r="JE28" s="122" t="s">
        <v>59</v>
      </c>
      <c r="JF28" s="122" t="s">
        <v>59</v>
      </c>
      <c r="JG28" s="49" t="s">
        <v>20</v>
      </c>
      <c r="JH28" s="49" t="s">
        <v>13</v>
      </c>
      <c r="JI28" s="122" t="s">
        <v>59</v>
      </c>
      <c r="JJ28" s="49" t="s">
        <v>20</v>
      </c>
      <c r="JK28" s="122" t="s">
        <v>59</v>
      </c>
      <c r="JL28" s="49" t="s">
        <v>20</v>
      </c>
      <c r="JM28" s="122" t="s">
        <v>59</v>
      </c>
      <c r="JN28" s="49" t="s">
        <v>20</v>
      </c>
      <c r="JO28" s="49" t="s">
        <v>20</v>
      </c>
      <c r="JP28" s="49" t="s">
        <v>20</v>
      </c>
      <c r="JQ28" s="49" t="s">
        <v>59</v>
      </c>
      <c r="JR28" s="49" t="s">
        <v>59</v>
      </c>
      <c r="JS28" s="49" t="s">
        <v>59</v>
      </c>
      <c r="JT28" s="49" t="s">
        <v>20</v>
      </c>
      <c r="JU28" s="49" t="s">
        <v>20</v>
      </c>
      <c r="JV28" s="49" t="s">
        <v>20</v>
      </c>
      <c r="JW28" s="49" t="s">
        <v>20</v>
      </c>
      <c r="JX28" s="49"/>
      <c r="JY28" s="465"/>
      <c r="JZ28" s="465"/>
      <c r="KA28" s="465"/>
      <c r="KB28" s="465"/>
      <c r="KC28" s="465"/>
      <c r="KD28" s="465"/>
      <c r="KE28" s="465"/>
      <c r="KF28" s="465"/>
      <c r="KG28" s="465"/>
      <c r="KH28" s="465"/>
      <c r="KI28" s="465"/>
      <c r="KJ28" s="465"/>
      <c r="KK28" s="465"/>
      <c r="KL28" s="465"/>
      <c r="KM28" s="465"/>
      <c r="KN28" s="465"/>
      <c r="KO28" s="465"/>
      <c r="KP28" s="465"/>
      <c r="KQ28" s="465"/>
      <c r="KR28" s="465"/>
      <c r="KS28" s="465"/>
      <c r="KT28" s="465"/>
      <c r="KU28" s="465"/>
      <c r="KV28" s="465"/>
      <c r="KW28" s="465"/>
      <c r="KX28" s="465"/>
      <c r="KY28" s="465"/>
      <c r="KZ28" s="465"/>
      <c r="LA28" s="49"/>
      <c r="LB28" s="465"/>
      <c r="LC28" s="465"/>
      <c r="LD28" s="465"/>
      <c r="LE28" s="465"/>
      <c r="LF28" s="465"/>
      <c r="LG28" s="465"/>
      <c r="LH28" s="465"/>
      <c r="LI28" s="465"/>
      <c r="LJ28" s="465"/>
      <c r="LK28" s="465"/>
      <c r="LL28" s="465"/>
      <c r="LM28" s="465"/>
      <c r="LN28" s="465"/>
      <c r="LO28" s="465"/>
      <c r="LP28" s="465"/>
      <c r="LQ28" s="465"/>
      <c r="LR28" s="465" t="s">
        <v>59</v>
      </c>
      <c r="LS28" s="465" t="s">
        <v>59</v>
      </c>
      <c r="LT28" s="49"/>
      <c r="LU28" s="49"/>
      <c r="LV28" s="49"/>
      <c r="LW28" s="49"/>
      <c r="LX28" s="49"/>
      <c r="LY28" s="49"/>
      <c r="LZ28" s="49"/>
      <c r="MA28" s="49"/>
      <c r="MB28" s="49"/>
      <c r="MC28" s="49"/>
      <c r="MD28" s="49"/>
      <c r="ME28" s="49"/>
      <c r="MF28" s="49"/>
      <c r="MG28" s="49"/>
      <c r="MH28" s="49"/>
      <c r="MI28" s="49"/>
      <c r="MJ28" s="49"/>
      <c r="MK28" s="49"/>
      <c r="ML28" s="49"/>
      <c r="MM28" s="49"/>
      <c r="MN28" s="49"/>
      <c r="MO28" s="49"/>
      <c r="MP28" s="49"/>
      <c r="MQ28" s="49"/>
      <c r="MR28" s="49"/>
      <c r="MS28" s="49"/>
      <c r="MT28" s="49"/>
      <c r="MU28" s="49"/>
      <c r="MV28" s="49"/>
      <c r="MW28" s="49"/>
      <c r="MX28" s="49"/>
      <c r="MY28" s="49"/>
      <c r="MZ28" s="49"/>
      <c r="NA28" s="49"/>
      <c r="NB28" s="49"/>
      <c r="NC28" s="101"/>
      <c r="ND28" s="49"/>
      <c r="NE28" s="49"/>
      <c r="NF28" s="49"/>
      <c r="NG28" s="49"/>
      <c r="NH28" s="49"/>
      <c r="NI28" s="49"/>
      <c r="NJ28" s="49"/>
      <c r="NK28" s="49"/>
      <c r="NL28" s="49"/>
      <c r="NM28" s="49"/>
      <c r="NN28" s="49"/>
      <c r="NO28" s="49"/>
      <c r="NP28" s="49"/>
      <c r="NQ28" s="49"/>
      <c r="NR28" s="49"/>
      <c r="NS28" s="49"/>
      <c r="NT28" s="49"/>
      <c r="NU28" s="49"/>
      <c r="NV28" s="49"/>
      <c r="NW28" s="49"/>
      <c r="NX28" s="49"/>
      <c r="NY28" s="49"/>
      <c r="NZ28" s="49"/>
      <c r="OA28" s="49"/>
      <c r="OB28" s="49" t="s">
        <v>20</v>
      </c>
      <c r="OC28" s="49" t="s">
        <v>20</v>
      </c>
      <c r="OD28" s="49" t="s">
        <v>59</v>
      </c>
      <c r="OE28" s="49" t="s">
        <v>20</v>
      </c>
      <c r="OF28" s="49" t="s">
        <v>20</v>
      </c>
      <c r="OG28" s="49" t="s">
        <v>59</v>
      </c>
      <c r="OH28" s="49" t="s">
        <v>59</v>
      </c>
      <c r="OI28" s="49" t="s">
        <v>59</v>
      </c>
      <c r="OJ28" s="49" t="s">
        <v>59</v>
      </c>
      <c r="OK28" s="49" t="s">
        <v>59</v>
      </c>
      <c r="OL28" s="49" t="s">
        <v>20</v>
      </c>
      <c r="OM28" s="49"/>
      <c r="ON28" s="49"/>
      <c r="OO28" s="49"/>
      <c r="OP28" s="49"/>
      <c r="OQ28" s="49"/>
      <c r="OR28" s="49"/>
      <c r="OS28" s="49"/>
      <c r="OT28" s="49"/>
      <c r="OU28" s="49" t="s">
        <v>13</v>
      </c>
      <c r="OV28" s="49" t="s">
        <v>59</v>
      </c>
      <c r="OW28" s="49" t="s">
        <v>13</v>
      </c>
      <c r="OX28" s="49" t="s">
        <v>59</v>
      </c>
      <c r="OY28" s="49" t="s">
        <v>13</v>
      </c>
      <c r="OZ28" s="49" t="s">
        <v>13</v>
      </c>
      <c r="PA28" s="49" t="s">
        <v>59</v>
      </c>
      <c r="PB28" s="49" t="s">
        <v>13</v>
      </c>
      <c r="PC28" s="49" t="s">
        <v>13</v>
      </c>
      <c r="PD28" s="49" t="s">
        <v>59</v>
      </c>
      <c r="PE28" s="49" t="s">
        <v>59</v>
      </c>
      <c r="PF28" s="49" t="s">
        <v>59</v>
      </c>
      <c r="PG28" s="49" t="s">
        <v>59</v>
      </c>
      <c r="PH28" s="49" t="s">
        <v>59</v>
      </c>
      <c r="PI28" s="49" t="s">
        <v>59</v>
      </c>
      <c r="PJ28" s="49" t="s">
        <v>59</v>
      </c>
      <c r="PK28" s="49" t="s">
        <v>59</v>
      </c>
      <c r="PL28" s="49" t="s">
        <v>59</v>
      </c>
      <c r="PM28" s="49" t="s">
        <v>59</v>
      </c>
      <c r="PN28" s="49" t="s">
        <v>59</v>
      </c>
      <c r="PO28" s="49" t="s">
        <v>59</v>
      </c>
      <c r="PP28" s="49" t="s">
        <v>59</v>
      </c>
      <c r="PQ28" s="49" t="s">
        <v>59</v>
      </c>
      <c r="PR28" s="49" t="s">
        <v>59</v>
      </c>
      <c r="PS28" s="49" t="s">
        <v>59</v>
      </c>
      <c r="PT28" s="49" t="s">
        <v>59</v>
      </c>
      <c r="PU28" s="49" t="s">
        <v>59</v>
      </c>
      <c r="PV28" s="49" t="s">
        <v>59</v>
      </c>
      <c r="PW28" s="49" t="s">
        <v>59</v>
      </c>
      <c r="PX28" s="49" t="s">
        <v>59</v>
      </c>
      <c r="PY28" s="49" t="s">
        <v>59</v>
      </c>
      <c r="PZ28" s="49" t="s">
        <v>59</v>
      </c>
      <c r="QA28" s="49" t="s">
        <v>59</v>
      </c>
      <c r="QB28" s="49"/>
      <c r="QC28" s="49" t="s">
        <v>59</v>
      </c>
      <c r="QD28" s="49" t="s">
        <v>59</v>
      </c>
      <c r="QE28" s="49" t="s">
        <v>59</v>
      </c>
      <c r="QF28" s="49" t="s">
        <v>59</v>
      </c>
      <c r="QG28" s="49" t="s">
        <v>59</v>
      </c>
      <c r="QH28" s="49" t="s">
        <v>59</v>
      </c>
      <c r="QI28" s="49" t="s">
        <v>59</v>
      </c>
      <c r="QJ28" s="49" t="s">
        <v>59</v>
      </c>
      <c r="QK28" s="49" t="s">
        <v>59</v>
      </c>
      <c r="QL28" s="49" t="s">
        <v>59</v>
      </c>
      <c r="QM28" s="49" t="s">
        <v>59</v>
      </c>
      <c r="QN28" s="49" t="s">
        <v>59</v>
      </c>
      <c r="QO28" s="49" t="s">
        <v>59</v>
      </c>
      <c r="QP28" s="49" t="s">
        <v>59</v>
      </c>
      <c r="QQ28" s="49" t="s">
        <v>59</v>
      </c>
      <c r="QR28" s="49" t="s">
        <v>59</v>
      </c>
      <c r="QS28" s="49" t="s">
        <v>59</v>
      </c>
      <c r="QT28" s="49" t="s">
        <v>59</v>
      </c>
      <c r="QU28" s="49" t="s">
        <v>59</v>
      </c>
      <c r="QV28" s="49" t="s">
        <v>59</v>
      </c>
      <c r="QW28" s="49" t="s">
        <v>59</v>
      </c>
      <c r="QX28" s="49" t="s">
        <v>59</v>
      </c>
      <c r="QY28" s="49" t="s">
        <v>59</v>
      </c>
      <c r="QZ28" s="49" t="s">
        <v>59</v>
      </c>
      <c r="RA28" s="49" t="s">
        <v>59</v>
      </c>
      <c r="RB28" s="49" t="s">
        <v>59</v>
      </c>
      <c r="RC28" s="49"/>
      <c r="RD28" s="49"/>
      <c r="RE28" s="49"/>
      <c r="RF28" s="49"/>
      <c r="RG28" s="49"/>
      <c r="RH28" s="49"/>
      <c r="RI28" s="49"/>
      <c r="RJ28" s="49"/>
      <c r="RK28" s="49"/>
      <c r="RL28" s="49"/>
      <c r="RM28" s="49"/>
      <c r="RN28" s="49"/>
      <c r="RO28" s="49" t="s">
        <v>59</v>
      </c>
      <c r="RP28" s="49"/>
      <c r="RQ28" s="49"/>
      <c r="RR28" s="49"/>
      <c r="RS28" s="49" t="s">
        <v>20</v>
      </c>
      <c r="RT28" s="49" t="s">
        <v>59</v>
      </c>
      <c r="RU28" s="49" t="s">
        <v>59</v>
      </c>
      <c r="RV28" s="49" t="s">
        <v>59</v>
      </c>
      <c r="RW28" s="49" t="s">
        <v>59</v>
      </c>
      <c r="RX28" s="49" t="s">
        <v>59</v>
      </c>
      <c r="RY28" s="49" t="s">
        <v>59</v>
      </c>
      <c r="RZ28" s="49" t="s">
        <v>59</v>
      </c>
      <c r="SA28" s="49" t="s">
        <v>59</v>
      </c>
      <c r="SB28" s="49"/>
      <c r="SC28" s="49"/>
      <c r="SD28" s="49"/>
      <c r="SE28" s="49"/>
      <c r="SF28" s="49"/>
      <c r="SG28" s="49"/>
      <c r="SH28" s="49"/>
      <c r="SI28" s="49"/>
      <c r="SJ28" s="49"/>
      <c r="SK28" s="49"/>
      <c r="SL28" s="49"/>
      <c r="SM28" s="49"/>
      <c r="SN28" s="49"/>
      <c r="SO28" s="49"/>
      <c r="SP28" s="49"/>
      <c r="SQ28" s="49"/>
      <c r="SR28" s="49" t="s">
        <v>59</v>
      </c>
      <c r="SS28" s="49" t="s">
        <v>59</v>
      </c>
      <c r="ST28" s="49" t="s">
        <v>59</v>
      </c>
      <c r="SU28" s="49" t="s">
        <v>59</v>
      </c>
      <c r="SV28" s="49" t="s">
        <v>59</v>
      </c>
      <c r="SW28" s="49" t="s">
        <v>59</v>
      </c>
      <c r="SX28" s="49" t="s">
        <v>59</v>
      </c>
      <c r="SY28" s="49" t="s">
        <v>59</v>
      </c>
      <c r="SZ28" s="49" t="s">
        <v>59</v>
      </c>
      <c r="TA28" s="49"/>
      <c r="TB28" s="49"/>
      <c r="TC28" s="49"/>
      <c r="TD28" s="49"/>
      <c r="TE28" s="49"/>
      <c r="TF28" s="49"/>
      <c r="TG28" s="49"/>
      <c r="TH28" s="49"/>
      <c r="TI28" s="49"/>
      <c r="TJ28" s="49" t="s">
        <v>13</v>
      </c>
      <c r="TK28" s="408" t="s">
        <v>13</v>
      </c>
      <c r="TL28" s="408"/>
      <c r="TM28" s="408"/>
      <c r="TN28" s="408"/>
      <c r="TO28" s="408"/>
      <c r="TP28" s="408" t="s">
        <v>13</v>
      </c>
      <c r="TQ28" s="49"/>
      <c r="TR28" s="49" t="s">
        <v>13</v>
      </c>
      <c r="TS28" s="49" t="s">
        <v>13</v>
      </c>
      <c r="TT28" s="49" t="s">
        <v>13</v>
      </c>
      <c r="TU28" s="49" t="s">
        <v>13</v>
      </c>
      <c r="TV28" s="49" t="s">
        <v>13</v>
      </c>
      <c r="TW28" s="49" t="s">
        <v>20</v>
      </c>
      <c r="TX28" s="49" t="s">
        <v>59</v>
      </c>
      <c r="TY28" s="49" t="s">
        <v>59</v>
      </c>
      <c r="TZ28" s="49" t="s">
        <v>59</v>
      </c>
      <c r="UA28" s="49" t="s">
        <v>59</v>
      </c>
      <c r="UB28" s="49" t="s">
        <v>59</v>
      </c>
      <c r="UC28" s="49" t="s">
        <v>20</v>
      </c>
      <c r="UD28" s="49" t="s">
        <v>20</v>
      </c>
      <c r="UE28" s="49" t="s">
        <v>59</v>
      </c>
      <c r="UF28" s="49"/>
      <c r="UG28" s="49" t="s">
        <v>59</v>
      </c>
      <c r="UH28" s="49" t="s">
        <v>59</v>
      </c>
      <c r="UI28" s="49" t="s">
        <v>20</v>
      </c>
      <c r="UJ28" s="49"/>
      <c r="UK28" s="49"/>
      <c r="UL28" s="49" t="s">
        <v>59</v>
      </c>
      <c r="UM28" s="49" t="s">
        <v>59</v>
      </c>
      <c r="UN28" s="49" t="s">
        <v>59</v>
      </c>
      <c r="UO28" s="49" t="s">
        <v>59</v>
      </c>
      <c r="UP28" s="49" t="s">
        <v>59</v>
      </c>
      <c r="UQ28" s="49"/>
      <c r="UR28" s="49"/>
      <c r="US28" s="49" t="s">
        <v>59</v>
      </c>
      <c r="UT28" s="49" t="s">
        <v>59</v>
      </c>
      <c r="UU28" s="49" t="s">
        <v>59</v>
      </c>
      <c r="UV28" s="49" t="s">
        <v>59</v>
      </c>
      <c r="UW28" s="49" t="s">
        <v>59</v>
      </c>
      <c r="UX28" s="49" t="s">
        <v>20</v>
      </c>
      <c r="UY28" s="49" t="s">
        <v>59</v>
      </c>
      <c r="UZ28" s="49" t="s">
        <v>20</v>
      </c>
      <c r="VA28" s="49" t="s">
        <v>59</v>
      </c>
      <c r="VB28" s="49"/>
      <c r="VC28" s="49"/>
      <c r="VD28" s="49" t="s">
        <v>13</v>
      </c>
      <c r="VE28" s="49"/>
      <c r="VF28" s="49"/>
      <c r="VG28" s="49"/>
      <c r="VH28" s="49"/>
      <c r="VI28" s="49"/>
      <c r="VJ28" s="49"/>
      <c r="VK28" s="93"/>
      <c r="VL28" s="93"/>
      <c r="VM28" s="93"/>
      <c r="VN28" s="93"/>
      <c r="VO28" s="93"/>
      <c r="VP28" s="93"/>
      <c r="VQ28" s="93"/>
      <c r="VR28" s="93"/>
      <c r="VS28" s="93"/>
      <c r="VT28" s="93"/>
      <c r="VU28" s="93"/>
      <c r="VV28" s="93"/>
      <c r="VW28" s="93"/>
      <c r="VX28" s="49"/>
      <c r="VY28" s="49"/>
      <c r="VZ28" s="49"/>
      <c r="WA28" s="72"/>
      <c r="WB28" s="72"/>
      <c r="WC28" s="72"/>
      <c r="WD28" s="72"/>
      <c r="WE28" s="49"/>
      <c r="WF28" s="49"/>
      <c r="WG28" s="49"/>
      <c r="WH28" s="49"/>
      <c r="WI28" s="49"/>
      <c r="WJ28" s="49"/>
      <c r="WK28" s="49"/>
      <c r="WL28" s="49"/>
      <c r="WM28" s="49"/>
      <c r="WN28" s="49"/>
      <c r="WO28" s="49"/>
      <c r="WP28" s="49"/>
      <c r="WQ28" s="49"/>
      <c r="WR28" s="49"/>
      <c r="WS28" s="49"/>
      <c r="WT28" s="49"/>
      <c r="WU28" s="49"/>
      <c r="WV28" s="49"/>
      <c r="WW28" s="49"/>
      <c r="WX28" s="49"/>
      <c r="WY28" s="49"/>
      <c r="WZ28" s="49"/>
      <c r="XA28" s="49"/>
      <c r="XB28" s="49"/>
      <c r="XC28" s="49" t="s">
        <v>20</v>
      </c>
      <c r="XD28" s="49" t="s">
        <v>13</v>
      </c>
      <c r="XE28" s="49" t="s">
        <v>13</v>
      </c>
      <c r="XF28" s="49" t="s">
        <v>13</v>
      </c>
      <c r="XG28" s="49" t="s">
        <v>13</v>
      </c>
      <c r="XH28" s="49" t="s">
        <v>13</v>
      </c>
      <c r="XI28" s="49" t="s">
        <v>59</v>
      </c>
      <c r="XJ28" s="49" t="s">
        <v>59</v>
      </c>
      <c r="XK28" s="49" t="s">
        <v>59</v>
      </c>
      <c r="XL28" s="49" t="s">
        <v>59</v>
      </c>
      <c r="XM28" s="49" t="s">
        <v>59</v>
      </c>
      <c r="XN28" s="49" t="s">
        <v>59</v>
      </c>
      <c r="XO28" s="49" t="s">
        <v>59</v>
      </c>
      <c r="XP28" s="49" t="s">
        <v>59</v>
      </c>
      <c r="XQ28" s="49" t="s">
        <v>59</v>
      </c>
      <c r="XR28" s="49" t="s">
        <v>59</v>
      </c>
      <c r="XS28" s="49" t="s">
        <v>59</v>
      </c>
      <c r="XT28" s="49" t="s">
        <v>20</v>
      </c>
      <c r="XU28" s="49" t="s">
        <v>20</v>
      </c>
      <c r="XV28" s="49" t="s">
        <v>20</v>
      </c>
      <c r="XW28" s="49" t="s">
        <v>20</v>
      </c>
      <c r="XX28" s="49" t="s">
        <v>20</v>
      </c>
      <c r="XY28" s="49" t="s">
        <v>20</v>
      </c>
      <c r="XZ28" s="49" t="s">
        <v>20</v>
      </c>
      <c r="YA28" s="49" t="s">
        <v>20</v>
      </c>
      <c r="YB28" s="49" t="s">
        <v>20</v>
      </c>
      <c r="YC28" s="49" t="s">
        <v>59</v>
      </c>
      <c r="YD28" s="49" t="s">
        <v>20</v>
      </c>
      <c r="YE28" s="49" t="s">
        <v>59</v>
      </c>
      <c r="YF28" s="49" t="s">
        <v>20</v>
      </c>
      <c r="YG28" s="49" t="s">
        <v>20</v>
      </c>
      <c r="YH28" s="49" t="s">
        <v>20</v>
      </c>
      <c r="YI28" s="101" t="s">
        <v>59</v>
      </c>
      <c r="YJ28" s="49" t="s">
        <v>20</v>
      </c>
      <c r="YK28" s="49" t="s">
        <v>20</v>
      </c>
      <c r="YL28" s="49" t="s">
        <v>20</v>
      </c>
      <c r="YM28" s="49" t="s">
        <v>20</v>
      </c>
      <c r="YN28" s="49" t="s">
        <v>59</v>
      </c>
      <c r="YO28" s="49" t="s">
        <v>59</v>
      </c>
      <c r="YP28" s="49" t="s">
        <v>13</v>
      </c>
      <c r="YQ28" s="49" t="s">
        <v>20</v>
      </c>
      <c r="YR28" s="49"/>
      <c r="YS28" s="49"/>
      <c r="YT28" s="49"/>
      <c r="YU28" s="49"/>
      <c r="YV28" s="49"/>
      <c r="YW28" s="49"/>
      <c r="YX28" s="49"/>
      <c r="YY28" s="49"/>
      <c r="YZ28" s="49"/>
      <c r="ZA28" s="49"/>
      <c r="ZB28" s="49"/>
      <c r="ZC28" s="49" t="s">
        <v>20</v>
      </c>
      <c r="ZD28" s="49" t="s">
        <v>20</v>
      </c>
      <c r="ZE28" s="49" t="s">
        <v>13</v>
      </c>
      <c r="ZF28" s="49" t="s">
        <v>13</v>
      </c>
      <c r="ZG28" s="49" t="s">
        <v>13</v>
      </c>
      <c r="ZH28" s="49" t="s">
        <v>59</v>
      </c>
      <c r="ZI28" s="49" t="s">
        <v>13</v>
      </c>
      <c r="ZJ28" s="49" t="s">
        <v>13</v>
      </c>
      <c r="ZK28" s="49" t="s">
        <v>13</v>
      </c>
      <c r="ZL28" s="49" t="s">
        <v>13</v>
      </c>
      <c r="ZM28" s="49" t="s">
        <v>13</v>
      </c>
      <c r="ZN28" s="49" t="s">
        <v>13</v>
      </c>
      <c r="ZO28" s="49" t="s">
        <v>13</v>
      </c>
      <c r="ZP28" s="49" t="s">
        <v>13</v>
      </c>
      <c r="ZQ28" s="49" t="s">
        <v>20</v>
      </c>
      <c r="ZR28" s="49" t="s">
        <v>20</v>
      </c>
      <c r="ZS28" s="49" t="s">
        <v>20</v>
      </c>
      <c r="ZT28" s="49" t="s">
        <v>20</v>
      </c>
      <c r="ZU28" s="49" t="s">
        <v>59</v>
      </c>
      <c r="ZV28" s="49" t="s">
        <v>13</v>
      </c>
      <c r="ZW28" s="49"/>
      <c r="ZX28" s="49"/>
      <c r="ZY28" s="49"/>
      <c r="ZZ28" s="122"/>
      <c r="AAA28" s="49"/>
      <c r="AAB28" s="49"/>
      <c r="AAC28" s="49"/>
      <c r="AAD28" s="49"/>
    </row>
    <row r="29" spans="1:706" s="26" customFormat="1" ht="12.1" customHeight="1" x14ac:dyDescent="0.25">
      <c r="A29" s="236" t="s">
        <v>370</v>
      </c>
      <c r="B29" s="237" t="s">
        <v>263</v>
      </c>
      <c r="C29" s="237" t="s">
        <v>1</v>
      </c>
      <c r="D29" s="237" t="s">
        <v>2</v>
      </c>
      <c r="E29" s="238" t="s">
        <v>3</v>
      </c>
      <c r="F29" s="238" t="s">
        <v>379</v>
      </c>
      <c r="G29" s="238" t="s">
        <v>122</v>
      </c>
      <c r="H29" s="238" t="s">
        <v>234</v>
      </c>
      <c r="I29" s="238" t="s">
        <v>77</v>
      </c>
      <c r="J29" s="239" t="s">
        <v>4</v>
      </c>
      <c r="K29" s="239" t="s">
        <v>5</v>
      </c>
      <c r="L29" s="239"/>
      <c r="M29" s="239" t="s">
        <v>71</v>
      </c>
      <c r="N29" s="239" t="s">
        <v>72</v>
      </c>
      <c r="O29" s="239" t="s">
        <v>73</v>
      </c>
      <c r="P29" s="239" t="s">
        <v>102</v>
      </c>
      <c r="Q29" s="239" t="s">
        <v>103</v>
      </c>
      <c r="R29" s="239" t="s">
        <v>104</v>
      </c>
      <c r="S29" s="239" t="s">
        <v>105</v>
      </c>
      <c r="T29" s="239" t="s">
        <v>110</v>
      </c>
      <c r="U29" s="239" t="s">
        <v>8</v>
      </c>
      <c r="V29" s="239" t="s">
        <v>9</v>
      </c>
      <c r="W29" s="239" t="s">
        <v>106</v>
      </c>
      <c r="X29" s="239" t="s">
        <v>21</v>
      </c>
      <c r="Y29" s="239" t="s">
        <v>254</v>
      </c>
      <c r="Z29" s="239" t="s">
        <v>6</v>
      </c>
      <c r="AA29" s="239" t="s">
        <v>7</v>
      </c>
      <c r="AB29" s="239" t="s">
        <v>107</v>
      </c>
      <c r="AC29" s="239" t="s">
        <v>600</v>
      </c>
      <c r="AD29" s="239" t="s">
        <v>601</v>
      </c>
      <c r="AE29" s="239" t="s">
        <v>602</v>
      </c>
      <c r="AF29" s="239" t="s">
        <v>603</v>
      </c>
      <c r="AG29" s="239" t="s">
        <v>604</v>
      </c>
      <c r="AH29" s="239" t="s">
        <v>605</v>
      </c>
      <c r="AI29" s="239" t="s">
        <v>606</v>
      </c>
      <c r="AJ29" s="239" t="s">
        <v>607</v>
      </c>
      <c r="AK29" s="239" t="s">
        <v>608</v>
      </c>
      <c r="AL29" s="239" t="s">
        <v>609</v>
      </c>
      <c r="AM29" s="239"/>
      <c r="AN29" s="239" t="s">
        <v>610</v>
      </c>
      <c r="AO29" s="239" t="s">
        <v>611</v>
      </c>
      <c r="AP29" s="239" t="s">
        <v>612</v>
      </c>
      <c r="AQ29" s="239" t="s">
        <v>614</v>
      </c>
      <c r="AR29" s="239" t="s">
        <v>1213</v>
      </c>
      <c r="AS29" s="239" t="s">
        <v>1214</v>
      </c>
      <c r="AT29" s="239" t="s">
        <v>1215</v>
      </c>
      <c r="AU29" s="239" t="s">
        <v>1216</v>
      </c>
      <c r="AV29" s="239" t="s">
        <v>1217</v>
      </c>
      <c r="AW29" s="239" t="s">
        <v>1218</v>
      </c>
      <c r="AX29" s="239" t="s">
        <v>1219</v>
      </c>
      <c r="AY29" s="239" t="s">
        <v>1220</v>
      </c>
      <c r="AZ29" s="239" t="s">
        <v>1221</v>
      </c>
      <c r="BA29" s="239" t="s">
        <v>1222</v>
      </c>
      <c r="BB29" s="239" t="s">
        <v>1223</v>
      </c>
      <c r="BC29" s="239" t="s">
        <v>19</v>
      </c>
      <c r="BD29" s="239" t="s">
        <v>22</v>
      </c>
      <c r="BE29" s="239" t="s">
        <v>1224</v>
      </c>
      <c r="BF29" s="239" t="s">
        <v>1225</v>
      </c>
      <c r="BG29" s="239" t="s">
        <v>23</v>
      </c>
      <c r="BH29" s="239" t="s">
        <v>117</v>
      </c>
      <c r="BI29" s="239" t="s">
        <v>867</v>
      </c>
      <c r="BJ29" s="239" t="s">
        <v>126</v>
      </c>
      <c r="BK29" s="239" t="s">
        <v>75</v>
      </c>
      <c r="BL29" s="239" t="s">
        <v>108</v>
      </c>
      <c r="BM29" s="239" t="s">
        <v>109</v>
      </c>
      <c r="BN29" s="239" t="s">
        <v>259</v>
      </c>
      <c r="BO29" s="239" t="s">
        <v>260</v>
      </c>
      <c r="BP29" s="239" t="s">
        <v>1022</v>
      </c>
      <c r="BQ29" s="239" t="s">
        <v>695</v>
      </c>
      <c r="BR29" s="239" t="s">
        <v>697</v>
      </c>
      <c r="BS29" s="239" t="s">
        <v>698</v>
      </c>
      <c r="BT29" s="239" t="s">
        <v>692</v>
      </c>
      <c r="BU29" s="239"/>
      <c r="BV29" s="239"/>
      <c r="BW29" s="239"/>
      <c r="BX29" s="239"/>
      <c r="BY29" s="239"/>
      <c r="BZ29" s="239"/>
      <c r="CA29" s="239"/>
      <c r="CB29" s="239"/>
      <c r="CC29" s="239"/>
      <c r="CD29" s="239"/>
      <c r="CE29" s="239"/>
      <c r="CF29" s="239"/>
      <c r="CG29" s="239"/>
      <c r="CH29" s="239"/>
      <c r="CI29" s="239" t="s">
        <v>1226</v>
      </c>
      <c r="CJ29" s="239" t="s">
        <v>1227</v>
      </c>
      <c r="CK29" s="239" t="s">
        <v>883</v>
      </c>
      <c r="CL29" s="239" t="s">
        <v>70</v>
      </c>
      <c r="CM29" s="239" t="s">
        <v>1228</v>
      </c>
      <c r="CN29" s="239" t="s">
        <v>34</v>
      </c>
      <c r="CO29" s="239" t="s">
        <v>35</v>
      </c>
      <c r="CP29" s="239" t="s">
        <v>144</v>
      </c>
      <c r="CQ29" s="239" t="s">
        <v>96</v>
      </c>
      <c r="CR29" s="239" t="s">
        <v>41</v>
      </c>
      <c r="CS29" s="239" t="s">
        <v>127</v>
      </c>
      <c r="CT29" s="239" t="s">
        <v>142</v>
      </c>
      <c r="CU29" s="239" t="s">
        <v>95</v>
      </c>
      <c r="CV29" s="239" t="s">
        <v>39</v>
      </c>
      <c r="CW29" s="239" t="s">
        <v>143</v>
      </c>
      <c r="CX29" s="239" t="s">
        <v>36</v>
      </c>
      <c r="CY29" s="239" t="s">
        <v>37</v>
      </c>
      <c r="CZ29" s="239" t="s">
        <v>56</v>
      </c>
      <c r="DA29" s="239"/>
      <c r="DB29" s="239"/>
      <c r="DC29" s="239" t="s">
        <v>135</v>
      </c>
      <c r="DD29" s="239" t="s">
        <v>868</v>
      </c>
      <c r="DE29" s="239"/>
      <c r="DF29" s="239"/>
      <c r="DG29" s="239" t="s">
        <v>208</v>
      </c>
      <c r="DH29" s="239" t="s">
        <v>301</v>
      </c>
      <c r="DI29" s="239"/>
      <c r="DJ29" s="239" t="s">
        <v>1229</v>
      </c>
      <c r="DK29" s="239" t="s">
        <v>1230</v>
      </c>
      <c r="DL29" s="239" t="s">
        <v>1231</v>
      </c>
      <c r="DM29" s="239"/>
      <c r="DN29" s="239" t="s">
        <v>128</v>
      </c>
      <c r="DO29" s="239" t="s">
        <v>40</v>
      </c>
      <c r="DP29" s="239" t="s">
        <v>38</v>
      </c>
      <c r="DQ29" s="239" t="s">
        <v>93</v>
      </c>
      <c r="DR29" s="239"/>
      <c r="DS29" s="239" t="s">
        <v>679</v>
      </c>
      <c r="DT29" s="239" t="s">
        <v>1014</v>
      </c>
      <c r="DU29" s="239" t="s">
        <v>64</v>
      </c>
      <c r="DV29" s="239" t="s">
        <v>65</v>
      </c>
      <c r="DW29" s="240" t="s">
        <v>1232</v>
      </c>
      <c r="DX29" s="239" t="s">
        <v>179</v>
      </c>
      <c r="DY29" s="239" t="s">
        <v>845</v>
      </c>
      <c r="DZ29" s="239" t="s">
        <v>192</v>
      </c>
      <c r="EA29" s="240"/>
      <c r="EB29" s="240"/>
      <c r="EC29" s="240"/>
      <c r="ED29" s="240"/>
      <c r="EE29" s="239" t="s">
        <v>46</v>
      </c>
      <c r="EF29" s="239" t="s">
        <v>1233</v>
      </c>
      <c r="EG29" s="239" t="s">
        <v>42</v>
      </c>
      <c r="EH29" s="239" t="s">
        <v>136</v>
      </c>
      <c r="EI29" s="239" t="s">
        <v>44</v>
      </c>
      <c r="EJ29" s="239"/>
      <c r="EK29" s="239" t="s">
        <v>275</v>
      </c>
      <c r="EL29" s="239" t="s">
        <v>66</v>
      </c>
      <c r="EM29" s="239" t="s">
        <v>63</v>
      </c>
      <c r="EN29" s="239" t="s">
        <v>113</v>
      </c>
      <c r="EO29" s="239" t="s">
        <v>268</v>
      </c>
      <c r="EP29" s="239" t="s">
        <v>101</v>
      </c>
      <c r="EQ29" s="239" t="s">
        <v>269</v>
      </c>
      <c r="ER29" s="239" t="s">
        <v>590</v>
      </c>
      <c r="ES29" s="239" t="s">
        <v>599</v>
      </c>
      <c r="ET29" s="239" t="s">
        <v>24</v>
      </c>
      <c r="EU29" s="239" t="s">
        <v>26</v>
      </c>
      <c r="EV29" s="239" t="s">
        <v>28</v>
      </c>
      <c r="EW29" s="239" t="s">
        <v>25</v>
      </c>
      <c r="EX29" s="239" t="s">
        <v>27</v>
      </c>
      <c r="EY29" s="239" t="s">
        <v>29</v>
      </c>
      <c r="EZ29" s="239" t="s">
        <v>488</v>
      </c>
      <c r="FA29" s="239" t="s">
        <v>598</v>
      </c>
      <c r="FB29" s="239" t="s">
        <v>489</v>
      </c>
      <c r="FC29" s="239" t="s">
        <v>506</v>
      </c>
      <c r="FD29" s="239" t="s">
        <v>507</v>
      </c>
      <c r="FE29" s="239" t="s">
        <v>508</v>
      </c>
      <c r="FF29" s="239" t="s">
        <v>681</v>
      </c>
      <c r="FG29" s="239" t="s">
        <v>682</v>
      </c>
      <c r="FH29" s="239" t="s">
        <v>30</v>
      </c>
      <c r="FI29" s="239" t="s">
        <v>32</v>
      </c>
      <c r="FJ29" s="239" t="s">
        <v>33</v>
      </c>
      <c r="FK29" s="239" t="s">
        <v>270</v>
      </c>
      <c r="FL29" s="239"/>
      <c r="FM29" s="239" t="s">
        <v>271</v>
      </c>
      <c r="FN29" s="239" t="s">
        <v>277</v>
      </c>
      <c r="FO29" s="239"/>
      <c r="FP29" s="239"/>
      <c r="FQ29" s="239" t="s">
        <v>1234</v>
      </c>
      <c r="FR29" s="239" t="s">
        <v>1235</v>
      </c>
      <c r="FS29" s="239" t="s">
        <v>1236</v>
      </c>
      <c r="FT29" s="239" t="s">
        <v>1237</v>
      </c>
      <c r="FU29" s="239" t="s">
        <v>688</v>
      </c>
      <c r="FV29" s="239" t="s">
        <v>1238</v>
      </c>
      <c r="FW29" s="239"/>
      <c r="FX29" s="239"/>
      <c r="FY29" s="239"/>
      <c r="FZ29" s="239"/>
      <c r="GA29" s="239" t="s">
        <v>1055</v>
      </c>
      <c r="GB29" s="239" t="s">
        <v>815</v>
      </c>
      <c r="GC29" s="239" t="s">
        <v>1239</v>
      </c>
      <c r="GD29" s="239"/>
      <c r="GE29" s="239" t="s">
        <v>281</v>
      </c>
      <c r="GF29" s="239" t="s">
        <v>282</v>
      </c>
      <c r="GG29" s="239" t="s">
        <v>814</v>
      </c>
      <c r="GH29" s="239" t="s">
        <v>284</v>
      </c>
      <c r="GI29" s="239" t="s">
        <v>216</v>
      </c>
      <c r="GJ29" s="239" t="s">
        <v>283</v>
      </c>
      <c r="GK29" s="239" t="s">
        <v>230</v>
      </c>
      <c r="GL29" s="239" t="s">
        <v>328</v>
      </c>
      <c r="GM29" s="239" t="s">
        <v>436</v>
      </c>
      <c r="GN29" s="239" t="s">
        <v>816</v>
      </c>
      <c r="GO29" s="239" t="s">
        <v>394</v>
      </c>
      <c r="GP29" s="239" t="s">
        <v>327</v>
      </c>
      <c r="GQ29" s="239" t="s">
        <v>817</v>
      </c>
      <c r="GR29" s="239" t="s">
        <v>402</v>
      </c>
      <c r="GS29" s="239" t="s">
        <v>818</v>
      </c>
      <c r="GT29" s="239"/>
      <c r="GU29" s="239" t="s">
        <v>866</v>
      </c>
      <c r="GV29" s="239" t="s">
        <v>1240</v>
      </c>
      <c r="GW29" s="239" t="s">
        <v>1241</v>
      </c>
      <c r="GX29" s="239" t="s">
        <v>1242</v>
      </c>
      <c r="GY29" s="239"/>
      <c r="GZ29" s="239"/>
      <c r="HA29" s="239"/>
      <c r="HB29" s="239"/>
      <c r="HC29" s="239"/>
      <c r="HD29" s="239" t="s">
        <v>257</v>
      </c>
      <c r="HE29" s="239" t="s">
        <v>1243</v>
      </c>
      <c r="HF29" s="239" t="s">
        <v>819</v>
      </c>
      <c r="HG29" s="239" t="s">
        <v>407</v>
      </c>
      <c r="HH29" s="239" t="s">
        <v>413</v>
      </c>
      <c r="HI29" s="239" t="s">
        <v>820</v>
      </c>
      <c r="HJ29" s="239" t="s">
        <v>417</v>
      </c>
      <c r="HK29" s="239" t="s">
        <v>421</v>
      </c>
      <c r="HL29" s="239" t="s">
        <v>821</v>
      </c>
      <c r="HM29" s="239" t="s">
        <v>822</v>
      </c>
      <c r="HN29" s="239" t="s">
        <v>425</v>
      </c>
      <c r="HO29" s="239" t="s">
        <v>823</v>
      </c>
      <c r="HP29" s="239" t="s">
        <v>420</v>
      </c>
      <c r="HQ29" s="239" t="s">
        <v>1244</v>
      </c>
      <c r="HR29" s="239" t="s">
        <v>1245</v>
      </c>
      <c r="HS29" s="239" t="s">
        <v>398</v>
      </c>
      <c r="HT29" s="239" t="s">
        <v>1246</v>
      </c>
      <c r="HU29" s="239" t="s">
        <v>1196</v>
      </c>
      <c r="HV29" s="239" t="s">
        <v>1197</v>
      </c>
      <c r="HW29" s="239" t="s">
        <v>1198</v>
      </c>
      <c r="HX29" s="239" t="s">
        <v>1199</v>
      </c>
      <c r="HY29" s="410"/>
      <c r="HZ29" s="241"/>
      <c r="IA29" s="241"/>
      <c r="IB29" s="246" t="s">
        <v>227</v>
      </c>
      <c r="IC29" s="240" t="s">
        <v>1247</v>
      </c>
      <c r="ID29" s="239" t="s">
        <v>2316</v>
      </c>
      <c r="IE29" s="239"/>
      <c r="IF29" s="239" t="s">
        <v>1248</v>
      </c>
      <c r="IG29" s="239" t="s">
        <v>1249</v>
      </c>
      <c r="IH29" s="239"/>
      <c r="II29" s="239" t="s">
        <v>493</v>
      </c>
      <c r="IJ29" s="239" t="s">
        <v>627</v>
      </c>
      <c r="IK29" s="411"/>
      <c r="IL29" s="239" t="s">
        <v>289</v>
      </c>
      <c r="IM29" s="239" t="s">
        <v>290</v>
      </c>
      <c r="IN29" s="239" t="s">
        <v>768</v>
      </c>
      <c r="IO29" s="239" t="s">
        <v>1250</v>
      </c>
      <c r="IP29" s="239"/>
      <c r="IQ29" s="239" t="s">
        <v>510</v>
      </c>
      <c r="IR29" s="239" t="s">
        <v>1251</v>
      </c>
      <c r="IS29" s="239" t="s">
        <v>1252</v>
      </c>
      <c r="IT29" s="239"/>
      <c r="IU29" s="239"/>
      <c r="IV29" s="240" t="s">
        <v>514</v>
      </c>
      <c r="IW29" s="240"/>
      <c r="IX29" s="239" t="s">
        <v>515</v>
      </c>
      <c r="IY29" s="240" t="s">
        <v>516</v>
      </c>
      <c r="IZ29" s="240" t="s">
        <v>518</v>
      </c>
      <c r="JA29" s="240"/>
      <c r="JB29" s="239" t="s">
        <v>522</v>
      </c>
      <c r="JC29" s="239"/>
      <c r="JD29" s="240" t="s">
        <v>526</v>
      </c>
      <c r="JE29" s="240"/>
      <c r="JF29" s="411"/>
      <c r="JG29" s="239" t="s">
        <v>528</v>
      </c>
      <c r="JH29" s="239" t="s">
        <v>182</v>
      </c>
      <c r="JI29" s="411"/>
      <c r="JJ29" s="239" t="s">
        <v>532</v>
      </c>
      <c r="JK29" s="411"/>
      <c r="JL29" s="239" t="s">
        <v>533</v>
      </c>
      <c r="JM29" s="411"/>
      <c r="JN29" s="239" t="s">
        <v>534</v>
      </c>
      <c r="JO29" s="239" t="s">
        <v>497</v>
      </c>
      <c r="JP29" s="239" t="s">
        <v>505</v>
      </c>
      <c r="JQ29" s="239"/>
      <c r="JR29" s="239"/>
      <c r="JS29" s="239"/>
      <c r="JT29" s="239" t="s">
        <v>501</v>
      </c>
      <c r="JU29" s="239" t="s">
        <v>1253</v>
      </c>
      <c r="JV29" s="240" t="s">
        <v>1254</v>
      </c>
      <c r="JW29" s="240" t="s">
        <v>1255</v>
      </c>
      <c r="JX29" s="240"/>
      <c r="JY29" s="242"/>
      <c r="JZ29" s="242"/>
      <c r="KA29" s="242"/>
      <c r="KB29" s="242"/>
      <c r="KC29" s="242"/>
      <c r="KD29" s="242"/>
      <c r="KE29" s="242"/>
      <c r="KF29" s="242"/>
      <c r="KG29" s="242"/>
      <c r="KH29" s="242"/>
      <c r="KI29" s="242"/>
      <c r="KJ29" s="242"/>
      <c r="KK29" s="242"/>
      <c r="KL29" s="242"/>
      <c r="KM29" s="242"/>
      <c r="KN29" s="242"/>
      <c r="KO29" s="242"/>
      <c r="KP29" s="242"/>
      <c r="KQ29" s="242"/>
      <c r="KR29" s="242"/>
      <c r="KS29" s="242"/>
      <c r="KT29" s="242"/>
      <c r="KU29" s="242"/>
      <c r="KV29" s="242"/>
      <c r="KW29" s="242"/>
      <c r="KX29" s="242"/>
      <c r="KY29" s="242"/>
      <c r="KZ29" s="242"/>
      <c r="LA29" s="239"/>
      <c r="LB29" s="242"/>
      <c r="LC29" s="410"/>
      <c r="LD29" s="410"/>
      <c r="LE29" s="242"/>
      <c r="LF29" s="242"/>
      <c r="LG29" s="242"/>
      <c r="LH29" s="242"/>
      <c r="LI29" s="242"/>
      <c r="LJ29" s="242"/>
      <c r="LK29" s="242"/>
      <c r="LL29" s="242"/>
      <c r="LM29" s="242"/>
      <c r="LN29" s="242"/>
      <c r="LO29" s="242"/>
      <c r="LP29" s="242"/>
      <c r="LQ29" s="242"/>
      <c r="LR29" s="242"/>
      <c r="LS29" s="242"/>
      <c r="LT29" s="242"/>
      <c r="LU29" s="242"/>
      <c r="LV29" s="242"/>
      <c r="LW29" s="242"/>
      <c r="LX29" s="242"/>
      <c r="LY29" s="242"/>
      <c r="LZ29" s="242"/>
      <c r="MA29" s="242"/>
      <c r="MB29" s="242"/>
      <c r="MC29" s="242"/>
      <c r="MD29" s="242"/>
      <c r="ME29" s="242"/>
      <c r="MF29" s="242"/>
      <c r="MG29" s="242"/>
      <c r="MH29" s="242"/>
      <c r="MI29" s="242"/>
      <c r="MJ29" s="242"/>
      <c r="MK29" s="242"/>
      <c r="ML29" s="242"/>
      <c r="MM29" s="242"/>
      <c r="MN29" s="242"/>
      <c r="MO29" s="242"/>
      <c r="MP29" s="242"/>
      <c r="MQ29" s="242"/>
      <c r="MR29" s="242"/>
      <c r="MS29" s="242"/>
      <c r="MT29" s="242"/>
      <c r="MU29" s="242"/>
      <c r="MV29" s="242"/>
      <c r="MW29" s="242"/>
      <c r="MX29" s="242"/>
      <c r="MY29" s="242"/>
      <c r="MZ29" s="242"/>
      <c r="NA29" s="242"/>
      <c r="NB29" s="242"/>
      <c r="NC29" s="243"/>
      <c r="ND29" s="242"/>
      <c r="NE29" s="242"/>
      <c r="NF29" s="242"/>
      <c r="NG29" s="242"/>
      <c r="NH29" s="242"/>
      <c r="NI29" s="242"/>
      <c r="NJ29" s="242"/>
      <c r="NK29" s="239"/>
      <c r="NL29" s="239"/>
      <c r="NM29" s="239"/>
      <c r="NN29" s="239"/>
      <c r="NO29" s="239"/>
      <c r="NP29" s="239"/>
      <c r="NQ29" s="239"/>
      <c r="NR29" s="239"/>
      <c r="NS29" s="239"/>
      <c r="NT29" s="239"/>
      <c r="NU29" s="239"/>
      <c r="NV29" s="239"/>
      <c r="NW29" s="239"/>
      <c r="NX29" s="239"/>
      <c r="NY29" s="239"/>
      <c r="NZ29" s="239"/>
      <c r="OA29" s="239"/>
      <c r="OB29" s="239" t="s">
        <v>1256</v>
      </c>
      <c r="OC29" s="239" t="s">
        <v>1257</v>
      </c>
      <c r="OD29" s="239"/>
      <c r="OE29" s="239" t="s">
        <v>1258</v>
      </c>
      <c r="OF29" s="239" t="s">
        <v>1259</v>
      </c>
      <c r="OG29" s="239"/>
      <c r="OH29" s="239"/>
      <c r="OI29" s="239" t="s">
        <v>1260</v>
      </c>
      <c r="OJ29" s="239" t="s">
        <v>899</v>
      </c>
      <c r="OK29" s="239" t="s">
        <v>1011</v>
      </c>
      <c r="OL29" s="239" t="s">
        <v>1261</v>
      </c>
      <c r="OM29" s="239"/>
      <c r="ON29" s="239"/>
      <c r="OO29" s="239"/>
      <c r="OP29" s="239"/>
      <c r="OQ29" s="239"/>
      <c r="OR29" s="239"/>
      <c r="OS29" s="239"/>
      <c r="OT29" s="239"/>
      <c r="OU29" s="239" t="s">
        <v>94</v>
      </c>
      <c r="OV29" s="239"/>
      <c r="OW29" s="239" t="s">
        <v>734</v>
      </c>
      <c r="OX29" s="239"/>
      <c r="OY29" s="239" t="s">
        <v>91</v>
      </c>
      <c r="OZ29" s="239" t="s">
        <v>742</v>
      </c>
      <c r="PA29" s="239"/>
      <c r="PB29" s="239" t="s">
        <v>743</v>
      </c>
      <c r="PC29" s="239" t="s">
        <v>92</v>
      </c>
      <c r="PD29" s="239"/>
      <c r="PE29" s="239"/>
      <c r="PF29" s="239"/>
      <c r="PG29" s="239"/>
      <c r="PH29" s="239"/>
      <c r="PI29" s="239"/>
      <c r="PJ29" s="239"/>
      <c r="PK29" s="239"/>
      <c r="PL29" s="239"/>
      <c r="PM29" s="239"/>
      <c r="PN29" s="239"/>
      <c r="PO29" s="239"/>
      <c r="PP29" s="239"/>
      <c r="PQ29" s="239"/>
      <c r="PR29" s="239"/>
      <c r="PS29" s="239"/>
      <c r="PT29" s="239"/>
      <c r="PU29" s="239"/>
      <c r="PV29" s="239"/>
      <c r="PW29" s="239"/>
      <c r="PX29" s="239"/>
      <c r="PY29" s="239"/>
      <c r="PZ29" s="239"/>
      <c r="QA29" s="239"/>
      <c r="QB29" s="239"/>
      <c r="QC29" s="239"/>
      <c r="QD29" s="239"/>
      <c r="QE29" s="239"/>
      <c r="QF29" s="239"/>
      <c r="QG29" s="239"/>
      <c r="QH29" s="239"/>
      <c r="QI29" s="239"/>
      <c r="QJ29" s="239"/>
      <c r="QK29" s="239"/>
      <c r="QL29" s="239"/>
      <c r="QM29" s="239"/>
      <c r="QN29" s="239"/>
      <c r="QO29" s="239"/>
      <c r="QP29" s="239"/>
      <c r="QQ29" s="239"/>
      <c r="QR29" s="239"/>
      <c r="QS29" s="239"/>
      <c r="QT29" s="239"/>
      <c r="QU29" s="239"/>
      <c r="QV29" s="239"/>
      <c r="QW29" s="239"/>
      <c r="QX29" s="239"/>
      <c r="QY29" s="239"/>
      <c r="QZ29" s="239"/>
      <c r="RA29" s="239"/>
      <c r="RB29" s="239"/>
      <c r="RC29" s="239"/>
      <c r="RD29" s="239"/>
      <c r="RE29" s="239"/>
      <c r="RF29" s="239"/>
      <c r="RG29" s="239"/>
      <c r="RH29" s="239"/>
      <c r="RI29" s="239"/>
      <c r="RJ29" s="239"/>
      <c r="RK29" s="239"/>
      <c r="RL29" s="239"/>
      <c r="RM29" s="239"/>
      <c r="RN29" s="239"/>
      <c r="RO29" s="239"/>
      <c r="RP29" s="239"/>
      <c r="RQ29" s="239"/>
      <c r="RR29" s="239"/>
      <c r="RS29" s="239" t="s">
        <v>468</v>
      </c>
      <c r="RT29" s="239"/>
      <c r="RU29" s="239"/>
      <c r="RV29" s="239"/>
      <c r="RW29" s="239"/>
      <c r="RX29" s="239"/>
      <c r="RY29" s="239"/>
      <c r="RZ29" s="239"/>
      <c r="SA29" s="239"/>
      <c r="SB29" s="239"/>
      <c r="SC29" s="239"/>
      <c r="SD29" s="239"/>
      <c r="SE29" s="239"/>
      <c r="SF29" s="239"/>
      <c r="SG29" s="239"/>
      <c r="SH29" s="239"/>
      <c r="SI29" s="239"/>
      <c r="SJ29" s="239"/>
      <c r="SK29" s="239"/>
      <c r="SL29" s="239"/>
      <c r="SM29" s="239"/>
      <c r="SN29" s="239"/>
      <c r="SO29" s="239"/>
      <c r="SP29" s="239"/>
      <c r="SQ29" s="239"/>
      <c r="SR29" s="239"/>
      <c r="SS29" s="239"/>
      <c r="ST29" s="239"/>
      <c r="SU29" s="239"/>
      <c r="SV29" s="239"/>
      <c r="SW29" s="239"/>
      <c r="SX29" s="239"/>
      <c r="SY29" s="239"/>
      <c r="SZ29" s="239"/>
      <c r="TA29" s="239"/>
      <c r="TB29" s="239"/>
      <c r="TC29" s="239"/>
      <c r="TD29" s="239"/>
      <c r="TE29" s="239"/>
      <c r="TF29" s="239"/>
      <c r="TG29" s="239"/>
      <c r="TH29" s="239"/>
      <c r="TI29" s="239"/>
      <c r="TJ29" s="239" t="s">
        <v>1262</v>
      </c>
      <c r="TK29" s="412" t="s">
        <v>1074</v>
      </c>
      <c r="TL29" s="412"/>
      <c r="TM29" s="412"/>
      <c r="TN29" s="412"/>
      <c r="TO29" s="412"/>
      <c r="TP29" s="412" t="s">
        <v>335</v>
      </c>
      <c r="TQ29" s="239"/>
      <c r="TR29" s="239" t="s">
        <v>545</v>
      </c>
      <c r="TS29" s="239" t="s">
        <v>546</v>
      </c>
      <c r="TT29" s="239" t="s">
        <v>547</v>
      </c>
      <c r="TU29" s="239" t="s">
        <v>548</v>
      </c>
      <c r="TV29" s="239" t="s">
        <v>549</v>
      </c>
      <c r="TW29" s="239" t="s">
        <v>557</v>
      </c>
      <c r="TX29" s="239"/>
      <c r="TY29" s="239"/>
      <c r="TZ29" s="239"/>
      <c r="UA29" s="239"/>
      <c r="UB29" s="239"/>
      <c r="UC29" s="239" t="s">
        <v>559</v>
      </c>
      <c r="UD29" s="239" t="s">
        <v>561</v>
      </c>
      <c r="UE29" s="239"/>
      <c r="UF29" s="239"/>
      <c r="UG29" s="239"/>
      <c r="UH29" s="239"/>
      <c r="UI29" s="239" t="s">
        <v>61</v>
      </c>
      <c r="UJ29" s="239"/>
      <c r="UK29" s="239"/>
      <c r="UL29" s="239"/>
      <c r="UM29" s="239"/>
      <c r="UN29" s="239"/>
      <c r="UO29" s="239"/>
      <c r="UP29" s="239"/>
      <c r="UQ29" s="239"/>
      <c r="UR29" s="239"/>
      <c r="US29" s="239"/>
      <c r="UT29" s="239"/>
      <c r="UU29" s="239"/>
      <c r="UV29" s="239"/>
      <c r="UW29" s="239"/>
      <c r="UX29" s="239" t="s">
        <v>578</v>
      </c>
      <c r="UY29" s="239"/>
      <c r="UZ29" s="239" t="s">
        <v>473</v>
      </c>
      <c r="VA29" s="239"/>
      <c r="VB29" s="239"/>
      <c r="VC29" s="239"/>
      <c r="VD29" s="239" t="s">
        <v>351</v>
      </c>
      <c r="VE29" s="239"/>
      <c r="VF29" s="239"/>
      <c r="VG29" s="239"/>
      <c r="VH29" s="239"/>
      <c r="VI29" s="239"/>
      <c r="VJ29" s="239"/>
      <c r="VK29" s="239"/>
      <c r="VL29" s="239"/>
      <c r="VM29" s="239"/>
      <c r="VN29" s="245"/>
      <c r="VO29" s="245"/>
      <c r="VP29" s="245"/>
      <c r="VQ29" s="245"/>
      <c r="VR29" s="245"/>
      <c r="VS29" s="245"/>
      <c r="VT29" s="245"/>
      <c r="VU29" s="245"/>
      <c r="VV29" s="245"/>
      <c r="VW29" s="245"/>
      <c r="VX29" s="239"/>
      <c r="VY29" s="239"/>
      <c r="VZ29" s="239"/>
      <c r="WA29" s="239"/>
      <c r="WB29" s="239"/>
      <c r="WC29" s="239"/>
      <c r="WD29" s="239"/>
      <c r="WE29" s="239"/>
      <c r="WF29" s="239"/>
      <c r="WG29" s="239"/>
      <c r="WH29" s="239"/>
      <c r="WI29" s="239"/>
      <c r="WJ29" s="239"/>
      <c r="WK29" s="239"/>
      <c r="WL29" s="239"/>
      <c r="WM29" s="239"/>
      <c r="WN29" s="239"/>
      <c r="WO29" s="239"/>
      <c r="WP29" s="239"/>
      <c r="WQ29" s="239"/>
      <c r="WR29" s="239"/>
      <c r="WS29" s="239"/>
      <c r="WT29" s="239"/>
      <c r="WU29" s="239"/>
      <c r="WV29" s="239"/>
      <c r="WW29" s="239"/>
      <c r="WX29" s="239"/>
      <c r="WY29" s="239"/>
      <c r="WZ29" s="239"/>
      <c r="XA29" s="239"/>
      <c r="XB29" s="239"/>
      <c r="XC29" s="239" t="s">
        <v>452</v>
      </c>
      <c r="XD29" s="239" t="s">
        <v>116</v>
      </c>
      <c r="XE29" s="239" t="s">
        <v>83</v>
      </c>
      <c r="XF29" s="239" t="s">
        <v>84</v>
      </c>
      <c r="XG29" s="239" t="s">
        <v>85</v>
      </c>
      <c r="XH29" s="239" t="s">
        <v>86</v>
      </c>
      <c r="XI29" s="239"/>
      <c r="XJ29" s="239"/>
      <c r="XK29" s="239"/>
      <c r="XL29" s="239"/>
      <c r="XM29" s="239"/>
      <c r="XN29" s="239"/>
      <c r="XO29" s="239"/>
      <c r="XP29" s="239"/>
      <c r="XQ29" s="239"/>
      <c r="XR29" s="239"/>
      <c r="XS29" s="239"/>
      <c r="XT29" s="239" t="s">
        <v>87</v>
      </c>
      <c r="XU29" s="239" t="s">
        <v>88</v>
      </c>
      <c r="XV29" s="239" t="s">
        <v>89</v>
      </c>
      <c r="XW29" s="239" t="s">
        <v>90</v>
      </c>
      <c r="XX29" s="239" t="s">
        <v>583</v>
      </c>
      <c r="XY29" s="239" t="s">
        <v>112</v>
      </c>
      <c r="XZ29" s="239" t="s">
        <v>582</v>
      </c>
      <c r="YA29" s="239" t="s">
        <v>584</v>
      </c>
      <c r="YB29" s="239" t="s">
        <v>577</v>
      </c>
      <c r="YC29" s="239"/>
      <c r="YD29" s="239" t="s">
        <v>300</v>
      </c>
      <c r="YE29" s="239"/>
      <c r="YF29" s="239" t="s">
        <v>703</v>
      </c>
      <c r="YG29" s="239" t="s">
        <v>704</v>
      </c>
      <c r="YH29" s="239" t="s">
        <v>298</v>
      </c>
      <c r="YI29" s="243"/>
      <c r="YJ29" s="239" t="s">
        <v>296</v>
      </c>
      <c r="YK29" s="239" t="s">
        <v>297</v>
      </c>
      <c r="YL29" s="239" t="s">
        <v>299</v>
      </c>
      <c r="YM29" s="239" t="s">
        <v>1263</v>
      </c>
      <c r="YN29" s="239"/>
      <c r="YO29" s="239"/>
      <c r="YP29" s="239" t="s">
        <v>2794</v>
      </c>
      <c r="YQ29" s="239" t="s">
        <v>114</v>
      </c>
      <c r="YR29" s="239"/>
      <c r="YS29" s="239"/>
      <c r="YT29" s="239"/>
      <c r="YU29" s="239"/>
      <c r="YV29" s="239"/>
      <c r="YW29" s="239"/>
      <c r="YX29" s="239"/>
      <c r="YY29" s="239"/>
      <c r="YZ29" s="239"/>
      <c r="ZA29" s="239"/>
      <c r="ZB29" s="239"/>
      <c r="ZC29" s="239" t="s">
        <v>204</v>
      </c>
      <c r="ZD29" s="239" t="s">
        <v>205</v>
      </c>
      <c r="ZE29" s="239" t="s">
        <v>802</v>
      </c>
      <c r="ZF29" s="239" t="s">
        <v>801</v>
      </c>
      <c r="ZG29" s="239" t="s">
        <v>1100</v>
      </c>
      <c r="ZH29" s="239"/>
      <c r="ZI29" s="239" t="s">
        <v>800</v>
      </c>
      <c r="ZJ29" s="239" t="s">
        <v>1101</v>
      </c>
      <c r="ZK29" s="239" t="s">
        <v>1102</v>
      </c>
      <c r="ZL29" s="239" t="s">
        <v>1103</v>
      </c>
      <c r="ZM29" s="239" t="s">
        <v>1104</v>
      </c>
      <c r="ZN29" s="239" t="s">
        <v>1105</v>
      </c>
      <c r="ZO29" s="239" t="s">
        <v>1106</v>
      </c>
      <c r="ZP29" s="239" t="s">
        <v>1107</v>
      </c>
      <c r="ZQ29" s="239" t="s">
        <v>1264</v>
      </c>
      <c r="ZR29" s="239" t="s">
        <v>1265</v>
      </c>
      <c r="ZS29" s="239" t="s">
        <v>1266</v>
      </c>
      <c r="ZT29" s="239" t="s">
        <v>1267</v>
      </c>
      <c r="ZU29" s="239"/>
      <c r="ZV29" s="239" t="s">
        <v>807</v>
      </c>
      <c r="ZW29" s="239"/>
      <c r="ZX29" s="239"/>
      <c r="ZY29" s="239"/>
      <c r="ZZ29" s="240"/>
      <c r="AAA29" s="239"/>
      <c r="AAB29" s="239"/>
      <c r="AAC29" s="239"/>
      <c r="AAD29" s="239"/>
    </row>
    <row r="30" spans="1:706" s="13" customFormat="1" ht="13.6" x14ac:dyDescent="0.25">
      <c r="A30" s="16"/>
      <c r="B30" s="16"/>
      <c r="C30" s="16"/>
      <c r="D30" s="16"/>
      <c r="E30" s="16"/>
      <c r="F30" s="3"/>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28"/>
      <c r="CQ30" s="16"/>
      <c r="CR30" s="16"/>
      <c r="CS30" s="16"/>
      <c r="CT30" s="16"/>
      <c r="CU30" s="16"/>
      <c r="CV30" s="16"/>
      <c r="CW30" s="16"/>
      <c r="CX30" s="16"/>
      <c r="CY30" s="16"/>
      <c r="CZ30" s="16"/>
      <c r="DA30" s="16"/>
      <c r="DB30" s="16"/>
      <c r="DC30" s="28"/>
      <c r="DD30" s="16"/>
      <c r="DE30" s="16"/>
      <c r="DF30" s="28"/>
      <c r="DG30" s="28"/>
      <c r="DH30" s="28"/>
      <c r="DI30" s="16"/>
      <c r="DJ30" s="16"/>
      <c r="DK30" s="16"/>
      <c r="DL30" s="16"/>
      <c r="DM30" s="16"/>
      <c r="DN30" s="28"/>
      <c r="DO30" s="16"/>
      <c r="DP30" s="16"/>
      <c r="DQ30" s="17"/>
      <c r="DR30" s="17"/>
      <c r="DS30" s="17"/>
      <c r="DT30" s="17"/>
      <c r="DU30" s="17"/>
      <c r="DV30" s="17"/>
      <c r="DW30" s="124"/>
      <c r="DX30" s="16"/>
      <c r="DY30" s="16"/>
      <c r="DZ30" s="16"/>
      <c r="EA30" s="124"/>
      <c r="EB30" s="124"/>
      <c r="EC30" s="124"/>
      <c r="ED30" s="124"/>
      <c r="EE30" s="16"/>
      <c r="EF30" s="16"/>
      <c r="EG30" s="16"/>
      <c r="EH30" s="16"/>
      <c r="EI30" s="16"/>
      <c r="EJ30" s="16"/>
      <c r="EK30" s="16"/>
      <c r="EL30" s="16"/>
      <c r="EM30" s="16"/>
      <c r="EN30" s="16"/>
      <c r="EO30" s="16"/>
      <c r="EP30" s="16"/>
      <c r="EQ30" s="16"/>
      <c r="ER30" s="28"/>
      <c r="ES30" s="16"/>
      <c r="EZ30" s="16"/>
      <c r="FA30" s="16"/>
      <c r="FB30" s="16"/>
      <c r="FC30" s="16"/>
      <c r="FD30" s="16"/>
      <c r="FE30" s="16"/>
      <c r="FF30" s="16"/>
      <c r="FG30" s="16"/>
      <c r="FH30" s="16"/>
      <c r="FI30" s="16"/>
      <c r="FJ30" s="16"/>
      <c r="FK30" s="16"/>
      <c r="FL30" s="16"/>
      <c r="FM30" s="16"/>
      <c r="FN30" s="16"/>
      <c r="FO30" s="16"/>
      <c r="FP30" s="16"/>
      <c r="FQ30" s="16"/>
      <c r="FR30" s="16"/>
      <c r="FS30" s="16"/>
      <c r="FT30" s="16"/>
      <c r="FU30" s="16"/>
      <c r="FV30" s="16"/>
      <c r="FW30" s="16"/>
      <c r="FX30" s="16"/>
      <c r="FY30" s="16"/>
      <c r="FZ30" s="16"/>
      <c r="GA30" s="16"/>
      <c r="GB30" s="16"/>
      <c r="GC30" s="16"/>
      <c r="GD30" s="16"/>
      <c r="GE30" s="17"/>
      <c r="GF30" s="17"/>
      <c r="GG30" s="17"/>
      <c r="GH30" s="17"/>
      <c r="GI30" s="17"/>
      <c r="GJ30" s="17"/>
      <c r="GK30" s="17"/>
      <c r="GL30" s="17"/>
      <c r="GM30" s="16"/>
      <c r="GN30" s="16"/>
      <c r="GO30" s="16"/>
      <c r="GP30" s="16"/>
      <c r="GQ30" s="16"/>
      <c r="GR30" s="16"/>
      <c r="GS30" s="16"/>
      <c r="GT30" s="16"/>
      <c r="GU30" s="16"/>
      <c r="GV30" s="16"/>
      <c r="GW30" s="16"/>
      <c r="GX30" s="16"/>
      <c r="GY30" s="16"/>
      <c r="GZ30" s="16"/>
      <c r="HA30" s="16"/>
      <c r="HB30" s="16"/>
      <c r="HC30" s="16"/>
      <c r="HD30" s="16"/>
      <c r="HE30" s="16"/>
      <c r="HF30" s="16"/>
      <c r="HG30" s="16"/>
      <c r="HH30" s="16"/>
      <c r="HI30" s="16"/>
      <c r="HJ30" s="16"/>
      <c r="HK30" s="16"/>
      <c r="HL30" s="16"/>
      <c r="HM30" s="16"/>
      <c r="HN30" s="16"/>
      <c r="HO30" s="16"/>
      <c r="HP30" s="16"/>
      <c r="HQ30" s="16"/>
      <c r="HR30" s="16"/>
      <c r="HS30" s="16"/>
      <c r="HT30" s="16"/>
      <c r="HU30" s="16"/>
      <c r="HV30" s="16"/>
      <c r="HW30" s="16"/>
      <c r="HX30" s="500"/>
      <c r="HY30" s="500"/>
      <c r="HZ30"/>
      <c r="IA30"/>
      <c r="IB30"/>
      <c r="IC30" s="124"/>
      <c r="ID30" s="17"/>
      <c r="IE30" s="17"/>
      <c r="IF30" s="17"/>
      <c r="IG30" s="17"/>
      <c r="IH30" s="17"/>
      <c r="II30" s="17"/>
      <c r="IJ30" s="16"/>
      <c r="IK30" s="124"/>
      <c r="IL30" s="16"/>
      <c r="IM30" s="16"/>
      <c r="IN30" s="16"/>
      <c r="IO30" s="17"/>
      <c r="IP30" s="17"/>
      <c r="IQ30" s="17"/>
      <c r="IR30" s="17"/>
      <c r="IS30" s="17"/>
      <c r="IT30" s="17"/>
      <c r="IU30" s="17"/>
      <c r="IV30" s="124"/>
      <c r="IW30" s="124"/>
      <c r="IX30" s="16"/>
      <c r="IY30" s="124"/>
      <c r="IZ30" s="124"/>
      <c r="JA30" s="124"/>
      <c r="JB30" s="16"/>
      <c r="JC30" s="16"/>
      <c r="JD30" s="124"/>
      <c r="JE30" s="124"/>
      <c r="JF30" s="124"/>
      <c r="JG30" s="16"/>
      <c r="JH30" s="17"/>
      <c r="JI30" s="124"/>
      <c r="JJ30" s="16"/>
      <c r="JK30" s="124"/>
      <c r="JL30" s="16"/>
      <c r="JM30" s="124"/>
      <c r="JN30" s="16"/>
      <c r="JO30" s="16"/>
      <c r="JP30" s="16"/>
      <c r="JQ30" s="16"/>
      <c r="JR30" s="16"/>
      <c r="JS30" s="16"/>
      <c r="JT30" s="16"/>
      <c r="JU30" s="16"/>
      <c r="JV30" s="124"/>
      <c r="JW30" s="124"/>
      <c r="JX30" s="124"/>
      <c r="JY30" s="16"/>
      <c r="JZ30" s="16"/>
      <c r="KA30" s="16"/>
      <c r="KB30" s="16"/>
      <c r="KC30" s="16"/>
      <c r="KD30" s="16"/>
      <c r="KE30" s="16"/>
      <c r="KF30" s="16"/>
      <c r="KG30" s="16"/>
      <c r="KH30" s="16"/>
      <c r="KI30" s="16"/>
      <c r="KJ30" s="16"/>
      <c r="KK30" s="16"/>
      <c r="KL30" s="16"/>
      <c r="KM30" s="16"/>
      <c r="KN30" s="16"/>
      <c r="KO30" s="16"/>
      <c r="KP30" s="16"/>
      <c r="KQ30" s="16"/>
      <c r="KR30" s="16"/>
      <c r="KS30" s="16"/>
      <c r="KT30" s="16"/>
      <c r="KU30" s="16"/>
      <c r="KV30" s="16"/>
      <c r="KW30" s="16"/>
      <c r="KX30" s="16"/>
      <c r="KY30" s="16"/>
      <c r="KZ30" s="16"/>
      <c r="LA30" s="501"/>
      <c r="LB30" s="16"/>
      <c r="LC30" s="500"/>
      <c r="LD30" s="500"/>
      <c r="LE30" s="16"/>
      <c r="LF30" s="16"/>
      <c r="LG30" s="16"/>
      <c r="LH30" s="16"/>
      <c r="LI30" s="16"/>
      <c r="LJ30" s="16"/>
      <c r="LK30" s="16"/>
      <c r="LL30" s="16"/>
      <c r="LM30" s="16"/>
      <c r="LN30" s="16"/>
      <c r="LO30" s="16"/>
      <c r="LP30" s="16"/>
      <c r="LQ30" s="16"/>
      <c r="LR30" s="16"/>
      <c r="LS30" s="16"/>
      <c r="LT30" s="16"/>
      <c r="LU30" s="16"/>
      <c r="LV30" s="16"/>
      <c r="LW30" s="16"/>
      <c r="LX30" s="6"/>
      <c r="LY30" s="6"/>
      <c r="LZ30" s="6"/>
      <c r="MA30" s="6"/>
      <c r="MB30" s="6"/>
      <c r="MC30" s="6"/>
      <c r="MD30" s="6"/>
      <c r="ME30" s="6"/>
      <c r="MF30" s="16"/>
      <c r="MG30" s="16"/>
      <c r="MH30" s="16"/>
      <c r="MI30" s="16"/>
      <c r="MJ30" s="16"/>
      <c r="MK30" s="16"/>
      <c r="ML30" s="16"/>
      <c r="MM30" s="16"/>
      <c r="MN30" s="16"/>
      <c r="MO30" s="16"/>
      <c r="MP30" s="16"/>
      <c r="MQ30" s="16"/>
      <c r="MR30" s="16"/>
      <c r="MS30" s="16"/>
      <c r="MT30" s="16"/>
      <c r="MU30" s="16"/>
      <c r="MV30" s="16"/>
      <c r="MW30" s="16"/>
      <c r="MX30" s="16"/>
      <c r="MY30" s="16"/>
      <c r="MZ30" s="16"/>
      <c r="NA30" s="16"/>
      <c r="NB30" s="16"/>
      <c r="NC30" s="100"/>
      <c r="ND30" s="16"/>
      <c r="NE30" s="16"/>
      <c r="NF30" s="16"/>
      <c r="NG30" s="16"/>
      <c r="NH30" s="16"/>
      <c r="NI30" s="16"/>
      <c r="NJ30" s="463"/>
      <c r="NK30" s="16"/>
      <c r="NL30" s="16"/>
      <c r="NM30" s="16"/>
      <c r="NN30" s="16"/>
      <c r="NO30" s="16"/>
      <c r="NP30" s="16"/>
      <c r="NQ30" s="16"/>
      <c r="NR30" s="16"/>
      <c r="NS30" s="16"/>
      <c r="NT30" s="16"/>
      <c r="NU30" s="16"/>
      <c r="NV30" s="16"/>
      <c r="NW30" s="16"/>
      <c r="NX30" s="16"/>
      <c r="NY30" s="16"/>
      <c r="NZ30" s="16"/>
      <c r="OA30" s="16"/>
      <c r="OB30" s="16"/>
      <c r="OC30" s="16"/>
      <c r="OD30" s="16"/>
      <c r="OE30" s="16"/>
      <c r="OF30" s="16"/>
      <c r="OG30" s="16"/>
      <c r="OH30" s="16"/>
      <c r="OI30" s="16"/>
      <c r="OJ30" s="16"/>
      <c r="OK30" s="16"/>
      <c r="OL30" s="16"/>
      <c r="OM30" s="16"/>
      <c r="ON30" s="16"/>
      <c r="OO30" s="16"/>
      <c r="OP30" s="16"/>
      <c r="OQ30" s="16"/>
      <c r="OR30" s="16"/>
      <c r="OS30" s="16"/>
      <c r="OT30" s="16"/>
      <c r="OU30" s="16"/>
      <c r="OV30" s="16"/>
      <c r="OW30" s="16"/>
      <c r="OX30" s="16"/>
      <c r="OY30" s="16"/>
      <c r="OZ30" s="16"/>
      <c r="PA30" s="16"/>
      <c r="PB30" s="16"/>
      <c r="PC30" s="16"/>
      <c r="PD30" s="16"/>
      <c r="PE30" s="16"/>
      <c r="PF30" s="16"/>
      <c r="PG30" s="16"/>
      <c r="PH30" s="16"/>
      <c r="PI30" s="16"/>
      <c r="PJ30" s="16"/>
      <c r="PK30" s="16"/>
      <c r="PL30" s="16"/>
      <c r="PM30" s="16"/>
      <c r="PN30" s="16"/>
      <c r="PO30" s="16"/>
      <c r="PP30" s="16"/>
      <c r="PQ30" s="16"/>
      <c r="PR30" s="16"/>
      <c r="PS30" s="16"/>
      <c r="PT30" s="16"/>
      <c r="PU30" s="16"/>
      <c r="PV30" s="16"/>
      <c r="PW30" s="16"/>
      <c r="PX30" s="16"/>
      <c r="PY30" s="16"/>
      <c r="PZ30" s="16"/>
      <c r="QA30" s="16"/>
      <c r="QB30" s="16"/>
      <c r="QC30" s="16"/>
      <c r="QD30" s="16"/>
      <c r="QE30" s="16"/>
      <c r="QF30" s="16"/>
      <c r="QG30" s="16"/>
      <c r="QH30" s="16"/>
      <c r="QI30" s="16"/>
      <c r="QJ30" s="16"/>
      <c r="QK30" s="16"/>
      <c r="QL30" s="16"/>
      <c r="QM30" s="16"/>
      <c r="QN30" s="16"/>
      <c r="QO30" s="16"/>
      <c r="QP30" s="16"/>
      <c r="QQ30" s="16"/>
      <c r="QR30" s="16"/>
      <c r="QS30" s="16"/>
      <c r="QT30" s="16"/>
      <c r="QU30" s="16"/>
      <c r="QV30" s="16"/>
      <c r="QW30" s="16"/>
      <c r="QX30" s="16"/>
      <c r="QY30" s="16"/>
      <c r="QZ30" s="16"/>
      <c r="RA30" s="16"/>
      <c r="RB30" s="16"/>
      <c r="RC30" s="16"/>
      <c r="RD30" s="16"/>
      <c r="RE30" s="16"/>
      <c r="RF30" s="16"/>
      <c r="RG30" s="16"/>
      <c r="RH30" s="16"/>
      <c r="RI30" s="16"/>
      <c r="RJ30" s="16"/>
      <c r="RK30" s="16"/>
      <c r="RL30" s="16"/>
      <c r="RM30" s="16"/>
      <c r="RN30" s="16"/>
      <c r="RO30" s="16"/>
      <c r="RP30" s="16"/>
      <c r="RQ30" s="16"/>
      <c r="RR30" s="16"/>
      <c r="RS30" s="16"/>
      <c r="RT30" s="16"/>
      <c r="RU30" s="16"/>
      <c r="RV30" s="16"/>
      <c r="RW30" s="16"/>
      <c r="RX30" s="16"/>
      <c r="RY30" s="16"/>
      <c r="RZ30" s="16"/>
      <c r="SA30" s="16"/>
      <c r="SB30" s="16"/>
      <c r="SC30" s="16"/>
      <c r="SD30" s="16"/>
      <c r="SE30" s="16"/>
      <c r="SF30" s="16"/>
      <c r="SG30" s="16"/>
      <c r="SH30" s="16"/>
      <c r="SI30" s="16"/>
      <c r="SJ30" s="16"/>
      <c r="SK30" s="16"/>
      <c r="SL30" s="16"/>
      <c r="SM30" s="16"/>
      <c r="SN30" s="16"/>
      <c r="SO30" s="16"/>
      <c r="SP30" s="16"/>
      <c r="SQ30" s="16"/>
      <c r="SR30" s="16"/>
      <c r="SS30" s="16"/>
      <c r="ST30" s="16"/>
      <c r="SU30" s="16"/>
      <c r="SV30" s="16"/>
      <c r="SW30" s="16"/>
      <c r="SX30" s="16"/>
      <c r="SY30" s="16"/>
      <c r="SZ30" s="16"/>
      <c r="TA30" s="16"/>
      <c r="TB30" s="16"/>
      <c r="TC30" s="16"/>
      <c r="TD30" s="16"/>
      <c r="TE30" s="16"/>
      <c r="TF30" s="16"/>
      <c r="TG30" s="16"/>
      <c r="TH30" s="16"/>
      <c r="TI30" s="16"/>
      <c r="TJ30" s="16"/>
      <c r="TK30" s="407"/>
      <c r="TL30" s="407"/>
      <c r="TM30" s="407"/>
      <c r="TN30" s="407"/>
      <c r="TO30" s="407"/>
      <c r="TP30" s="407"/>
      <c r="TQ30" s="16"/>
      <c r="TR30" s="16"/>
      <c r="TS30" s="16"/>
      <c r="TT30" s="16"/>
      <c r="TU30" s="16"/>
      <c r="TV30" s="16"/>
      <c r="TW30" s="16"/>
      <c r="TX30" s="16"/>
      <c r="TY30" s="16"/>
      <c r="TZ30" s="16"/>
      <c r="UA30" s="16"/>
      <c r="UB30" s="16"/>
      <c r="UC30" s="16"/>
      <c r="UD30" s="16"/>
      <c r="UE30" s="16"/>
      <c r="UF30" s="16"/>
      <c r="UG30" s="16"/>
      <c r="UH30" s="16"/>
      <c r="UI30" s="16"/>
      <c r="UJ30" s="16"/>
      <c r="UK30" s="16"/>
      <c r="UL30" s="16"/>
      <c r="UM30" s="16"/>
      <c r="UN30" s="16"/>
      <c r="UO30" s="16"/>
      <c r="UP30" s="16"/>
      <c r="UQ30" s="16"/>
      <c r="UR30" s="16"/>
      <c r="US30" s="16"/>
      <c r="UT30" s="16"/>
      <c r="UU30" s="16"/>
      <c r="UV30" s="16"/>
      <c r="UW30" s="16"/>
      <c r="UX30" s="16"/>
      <c r="UY30" s="16"/>
      <c r="UZ30" s="16"/>
      <c r="VA30" s="16"/>
      <c r="VB30" s="16"/>
      <c r="VC30" s="16"/>
      <c r="VD30" s="16"/>
      <c r="VE30" s="16"/>
      <c r="VF30" s="16"/>
      <c r="VG30" s="16"/>
      <c r="VH30" s="16"/>
      <c r="VI30" s="16"/>
      <c r="VJ30" s="16"/>
      <c r="VK30" s="16"/>
      <c r="VL30" s="16"/>
      <c r="VM30" s="16"/>
      <c r="VN30" s="17"/>
      <c r="VO30" s="17"/>
      <c r="VP30" s="17"/>
      <c r="VQ30" s="17"/>
      <c r="VR30" s="17"/>
      <c r="VS30" s="17"/>
      <c r="VT30" s="17"/>
      <c r="VU30" s="17"/>
      <c r="VV30" s="17"/>
      <c r="VW30" s="17"/>
      <c r="VX30" s="16"/>
      <c r="VY30" s="72"/>
      <c r="VZ30" s="72"/>
      <c r="WA30" s="16"/>
      <c r="WB30" s="16"/>
      <c r="WC30" s="16"/>
      <c r="WD30" s="16"/>
      <c r="WE30" s="72"/>
      <c r="WF30" s="16"/>
      <c r="WG30" s="16"/>
      <c r="WH30" s="16"/>
      <c r="WI30" s="16"/>
      <c r="WJ30" s="16"/>
      <c r="WK30" s="16"/>
      <c r="WL30" s="16"/>
      <c r="WM30" s="16"/>
      <c r="WN30" s="16"/>
      <c r="WO30" s="16"/>
      <c r="WP30" s="16"/>
      <c r="WQ30" s="16"/>
      <c r="WR30" s="16"/>
      <c r="WS30" s="16"/>
      <c r="WT30" s="16"/>
      <c r="WU30" s="7"/>
      <c r="WV30" s="7"/>
      <c r="WW30" s="27"/>
      <c r="WX30" s="16"/>
      <c r="WY30" s="16"/>
      <c r="WZ30" s="16"/>
      <c r="XA30" s="16"/>
      <c r="XB30" s="16"/>
      <c r="XC30" s="16"/>
      <c r="XD30" s="16"/>
      <c r="XE30" s="16"/>
      <c r="XF30" s="16"/>
      <c r="XG30" s="16"/>
      <c r="XH30" s="16"/>
      <c r="XI30" s="16"/>
      <c r="XJ30" s="16"/>
      <c r="XK30" s="16"/>
      <c r="XL30" s="16"/>
      <c r="XM30" s="16"/>
      <c r="XN30" s="16"/>
      <c r="XO30" s="16"/>
      <c r="XP30" s="16"/>
      <c r="XQ30" s="16"/>
      <c r="XR30" s="16"/>
      <c r="XS30" s="16"/>
      <c r="XT30" s="16"/>
      <c r="XU30" s="16"/>
      <c r="XV30" s="16"/>
      <c r="XW30" s="16"/>
      <c r="XX30" s="16"/>
      <c r="XY30" s="16"/>
      <c r="XZ30" s="16"/>
      <c r="YA30" s="16"/>
      <c r="YB30" s="16"/>
      <c r="YC30" s="16"/>
      <c r="YD30" s="16"/>
      <c r="YE30" s="16"/>
      <c r="YF30" s="16"/>
      <c r="YG30" s="16"/>
      <c r="YH30" s="16"/>
      <c r="YI30" s="16"/>
      <c r="YJ30" s="16"/>
      <c r="YK30" s="16"/>
      <c r="YL30" s="16"/>
      <c r="YM30" s="16"/>
      <c r="YN30" s="16"/>
      <c r="YO30" s="16"/>
      <c r="YP30" s="16"/>
      <c r="YQ30" s="16"/>
      <c r="YR30" s="16"/>
      <c r="YS30" s="16"/>
      <c r="YT30" s="16"/>
      <c r="YU30" s="16"/>
      <c r="YV30" s="16"/>
      <c r="YW30" s="16"/>
      <c r="YX30" s="16"/>
      <c r="YY30" s="16"/>
      <c r="YZ30" s="16"/>
      <c r="ZA30" s="16"/>
      <c r="ZB30" s="16"/>
      <c r="ZC30" s="16"/>
      <c r="ZD30" s="16"/>
      <c r="ZE30" s="16"/>
      <c r="ZF30" s="16"/>
      <c r="ZG30" s="16"/>
      <c r="ZH30" s="16"/>
      <c r="ZI30" s="16"/>
      <c r="ZJ30" s="16"/>
      <c r="ZK30" s="16"/>
      <c r="ZL30" s="16"/>
      <c r="ZM30" s="16"/>
      <c r="ZN30" s="16"/>
      <c r="ZO30" s="16"/>
      <c r="ZP30" s="16"/>
      <c r="ZQ30" s="16"/>
      <c r="ZR30" s="16"/>
      <c r="ZS30" s="16"/>
      <c r="ZT30" s="16"/>
      <c r="ZU30" s="16"/>
      <c r="ZV30" s="16"/>
      <c r="ZW30" s="16"/>
      <c r="ZX30" s="16"/>
      <c r="ZY30" s="16"/>
      <c r="ZZ30" s="124"/>
      <c r="AAA30" s="16"/>
      <c r="AAB30" s="16"/>
      <c r="AAC30" s="16"/>
      <c r="AAD30" s="16"/>
    </row>
    <row r="31" spans="1:706" s="94" customFormat="1" x14ac:dyDescent="0.2">
      <c r="A31" s="7" t="s">
        <v>12</v>
      </c>
      <c r="B31" s="49" t="s">
        <v>13</v>
      </c>
      <c r="C31" s="49" t="s">
        <v>13</v>
      </c>
      <c r="D31" s="49" t="s">
        <v>13</v>
      </c>
      <c r="E31" s="49" t="s">
        <v>13</v>
      </c>
      <c r="F31" s="49" t="s">
        <v>59</v>
      </c>
      <c r="G31" s="49" t="s">
        <v>31</v>
      </c>
      <c r="H31" s="49" t="s">
        <v>13</v>
      </c>
      <c r="I31" s="49" t="s">
        <v>13</v>
      </c>
      <c r="J31" s="49" t="s">
        <v>13</v>
      </c>
      <c r="K31" s="49" t="s">
        <v>13</v>
      </c>
      <c r="L31" s="49" t="s">
        <v>59</v>
      </c>
      <c r="M31" s="49" t="s">
        <v>13</v>
      </c>
      <c r="N31" s="49" t="s">
        <v>13</v>
      </c>
      <c r="O31" s="49" t="s">
        <v>13</v>
      </c>
      <c r="P31" s="49" t="s">
        <v>13</v>
      </c>
      <c r="Q31" s="49" t="s">
        <v>13</v>
      </c>
      <c r="R31" s="49" t="s">
        <v>13</v>
      </c>
      <c r="S31" s="49" t="s">
        <v>13</v>
      </c>
      <c r="T31" s="49" t="s">
        <v>13</v>
      </c>
      <c r="U31" s="49" t="s">
        <v>13</v>
      </c>
      <c r="V31" s="49" t="s">
        <v>13</v>
      </c>
      <c r="W31" s="49" t="s">
        <v>13</v>
      </c>
      <c r="X31" s="49" t="s">
        <v>13</v>
      </c>
      <c r="Y31" s="49" t="s">
        <v>13</v>
      </c>
      <c r="Z31" s="49" t="s">
        <v>13</v>
      </c>
      <c r="AA31" s="49" t="s">
        <v>13</v>
      </c>
      <c r="AB31" s="49" t="s">
        <v>13</v>
      </c>
      <c r="AC31" s="49" t="s">
        <v>13</v>
      </c>
      <c r="AD31" s="49" t="s">
        <v>13</v>
      </c>
      <c r="AE31" s="49" t="s">
        <v>13</v>
      </c>
      <c r="AF31" s="49" t="s">
        <v>13</v>
      </c>
      <c r="AG31" s="49" t="s">
        <v>13</v>
      </c>
      <c r="AH31" s="49" t="s">
        <v>13</v>
      </c>
      <c r="AI31" s="49" t="s">
        <v>13</v>
      </c>
      <c r="AJ31" s="49" t="s">
        <v>13</v>
      </c>
      <c r="AK31" s="49" t="s">
        <v>13</v>
      </c>
      <c r="AL31" s="49" t="s">
        <v>13</v>
      </c>
      <c r="AM31" s="49" t="s">
        <v>59</v>
      </c>
      <c r="AN31" s="49" t="s">
        <v>13</v>
      </c>
      <c r="AO31" s="49" t="s">
        <v>13</v>
      </c>
      <c r="AP31" s="49" t="s">
        <v>13</v>
      </c>
      <c r="AQ31" s="49" t="s">
        <v>13</v>
      </c>
      <c r="AR31" s="49" t="s">
        <v>13</v>
      </c>
      <c r="AS31" s="49" t="s">
        <v>13</v>
      </c>
      <c r="AT31" s="49" t="s">
        <v>13</v>
      </c>
      <c r="AU31" s="49" t="s">
        <v>13</v>
      </c>
      <c r="AV31" s="49" t="s">
        <v>13</v>
      </c>
      <c r="AW31" s="49" t="s">
        <v>13</v>
      </c>
      <c r="AX31" s="49" t="s">
        <v>13</v>
      </c>
      <c r="AY31" s="49" t="s">
        <v>13</v>
      </c>
      <c r="AZ31" s="49" t="s">
        <v>13</v>
      </c>
      <c r="BA31" s="49" t="s">
        <v>13</v>
      </c>
      <c r="BB31" s="49" t="s">
        <v>13</v>
      </c>
      <c r="BC31" s="49" t="s">
        <v>20</v>
      </c>
      <c r="BD31" s="49" t="s">
        <v>13</v>
      </c>
      <c r="BE31" s="49" t="s">
        <v>13</v>
      </c>
      <c r="BF31" s="49" t="s">
        <v>13</v>
      </c>
      <c r="BG31" s="49" t="s">
        <v>13</v>
      </c>
      <c r="BH31" s="49" t="s">
        <v>20</v>
      </c>
      <c r="BI31" s="49" t="s">
        <v>13</v>
      </c>
      <c r="BJ31" s="49" t="s">
        <v>20</v>
      </c>
      <c r="BK31" s="49" t="s">
        <v>13</v>
      </c>
      <c r="BL31" s="49" t="s">
        <v>13</v>
      </c>
      <c r="BM31" s="49" t="s">
        <v>13</v>
      </c>
      <c r="BN31" s="49" t="s">
        <v>13</v>
      </c>
      <c r="BO31" s="49" t="s">
        <v>13</v>
      </c>
      <c r="BP31" s="49" t="s">
        <v>13</v>
      </c>
      <c r="BQ31" s="49" t="s">
        <v>13</v>
      </c>
      <c r="BR31" s="49" t="s">
        <v>20</v>
      </c>
      <c r="BS31" s="49" t="s">
        <v>20</v>
      </c>
      <c r="BT31" s="49" t="s">
        <v>20</v>
      </c>
      <c r="BU31" s="49" t="s">
        <v>59</v>
      </c>
      <c r="BV31" s="49" t="s">
        <v>59</v>
      </c>
      <c r="BW31" s="49" t="s">
        <v>59</v>
      </c>
      <c r="BX31" s="49" t="s">
        <v>59</v>
      </c>
      <c r="BY31" s="49" t="s">
        <v>59</v>
      </c>
      <c r="BZ31" s="49" t="s">
        <v>59</v>
      </c>
      <c r="CA31" s="49" t="s">
        <v>59</v>
      </c>
      <c r="CB31" s="49" t="s">
        <v>59</v>
      </c>
      <c r="CC31" s="49" t="s">
        <v>59</v>
      </c>
      <c r="CD31" s="49" t="s">
        <v>59</v>
      </c>
      <c r="CE31" s="49" t="s">
        <v>59</v>
      </c>
      <c r="CF31" s="49" t="s">
        <v>59</v>
      </c>
      <c r="CG31" s="49" t="s">
        <v>59</v>
      </c>
      <c r="CH31" s="49" t="s">
        <v>59</v>
      </c>
      <c r="CI31" s="49" t="s">
        <v>20</v>
      </c>
      <c r="CJ31" s="49" t="s">
        <v>20</v>
      </c>
      <c r="CK31" s="49" t="s">
        <v>20</v>
      </c>
      <c r="CL31" s="49" t="s">
        <v>20</v>
      </c>
      <c r="CM31" s="49" t="s">
        <v>20</v>
      </c>
      <c r="CN31" s="49" t="s">
        <v>20</v>
      </c>
      <c r="CO31" s="49" t="s">
        <v>20</v>
      </c>
      <c r="CP31" s="49" t="s">
        <v>20</v>
      </c>
      <c r="CQ31" s="49" t="s">
        <v>20</v>
      </c>
      <c r="CR31" s="49" t="s">
        <v>20</v>
      </c>
      <c r="CS31" s="49" t="s">
        <v>20</v>
      </c>
      <c r="CT31" s="49" t="s">
        <v>20</v>
      </c>
      <c r="CU31" s="49" t="s">
        <v>20</v>
      </c>
      <c r="CV31" s="49" t="s">
        <v>20</v>
      </c>
      <c r="CW31" s="49" t="s">
        <v>20</v>
      </c>
      <c r="CX31" s="49" t="s">
        <v>20</v>
      </c>
      <c r="CY31" s="49" t="s">
        <v>20</v>
      </c>
      <c r="CZ31" s="49" t="s">
        <v>20</v>
      </c>
      <c r="DA31" s="49" t="s">
        <v>59</v>
      </c>
      <c r="DB31" s="49" t="s">
        <v>59</v>
      </c>
      <c r="DC31" s="49" t="s">
        <v>20</v>
      </c>
      <c r="DD31" s="49" t="s">
        <v>20</v>
      </c>
      <c r="DE31" s="49" t="s">
        <v>59</v>
      </c>
      <c r="DF31" s="49" t="s">
        <v>13</v>
      </c>
      <c r="DG31" s="49" t="s">
        <v>13</v>
      </c>
      <c r="DH31" s="49" t="s">
        <v>13</v>
      </c>
      <c r="DI31" s="49" t="s">
        <v>59</v>
      </c>
      <c r="DJ31" s="49" t="s">
        <v>13</v>
      </c>
      <c r="DK31" s="49" t="s">
        <v>13</v>
      </c>
      <c r="DL31" s="49" t="s">
        <v>13</v>
      </c>
      <c r="DM31" s="49" t="s">
        <v>20</v>
      </c>
      <c r="DN31" s="49" t="s">
        <v>20</v>
      </c>
      <c r="DO31" s="49" t="s">
        <v>20</v>
      </c>
      <c r="DP31" s="49" t="s">
        <v>20</v>
      </c>
      <c r="DQ31" s="49" t="s">
        <v>13</v>
      </c>
      <c r="DR31" s="49" t="s">
        <v>59</v>
      </c>
      <c r="DS31" s="49" t="s">
        <v>20</v>
      </c>
      <c r="DT31" s="49" t="s">
        <v>13</v>
      </c>
      <c r="DU31" s="49" t="s">
        <v>20</v>
      </c>
      <c r="DV31" s="49" t="s">
        <v>20</v>
      </c>
      <c r="DW31" s="122" t="s">
        <v>20</v>
      </c>
      <c r="DX31" s="49" t="s">
        <v>13</v>
      </c>
      <c r="DY31" s="49" t="s">
        <v>13</v>
      </c>
      <c r="DZ31" s="49" t="s">
        <v>20</v>
      </c>
      <c r="EA31" s="122" t="s">
        <v>20</v>
      </c>
      <c r="EB31" s="122" t="s">
        <v>20</v>
      </c>
      <c r="EC31" s="122" t="s">
        <v>20</v>
      </c>
      <c r="ED31" s="122" t="s">
        <v>20</v>
      </c>
      <c r="EE31" s="49" t="s">
        <v>20</v>
      </c>
      <c r="EF31" s="49" t="s">
        <v>20</v>
      </c>
      <c r="EG31" s="49" t="s">
        <v>20</v>
      </c>
      <c r="EH31" s="49" t="s">
        <v>31</v>
      </c>
      <c r="EI31" s="49" t="s">
        <v>31</v>
      </c>
      <c r="EJ31" s="49" t="s">
        <v>20</v>
      </c>
      <c r="EK31" s="49" t="s">
        <v>20</v>
      </c>
      <c r="EL31" s="49" t="s">
        <v>20</v>
      </c>
      <c r="EM31" s="49" t="s">
        <v>20</v>
      </c>
      <c r="EN31" s="49" t="s">
        <v>13</v>
      </c>
      <c r="EO31" s="49" t="s">
        <v>13</v>
      </c>
      <c r="EP31" s="49" t="s">
        <v>13</v>
      </c>
      <c r="EQ31" s="49" t="s">
        <v>13</v>
      </c>
      <c r="ER31" s="49" t="s">
        <v>13</v>
      </c>
      <c r="ES31" s="49" t="s">
        <v>13</v>
      </c>
      <c r="ET31" s="93" t="s">
        <v>20</v>
      </c>
      <c r="EU31" s="49" t="s">
        <v>20</v>
      </c>
      <c r="EV31" s="49" t="s">
        <v>20</v>
      </c>
      <c r="EW31" s="49" t="s">
        <v>20</v>
      </c>
      <c r="EX31" s="49" t="s">
        <v>20</v>
      </c>
      <c r="EY31" s="49" t="s">
        <v>20</v>
      </c>
      <c r="EZ31" s="49" t="s">
        <v>20</v>
      </c>
      <c r="FA31" s="49" t="s">
        <v>20</v>
      </c>
      <c r="FB31" s="49" t="s">
        <v>20</v>
      </c>
      <c r="FC31" s="49" t="s">
        <v>20</v>
      </c>
      <c r="FD31" s="49" t="s">
        <v>20</v>
      </c>
      <c r="FE31" s="49" t="s">
        <v>20</v>
      </c>
      <c r="FF31" s="49" t="s">
        <v>13</v>
      </c>
      <c r="FG31" s="49" t="s">
        <v>13</v>
      </c>
      <c r="FH31" s="49" t="s">
        <v>31</v>
      </c>
      <c r="FI31" s="49" t="s">
        <v>31</v>
      </c>
      <c r="FJ31" s="49" t="s">
        <v>31</v>
      </c>
      <c r="FK31" s="49" t="s">
        <v>20</v>
      </c>
      <c r="FL31" s="49" t="s">
        <v>59</v>
      </c>
      <c r="FM31" s="49" t="s">
        <v>20</v>
      </c>
      <c r="FN31" s="49" t="s">
        <v>20</v>
      </c>
      <c r="FO31" s="49" t="s">
        <v>20</v>
      </c>
      <c r="FP31" s="49" t="s">
        <v>20</v>
      </c>
      <c r="FQ31" s="49" t="s">
        <v>20</v>
      </c>
      <c r="FR31" s="49" t="s">
        <v>20</v>
      </c>
      <c r="FS31" s="49" t="s">
        <v>20</v>
      </c>
      <c r="FT31" s="49" t="s">
        <v>20</v>
      </c>
      <c r="FU31" s="49" t="s">
        <v>20</v>
      </c>
      <c r="FV31" s="49" t="s">
        <v>20</v>
      </c>
      <c r="FW31" s="49" t="s">
        <v>20</v>
      </c>
      <c r="FX31" s="49" t="s">
        <v>20</v>
      </c>
      <c r="FY31" s="49" t="s">
        <v>59</v>
      </c>
      <c r="FZ31" s="49" t="s">
        <v>59</v>
      </c>
      <c r="GA31" s="49" t="s">
        <v>20</v>
      </c>
      <c r="GB31" s="49"/>
      <c r="GC31" s="49" t="s">
        <v>20</v>
      </c>
      <c r="GD31" s="49" t="s">
        <v>59</v>
      </c>
      <c r="GE31" s="49" t="s">
        <v>20</v>
      </c>
      <c r="GF31" s="49" t="s">
        <v>20</v>
      </c>
      <c r="GG31" s="49" t="s">
        <v>13</v>
      </c>
      <c r="GH31" s="49" t="s">
        <v>20</v>
      </c>
      <c r="GI31" s="49" t="s">
        <v>20</v>
      </c>
      <c r="GJ31" s="49" t="s">
        <v>20</v>
      </c>
      <c r="GK31" s="49" t="s">
        <v>20</v>
      </c>
      <c r="GL31" s="49" t="s">
        <v>20</v>
      </c>
      <c r="GM31" s="49" t="s">
        <v>20</v>
      </c>
      <c r="GN31" s="49"/>
      <c r="GO31" s="49" t="s">
        <v>20</v>
      </c>
      <c r="GP31" s="49" t="s">
        <v>20</v>
      </c>
      <c r="GQ31" s="49"/>
      <c r="GR31" s="49" t="s">
        <v>20</v>
      </c>
      <c r="GS31" s="49"/>
      <c r="GT31" s="49" t="s">
        <v>59</v>
      </c>
      <c r="GU31" s="49" t="s">
        <v>13</v>
      </c>
      <c r="GV31" s="49" t="s">
        <v>20</v>
      </c>
      <c r="GW31" s="49" t="s">
        <v>20</v>
      </c>
      <c r="GX31" s="49" t="s">
        <v>20</v>
      </c>
      <c r="GY31" s="49" t="s">
        <v>59</v>
      </c>
      <c r="GZ31" s="49" t="s">
        <v>59</v>
      </c>
      <c r="HA31" s="49" t="s">
        <v>20</v>
      </c>
      <c r="HB31" s="49" t="s">
        <v>59</v>
      </c>
      <c r="HC31" s="49" t="s">
        <v>59</v>
      </c>
      <c r="HD31" s="49" t="s">
        <v>20</v>
      </c>
      <c r="HE31" s="49" t="s">
        <v>20</v>
      </c>
      <c r="HF31" s="49"/>
      <c r="HG31" s="49" t="s">
        <v>20</v>
      </c>
      <c r="HH31" s="49" t="s">
        <v>20</v>
      </c>
      <c r="HI31" s="49"/>
      <c r="HJ31" s="49" t="s">
        <v>20</v>
      </c>
      <c r="HK31" s="49" t="s">
        <v>20</v>
      </c>
      <c r="HL31" s="49"/>
      <c r="HM31" s="49"/>
      <c r="HN31" s="49" t="s">
        <v>20</v>
      </c>
      <c r="HO31" s="49"/>
      <c r="HP31" s="49" t="s">
        <v>20</v>
      </c>
      <c r="HQ31" s="49" t="s">
        <v>20</v>
      </c>
      <c r="HR31" s="49" t="s">
        <v>20</v>
      </c>
      <c r="HS31" s="49" t="s">
        <v>20</v>
      </c>
      <c r="HT31" s="49" t="s">
        <v>20</v>
      </c>
      <c r="HU31" s="49" t="s">
        <v>20</v>
      </c>
      <c r="HV31" s="49" t="s">
        <v>20</v>
      </c>
      <c r="HW31" s="49" t="s">
        <v>20</v>
      </c>
      <c r="HX31" s="465" t="s">
        <v>20</v>
      </c>
      <c r="HY31" s="465" t="s">
        <v>20</v>
      </c>
      <c r="HZ31" s="93" t="s">
        <v>20</v>
      </c>
      <c r="IA31" s="93" t="s">
        <v>20</v>
      </c>
      <c r="IB31" s="93" t="s">
        <v>13</v>
      </c>
      <c r="IC31" s="122" t="s">
        <v>20</v>
      </c>
      <c r="ID31" s="49" t="s">
        <v>20</v>
      </c>
      <c r="IE31" s="49" t="s">
        <v>20</v>
      </c>
      <c r="IF31" s="49" t="s">
        <v>20</v>
      </c>
      <c r="IG31" s="49" t="s">
        <v>20</v>
      </c>
      <c r="IH31" s="49" t="s">
        <v>20</v>
      </c>
      <c r="II31" s="49" t="s">
        <v>20</v>
      </c>
      <c r="IJ31" s="49" t="s">
        <v>20</v>
      </c>
      <c r="IK31" s="49" t="s">
        <v>20</v>
      </c>
      <c r="IL31" s="49" t="s">
        <v>13</v>
      </c>
      <c r="IM31" s="49" t="s">
        <v>13</v>
      </c>
      <c r="IN31" s="49" t="s">
        <v>13</v>
      </c>
      <c r="IO31" s="49" t="s">
        <v>20</v>
      </c>
      <c r="IP31" s="49" t="s">
        <v>20</v>
      </c>
      <c r="IQ31" s="49" t="s">
        <v>20</v>
      </c>
      <c r="IR31" s="49" t="s">
        <v>20</v>
      </c>
      <c r="IS31" s="49" t="s">
        <v>20</v>
      </c>
      <c r="IT31" s="49" t="s">
        <v>59</v>
      </c>
      <c r="IU31" s="49" t="s">
        <v>20</v>
      </c>
      <c r="IV31" s="123" t="s">
        <v>59</v>
      </c>
      <c r="IW31" s="123" t="s">
        <v>59</v>
      </c>
      <c r="IX31" s="49" t="s">
        <v>20</v>
      </c>
      <c r="IY31" s="123" t="s">
        <v>59</v>
      </c>
      <c r="IZ31" s="122" t="s">
        <v>20</v>
      </c>
      <c r="JA31" s="123" t="s">
        <v>59</v>
      </c>
      <c r="JB31" s="49" t="s">
        <v>20</v>
      </c>
      <c r="JC31" s="94" t="s">
        <v>59</v>
      </c>
      <c r="JD31" s="122" t="s">
        <v>20</v>
      </c>
      <c r="JE31" s="122" t="s">
        <v>59</v>
      </c>
      <c r="JF31" s="123" t="s">
        <v>59</v>
      </c>
      <c r="JG31" s="49" t="s">
        <v>20</v>
      </c>
      <c r="JH31" s="49" t="s">
        <v>20</v>
      </c>
      <c r="JI31" s="123" t="s">
        <v>59</v>
      </c>
      <c r="JJ31" s="49" t="s">
        <v>20</v>
      </c>
      <c r="JK31" s="123" t="s">
        <v>59</v>
      </c>
      <c r="JL31" s="49" t="s">
        <v>20</v>
      </c>
      <c r="JM31" s="123" t="s">
        <v>59</v>
      </c>
      <c r="JN31" s="49" t="s">
        <v>20</v>
      </c>
      <c r="JO31" s="49" t="s">
        <v>20</v>
      </c>
      <c r="JP31" s="49" t="s">
        <v>20</v>
      </c>
      <c r="JQ31" s="49" t="s">
        <v>20</v>
      </c>
      <c r="JR31" s="49" t="s">
        <v>20</v>
      </c>
      <c r="JS31" s="49" t="s">
        <v>20</v>
      </c>
      <c r="JT31" s="49" t="s">
        <v>20</v>
      </c>
      <c r="JU31" s="49" t="s">
        <v>20</v>
      </c>
      <c r="JV31" s="49" t="s">
        <v>20</v>
      </c>
      <c r="JW31" s="49" t="s">
        <v>20</v>
      </c>
      <c r="JX31" s="49" t="s">
        <v>20</v>
      </c>
      <c r="JY31" s="49" t="s">
        <v>20</v>
      </c>
      <c r="JZ31" s="49" t="s">
        <v>59</v>
      </c>
      <c r="KA31" s="49" t="s">
        <v>59</v>
      </c>
      <c r="KB31" s="49" t="s">
        <v>59</v>
      </c>
      <c r="KC31" s="49" t="s">
        <v>59</v>
      </c>
      <c r="KD31" s="49" t="s">
        <v>20</v>
      </c>
      <c r="KE31" s="49" t="s">
        <v>20</v>
      </c>
      <c r="KF31" s="49" t="s">
        <v>59</v>
      </c>
      <c r="KG31" s="49" t="s">
        <v>59</v>
      </c>
      <c r="KH31" s="49" t="s">
        <v>20</v>
      </c>
      <c r="KI31" s="49" t="s">
        <v>20</v>
      </c>
      <c r="KJ31" s="49" t="s">
        <v>59</v>
      </c>
      <c r="KK31" s="49" t="s">
        <v>20</v>
      </c>
      <c r="KL31" s="49" t="s">
        <v>20</v>
      </c>
      <c r="KM31" s="49" t="s">
        <v>20</v>
      </c>
      <c r="KN31" s="49" t="s">
        <v>59</v>
      </c>
      <c r="KO31" s="49" t="s">
        <v>59</v>
      </c>
      <c r="KP31" s="49" t="s">
        <v>59</v>
      </c>
      <c r="KQ31" s="49" t="s">
        <v>20</v>
      </c>
      <c r="KR31" s="49" t="s">
        <v>20</v>
      </c>
      <c r="KS31" s="49" t="s">
        <v>20</v>
      </c>
      <c r="KT31" s="49" t="s">
        <v>20</v>
      </c>
      <c r="KU31" s="49" t="s">
        <v>20</v>
      </c>
      <c r="KV31" s="49" t="s">
        <v>20</v>
      </c>
      <c r="KW31" s="49" t="s">
        <v>20</v>
      </c>
      <c r="KX31" s="49" t="s">
        <v>20</v>
      </c>
      <c r="KY31" s="49" t="s">
        <v>20</v>
      </c>
      <c r="KZ31" s="49" t="s">
        <v>20</v>
      </c>
      <c r="LA31" s="49" t="s">
        <v>20</v>
      </c>
      <c r="LB31" s="49" t="s">
        <v>20</v>
      </c>
      <c r="LC31" s="465" t="s">
        <v>20</v>
      </c>
      <c r="LD31" s="465" t="s">
        <v>20</v>
      </c>
      <c r="LE31" s="49" t="s">
        <v>20</v>
      </c>
      <c r="LF31" s="49" t="s">
        <v>20</v>
      </c>
      <c r="LG31" s="49" t="s">
        <v>20</v>
      </c>
      <c r="LH31" s="49" t="s">
        <v>20</v>
      </c>
      <c r="LI31" s="49" t="s">
        <v>20</v>
      </c>
      <c r="LJ31" s="49" t="s">
        <v>20</v>
      </c>
      <c r="LK31" s="49" t="s">
        <v>20</v>
      </c>
      <c r="LL31" s="49" t="s">
        <v>20</v>
      </c>
      <c r="LM31" s="49" t="s">
        <v>20</v>
      </c>
      <c r="LN31" s="49" t="s">
        <v>20</v>
      </c>
      <c r="LO31" s="49" t="s">
        <v>20</v>
      </c>
      <c r="LP31" s="49" t="s">
        <v>20</v>
      </c>
      <c r="LQ31" s="49" t="s">
        <v>20</v>
      </c>
      <c r="LR31" s="49" t="s">
        <v>59</v>
      </c>
      <c r="LS31" s="49" t="s">
        <v>59</v>
      </c>
      <c r="LT31" s="49" t="s">
        <v>20</v>
      </c>
      <c r="LU31" s="49" t="s">
        <v>20</v>
      </c>
      <c r="LV31" s="49" t="s">
        <v>20</v>
      </c>
      <c r="LW31" s="49" t="s">
        <v>20</v>
      </c>
      <c r="LX31" s="49" t="s">
        <v>59</v>
      </c>
      <c r="LY31" s="49" t="s">
        <v>59</v>
      </c>
      <c r="LZ31" s="49" t="s">
        <v>20</v>
      </c>
      <c r="MA31" s="49" t="s">
        <v>20</v>
      </c>
      <c r="MB31" s="49" t="s">
        <v>20</v>
      </c>
      <c r="MC31" s="49" t="s">
        <v>20</v>
      </c>
      <c r="MD31" s="49" t="s">
        <v>20</v>
      </c>
      <c r="ME31" s="49" t="s">
        <v>20</v>
      </c>
      <c r="MF31" s="49" t="s">
        <v>20</v>
      </c>
      <c r="MG31" s="49" t="s">
        <v>20</v>
      </c>
      <c r="MH31" s="49" t="s">
        <v>20</v>
      </c>
      <c r="MJ31" s="49" t="s">
        <v>20</v>
      </c>
      <c r="MK31" s="49" t="s">
        <v>59</v>
      </c>
      <c r="ML31" s="49" t="s">
        <v>20</v>
      </c>
      <c r="MM31" s="49" t="s">
        <v>59</v>
      </c>
      <c r="MN31" s="49" t="s">
        <v>20</v>
      </c>
      <c r="MO31" s="49" t="s">
        <v>59</v>
      </c>
      <c r="MP31" s="49" t="s">
        <v>20</v>
      </c>
      <c r="MQ31" s="49" t="s">
        <v>59</v>
      </c>
      <c r="MR31" s="49" t="s">
        <v>59</v>
      </c>
      <c r="MS31" s="49" t="s">
        <v>20</v>
      </c>
      <c r="MT31" s="49" t="s">
        <v>20</v>
      </c>
      <c r="MU31" s="49" t="s">
        <v>20</v>
      </c>
      <c r="MV31" s="49" t="s">
        <v>59</v>
      </c>
      <c r="MW31" s="49" t="s">
        <v>59</v>
      </c>
      <c r="MX31" s="49" t="s">
        <v>20</v>
      </c>
      <c r="MY31" s="49" t="s">
        <v>20</v>
      </c>
      <c r="MZ31" s="49" t="s">
        <v>59</v>
      </c>
      <c r="NA31" s="49" t="s">
        <v>20</v>
      </c>
      <c r="NB31" s="49" t="s">
        <v>59</v>
      </c>
      <c r="NC31" s="101" t="s">
        <v>20</v>
      </c>
      <c r="ND31" s="101" t="s">
        <v>13</v>
      </c>
      <c r="NE31" s="101" t="s">
        <v>20</v>
      </c>
      <c r="NF31" s="101" t="s">
        <v>20</v>
      </c>
      <c r="NG31" s="101" t="s">
        <v>20</v>
      </c>
      <c r="NH31" s="101" t="s">
        <v>20</v>
      </c>
      <c r="NI31" s="101" t="s">
        <v>20</v>
      </c>
      <c r="NJ31" s="101" t="s">
        <v>20</v>
      </c>
      <c r="NK31" s="49" t="s">
        <v>59</v>
      </c>
      <c r="NL31" s="49" t="s">
        <v>59</v>
      </c>
      <c r="NM31" s="49" t="s">
        <v>59</v>
      </c>
      <c r="NN31" s="49" t="s">
        <v>59</v>
      </c>
      <c r="NO31" s="49" t="s">
        <v>59</v>
      </c>
      <c r="NP31" s="101" t="s">
        <v>20</v>
      </c>
      <c r="NQ31" s="49" t="s">
        <v>13</v>
      </c>
      <c r="NR31" s="101" t="s">
        <v>20</v>
      </c>
      <c r="NS31" s="101" t="s">
        <v>20</v>
      </c>
      <c r="NT31" s="49" t="s">
        <v>59</v>
      </c>
      <c r="NU31" s="101" t="s">
        <v>20</v>
      </c>
      <c r="NV31" s="101" t="s">
        <v>13</v>
      </c>
      <c r="NW31" s="101" t="s">
        <v>20</v>
      </c>
      <c r="NX31" s="101" t="s">
        <v>20</v>
      </c>
      <c r="NY31" s="49" t="s">
        <v>13</v>
      </c>
      <c r="NZ31" s="49" t="s">
        <v>20</v>
      </c>
      <c r="OA31" s="49" t="s">
        <v>20</v>
      </c>
      <c r="OB31" s="49" t="s">
        <v>20</v>
      </c>
      <c r="OC31" s="49" t="s">
        <v>20</v>
      </c>
      <c r="OD31" s="49" t="s">
        <v>20</v>
      </c>
      <c r="OE31" s="49" t="s">
        <v>20</v>
      </c>
      <c r="OF31" s="49" t="s">
        <v>20</v>
      </c>
      <c r="OG31" s="49" t="s">
        <v>20</v>
      </c>
      <c r="OH31" s="49" t="s">
        <v>20</v>
      </c>
      <c r="OI31" s="49" t="s">
        <v>20</v>
      </c>
      <c r="OJ31" s="49" t="s">
        <v>20</v>
      </c>
      <c r="OK31" s="49" t="s">
        <v>20</v>
      </c>
      <c r="OL31" s="49" t="s">
        <v>20</v>
      </c>
      <c r="OM31" s="49" t="s">
        <v>13</v>
      </c>
      <c r="ON31" s="49" t="s">
        <v>20</v>
      </c>
      <c r="OO31" s="49" t="s">
        <v>20</v>
      </c>
      <c r="OP31" s="49" t="s">
        <v>20</v>
      </c>
      <c r="OQ31" s="49" t="s">
        <v>20</v>
      </c>
      <c r="OR31" s="49" t="s">
        <v>20</v>
      </c>
      <c r="OS31" s="49" t="s">
        <v>20</v>
      </c>
      <c r="OT31" s="49" t="s">
        <v>20</v>
      </c>
      <c r="OU31" s="49" t="s">
        <v>20</v>
      </c>
      <c r="OV31" s="49" t="s">
        <v>59</v>
      </c>
      <c r="OW31" s="49" t="s">
        <v>20</v>
      </c>
      <c r="OX31" s="49" t="s">
        <v>20</v>
      </c>
      <c r="OY31" s="49" t="s">
        <v>20</v>
      </c>
      <c r="OZ31" s="49" t="s">
        <v>20</v>
      </c>
      <c r="PA31" s="49" t="s">
        <v>20</v>
      </c>
      <c r="PB31" s="49" t="s">
        <v>20</v>
      </c>
      <c r="PC31" s="49" t="s">
        <v>20</v>
      </c>
      <c r="PD31" s="49" t="s">
        <v>20</v>
      </c>
      <c r="PE31" s="49" t="s">
        <v>59</v>
      </c>
      <c r="PF31" s="49" t="s">
        <v>20</v>
      </c>
      <c r="PG31" s="49" t="s">
        <v>20</v>
      </c>
      <c r="PH31" s="49" t="s">
        <v>20</v>
      </c>
      <c r="PI31" s="49" t="s">
        <v>20</v>
      </c>
      <c r="PJ31" s="49" t="s">
        <v>20</v>
      </c>
      <c r="PK31" s="49" t="s">
        <v>20</v>
      </c>
      <c r="PL31" s="49" t="s">
        <v>20</v>
      </c>
      <c r="PM31" s="49" t="s">
        <v>20</v>
      </c>
      <c r="PN31" s="49" t="s">
        <v>20</v>
      </c>
      <c r="PO31" s="49" t="s">
        <v>20</v>
      </c>
      <c r="PP31" s="49" t="s">
        <v>59</v>
      </c>
      <c r="PQ31" s="49" t="s">
        <v>20</v>
      </c>
      <c r="PR31" s="49" t="s">
        <v>20</v>
      </c>
      <c r="PS31" s="49" t="s">
        <v>20</v>
      </c>
      <c r="PT31" s="49" t="s">
        <v>20</v>
      </c>
      <c r="PU31" s="49" t="s">
        <v>20</v>
      </c>
      <c r="PV31" s="49" t="s">
        <v>20</v>
      </c>
      <c r="PW31" s="49" t="s">
        <v>59</v>
      </c>
      <c r="PX31" s="49" t="s">
        <v>20</v>
      </c>
      <c r="PY31" s="49" t="s">
        <v>20</v>
      </c>
      <c r="PZ31" s="49" t="s">
        <v>20</v>
      </c>
      <c r="QA31" s="49" t="s">
        <v>20</v>
      </c>
      <c r="QB31" s="49" t="s">
        <v>20</v>
      </c>
      <c r="QC31" s="49" t="s">
        <v>59</v>
      </c>
      <c r="QD31" s="49" t="s">
        <v>59</v>
      </c>
      <c r="QE31" s="49" t="s">
        <v>59</v>
      </c>
      <c r="QF31" s="49" t="s">
        <v>59</v>
      </c>
      <c r="QG31" s="49" t="s">
        <v>59</v>
      </c>
      <c r="QH31" s="49" t="s">
        <v>59</v>
      </c>
      <c r="QI31" s="49" t="s">
        <v>20</v>
      </c>
      <c r="QJ31" s="49" t="s">
        <v>20</v>
      </c>
      <c r="QK31" s="49" t="s">
        <v>20</v>
      </c>
      <c r="QL31" s="49" t="s">
        <v>20</v>
      </c>
      <c r="QM31" s="49" t="s">
        <v>20</v>
      </c>
      <c r="QN31" s="49" t="s">
        <v>20</v>
      </c>
      <c r="QO31" s="49" t="s">
        <v>20</v>
      </c>
      <c r="QP31" s="49" t="s">
        <v>20</v>
      </c>
      <c r="QQ31" s="49" t="s">
        <v>20</v>
      </c>
      <c r="QR31" s="49" t="s">
        <v>20</v>
      </c>
      <c r="QS31" s="49" t="s">
        <v>20</v>
      </c>
      <c r="QT31" s="49" t="s">
        <v>20</v>
      </c>
      <c r="QU31" s="49" t="s">
        <v>20</v>
      </c>
      <c r="QV31" s="49" t="s">
        <v>20</v>
      </c>
      <c r="QW31" s="49" t="s">
        <v>20</v>
      </c>
      <c r="QX31" s="49" t="s">
        <v>20</v>
      </c>
      <c r="QY31" s="49" t="s">
        <v>20</v>
      </c>
      <c r="QZ31" s="49" t="s">
        <v>20</v>
      </c>
      <c r="RA31" s="49" t="s">
        <v>20</v>
      </c>
      <c r="RB31" s="49" t="s">
        <v>59</v>
      </c>
      <c r="RC31" s="49" t="s">
        <v>13</v>
      </c>
      <c r="RD31" s="49" t="s">
        <v>20</v>
      </c>
      <c r="RE31" s="49" t="s">
        <v>20</v>
      </c>
      <c r="RF31" s="49" t="s">
        <v>20</v>
      </c>
      <c r="RG31" s="49" t="s">
        <v>20</v>
      </c>
      <c r="RH31" s="49" t="s">
        <v>20</v>
      </c>
      <c r="RI31" s="49" t="s">
        <v>20</v>
      </c>
      <c r="RJ31" s="49" t="s">
        <v>59</v>
      </c>
      <c r="RK31" s="49" t="s">
        <v>59</v>
      </c>
      <c r="RL31" s="49" t="s">
        <v>59</v>
      </c>
      <c r="RM31" s="49" t="s">
        <v>59</v>
      </c>
      <c r="RN31" s="49" t="s">
        <v>59</v>
      </c>
      <c r="RO31" s="49" t="s">
        <v>59</v>
      </c>
      <c r="RP31" s="49" t="s">
        <v>20</v>
      </c>
      <c r="RQ31" s="49" t="s">
        <v>20</v>
      </c>
      <c r="RR31" s="49" t="s">
        <v>59</v>
      </c>
      <c r="RS31" s="49" t="s">
        <v>20</v>
      </c>
      <c r="RT31" s="49" t="s">
        <v>20</v>
      </c>
      <c r="RU31" s="49" t="s">
        <v>20</v>
      </c>
      <c r="RV31" s="49" t="s">
        <v>20</v>
      </c>
      <c r="RW31" s="49" t="s">
        <v>20</v>
      </c>
      <c r="RX31" s="49" t="s">
        <v>20</v>
      </c>
      <c r="RY31" s="49" t="s">
        <v>20</v>
      </c>
      <c r="RZ31" s="49" t="s">
        <v>20</v>
      </c>
      <c r="SA31" s="49" t="s">
        <v>20</v>
      </c>
      <c r="SB31" s="49" t="s">
        <v>13</v>
      </c>
      <c r="SC31" s="49" t="s">
        <v>20</v>
      </c>
      <c r="SD31" s="49" t="s">
        <v>20</v>
      </c>
      <c r="SE31" s="49" t="s">
        <v>20</v>
      </c>
      <c r="SF31" s="49" t="s">
        <v>20</v>
      </c>
      <c r="SG31" s="49" t="s">
        <v>20</v>
      </c>
      <c r="SH31" s="49" t="s">
        <v>20</v>
      </c>
      <c r="SI31" s="49" t="s">
        <v>59</v>
      </c>
      <c r="SJ31" s="49" t="s">
        <v>59</v>
      </c>
      <c r="SK31" s="49" t="s">
        <v>59</v>
      </c>
      <c r="SL31" s="49" t="s">
        <v>59</v>
      </c>
      <c r="SM31" s="49" t="s">
        <v>59</v>
      </c>
      <c r="SN31" s="49" t="s">
        <v>59</v>
      </c>
      <c r="SO31" s="49" t="s">
        <v>59</v>
      </c>
      <c r="SP31" s="49" t="s">
        <v>59</v>
      </c>
      <c r="SQ31" s="49" t="s">
        <v>59</v>
      </c>
      <c r="SR31" s="49" t="s">
        <v>59</v>
      </c>
      <c r="SS31" s="49" t="s">
        <v>59</v>
      </c>
      <c r="ST31" s="49" t="s">
        <v>20</v>
      </c>
      <c r="SU31" s="49" t="s">
        <v>20</v>
      </c>
      <c r="SV31" s="49" t="s">
        <v>20</v>
      </c>
      <c r="SW31" s="49" t="s">
        <v>59</v>
      </c>
      <c r="SX31" s="49" t="s">
        <v>20</v>
      </c>
      <c r="SY31" s="49" t="s">
        <v>59</v>
      </c>
      <c r="SZ31" s="49" t="s">
        <v>59</v>
      </c>
      <c r="TA31" s="49" t="s">
        <v>59</v>
      </c>
      <c r="TB31" s="49" t="s">
        <v>20</v>
      </c>
      <c r="TC31" s="49" t="s">
        <v>20</v>
      </c>
      <c r="TD31" s="49" t="s">
        <v>20</v>
      </c>
      <c r="TE31" s="49" t="s">
        <v>20</v>
      </c>
      <c r="TF31" s="49" t="s">
        <v>59</v>
      </c>
      <c r="TG31" s="49" t="s">
        <v>59</v>
      </c>
      <c r="TH31" s="49" t="s">
        <v>20</v>
      </c>
      <c r="TI31" s="49" t="s">
        <v>20</v>
      </c>
      <c r="TJ31" s="49" t="s">
        <v>20</v>
      </c>
      <c r="TK31" s="408" t="s">
        <v>20</v>
      </c>
      <c r="TL31" s="408" t="s">
        <v>20</v>
      </c>
      <c r="TM31" s="408" t="s">
        <v>20</v>
      </c>
      <c r="TN31" s="408" t="s">
        <v>20</v>
      </c>
      <c r="TO31" s="408" t="s">
        <v>20</v>
      </c>
      <c r="TP31" s="408" t="s">
        <v>20</v>
      </c>
      <c r="TQ31" s="49" t="s">
        <v>20</v>
      </c>
      <c r="TR31" s="49" t="s">
        <v>20</v>
      </c>
      <c r="TS31" s="49" t="s">
        <v>20</v>
      </c>
      <c r="TT31" s="49" t="s">
        <v>20</v>
      </c>
      <c r="TU31" s="49" t="s">
        <v>20</v>
      </c>
      <c r="TV31" s="49" t="s">
        <v>20</v>
      </c>
      <c r="TW31" s="49" t="s">
        <v>20</v>
      </c>
      <c r="TX31" s="49" t="s">
        <v>59</v>
      </c>
      <c r="TY31" s="49" t="s">
        <v>20</v>
      </c>
      <c r="TZ31" s="49" t="s">
        <v>20</v>
      </c>
      <c r="UA31" s="49" t="s">
        <v>20</v>
      </c>
      <c r="UB31" s="49" t="s">
        <v>59</v>
      </c>
      <c r="UC31" s="49" t="s">
        <v>20</v>
      </c>
      <c r="UD31" s="49" t="s">
        <v>20</v>
      </c>
      <c r="UE31" s="49" t="s">
        <v>59</v>
      </c>
      <c r="UF31" s="49" t="s">
        <v>13</v>
      </c>
      <c r="UG31" s="49" t="s">
        <v>20</v>
      </c>
      <c r="UH31" s="49" t="s">
        <v>20</v>
      </c>
      <c r="UI31" s="49" t="s">
        <v>20</v>
      </c>
      <c r="UJ31" s="49" t="s">
        <v>13</v>
      </c>
      <c r="UK31" s="49" t="s">
        <v>20</v>
      </c>
      <c r="UL31" s="49" t="s">
        <v>59</v>
      </c>
      <c r="UM31" s="49" t="s">
        <v>59</v>
      </c>
      <c r="UN31" s="49" t="s">
        <v>20</v>
      </c>
      <c r="UO31" s="49" t="s">
        <v>59</v>
      </c>
      <c r="UP31" s="49" t="s">
        <v>20</v>
      </c>
      <c r="UQ31" s="49" t="s">
        <v>13</v>
      </c>
      <c r="UR31" s="49" t="s">
        <v>20</v>
      </c>
      <c r="US31" s="49" t="s">
        <v>20</v>
      </c>
      <c r="UT31" s="49" t="s">
        <v>20</v>
      </c>
      <c r="UU31" s="49" t="s">
        <v>20</v>
      </c>
      <c r="UV31" s="49" t="s">
        <v>20</v>
      </c>
      <c r="UW31" s="49" t="s">
        <v>20</v>
      </c>
      <c r="UX31" s="49" t="s">
        <v>20</v>
      </c>
      <c r="UY31" s="49" t="s">
        <v>20</v>
      </c>
      <c r="UZ31" s="49" t="s">
        <v>20</v>
      </c>
      <c r="VA31" s="49" t="s">
        <v>20</v>
      </c>
      <c r="VB31" s="49" t="s">
        <v>13</v>
      </c>
      <c r="VC31" s="49" t="s">
        <v>20</v>
      </c>
      <c r="VD31" s="49" t="s">
        <v>20</v>
      </c>
      <c r="VE31" s="49"/>
      <c r="VF31" s="49" t="s">
        <v>31</v>
      </c>
      <c r="VG31" s="49" t="s">
        <v>59</v>
      </c>
      <c r="VH31" s="49" t="s">
        <v>59</v>
      </c>
      <c r="VI31" s="49" t="s">
        <v>59</v>
      </c>
      <c r="VJ31" s="49" t="s">
        <v>59</v>
      </c>
      <c r="VK31" s="93" t="s">
        <v>20</v>
      </c>
      <c r="VL31" s="93" t="s">
        <v>20</v>
      </c>
      <c r="VM31" s="93" t="s">
        <v>20</v>
      </c>
      <c r="VN31" s="93" t="s">
        <v>59</v>
      </c>
      <c r="VO31" s="93" t="s">
        <v>13</v>
      </c>
      <c r="VP31" s="93" t="s">
        <v>20</v>
      </c>
      <c r="VQ31" s="93" t="s">
        <v>59</v>
      </c>
      <c r="VR31" s="93" t="s">
        <v>13</v>
      </c>
      <c r="VS31" s="93" t="s">
        <v>20</v>
      </c>
      <c r="VT31" s="93" t="s">
        <v>20</v>
      </c>
      <c r="VU31" s="93" t="s">
        <v>20</v>
      </c>
      <c r="VV31" s="93" t="s">
        <v>20</v>
      </c>
      <c r="VW31" s="93" t="s">
        <v>20</v>
      </c>
      <c r="VX31" s="49" t="s">
        <v>20</v>
      </c>
      <c r="VY31" s="49" t="s">
        <v>20</v>
      </c>
      <c r="VZ31" s="49" t="s">
        <v>20</v>
      </c>
      <c r="WA31" s="72" t="s">
        <v>20</v>
      </c>
      <c r="WB31" s="72" t="s">
        <v>20</v>
      </c>
      <c r="WC31" s="72" t="s">
        <v>20</v>
      </c>
      <c r="WD31" s="72" t="s">
        <v>20</v>
      </c>
      <c r="WE31" s="49" t="s">
        <v>20</v>
      </c>
      <c r="WF31" s="49" t="s">
        <v>59</v>
      </c>
      <c r="WG31" s="49" t="s">
        <v>20</v>
      </c>
      <c r="WH31" s="49" t="s">
        <v>20</v>
      </c>
      <c r="WI31" s="49" t="s">
        <v>59</v>
      </c>
      <c r="WJ31" s="49" t="s">
        <v>20</v>
      </c>
      <c r="WK31" s="49" t="s">
        <v>59</v>
      </c>
      <c r="WL31" s="49" t="s">
        <v>20</v>
      </c>
      <c r="WM31" s="49" t="s">
        <v>59</v>
      </c>
      <c r="WN31" s="49" t="s">
        <v>59</v>
      </c>
      <c r="WO31" s="49" t="s">
        <v>20</v>
      </c>
      <c r="WP31" s="49" t="s">
        <v>20</v>
      </c>
      <c r="WQ31" s="72" t="s">
        <v>20</v>
      </c>
      <c r="WR31" s="49" t="s">
        <v>20</v>
      </c>
      <c r="WS31" s="49" t="s">
        <v>20</v>
      </c>
      <c r="WT31" s="72" t="s">
        <v>59</v>
      </c>
      <c r="WU31" s="49" t="s">
        <v>20</v>
      </c>
      <c r="WV31" s="49" t="s">
        <v>59</v>
      </c>
      <c r="WW31" s="49" t="s">
        <v>13</v>
      </c>
      <c r="WX31" s="49" t="s">
        <v>59</v>
      </c>
      <c r="WY31" s="49" t="s">
        <v>13</v>
      </c>
      <c r="WZ31" s="49" t="s">
        <v>13</v>
      </c>
      <c r="XA31" s="49" t="s">
        <v>20</v>
      </c>
      <c r="XB31" s="49" t="s">
        <v>20</v>
      </c>
      <c r="XC31" s="49" t="s">
        <v>20</v>
      </c>
      <c r="XD31" s="49" t="s">
        <v>214</v>
      </c>
      <c r="XE31" s="49" t="s">
        <v>214</v>
      </c>
      <c r="XF31" s="49" t="s">
        <v>214</v>
      </c>
      <c r="XG31" s="49" t="s">
        <v>214</v>
      </c>
      <c r="XH31" s="49" t="s">
        <v>214</v>
      </c>
      <c r="XI31" s="49" t="s">
        <v>59</v>
      </c>
      <c r="XJ31" s="49" t="s">
        <v>59</v>
      </c>
      <c r="XK31" s="49" t="s">
        <v>20</v>
      </c>
      <c r="XL31" s="49" t="s">
        <v>59</v>
      </c>
      <c r="XM31" s="49" t="s">
        <v>59</v>
      </c>
      <c r="XN31" s="49" t="s">
        <v>59</v>
      </c>
      <c r="XO31" s="49" t="s">
        <v>59</v>
      </c>
      <c r="XP31" s="49" t="s">
        <v>59</v>
      </c>
      <c r="XQ31" s="49" t="s">
        <v>59</v>
      </c>
      <c r="XR31" s="49" t="s">
        <v>59</v>
      </c>
      <c r="XS31" s="49" t="s">
        <v>59</v>
      </c>
      <c r="XT31" s="49" t="s">
        <v>20</v>
      </c>
      <c r="XU31" s="49" t="s">
        <v>20</v>
      </c>
      <c r="XV31" s="49" t="s">
        <v>20</v>
      </c>
      <c r="XW31" s="49" t="s">
        <v>20</v>
      </c>
      <c r="XX31" s="49" t="s">
        <v>59</v>
      </c>
      <c r="XY31" s="49" t="s">
        <v>59</v>
      </c>
      <c r="XZ31" s="49" t="s">
        <v>59</v>
      </c>
      <c r="YA31" s="49" t="s">
        <v>59</v>
      </c>
      <c r="YB31" s="49" t="s">
        <v>59</v>
      </c>
      <c r="YC31" s="49" t="s">
        <v>59</v>
      </c>
      <c r="YD31" s="49" t="s">
        <v>20</v>
      </c>
      <c r="YE31" s="49" t="s">
        <v>59</v>
      </c>
      <c r="YF31" s="49" t="s">
        <v>20</v>
      </c>
      <c r="YG31" s="49" t="s">
        <v>20</v>
      </c>
      <c r="YH31" s="49" t="s">
        <v>20</v>
      </c>
      <c r="YI31" s="101" t="s">
        <v>59</v>
      </c>
      <c r="YJ31" s="49" t="s">
        <v>13</v>
      </c>
      <c r="YK31" s="49" t="s">
        <v>13</v>
      </c>
      <c r="YL31" s="49" t="s">
        <v>20</v>
      </c>
      <c r="YM31" s="49" t="s">
        <v>20</v>
      </c>
      <c r="YN31" s="49" t="s">
        <v>59</v>
      </c>
      <c r="YO31" s="49" t="s">
        <v>59</v>
      </c>
      <c r="YP31" s="49" t="s">
        <v>59</v>
      </c>
      <c r="YQ31" s="49" t="s">
        <v>59</v>
      </c>
      <c r="YR31" s="49"/>
      <c r="YS31" s="49" t="s">
        <v>20</v>
      </c>
      <c r="YT31" s="49" t="s">
        <v>20</v>
      </c>
      <c r="YU31" s="49" t="s">
        <v>20</v>
      </c>
      <c r="YV31" s="49" t="s">
        <v>20</v>
      </c>
      <c r="YW31" s="49" t="s">
        <v>20</v>
      </c>
      <c r="YX31" s="49" t="s">
        <v>20</v>
      </c>
      <c r="YY31" s="49" t="s">
        <v>20</v>
      </c>
      <c r="YZ31" s="49" t="s">
        <v>20</v>
      </c>
      <c r="ZA31" s="49" t="s">
        <v>20</v>
      </c>
      <c r="ZB31" s="49" t="s">
        <v>20</v>
      </c>
      <c r="ZC31" s="49" t="s">
        <v>20</v>
      </c>
      <c r="ZD31" s="49" t="s">
        <v>20</v>
      </c>
      <c r="ZE31" s="49" t="s">
        <v>20</v>
      </c>
      <c r="ZF31" s="49" t="s">
        <v>20</v>
      </c>
      <c r="ZG31" s="49" t="s">
        <v>20</v>
      </c>
      <c r="ZH31" s="49" t="s">
        <v>59</v>
      </c>
      <c r="ZI31" s="49" t="s">
        <v>20</v>
      </c>
      <c r="ZJ31" s="49" t="s">
        <v>20</v>
      </c>
      <c r="ZK31" s="49" t="s">
        <v>20</v>
      </c>
      <c r="ZL31" s="49" t="s">
        <v>20</v>
      </c>
      <c r="ZM31" s="49" t="s">
        <v>20</v>
      </c>
      <c r="ZN31" s="49" t="s">
        <v>20</v>
      </c>
      <c r="ZO31" s="49" t="s">
        <v>20</v>
      </c>
      <c r="ZP31" s="49" t="s">
        <v>20</v>
      </c>
      <c r="ZQ31" s="49" t="s">
        <v>20</v>
      </c>
      <c r="ZR31" s="49" t="s">
        <v>20</v>
      </c>
      <c r="ZS31" s="49" t="s">
        <v>20</v>
      </c>
      <c r="ZT31" s="49" t="s">
        <v>20</v>
      </c>
      <c r="ZU31" s="49" t="s">
        <v>20</v>
      </c>
      <c r="ZV31" s="49" t="s">
        <v>20</v>
      </c>
      <c r="ZW31" s="49" t="s">
        <v>59</v>
      </c>
      <c r="ZX31" s="49" t="s">
        <v>59</v>
      </c>
      <c r="ZY31" s="49" t="s">
        <v>20</v>
      </c>
      <c r="ZZ31" s="122" t="s">
        <v>59</v>
      </c>
      <c r="AAA31" s="49" t="s">
        <v>59</v>
      </c>
      <c r="AAB31" s="49" t="s">
        <v>20</v>
      </c>
      <c r="AAC31" s="49" t="s">
        <v>20</v>
      </c>
      <c r="AAD31" s="49" t="s">
        <v>20</v>
      </c>
    </row>
    <row r="32" spans="1:706" s="26" customFormat="1" ht="12.1" customHeight="1" x14ac:dyDescent="0.25">
      <c r="A32" s="4" t="s">
        <v>14</v>
      </c>
      <c r="B32" s="175" t="s">
        <v>263</v>
      </c>
      <c r="C32" s="175" t="s">
        <v>1</v>
      </c>
      <c r="D32" s="175" t="s">
        <v>2</v>
      </c>
      <c r="E32" s="176" t="s">
        <v>3</v>
      </c>
      <c r="F32" s="176" t="s">
        <v>379</v>
      </c>
      <c r="G32" s="176" t="s">
        <v>122</v>
      </c>
      <c r="H32" s="176" t="s">
        <v>234</v>
      </c>
      <c r="I32" s="176" t="s">
        <v>77</v>
      </c>
      <c r="J32" s="177" t="s">
        <v>4</v>
      </c>
      <c r="K32" s="177" t="s">
        <v>5</v>
      </c>
      <c r="L32" s="177"/>
      <c r="M32" s="177" t="s">
        <v>71</v>
      </c>
      <c r="N32" s="177" t="s">
        <v>72</v>
      </c>
      <c r="O32" s="177" t="s">
        <v>73</v>
      </c>
      <c r="P32" s="177" t="s">
        <v>102</v>
      </c>
      <c r="Q32" s="177" t="s">
        <v>103</v>
      </c>
      <c r="R32" s="177" t="s">
        <v>104</v>
      </c>
      <c r="S32" s="177" t="s">
        <v>105</v>
      </c>
      <c r="T32" s="177" t="s">
        <v>110</v>
      </c>
      <c r="U32" s="177" t="s">
        <v>8</v>
      </c>
      <c r="V32" s="177" t="s">
        <v>9</v>
      </c>
      <c r="W32" s="177" t="s">
        <v>106</v>
      </c>
      <c r="X32" s="177" t="s">
        <v>21</v>
      </c>
      <c r="Y32" s="177" t="s">
        <v>254</v>
      </c>
      <c r="Z32" s="177" t="s">
        <v>6</v>
      </c>
      <c r="AA32" s="177" t="s">
        <v>7</v>
      </c>
      <c r="AB32" s="177" t="s">
        <v>107</v>
      </c>
      <c r="AC32" s="177" t="s">
        <v>600</v>
      </c>
      <c r="AD32" s="177" t="s">
        <v>601</v>
      </c>
      <c r="AE32" s="177" t="s">
        <v>602</v>
      </c>
      <c r="AF32" s="177" t="s">
        <v>603</v>
      </c>
      <c r="AG32" s="177" t="s">
        <v>604</v>
      </c>
      <c r="AH32" s="177" t="s">
        <v>605</v>
      </c>
      <c r="AI32" s="177" t="s">
        <v>606</v>
      </c>
      <c r="AJ32" s="177" t="s">
        <v>607</v>
      </c>
      <c r="AK32" s="177" t="s">
        <v>608</v>
      </c>
      <c r="AL32" s="177" t="s">
        <v>609</v>
      </c>
      <c r="AM32" s="177"/>
      <c r="AN32" s="177" t="s">
        <v>610</v>
      </c>
      <c r="AO32" s="177" t="s">
        <v>611</v>
      </c>
      <c r="AP32" s="177" t="s">
        <v>612</v>
      </c>
      <c r="AQ32" s="177" t="s">
        <v>614</v>
      </c>
      <c r="AR32" s="177" t="s">
        <v>1213</v>
      </c>
      <c r="AS32" s="177" t="s">
        <v>1214</v>
      </c>
      <c r="AT32" s="177" t="s">
        <v>1215</v>
      </c>
      <c r="AU32" s="177" t="s">
        <v>1216</v>
      </c>
      <c r="AV32" s="177" t="s">
        <v>1217</v>
      </c>
      <c r="AW32" s="177" t="s">
        <v>1218</v>
      </c>
      <c r="AX32" s="177" t="s">
        <v>1219</v>
      </c>
      <c r="AY32" s="177" t="s">
        <v>1220</v>
      </c>
      <c r="AZ32" s="177" t="s">
        <v>1221</v>
      </c>
      <c r="BA32" s="177" t="s">
        <v>1222</v>
      </c>
      <c r="BB32" s="177" t="s">
        <v>1223</v>
      </c>
      <c r="BC32" s="177" t="s">
        <v>19</v>
      </c>
      <c r="BD32" s="177" t="s">
        <v>22</v>
      </c>
      <c r="BE32" s="177" t="s">
        <v>1224</v>
      </c>
      <c r="BF32" s="177" t="s">
        <v>1225</v>
      </c>
      <c r="BG32" s="177" t="s">
        <v>23</v>
      </c>
      <c r="BH32" s="177" t="s">
        <v>117</v>
      </c>
      <c r="BI32" s="177" t="s">
        <v>867</v>
      </c>
      <c r="BJ32" s="177" t="s">
        <v>126</v>
      </c>
      <c r="BK32" s="177" t="s">
        <v>75</v>
      </c>
      <c r="BL32" s="177" t="s">
        <v>108</v>
      </c>
      <c r="BM32" s="177" t="s">
        <v>109</v>
      </c>
      <c r="BN32" s="177" t="s">
        <v>259</v>
      </c>
      <c r="BO32" s="177" t="s">
        <v>260</v>
      </c>
      <c r="BP32" s="177" t="s">
        <v>1022</v>
      </c>
      <c r="BQ32" s="177" t="s">
        <v>695</v>
      </c>
      <c r="BR32" s="177" t="s">
        <v>697</v>
      </c>
      <c r="BS32" s="177" t="s">
        <v>698</v>
      </c>
      <c r="BT32" s="177" t="s">
        <v>692</v>
      </c>
      <c r="BU32" s="177"/>
      <c r="BV32" s="177"/>
      <c r="BW32" s="177"/>
      <c r="BX32" s="177"/>
      <c r="BY32" s="177"/>
      <c r="BZ32" s="177"/>
      <c r="CA32" s="177"/>
      <c r="CB32" s="177"/>
      <c r="CC32" s="177"/>
      <c r="CD32" s="177"/>
      <c r="CE32" s="177"/>
      <c r="CF32" s="177"/>
      <c r="CG32" s="177"/>
      <c r="CH32" s="177"/>
      <c r="CI32" s="177" t="s">
        <v>1226</v>
      </c>
      <c r="CJ32" s="177" t="s">
        <v>1227</v>
      </c>
      <c r="CK32" s="177" t="s">
        <v>883</v>
      </c>
      <c r="CL32" s="177" t="s">
        <v>70</v>
      </c>
      <c r="CM32" s="177" t="s">
        <v>1228</v>
      </c>
      <c r="CN32" s="177" t="s">
        <v>34</v>
      </c>
      <c r="CO32" s="177" t="s">
        <v>35</v>
      </c>
      <c r="CP32" s="177" t="s">
        <v>144</v>
      </c>
      <c r="CQ32" s="177" t="s">
        <v>96</v>
      </c>
      <c r="CR32" s="177" t="s">
        <v>41</v>
      </c>
      <c r="CS32" s="177" t="s">
        <v>127</v>
      </c>
      <c r="CT32" s="177" t="s">
        <v>142</v>
      </c>
      <c r="CU32" s="177" t="s">
        <v>95</v>
      </c>
      <c r="CV32" s="177" t="s">
        <v>39</v>
      </c>
      <c r="CW32" s="177" t="s">
        <v>143</v>
      </c>
      <c r="CX32" s="177" t="s">
        <v>36</v>
      </c>
      <c r="CY32" s="177" t="s">
        <v>37</v>
      </c>
      <c r="CZ32" s="177" t="s">
        <v>56</v>
      </c>
      <c r="DA32" s="177"/>
      <c r="DB32" s="177"/>
      <c r="DC32" s="177" t="s">
        <v>135</v>
      </c>
      <c r="DD32" s="177" t="s">
        <v>868</v>
      </c>
      <c r="DE32" s="177"/>
      <c r="DF32" s="177" t="s">
        <v>136</v>
      </c>
      <c r="DG32" s="177" t="s">
        <v>208</v>
      </c>
      <c r="DH32" s="177" t="s">
        <v>301</v>
      </c>
      <c r="DI32" s="177"/>
      <c r="DJ32" s="177" t="s">
        <v>1229</v>
      </c>
      <c r="DK32" s="177" t="s">
        <v>1230</v>
      </c>
      <c r="DL32" s="177" t="s">
        <v>1231</v>
      </c>
      <c r="DM32" s="177" t="s">
        <v>2771</v>
      </c>
      <c r="DN32" s="177" t="s">
        <v>128</v>
      </c>
      <c r="DO32" s="177" t="s">
        <v>40</v>
      </c>
      <c r="DP32" s="177" t="s">
        <v>38</v>
      </c>
      <c r="DQ32" s="177" t="s">
        <v>93</v>
      </c>
      <c r="DR32" s="177"/>
      <c r="DS32" s="177" t="s">
        <v>679</v>
      </c>
      <c r="DT32" s="177" t="s">
        <v>1014</v>
      </c>
      <c r="DU32" s="177" t="s">
        <v>64</v>
      </c>
      <c r="DV32" s="177" t="s">
        <v>65</v>
      </c>
      <c r="DW32" s="178" t="s">
        <v>1232</v>
      </c>
      <c r="DX32" s="177" t="s">
        <v>179</v>
      </c>
      <c r="DY32" s="177" t="s">
        <v>845</v>
      </c>
      <c r="DZ32" s="177" t="s">
        <v>192</v>
      </c>
      <c r="EA32" s="178" t="s">
        <v>1489</v>
      </c>
      <c r="EB32" s="178" t="s">
        <v>1490</v>
      </c>
      <c r="EC32" s="178" t="s">
        <v>1491</v>
      </c>
      <c r="ED32" s="178" t="s">
        <v>1492</v>
      </c>
      <c r="EE32" s="177" t="s">
        <v>46</v>
      </c>
      <c r="EF32" s="177" t="s">
        <v>1233</v>
      </c>
      <c r="EG32" s="177" t="s">
        <v>42</v>
      </c>
      <c r="EH32" s="177" t="s">
        <v>43</v>
      </c>
      <c r="EI32" s="177" t="s">
        <v>44</v>
      </c>
      <c r="EJ32" s="177" t="s">
        <v>1493</v>
      </c>
      <c r="EK32" s="177" t="s">
        <v>67</v>
      </c>
      <c r="EL32" s="177" t="s">
        <v>68</v>
      </c>
      <c r="EM32" s="177" t="s">
        <v>63</v>
      </c>
      <c r="EN32" s="177" t="s">
        <v>113</v>
      </c>
      <c r="EO32" s="177" t="s">
        <v>268</v>
      </c>
      <c r="EP32" s="177" t="s">
        <v>101</v>
      </c>
      <c r="EQ32" s="177" t="s">
        <v>269</v>
      </c>
      <c r="ER32" s="177" t="s">
        <v>590</v>
      </c>
      <c r="ES32" s="177" t="s">
        <v>599</v>
      </c>
      <c r="ET32" s="177" t="s">
        <v>24</v>
      </c>
      <c r="EU32" s="177" t="s">
        <v>26</v>
      </c>
      <c r="EV32" s="177" t="s">
        <v>28</v>
      </c>
      <c r="EW32" s="177" t="s">
        <v>25</v>
      </c>
      <c r="EX32" s="177" t="s">
        <v>27</v>
      </c>
      <c r="EY32" s="177" t="s">
        <v>29</v>
      </c>
      <c r="EZ32" s="177" t="s">
        <v>488</v>
      </c>
      <c r="FA32" s="177" t="s">
        <v>598</v>
      </c>
      <c r="FB32" s="177" t="s">
        <v>489</v>
      </c>
      <c r="FC32" s="177" t="s">
        <v>506</v>
      </c>
      <c r="FD32" s="177" t="s">
        <v>507</v>
      </c>
      <c r="FE32" s="177" t="s">
        <v>508</v>
      </c>
      <c r="FF32" s="177" t="s">
        <v>681</v>
      </c>
      <c r="FG32" s="177" t="s">
        <v>682</v>
      </c>
      <c r="FH32" s="177" t="s">
        <v>30</v>
      </c>
      <c r="FI32" s="177" t="s">
        <v>32</v>
      </c>
      <c r="FJ32" s="177" t="s">
        <v>33</v>
      </c>
      <c r="FK32" s="177" t="s">
        <v>270</v>
      </c>
      <c r="FL32" s="177"/>
      <c r="FM32" s="177" t="s">
        <v>271</v>
      </c>
      <c r="FN32" s="177" t="s">
        <v>277</v>
      </c>
      <c r="FO32" s="177" t="s">
        <v>276</v>
      </c>
      <c r="FP32" s="177" t="s">
        <v>1112</v>
      </c>
      <c r="FQ32" s="177" t="s">
        <v>1234</v>
      </c>
      <c r="FR32" s="177" t="s">
        <v>1235</v>
      </c>
      <c r="FS32" s="177" t="s">
        <v>1494</v>
      </c>
      <c r="FT32" s="177" t="s">
        <v>1237</v>
      </c>
      <c r="FU32" s="177" t="s">
        <v>1495</v>
      </c>
      <c r="FV32" s="177" t="s">
        <v>1496</v>
      </c>
      <c r="FW32" s="177" t="s">
        <v>1497</v>
      </c>
      <c r="FX32" s="177" t="s">
        <v>1498</v>
      </c>
      <c r="FY32" s="177"/>
      <c r="FZ32" s="177"/>
      <c r="GA32" s="177" t="s">
        <v>1055</v>
      </c>
      <c r="GB32" s="177"/>
      <c r="GC32" s="177" t="s">
        <v>1070</v>
      </c>
      <c r="GD32" s="177"/>
      <c r="GE32" s="177" t="s">
        <v>47</v>
      </c>
      <c r="GF32" s="177" t="s">
        <v>48</v>
      </c>
      <c r="GG32" s="177" t="s">
        <v>814</v>
      </c>
      <c r="GH32" s="177" t="s">
        <v>284</v>
      </c>
      <c r="GI32" s="177" t="s">
        <v>216</v>
      </c>
      <c r="GJ32" s="177" t="s">
        <v>57</v>
      </c>
      <c r="GK32" s="177" t="s">
        <v>492</v>
      </c>
      <c r="GL32" s="177" t="s">
        <v>58</v>
      </c>
      <c r="GM32" s="177" t="s">
        <v>183</v>
      </c>
      <c r="GN32" s="177"/>
      <c r="GO32" s="177" t="s">
        <v>187</v>
      </c>
      <c r="GP32" s="177" t="s">
        <v>49</v>
      </c>
      <c r="GQ32" s="177"/>
      <c r="GR32" s="177" t="s">
        <v>190</v>
      </c>
      <c r="GS32" s="177"/>
      <c r="GT32" s="177"/>
      <c r="GU32" s="177" t="s">
        <v>866</v>
      </c>
      <c r="GV32" s="177" t="s">
        <v>1499</v>
      </c>
      <c r="GW32" s="177" t="s">
        <v>1500</v>
      </c>
      <c r="GX32" s="177" t="s">
        <v>1501</v>
      </c>
      <c r="GY32" s="177"/>
      <c r="GZ32" s="177"/>
      <c r="HA32" s="177" t="s">
        <v>1502</v>
      </c>
      <c r="HB32" s="177"/>
      <c r="HC32" s="177"/>
      <c r="HD32" s="177" t="s">
        <v>257</v>
      </c>
      <c r="HE32" s="177" t="s">
        <v>194</v>
      </c>
      <c r="HF32" s="177"/>
      <c r="HG32" s="177" t="s">
        <v>195</v>
      </c>
      <c r="HH32" s="177" t="s">
        <v>196</v>
      </c>
      <c r="HI32" s="177"/>
      <c r="HJ32" s="177" t="s">
        <v>253</v>
      </c>
      <c r="HK32" s="177" t="s">
        <v>197</v>
      </c>
      <c r="HL32" s="177"/>
      <c r="HM32" s="177"/>
      <c r="HN32" s="177" t="s">
        <v>474</v>
      </c>
      <c r="HO32" s="177"/>
      <c r="HP32" s="177" t="s">
        <v>595</v>
      </c>
      <c r="HQ32" s="177" t="s">
        <v>1503</v>
      </c>
      <c r="HR32" s="177" t="s">
        <v>1504</v>
      </c>
      <c r="HS32" s="177" t="s">
        <v>97</v>
      </c>
      <c r="HT32" s="177" t="s">
        <v>1505</v>
      </c>
      <c r="HU32" s="177" t="s">
        <v>239</v>
      </c>
      <c r="HV32" s="177" t="s">
        <v>240</v>
      </c>
      <c r="HW32" s="177" t="s">
        <v>313</v>
      </c>
      <c r="HX32" s="466" t="s">
        <v>1506</v>
      </c>
      <c r="HY32" s="466" t="s">
        <v>1507</v>
      </c>
      <c r="HZ32" s="179" t="s">
        <v>79</v>
      </c>
      <c r="IA32" s="179" t="s">
        <v>80</v>
      </c>
      <c r="IB32" s="179" t="s">
        <v>227</v>
      </c>
      <c r="IC32" s="178" t="s">
        <v>1247</v>
      </c>
      <c r="ID32" s="177" t="s">
        <v>2316</v>
      </c>
      <c r="IE32" s="177" t="s">
        <v>2749</v>
      </c>
      <c r="IF32" s="177" t="s">
        <v>539</v>
      </c>
      <c r="IG32" s="177" t="s">
        <v>178</v>
      </c>
      <c r="IH32" s="177" t="s">
        <v>1508</v>
      </c>
      <c r="II32" s="177" t="s">
        <v>206</v>
      </c>
      <c r="IJ32" s="177" t="s">
        <v>625</v>
      </c>
      <c r="IK32" s="178" t="s">
        <v>1509</v>
      </c>
      <c r="IL32" s="177" t="s">
        <v>289</v>
      </c>
      <c r="IM32" s="177" t="s">
        <v>290</v>
      </c>
      <c r="IN32" s="177" t="s">
        <v>768</v>
      </c>
      <c r="IO32" s="177" t="s">
        <v>2317</v>
      </c>
      <c r="IP32" s="177" t="s">
        <v>1049</v>
      </c>
      <c r="IQ32" s="177" t="s">
        <v>410</v>
      </c>
      <c r="IR32" s="177" t="s">
        <v>225</v>
      </c>
      <c r="IS32" s="177" t="s">
        <v>314</v>
      </c>
      <c r="IT32" s="177"/>
      <c r="IU32" s="177" t="s">
        <v>213</v>
      </c>
      <c r="IV32" s="178"/>
      <c r="IW32" s="178"/>
      <c r="IX32" s="177" t="s">
        <v>513</v>
      </c>
      <c r="IY32" s="178"/>
      <c r="IZ32" s="178" t="s">
        <v>517</v>
      </c>
      <c r="JA32" s="178"/>
      <c r="JB32" s="177" t="s">
        <v>521</v>
      </c>
      <c r="JC32" s="177"/>
      <c r="JD32" s="178" t="s">
        <v>523</v>
      </c>
      <c r="JE32" s="178"/>
      <c r="JF32" s="467"/>
      <c r="JG32" s="177" t="s">
        <v>527</v>
      </c>
      <c r="JH32" s="177" t="s">
        <v>182</v>
      </c>
      <c r="JI32" s="467"/>
      <c r="JJ32" s="177" t="s">
        <v>596</v>
      </c>
      <c r="JK32" s="467"/>
      <c r="JL32" s="177" t="s">
        <v>597</v>
      </c>
      <c r="JM32" s="467"/>
      <c r="JN32" s="177" t="s">
        <v>531</v>
      </c>
      <c r="JO32" s="177" t="s">
        <v>403</v>
      </c>
      <c r="JP32" s="177" t="s">
        <v>191</v>
      </c>
      <c r="JQ32" s="177" t="s">
        <v>2172</v>
      </c>
      <c r="JR32" s="177" t="s">
        <v>2173</v>
      </c>
      <c r="JS32" s="177" t="s">
        <v>2174</v>
      </c>
      <c r="JT32" s="177" t="s">
        <v>207</v>
      </c>
      <c r="JU32" s="177" t="s">
        <v>325</v>
      </c>
      <c r="JV32" s="178" t="s">
        <v>224</v>
      </c>
      <c r="JW32" s="178" t="s">
        <v>326</v>
      </c>
      <c r="JX32" s="178" t="s">
        <v>1050</v>
      </c>
      <c r="JY32" s="178" t="s">
        <v>262</v>
      </c>
      <c r="JZ32" s="177"/>
      <c r="KA32" s="177"/>
      <c r="KB32" s="177"/>
      <c r="KC32" s="177"/>
      <c r="KD32" s="177" t="s">
        <v>1510</v>
      </c>
      <c r="KE32" s="177" t="s">
        <v>1511</v>
      </c>
      <c r="KF32" s="177"/>
      <c r="KG32" s="177"/>
      <c r="KH32" s="177" t="s">
        <v>1512</v>
      </c>
      <c r="KI32" s="177" t="s">
        <v>1513</v>
      </c>
      <c r="KJ32" s="177"/>
      <c r="KK32" s="177" t="s">
        <v>1514</v>
      </c>
      <c r="KL32" s="177" t="s">
        <v>1515</v>
      </c>
      <c r="KM32" s="177" t="s">
        <v>1516</v>
      </c>
      <c r="KN32" s="177"/>
      <c r="KO32" s="177"/>
      <c r="KP32" s="177"/>
      <c r="KQ32" s="177" t="s">
        <v>1517</v>
      </c>
      <c r="KR32" s="177" t="s">
        <v>1518</v>
      </c>
      <c r="KS32" s="177" t="s">
        <v>1519</v>
      </c>
      <c r="KT32" s="177" t="s">
        <v>1520</v>
      </c>
      <c r="KU32" s="177" t="s">
        <v>1521</v>
      </c>
      <c r="KV32" s="177" t="s">
        <v>1522</v>
      </c>
      <c r="KW32" s="177" t="s">
        <v>1523</v>
      </c>
      <c r="KX32" s="177" t="s">
        <v>1524</v>
      </c>
      <c r="KY32" s="177" t="s">
        <v>1525</v>
      </c>
      <c r="KZ32" s="177" t="s">
        <v>1526</v>
      </c>
      <c r="LA32" s="177" t="s">
        <v>238</v>
      </c>
      <c r="LB32" s="177" t="s">
        <v>1527</v>
      </c>
      <c r="LC32" s="466" t="s">
        <v>1528</v>
      </c>
      <c r="LD32" s="466" t="s">
        <v>1529</v>
      </c>
      <c r="LE32" s="177" t="s">
        <v>1530</v>
      </c>
      <c r="LF32" s="177" t="s">
        <v>1531</v>
      </c>
      <c r="LG32" s="177" t="s">
        <v>1532</v>
      </c>
      <c r="LH32" s="177" t="s">
        <v>1533</v>
      </c>
      <c r="LI32" s="177" t="s">
        <v>1534</v>
      </c>
      <c r="LJ32" s="177" t="s">
        <v>1535</v>
      </c>
      <c r="LK32" s="177" t="s">
        <v>1536</v>
      </c>
      <c r="LL32" s="177" t="s">
        <v>1537</v>
      </c>
      <c r="LM32" s="177" t="s">
        <v>1538</v>
      </c>
      <c r="LN32" s="177" t="s">
        <v>1539</v>
      </c>
      <c r="LO32" s="177" t="s">
        <v>1540</v>
      </c>
      <c r="LP32" s="177" t="s">
        <v>1541</v>
      </c>
      <c r="LQ32" s="177" t="s">
        <v>1542</v>
      </c>
      <c r="LR32" s="177"/>
      <c r="LS32" s="177"/>
      <c r="LT32" s="177" t="s">
        <v>159</v>
      </c>
      <c r="LU32" s="177" t="s">
        <v>444</v>
      </c>
      <c r="LV32" s="177" t="s">
        <v>443</v>
      </c>
      <c r="LW32" s="177" t="s">
        <v>62</v>
      </c>
      <c r="LX32" s="177"/>
      <c r="LY32" s="177"/>
      <c r="LZ32" s="177" t="s">
        <v>346</v>
      </c>
      <c r="MA32" s="177" t="s">
        <v>312</v>
      </c>
      <c r="MB32" s="177" t="s">
        <v>150</v>
      </c>
      <c r="MC32" s="177" t="s">
        <v>2175</v>
      </c>
      <c r="MD32" s="177" t="s">
        <v>2176</v>
      </c>
      <c r="ME32" s="177" t="s">
        <v>2177</v>
      </c>
      <c r="MF32" s="177" t="s">
        <v>541</v>
      </c>
      <c r="MG32" s="177" t="s">
        <v>151</v>
      </c>
      <c r="MH32" s="177" t="s">
        <v>878</v>
      </c>
      <c r="MI32" s="177"/>
      <c r="MJ32" s="177" t="s">
        <v>877</v>
      </c>
      <c r="MK32" s="177"/>
      <c r="ML32" s="177" t="s">
        <v>876</v>
      </c>
      <c r="MM32" s="177"/>
      <c r="MN32" s="177" t="s">
        <v>153</v>
      </c>
      <c r="MO32" s="177"/>
      <c r="MP32" s="177" t="s">
        <v>302</v>
      </c>
      <c r="MQ32" s="177"/>
      <c r="MR32" s="177"/>
      <c r="MS32" s="177" t="s">
        <v>305</v>
      </c>
      <c r="MT32" s="177" t="s">
        <v>311</v>
      </c>
      <c r="MU32" s="177" t="s">
        <v>1543</v>
      </c>
      <c r="MV32" s="177"/>
      <c r="MW32" s="177"/>
      <c r="MX32" s="177" t="s">
        <v>303</v>
      </c>
      <c r="MY32" s="177" t="s">
        <v>304</v>
      </c>
      <c r="MZ32" s="177"/>
      <c r="NA32" s="177" t="s">
        <v>154</v>
      </c>
      <c r="NB32" s="177"/>
      <c r="NC32" s="180" t="s">
        <v>330</v>
      </c>
      <c r="ND32" s="180" t="s">
        <v>1544</v>
      </c>
      <c r="NE32" s="180" t="s">
        <v>1545</v>
      </c>
      <c r="NF32" s="180" t="s">
        <v>1546</v>
      </c>
      <c r="NG32" s="180" t="s">
        <v>1547</v>
      </c>
      <c r="NH32" s="180" t="s">
        <v>1548</v>
      </c>
      <c r="NI32" s="180" t="s">
        <v>1549</v>
      </c>
      <c r="NJ32" s="180" t="s">
        <v>1550</v>
      </c>
      <c r="NK32" s="180"/>
      <c r="NL32" s="180"/>
      <c r="NM32" s="180"/>
      <c r="NN32" s="180"/>
      <c r="NO32" s="180"/>
      <c r="NP32" s="180" t="s">
        <v>1551</v>
      </c>
      <c r="NQ32" s="180" t="s">
        <v>1552</v>
      </c>
      <c r="NR32" s="180" t="s">
        <v>1553</v>
      </c>
      <c r="NS32" s="180" t="s">
        <v>1554</v>
      </c>
      <c r="NT32" s="180"/>
      <c r="NU32" s="180" t="s">
        <v>1555</v>
      </c>
      <c r="NV32" s="180" t="s">
        <v>1556</v>
      </c>
      <c r="NW32" s="180" t="s">
        <v>1557</v>
      </c>
      <c r="NX32" s="180" t="s">
        <v>1558</v>
      </c>
      <c r="NY32" s="177" t="s">
        <v>98</v>
      </c>
      <c r="NZ32" s="177" t="s">
        <v>99</v>
      </c>
      <c r="OA32" s="177" t="s">
        <v>332</v>
      </c>
      <c r="OB32" s="177" t="s">
        <v>1559</v>
      </c>
      <c r="OC32" s="177" t="s">
        <v>718</v>
      </c>
      <c r="OD32" s="177" t="s">
        <v>1151</v>
      </c>
      <c r="OE32" s="177" t="s">
        <v>1156</v>
      </c>
      <c r="OF32" s="177" t="s">
        <v>1073</v>
      </c>
      <c r="OG32" s="177" t="s">
        <v>2178</v>
      </c>
      <c r="OH32" s="177" t="s">
        <v>2179</v>
      </c>
      <c r="OI32" s="177" t="s">
        <v>1260</v>
      </c>
      <c r="OJ32" s="177" t="s">
        <v>899</v>
      </c>
      <c r="OK32" s="177" t="s">
        <v>1011</v>
      </c>
      <c r="OL32" s="177" t="s">
        <v>1006</v>
      </c>
      <c r="OM32" s="177" t="s">
        <v>1157</v>
      </c>
      <c r="ON32" s="177" t="s">
        <v>1007</v>
      </c>
      <c r="OO32" s="177" t="s">
        <v>1158</v>
      </c>
      <c r="OP32" s="177" t="s">
        <v>1008</v>
      </c>
      <c r="OQ32" s="177" t="s">
        <v>714</v>
      </c>
      <c r="OR32" s="177" t="s">
        <v>1078</v>
      </c>
      <c r="OS32" s="177" t="s">
        <v>1079</v>
      </c>
      <c r="OT32" s="177" t="s">
        <v>926</v>
      </c>
      <c r="OU32" s="177" t="s">
        <v>94</v>
      </c>
      <c r="OV32" s="177"/>
      <c r="OW32" s="177" t="s">
        <v>734</v>
      </c>
      <c r="OX32" s="177" t="s">
        <v>884</v>
      </c>
      <c r="OY32" s="177" t="s">
        <v>91</v>
      </c>
      <c r="OZ32" s="177" t="s">
        <v>742</v>
      </c>
      <c r="PA32" s="177" t="s">
        <v>1080</v>
      </c>
      <c r="PB32" s="177" t="s">
        <v>743</v>
      </c>
      <c r="PC32" s="177" t="s">
        <v>92</v>
      </c>
      <c r="PD32" s="177" t="s">
        <v>1560</v>
      </c>
      <c r="PE32" s="177"/>
      <c r="PF32" s="177" t="s">
        <v>745</v>
      </c>
      <c r="PG32" s="177" t="s">
        <v>746</v>
      </c>
      <c r="PH32" s="177" t="s">
        <v>1561</v>
      </c>
      <c r="PI32" s="177" t="s">
        <v>1562</v>
      </c>
      <c r="PJ32" s="177" t="s">
        <v>749</v>
      </c>
      <c r="PK32" s="177" t="s">
        <v>1081</v>
      </c>
      <c r="PL32" s="177" t="s">
        <v>750</v>
      </c>
      <c r="PM32" s="177" t="s">
        <v>862</v>
      </c>
      <c r="PN32" s="177" t="s">
        <v>753</v>
      </c>
      <c r="PO32" s="181" t="s">
        <v>863</v>
      </c>
      <c r="PP32" s="181"/>
      <c r="PQ32" s="181" t="s">
        <v>853</v>
      </c>
      <c r="PR32" s="181" t="s">
        <v>854</v>
      </c>
      <c r="PS32" s="181" t="s">
        <v>855</v>
      </c>
      <c r="PT32" s="181" t="s">
        <v>861</v>
      </c>
      <c r="PU32" s="181" t="s">
        <v>856</v>
      </c>
      <c r="PV32" s="177" t="s">
        <v>858</v>
      </c>
      <c r="PW32" s="177"/>
      <c r="PX32" s="177" t="s">
        <v>1563</v>
      </c>
      <c r="PY32" s="177" t="s">
        <v>1564</v>
      </c>
      <c r="PZ32" s="177" t="s">
        <v>1565</v>
      </c>
      <c r="QA32" s="177" t="s">
        <v>1566</v>
      </c>
      <c r="QB32" s="177" t="s">
        <v>1567</v>
      </c>
      <c r="QC32" s="177"/>
      <c r="QD32" s="177"/>
      <c r="QE32" s="177"/>
      <c r="QF32" s="177"/>
      <c r="QG32" s="177"/>
      <c r="QH32" s="177"/>
      <c r="QI32" s="177" t="s">
        <v>1568</v>
      </c>
      <c r="QJ32" s="177" t="s">
        <v>1569</v>
      </c>
      <c r="QK32" s="177" t="s">
        <v>752</v>
      </c>
      <c r="QL32" s="177" t="s">
        <v>906</v>
      </c>
      <c r="QM32" s="177" t="s">
        <v>907</v>
      </c>
      <c r="QN32" s="177" t="s">
        <v>908</v>
      </c>
      <c r="QO32" s="177" t="s">
        <v>909</v>
      </c>
      <c r="QP32" s="177" t="s">
        <v>918</v>
      </c>
      <c r="QQ32" s="177" t="s">
        <v>922</v>
      </c>
      <c r="QR32" s="177" t="s">
        <v>923</v>
      </c>
      <c r="QS32" s="177" t="s">
        <v>925</v>
      </c>
      <c r="QT32" s="177" t="s">
        <v>852</v>
      </c>
      <c r="QU32" s="177" t="s">
        <v>756</v>
      </c>
      <c r="QV32" s="177" t="s">
        <v>757</v>
      </c>
      <c r="QW32" s="177" t="s">
        <v>760</v>
      </c>
      <c r="QX32" s="177" t="s">
        <v>927</v>
      </c>
      <c r="QY32" s="177" t="s">
        <v>2180</v>
      </c>
      <c r="QZ32" s="177" t="s">
        <v>2181</v>
      </c>
      <c r="RA32" s="177" t="s">
        <v>2182</v>
      </c>
      <c r="RB32" s="177"/>
      <c r="RC32" s="177" t="s">
        <v>1570</v>
      </c>
      <c r="RD32" s="177" t="s">
        <v>788</v>
      </c>
      <c r="RE32" s="177" t="s">
        <v>789</v>
      </c>
      <c r="RF32" s="177" t="s">
        <v>1571</v>
      </c>
      <c r="RG32" s="177" t="s">
        <v>1572</v>
      </c>
      <c r="RH32" s="177" t="s">
        <v>790</v>
      </c>
      <c r="RI32" s="177" t="s">
        <v>1135</v>
      </c>
      <c r="RJ32" s="177"/>
      <c r="RK32" s="177"/>
      <c r="RL32" s="177"/>
      <c r="RM32" s="177"/>
      <c r="RN32" s="177"/>
      <c r="RO32" s="177"/>
      <c r="RP32" s="177" t="s">
        <v>791</v>
      </c>
      <c r="RQ32" s="177" t="s">
        <v>1573</v>
      </c>
      <c r="RR32" s="177"/>
      <c r="RS32" s="177" t="s">
        <v>82</v>
      </c>
      <c r="RT32" s="177" t="s">
        <v>81</v>
      </c>
      <c r="RU32" s="177" t="s">
        <v>2183</v>
      </c>
      <c r="RV32" s="177" t="s">
        <v>2184</v>
      </c>
      <c r="RW32" s="177" t="s">
        <v>2185</v>
      </c>
      <c r="RX32" s="177" t="s">
        <v>1574</v>
      </c>
      <c r="RY32" s="177" t="s">
        <v>228</v>
      </c>
      <c r="RZ32" s="177" t="s">
        <v>226</v>
      </c>
      <c r="SA32" s="177" t="s">
        <v>337</v>
      </c>
      <c r="SB32" s="177" t="s">
        <v>456</v>
      </c>
      <c r="SC32" s="177" t="s">
        <v>1575</v>
      </c>
      <c r="SD32" s="177" t="s">
        <v>1576</v>
      </c>
      <c r="SE32" s="177" t="s">
        <v>1577</v>
      </c>
      <c r="SF32" s="177" t="s">
        <v>1578</v>
      </c>
      <c r="SG32" s="177" t="s">
        <v>333</v>
      </c>
      <c r="SH32" s="177" t="s">
        <v>334</v>
      </c>
      <c r="SI32" s="177"/>
      <c r="SJ32" s="177"/>
      <c r="SK32" s="177"/>
      <c r="SL32" s="177"/>
      <c r="SM32" s="177"/>
      <c r="SN32" s="177"/>
      <c r="SO32" s="177"/>
      <c r="SP32" s="177" t="s">
        <v>1579</v>
      </c>
      <c r="SQ32" s="177" t="s">
        <v>1580</v>
      </c>
      <c r="SR32" s="177" t="s">
        <v>840</v>
      </c>
      <c r="SS32" s="177" t="s">
        <v>1082</v>
      </c>
      <c r="ST32" s="177" t="s">
        <v>2186</v>
      </c>
      <c r="SU32" s="177" t="s">
        <v>2187</v>
      </c>
      <c r="SV32" s="177" t="s">
        <v>2188</v>
      </c>
      <c r="SW32" s="177"/>
      <c r="SX32" s="177" t="s">
        <v>1581</v>
      </c>
      <c r="SY32" s="177" t="s">
        <v>1048</v>
      </c>
      <c r="SZ32" s="177"/>
      <c r="TA32" s="177"/>
      <c r="TB32" s="177" t="s">
        <v>699</v>
      </c>
      <c r="TC32" s="177" t="s">
        <v>700</v>
      </c>
      <c r="TD32" s="177" t="s">
        <v>1582</v>
      </c>
      <c r="TE32" s="177" t="s">
        <v>1583</v>
      </c>
      <c r="TF32" s="177"/>
      <c r="TG32" s="177"/>
      <c r="TH32" s="177" t="s">
        <v>841</v>
      </c>
      <c r="TI32" s="177" t="s">
        <v>842</v>
      </c>
      <c r="TJ32" s="177" t="s">
        <v>1262</v>
      </c>
      <c r="TK32" s="468" t="s">
        <v>1074</v>
      </c>
      <c r="TL32" s="468" t="s">
        <v>1584</v>
      </c>
      <c r="TM32" s="468" t="s">
        <v>689</v>
      </c>
      <c r="TN32" s="468" t="s">
        <v>1731</v>
      </c>
      <c r="TO32" s="468" t="s">
        <v>1732</v>
      </c>
      <c r="TP32" s="468" t="s">
        <v>335</v>
      </c>
      <c r="TQ32" s="177" t="s">
        <v>336</v>
      </c>
      <c r="TR32" s="177" t="s">
        <v>545</v>
      </c>
      <c r="TS32" s="177" t="s">
        <v>546</v>
      </c>
      <c r="TT32" s="177" t="s">
        <v>547</v>
      </c>
      <c r="TU32" s="177" t="s">
        <v>548</v>
      </c>
      <c r="TV32" s="177" t="s">
        <v>549</v>
      </c>
      <c r="TW32" s="177" t="s">
        <v>78</v>
      </c>
      <c r="TX32" s="177"/>
      <c r="TY32" s="177" t="s">
        <v>2189</v>
      </c>
      <c r="TZ32" s="177" t="s">
        <v>2190</v>
      </c>
      <c r="UA32" s="177" t="s">
        <v>2191</v>
      </c>
      <c r="UB32" s="177"/>
      <c r="UC32" s="177" t="s">
        <v>553</v>
      </c>
      <c r="UD32" s="177" t="s">
        <v>552</v>
      </c>
      <c r="UE32" s="177"/>
      <c r="UF32" s="177" t="s">
        <v>615</v>
      </c>
      <c r="UG32" s="177" t="s">
        <v>551</v>
      </c>
      <c r="UH32" s="177" t="s">
        <v>550</v>
      </c>
      <c r="UI32" s="177" t="s">
        <v>1585</v>
      </c>
      <c r="UJ32" s="177" t="s">
        <v>1586</v>
      </c>
      <c r="UK32" s="177" t="s">
        <v>50</v>
      </c>
      <c r="UL32" s="177"/>
      <c r="UM32" s="177"/>
      <c r="UN32" s="177" t="s">
        <v>111</v>
      </c>
      <c r="UO32" s="177"/>
      <c r="UP32" s="177" t="s">
        <v>1587</v>
      </c>
      <c r="UQ32" s="177" t="s">
        <v>1588</v>
      </c>
      <c r="UR32" s="177" t="s">
        <v>357</v>
      </c>
      <c r="US32" s="177" t="s">
        <v>2192</v>
      </c>
      <c r="UT32" s="177" t="s">
        <v>2193</v>
      </c>
      <c r="UU32" s="177" t="s">
        <v>2194</v>
      </c>
      <c r="UV32" s="177" t="s">
        <v>125</v>
      </c>
      <c r="UW32" s="177" t="s">
        <v>358</v>
      </c>
      <c r="UX32" s="177" t="s">
        <v>1589</v>
      </c>
      <c r="UY32" s="177" t="s">
        <v>574</v>
      </c>
      <c r="UZ32" s="177" t="s">
        <v>348</v>
      </c>
      <c r="VA32" s="177" t="s">
        <v>349</v>
      </c>
      <c r="VB32" s="177" t="s">
        <v>575</v>
      </c>
      <c r="VC32" s="177" t="s">
        <v>350</v>
      </c>
      <c r="VD32" s="177" t="s">
        <v>351</v>
      </c>
      <c r="VE32" s="177"/>
      <c r="VF32" s="177" t="s">
        <v>145</v>
      </c>
      <c r="VG32" s="177"/>
      <c r="VH32" s="177"/>
      <c r="VI32" s="177"/>
      <c r="VJ32" s="177"/>
      <c r="VK32" s="177" t="s">
        <v>198</v>
      </c>
      <c r="VL32" s="177" t="s">
        <v>146</v>
      </c>
      <c r="VM32" s="177" t="s">
        <v>147</v>
      </c>
      <c r="VN32" s="179"/>
      <c r="VO32" s="179" t="s">
        <v>1590</v>
      </c>
      <c r="VP32" s="179" t="s">
        <v>100</v>
      </c>
      <c r="VQ32" s="179"/>
      <c r="VR32" s="179" t="s">
        <v>1591</v>
      </c>
      <c r="VS32" s="179" t="s">
        <v>1592</v>
      </c>
      <c r="VT32" s="179" t="s">
        <v>2198</v>
      </c>
      <c r="VU32" s="179" t="s">
        <v>2199</v>
      </c>
      <c r="VV32" s="179" t="s">
        <v>2200</v>
      </c>
      <c r="VW32" s="179" t="s">
        <v>235</v>
      </c>
      <c r="VX32" s="177" t="s">
        <v>51</v>
      </c>
      <c r="VY32" s="177" t="s">
        <v>353</v>
      </c>
      <c r="VZ32" s="177" t="s">
        <v>354</v>
      </c>
      <c r="WA32" s="177" t="s">
        <v>719</v>
      </c>
      <c r="WB32" s="177" t="s">
        <v>2195</v>
      </c>
      <c r="WC32" s="177" t="s">
        <v>2196</v>
      </c>
      <c r="WD32" s="177" t="s">
        <v>2197</v>
      </c>
      <c r="WE32" s="177" t="s">
        <v>152</v>
      </c>
      <c r="WF32" s="177"/>
      <c r="WG32" s="177" t="s">
        <v>931</v>
      </c>
      <c r="WH32" s="177" t="s">
        <v>928</v>
      </c>
      <c r="WI32" s="177"/>
      <c r="WJ32" s="177" t="s">
        <v>199</v>
      </c>
      <c r="WK32" s="177"/>
      <c r="WL32" s="177" t="s">
        <v>629</v>
      </c>
      <c r="WM32" s="177"/>
      <c r="WN32" s="177"/>
      <c r="WO32" s="177" t="s">
        <v>202</v>
      </c>
      <c r="WP32" s="177" t="s">
        <v>203</v>
      </c>
      <c r="WQ32" s="177" t="s">
        <v>451</v>
      </c>
      <c r="WR32" s="177" t="s">
        <v>200</v>
      </c>
      <c r="WS32" s="177" t="s">
        <v>201</v>
      </c>
      <c r="WT32" s="177"/>
      <c r="WU32" s="177" t="s">
        <v>355</v>
      </c>
      <c r="WV32" s="177"/>
      <c r="WW32" s="177" t="s">
        <v>52</v>
      </c>
      <c r="WX32" s="177" t="s">
        <v>53</v>
      </c>
      <c r="WY32" s="177" t="s">
        <v>123</v>
      </c>
      <c r="WZ32" s="177" t="s">
        <v>124</v>
      </c>
      <c r="XA32" s="177" t="s">
        <v>54</v>
      </c>
      <c r="XB32" s="177" t="s">
        <v>55</v>
      </c>
      <c r="XC32" s="177" t="s">
        <v>452</v>
      </c>
      <c r="XD32" s="177" t="s">
        <v>116</v>
      </c>
      <c r="XE32" s="177" t="s">
        <v>83</v>
      </c>
      <c r="XF32" s="177" t="s">
        <v>84</v>
      </c>
      <c r="XG32" s="177" t="s">
        <v>85</v>
      </c>
      <c r="XH32" s="177" t="s">
        <v>86</v>
      </c>
      <c r="XI32" s="177"/>
      <c r="XJ32" s="177"/>
      <c r="XK32" s="177" t="s">
        <v>250</v>
      </c>
      <c r="XL32" s="177"/>
      <c r="XM32" s="177"/>
      <c r="XN32" s="177"/>
      <c r="XO32" s="177"/>
      <c r="XP32" s="177"/>
      <c r="XQ32" s="177"/>
      <c r="XR32" s="177"/>
      <c r="XS32" s="177"/>
      <c r="XT32" s="177" t="s">
        <v>87</v>
      </c>
      <c r="XU32" s="177" t="s">
        <v>88</v>
      </c>
      <c r="XV32" s="177" t="s">
        <v>89</v>
      </c>
      <c r="XW32" s="177" t="s">
        <v>90</v>
      </c>
      <c r="XX32" s="177" t="s">
        <v>583</v>
      </c>
      <c r="XY32" s="177"/>
      <c r="XZ32" s="177"/>
      <c r="YA32" s="177"/>
      <c r="YB32" s="177"/>
      <c r="YC32" s="177"/>
      <c r="YD32" s="177" t="s">
        <v>300</v>
      </c>
      <c r="YE32" s="177"/>
      <c r="YF32" s="177" t="s">
        <v>703</v>
      </c>
      <c r="YG32" s="177" t="s">
        <v>705</v>
      </c>
      <c r="YH32" s="177" t="s">
        <v>298</v>
      </c>
      <c r="YI32" s="180"/>
      <c r="YJ32" s="177" t="s">
        <v>296</v>
      </c>
      <c r="YK32" s="177" t="s">
        <v>297</v>
      </c>
      <c r="YL32" s="177" t="s">
        <v>299</v>
      </c>
      <c r="YM32" s="177" t="s">
        <v>1263</v>
      </c>
      <c r="YN32" s="177"/>
      <c r="YO32" s="177"/>
      <c r="YP32" s="177"/>
      <c r="YQ32" s="177"/>
      <c r="YR32" s="177"/>
      <c r="YS32" s="177" t="s">
        <v>361</v>
      </c>
      <c r="YT32" s="177" t="s">
        <v>362</v>
      </c>
      <c r="YU32" s="177" t="s">
        <v>363</v>
      </c>
      <c r="YV32" s="177" t="s">
        <v>364</v>
      </c>
      <c r="YW32" s="177" t="s">
        <v>365</v>
      </c>
      <c r="YX32" s="177" t="s">
        <v>366</v>
      </c>
      <c r="YY32" s="177" t="s">
        <v>359</v>
      </c>
      <c r="YZ32" s="177" t="s">
        <v>76</v>
      </c>
      <c r="ZA32" s="177" t="s">
        <v>45</v>
      </c>
      <c r="ZB32" s="177" t="s">
        <v>360</v>
      </c>
      <c r="ZC32" s="177" t="s">
        <v>204</v>
      </c>
      <c r="ZD32" s="177" t="s">
        <v>205</v>
      </c>
      <c r="ZE32" s="177" t="s">
        <v>802</v>
      </c>
      <c r="ZF32" s="177" t="s">
        <v>801</v>
      </c>
      <c r="ZG32" s="177" t="s">
        <v>1100</v>
      </c>
      <c r="ZH32" s="177"/>
      <c r="ZI32" s="177" t="s">
        <v>800</v>
      </c>
      <c r="ZJ32" s="177" t="s">
        <v>1101</v>
      </c>
      <c r="ZK32" s="177" t="s">
        <v>1102</v>
      </c>
      <c r="ZL32" s="177" t="s">
        <v>1103</v>
      </c>
      <c r="ZM32" s="177" t="s">
        <v>1104</v>
      </c>
      <c r="ZN32" s="177" t="s">
        <v>1105</v>
      </c>
      <c r="ZO32" s="177" t="s">
        <v>1106</v>
      </c>
      <c r="ZP32" s="177" t="s">
        <v>1107</v>
      </c>
      <c r="ZQ32" s="177" t="s">
        <v>803</v>
      </c>
      <c r="ZR32" s="177" t="s">
        <v>804</v>
      </c>
      <c r="ZS32" s="177" t="s">
        <v>805</v>
      </c>
      <c r="ZT32" s="177" t="s">
        <v>806</v>
      </c>
      <c r="ZU32" s="177" t="s">
        <v>1818</v>
      </c>
      <c r="ZV32" s="177" t="s">
        <v>807</v>
      </c>
      <c r="ZW32" s="177"/>
      <c r="ZX32" s="177"/>
      <c r="ZY32" s="177" t="s">
        <v>2315</v>
      </c>
      <c r="ZZ32" s="178"/>
      <c r="AAA32" s="177"/>
      <c r="AAB32" s="177" t="s">
        <v>2791</v>
      </c>
      <c r="AAC32" s="177" t="s">
        <v>2786</v>
      </c>
      <c r="AAD32" s="177" t="s">
        <v>2785</v>
      </c>
    </row>
    <row r="33" spans="1:706" x14ac:dyDescent="0.2">
      <c r="ZZ33"/>
    </row>
    <row r="34" spans="1:706" x14ac:dyDescent="0.2">
      <c r="ZZ34"/>
    </row>
    <row r="35" spans="1:706" x14ac:dyDescent="0.2">
      <c r="ZZ35"/>
    </row>
    <row r="36" spans="1:706" x14ac:dyDescent="0.2">
      <c r="ZZ36"/>
    </row>
    <row r="37" spans="1:706" x14ac:dyDescent="0.2">
      <c r="ZZ37"/>
    </row>
    <row r="38" spans="1:706" x14ac:dyDescent="0.2">
      <c r="ZZ38"/>
    </row>
    <row r="39" spans="1:706" x14ac:dyDescent="0.2">
      <c r="ZZ39"/>
    </row>
    <row r="40" spans="1:706" x14ac:dyDescent="0.2">
      <c r="ZZ40"/>
    </row>
    <row r="41" spans="1:706" x14ac:dyDescent="0.2">
      <c r="ZZ41"/>
    </row>
    <row r="42" spans="1:706" s="582" customFormat="1" x14ac:dyDescent="0.2">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c r="RX42"/>
      <c r="RY42"/>
      <c r="RZ42"/>
      <c r="SA42"/>
      <c r="SB42"/>
      <c r="SC42"/>
      <c r="SD42"/>
      <c r="SE42"/>
      <c r="SF42"/>
      <c r="SG42"/>
      <c r="SH42"/>
      <c r="SI42"/>
      <c r="SJ42"/>
      <c r="SK42"/>
      <c r="SL42"/>
      <c r="SM42"/>
      <c r="SN42"/>
      <c r="SO42"/>
      <c r="SP42"/>
      <c r="SQ42"/>
      <c r="SR42"/>
      <c r="SS42"/>
      <c r="ST42"/>
      <c r="SU42"/>
      <c r="SV42"/>
      <c r="SW42"/>
      <c r="SX42"/>
      <c r="SY42"/>
      <c r="SZ42"/>
      <c r="TA42"/>
      <c r="TB42"/>
      <c r="TC42"/>
      <c r="TD42"/>
      <c r="TE42"/>
      <c r="TF42"/>
      <c r="TG42"/>
      <c r="TH42"/>
      <c r="TI42"/>
      <c r="TJ42"/>
      <c r="TK42"/>
      <c r="TL42"/>
      <c r="TM42"/>
      <c r="TN42"/>
      <c r="TO42"/>
      <c r="TP42"/>
      <c r="TQ42"/>
      <c r="TR42"/>
      <c r="TS42"/>
      <c r="TT42"/>
      <c r="TU42"/>
      <c r="TV42"/>
      <c r="TW42"/>
      <c r="TX42"/>
      <c r="TY42"/>
      <c r="TZ42"/>
      <c r="UA42"/>
      <c r="UB42"/>
      <c r="UC42"/>
      <c r="UD42"/>
      <c r="UE42"/>
      <c r="UF42"/>
      <c r="UG42"/>
      <c r="UH42"/>
      <c r="UI42"/>
      <c r="UJ42"/>
      <c r="UK42"/>
      <c r="UL42"/>
      <c r="UM42"/>
      <c r="UN42"/>
      <c r="UO42"/>
      <c r="UP42"/>
      <c r="UQ42"/>
      <c r="UR42"/>
      <c r="US42"/>
      <c r="UT42"/>
      <c r="UU42"/>
      <c r="UV42"/>
      <c r="UW42"/>
      <c r="UX42"/>
      <c r="UY42"/>
      <c r="UZ42"/>
      <c r="VA42"/>
      <c r="VB42"/>
      <c r="VC42"/>
      <c r="VD42"/>
      <c r="VE42"/>
      <c r="VF42"/>
      <c r="VG42"/>
      <c r="VH42"/>
      <c r="VI42"/>
      <c r="VJ42"/>
      <c r="VK42"/>
      <c r="VL42"/>
      <c r="VM42"/>
      <c r="VN42"/>
      <c r="VO42"/>
      <c r="VP42"/>
      <c r="VQ42"/>
      <c r="VR42"/>
      <c r="VS42"/>
      <c r="VT42"/>
      <c r="VU42"/>
      <c r="VV42"/>
      <c r="VW42"/>
      <c r="VX42"/>
      <c r="VY42"/>
      <c r="VZ42"/>
      <c r="WA42"/>
      <c r="WB42"/>
      <c r="WC42"/>
      <c r="WD42"/>
      <c r="WE42"/>
      <c r="WF42"/>
      <c r="WG42"/>
      <c r="WH42"/>
      <c r="WI42"/>
      <c r="WJ42"/>
      <c r="WK42"/>
      <c r="WL42"/>
      <c r="WM42"/>
      <c r="WN42"/>
      <c r="WO42"/>
      <c r="WP42"/>
      <c r="WQ42"/>
      <c r="WR42"/>
      <c r="WS42"/>
      <c r="WT42"/>
      <c r="WU42"/>
      <c r="WV42"/>
      <c r="WW42"/>
      <c r="WX42"/>
      <c r="WY42"/>
      <c r="WZ42"/>
      <c r="XA42"/>
      <c r="XB42"/>
      <c r="XC42"/>
      <c r="XD42"/>
      <c r="XE42"/>
      <c r="XF42"/>
      <c r="XG42"/>
      <c r="XH42"/>
      <c r="XI42"/>
      <c r="XJ42"/>
      <c r="XK42"/>
      <c r="XL42"/>
      <c r="XM42"/>
      <c r="XN42"/>
      <c r="XO42"/>
      <c r="XP42"/>
      <c r="XQ42"/>
      <c r="XR42"/>
      <c r="XS42"/>
      <c r="XT42"/>
      <c r="XU42"/>
      <c r="XV42"/>
      <c r="XW42"/>
      <c r="XX42"/>
      <c r="XY42"/>
      <c r="XZ42"/>
      <c r="YA42"/>
      <c r="YB42"/>
      <c r="YC42"/>
      <c r="YD42"/>
      <c r="YE42"/>
      <c r="YF42"/>
      <c r="YG42"/>
      <c r="YH42"/>
      <c r="YI42"/>
      <c r="YJ42"/>
      <c r="YK42"/>
      <c r="YL42"/>
      <c r="YM42"/>
      <c r="YN42"/>
      <c r="YO42"/>
      <c r="YP42"/>
      <c r="YQ42"/>
      <c r="YR42"/>
      <c r="YS42"/>
      <c r="YT42"/>
      <c r="YU42"/>
      <c r="YV42"/>
      <c r="YW42"/>
      <c r="YX42"/>
      <c r="YY42"/>
      <c r="YZ42"/>
      <c r="ZA42"/>
      <c r="ZB42"/>
      <c r="ZC42"/>
      <c r="ZD42"/>
      <c r="ZE42"/>
      <c r="ZF42"/>
      <c r="ZG42"/>
      <c r="ZH42"/>
      <c r="ZI42"/>
      <c r="ZJ42"/>
      <c r="ZK42"/>
      <c r="ZL42"/>
      <c r="ZM42"/>
      <c r="ZN42"/>
      <c r="ZO42"/>
      <c r="ZP42"/>
      <c r="ZQ42"/>
      <c r="ZR42"/>
      <c r="ZS42"/>
      <c r="ZT42"/>
      <c r="ZU42"/>
      <c r="ZV42"/>
      <c r="ZW42"/>
      <c r="ZX42"/>
      <c r="ZY42"/>
      <c r="ZZ42"/>
      <c r="AAA42"/>
      <c r="AAB42"/>
      <c r="AAC42"/>
      <c r="AAD42"/>
    </row>
  </sheetData>
  <mergeCells count="1">
    <mergeCell ref="FW6:GC6"/>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U397"/>
  <sheetViews>
    <sheetView tabSelected="1" zoomScale="85" zoomScaleNormal="85" workbookViewId="0">
      <selection activeCell="B7" sqref="B7"/>
    </sheetView>
  </sheetViews>
  <sheetFormatPr defaultRowHeight="12.9" x14ac:dyDescent="0.2"/>
  <cols>
    <col min="1" max="1" width="21.75" bestFit="1" customWidth="1"/>
    <col min="2" max="2" width="10.125" bestFit="1" customWidth="1"/>
    <col min="3" max="3" width="5.125" customWidth="1"/>
    <col min="4" max="4" width="15.75" style="48" bestFit="1" customWidth="1"/>
    <col min="5" max="5" width="22" style="54" bestFit="1" customWidth="1"/>
    <col min="6" max="6" width="15.75" bestFit="1" customWidth="1"/>
    <col min="7" max="7" width="22" style="1" bestFit="1" customWidth="1"/>
    <col min="8" max="8" width="11.25" bestFit="1" customWidth="1"/>
    <col min="9" max="9" width="11.125" customWidth="1"/>
    <col min="14" max="14" width="10.125" bestFit="1" customWidth="1"/>
    <col min="21" max="21" width="10.625" bestFit="1" customWidth="1"/>
  </cols>
  <sheetData>
    <row r="1" spans="1:21" s="64" customFormat="1" ht="51.65" x14ac:dyDescent="0.25">
      <c r="A1" s="61" t="s">
        <v>60</v>
      </c>
      <c r="B1" s="62">
        <v>41639</v>
      </c>
      <c r="C1" s="63"/>
      <c r="D1" s="64" t="s">
        <v>222</v>
      </c>
      <c r="E1" s="65" t="s">
        <v>220</v>
      </c>
      <c r="F1" s="64" t="s">
        <v>223</v>
      </c>
      <c r="G1" s="65" t="s">
        <v>221</v>
      </c>
      <c r="H1" s="66"/>
      <c r="I1" s="167" t="s">
        <v>69</v>
      </c>
      <c r="J1" s="168"/>
      <c r="K1" s="171" t="s">
        <v>692</v>
      </c>
      <c r="L1" s="171"/>
      <c r="N1">
        <v>0</v>
      </c>
      <c r="O1">
        <v>0</v>
      </c>
      <c r="P1"/>
      <c r="Q1" t="s">
        <v>912</v>
      </c>
      <c r="R1"/>
      <c r="S1"/>
      <c r="T1" s="294" t="s">
        <v>916</v>
      </c>
      <c r="U1" s="295"/>
    </row>
    <row r="2" spans="1:21" x14ac:dyDescent="0.2">
      <c r="A2" s="30" t="s">
        <v>120</v>
      </c>
      <c r="B2" s="31">
        <v>41640</v>
      </c>
      <c r="C2" s="29"/>
      <c r="D2" s="55">
        <v>0</v>
      </c>
      <c r="E2" s="56">
        <v>1</v>
      </c>
      <c r="F2" s="57">
        <v>0</v>
      </c>
      <c r="G2" s="58">
        <v>1</v>
      </c>
      <c r="H2" s="59"/>
      <c r="I2" s="169">
        <v>0</v>
      </c>
      <c r="J2" s="170">
        <v>0</v>
      </c>
      <c r="K2" s="172">
        <v>0</v>
      </c>
      <c r="L2" s="172">
        <v>0</v>
      </c>
      <c r="N2">
        <v>0.1</v>
      </c>
      <c r="O2">
        <v>1</v>
      </c>
      <c r="T2" s="296" t="s">
        <v>917</v>
      </c>
      <c r="U2" s="295"/>
    </row>
    <row r="3" spans="1:21" x14ac:dyDescent="0.2">
      <c r="A3" s="159" t="s">
        <v>717</v>
      </c>
      <c r="B3" s="158">
        <v>40543</v>
      </c>
      <c r="C3" s="29"/>
      <c r="D3" s="55">
        <v>1</v>
      </c>
      <c r="E3" s="56">
        <v>0.99399999999999999</v>
      </c>
      <c r="F3" s="57">
        <v>1</v>
      </c>
      <c r="G3" s="58">
        <v>0.995</v>
      </c>
      <c r="H3" s="59"/>
      <c r="I3" s="169">
        <v>86</v>
      </c>
      <c r="J3" s="170">
        <v>0.1</v>
      </c>
      <c r="K3" s="172">
        <v>86</v>
      </c>
      <c r="L3" s="172">
        <v>0.1</v>
      </c>
      <c r="N3">
        <v>0.2</v>
      </c>
      <c r="O3">
        <v>2</v>
      </c>
      <c r="Q3" t="s">
        <v>913</v>
      </c>
      <c r="R3" t="s">
        <v>914</v>
      </c>
      <c r="T3" s="297">
        <v>0</v>
      </c>
      <c r="U3" s="298">
        <v>1</v>
      </c>
    </row>
    <row r="4" spans="1:21" x14ac:dyDescent="0.2">
      <c r="A4" s="13" t="s">
        <v>744</v>
      </c>
      <c r="B4" s="92">
        <v>40544</v>
      </c>
      <c r="C4" s="13"/>
      <c r="D4" s="55">
        <v>2</v>
      </c>
      <c r="E4" s="56">
        <v>0.98799999999999999</v>
      </c>
      <c r="F4" s="57">
        <v>2</v>
      </c>
      <c r="G4" s="58">
        <v>0.99</v>
      </c>
      <c r="H4" s="59"/>
      <c r="I4" s="169">
        <v>256</v>
      </c>
      <c r="J4" s="170">
        <v>0.2</v>
      </c>
      <c r="K4" s="172">
        <v>256</v>
      </c>
      <c r="L4" s="172">
        <v>0.2</v>
      </c>
      <c r="N4">
        <v>0.3</v>
      </c>
      <c r="O4">
        <v>3</v>
      </c>
      <c r="Q4">
        <v>-70</v>
      </c>
      <c r="R4">
        <v>1.2250000000000001</v>
      </c>
      <c r="T4" s="299">
        <v>1</v>
      </c>
      <c r="U4" s="300">
        <v>0.99958332999999999</v>
      </c>
    </row>
    <row r="5" spans="1:21" ht="13.6" x14ac:dyDescent="0.25">
      <c r="A5" s="13" t="s">
        <v>126</v>
      </c>
      <c r="B5" s="92">
        <v>40344</v>
      </c>
      <c r="C5" s="13"/>
      <c r="D5" s="55">
        <v>3</v>
      </c>
      <c r="E5" s="56">
        <v>0.98199999999999998</v>
      </c>
      <c r="F5" s="57">
        <v>3</v>
      </c>
      <c r="G5" s="58">
        <v>0.98499999999999999</v>
      </c>
      <c r="H5" s="60"/>
      <c r="I5" s="169">
        <v>426</v>
      </c>
      <c r="J5" s="170">
        <v>0.3</v>
      </c>
      <c r="K5" s="172">
        <v>426</v>
      </c>
      <c r="L5" s="172">
        <v>0.3</v>
      </c>
      <c r="N5">
        <v>0.4</v>
      </c>
      <c r="O5">
        <v>4</v>
      </c>
      <c r="Q5">
        <v>-69</v>
      </c>
      <c r="R5">
        <v>1.2224999999999999</v>
      </c>
      <c r="T5" s="299">
        <v>2</v>
      </c>
      <c r="U5" s="300">
        <v>0.99916667000000003</v>
      </c>
    </row>
    <row r="6" spans="1:21" x14ac:dyDescent="0.2">
      <c r="A6" s="32" t="s">
        <v>129</v>
      </c>
      <c r="B6" s="33">
        <v>44197</v>
      </c>
      <c r="C6" s="13"/>
      <c r="D6" s="55">
        <v>4</v>
      </c>
      <c r="E6" s="56">
        <v>0.97599999999999998</v>
      </c>
      <c r="F6" s="57">
        <v>4</v>
      </c>
      <c r="G6" s="58">
        <v>0.98</v>
      </c>
      <c r="H6" s="59"/>
      <c r="I6" s="169">
        <v>596</v>
      </c>
      <c r="J6" s="170">
        <v>0.4</v>
      </c>
      <c r="K6" s="172">
        <v>596</v>
      </c>
      <c r="L6" s="172">
        <v>0.4</v>
      </c>
      <c r="N6">
        <v>0.5</v>
      </c>
      <c r="O6">
        <v>6</v>
      </c>
      <c r="Q6">
        <v>-68</v>
      </c>
      <c r="R6">
        <v>1.22</v>
      </c>
      <c r="T6" s="299">
        <v>3</v>
      </c>
      <c r="U6" s="300">
        <v>0.99875000000000003</v>
      </c>
    </row>
    <row r="7" spans="1:21" x14ac:dyDescent="0.2">
      <c r="A7" s="34" t="s">
        <v>130</v>
      </c>
      <c r="B7" s="157">
        <v>8.0999999999999996E-3</v>
      </c>
      <c r="C7" s="13"/>
      <c r="D7" s="55">
        <v>5</v>
      </c>
      <c r="E7" s="56">
        <v>0.97</v>
      </c>
      <c r="F7" s="57">
        <v>5</v>
      </c>
      <c r="G7" s="58">
        <v>0.97499999999999998</v>
      </c>
      <c r="H7" s="59"/>
      <c r="I7" s="169">
        <v>766</v>
      </c>
      <c r="J7" s="170">
        <v>0.5</v>
      </c>
      <c r="K7" s="172">
        <v>766</v>
      </c>
      <c r="L7" s="172">
        <v>0.5</v>
      </c>
      <c r="N7">
        <v>0.6</v>
      </c>
      <c r="O7">
        <v>7</v>
      </c>
      <c r="Q7">
        <v>-67</v>
      </c>
      <c r="R7">
        <v>1.2175</v>
      </c>
      <c r="T7" s="299">
        <v>4</v>
      </c>
      <c r="U7" s="300">
        <v>0.99833333000000002</v>
      </c>
    </row>
    <row r="8" spans="1:21" x14ac:dyDescent="0.2">
      <c r="A8" s="35" t="s">
        <v>131</v>
      </c>
      <c r="B8" s="36">
        <v>4789.7700000000004</v>
      </c>
      <c r="C8" s="13"/>
      <c r="D8" s="55">
        <v>6</v>
      </c>
      <c r="E8" s="56">
        <v>0.96399999999999997</v>
      </c>
      <c r="F8" s="57">
        <v>6</v>
      </c>
      <c r="G8" s="58">
        <v>0.97</v>
      </c>
      <c r="H8" s="59"/>
      <c r="I8" s="169">
        <v>936</v>
      </c>
      <c r="J8" s="170">
        <v>0.6</v>
      </c>
      <c r="K8" s="172">
        <v>936</v>
      </c>
      <c r="L8" s="172">
        <v>0.6</v>
      </c>
      <c r="N8">
        <v>0.7</v>
      </c>
      <c r="O8">
        <v>8</v>
      </c>
      <c r="Q8">
        <v>-66</v>
      </c>
      <c r="R8">
        <v>1.2150000000000001</v>
      </c>
      <c r="T8" s="299">
        <v>5</v>
      </c>
      <c r="U8" s="300">
        <v>0.99791666999999995</v>
      </c>
    </row>
    <row r="9" spans="1:21" x14ac:dyDescent="0.2">
      <c r="A9" s="37" t="s">
        <v>132</v>
      </c>
      <c r="B9" s="38">
        <v>4.9299999999999997E-2</v>
      </c>
      <c r="C9" s="41"/>
      <c r="D9" s="55">
        <v>7</v>
      </c>
      <c r="E9" s="56">
        <v>0.95799999999999996</v>
      </c>
      <c r="F9" s="57">
        <v>7</v>
      </c>
      <c r="G9" s="58">
        <v>0.96499999999999997</v>
      </c>
      <c r="H9" s="59"/>
      <c r="I9" s="169">
        <v>1000</v>
      </c>
      <c r="J9" s="170">
        <v>1</v>
      </c>
      <c r="K9" s="172">
        <v>1106</v>
      </c>
      <c r="L9" s="172">
        <v>0.7</v>
      </c>
      <c r="N9">
        <v>0.8</v>
      </c>
      <c r="O9">
        <v>9</v>
      </c>
      <c r="Q9">
        <v>-65</v>
      </c>
      <c r="R9">
        <v>1.2124999999999999</v>
      </c>
      <c r="T9" s="299">
        <v>6</v>
      </c>
      <c r="U9" s="300">
        <v>0.99750000000000005</v>
      </c>
    </row>
    <row r="10" spans="1:21" x14ac:dyDescent="0.2">
      <c r="A10" s="39" t="s">
        <v>133</v>
      </c>
      <c r="B10" s="40"/>
      <c r="C10" s="41"/>
      <c r="D10" s="55">
        <v>8</v>
      </c>
      <c r="E10" s="56">
        <v>0.95199999999999996</v>
      </c>
      <c r="F10" s="57">
        <v>8</v>
      </c>
      <c r="G10" s="58">
        <v>0.96</v>
      </c>
      <c r="H10" s="59"/>
      <c r="I10" s="2"/>
      <c r="K10" s="172">
        <v>1276</v>
      </c>
      <c r="L10" s="172">
        <v>0.8</v>
      </c>
      <c r="N10">
        <v>0.9</v>
      </c>
      <c r="O10">
        <v>10</v>
      </c>
      <c r="Q10">
        <v>-64</v>
      </c>
      <c r="R10">
        <v>1.21</v>
      </c>
      <c r="T10" s="299">
        <v>7</v>
      </c>
      <c r="U10" s="300">
        <v>0.99708333000000005</v>
      </c>
    </row>
    <row r="11" spans="1:21" x14ac:dyDescent="0.2">
      <c r="A11" s="39">
        <v>0.06</v>
      </c>
      <c r="B11" s="39">
        <v>25</v>
      </c>
      <c r="C11" s="41"/>
      <c r="D11" s="55">
        <v>9</v>
      </c>
      <c r="E11" s="56">
        <v>0.94599999999999995</v>
      </c>
      <c r="F11" s="57">
        <v>9</v>
      </c>
      <c r="G11" s="58">
        <v>0.95499999999999996</v>
      </c>
      <c r="H11" s="59"/>
      <c r="I11" s="2"/>
      <c r="K11" s="172">
        <v>1446</v>
      </c>
      <c r="L11" s="172">
        <v>0.9</v>
      </c>
      <c r="N11">
        <v>1</v>
      </c>
      <c r="O11">
        <v>12</v>
      </c>
      <c r="Q11">
        <v>-63</v>
      </c>
      <c r="R11">
        <v>1.2075</v>
      </c>
      <c r="T11" s="299">
        <v>8</v>
      </c>
      <c r="U11" s="300">
        <v>0.99666666999999998</v>
      </c>
    </row>
    <row r="12" spans="1:21" x14ac:dyDescent="0.2">
      <c r="A12" s="39">
        <v>0.06</v>
      </c>
      <c r="B12" s="39">
        <v>999</v>
      </c>
      <c r="C12" s="42"/>
      <c r="D12" s="55">
        <v>10</v>
      </c>
      <c r="E12" s="56">
        <v>0.94</v>
      </c>
      <c r="F12" s="57">
        <v>10</v>
      </c>
      <c r="G12" s="58">
        <v>0.95</v>
      </c>
      <c r="H12" s="59"/>
      <c r="I12" s="2"/>
      <c r="K12" s="172">
        <v>1616</v>
      </c>
      <c r="L12" s="172">
        <v>1</v>
      </c>
      <c r="Q12">
        <v>-62</v>
      </c>
      <c r="R12">
        <v>1.2050000000000001</v>
      </c>
      <c r="T12" s="299">
        <v>9</v>
      </c>
      <c r="U12" s="300">
        <v>0.99624999999999997</v>
      </c>
    </row>
    <row r="13" spans="1:21" x14ac:dyDescent="0.2">
      <c r="A13" s="39" t="s">
        <v>278</v>
      </c>
      <c r="B13" s="39" t="s">
        <v>280</v>
      </c>
      <c r="C13" s="41"/>
      <c r="D13" s="55">
        <v>11</v>
      </c>
      <c r="E13" s="56">
        <v>0.93400000000000005</v>
      </c>
      <c r="F13" s="57">
        <v>11</v>
      </c>
      <c r="G13" s="58">
        <v>0.94499999999999995</v>
      </c>
      <c r="H13" s="59"/>
      <c r="I13" s="2"/>
      <c r="N13" t="s">
        <v>893</v>
      </c>
      <c r="Q13">
        <v>-61</v>
      </c>
      <c r="R13">
        <v>1.2024999999999999</v>
      </c>
      <c r="T13" s="299">
        <v>10</v>
      </c>
      <c r="U13" s="300">
        <v>0.99583332999999996</v>
      </c>
    </row>
    <row r="14" spans="1:21" x14ac:dyDescent="0.2">
      <c r="A14" s="39" t="s">
        <v>279</v>
      </c>
      <c r="B14" s="39" t="s">
        <v>280</v>
      </c>
      <c r="C14" s="42"/>
      <c r="D14" s="55">
        <v>12</v>
      </c>
      <c r="E14" s="56">
        <v>0.92800000000000005</v>
      </c>
      <c r="F14" s="57">
        <v>12</v>
      </c>
      <c r="G14" s="58">
        <v>0.94</v>
      </c>
      <c r="H14" s="59"/>
      <c r="I14" s="2"/>
      <c r="N14" s="92">
        <v>31686</v>
      </c>
      <c r="O14">
        <v>14</v>
      </c>
      <c r="Q14">
        <v>-60</v>
      </c>
      <c r="R14">
        <v>1.2</v>
      </c>
      <c r="T14" s="299">
        <v>11</v>
      </c>
      <c r="U14" s="300">
        <v>0.99541667</v>
      </c>
    </row>
    <row r="15" spans="1:21" x14ac:dyDescent="0.2">
      <c r="A15" s="44"/>
      <c r="B15" s="13"/>
      <c r="C15" s="42"/>
      <c r="D15" s="55">
        <v>13</v>
      </c>
      <c r="E15" s="56">
        <v>0.92200000000000004</v>
      </c>
      <c r="F15" s="57">
        <v>13</v>
      </c>
      <c r="G15" s="58">
        <v>0.93499999999999994</v>
      </c>
      <c r="H15" s="59"/>
      <c r="I15" s="2"/>
      <c r="N15" s="92">
        <v>31837</v>
      </c>
      <c r="O15">
        <v>14.5</v>
      </c>
      <c r="Q15">
        <v>-59</v>
      </c>
      <c r="R15">
        <v>1.1975</v>
      </c>
      <c r="T15" s="299">
        <v>12</v>
      </c>
      <c r="U15" s="300">
        <v>0.995</v>
      </c>
    </row>
    <row r="16" spans="1:21" x14ac:dyDescent="0.2">
      <c r="A16" s="13" t="s">
        <v>1763</v>
      </c>
      <c r="B16" s="549">
        <v>0</v>
      </c>
      <c r="C16" s="41"/>
      <c r="D16" s="55">
        <v>14</v>
      </c>
      <c r="E16" s="56">
        <v>0.91600000000000004</v>
      </c>
      <c r="F16" s="57">
        <v>14</v>
      </c>
      <c r="G16" s="58">
        <v>0.92999999999999994</v>
      </c>
      <c r="H16" s="59"/>
      <c r="I16" s="2"/>
      <c r="N16" s="92">
        <v>32203</v>
      </c>
      <c r="O16">
        <v>15</v>
      </c>
      <c r="Q16">
        <v>-58</v>
      </c>
      <c r="R16">
        <v>1.1950000000000001</v>
      </c>
      <c r="T16" s="299">
        <v>13</v>
      </c>
      <c r="U16" s="300">
        <v>0.99458332999999999</v>
      </c>
    </row>
    <row r="17" spans="1:21" ht="13.6" x14ac:dyDescent="0.25">
      <c r="A17" s="13" t="s">
        <v>1678</v>
      </c>
      <c r="B17" s="548">
        <v>0.232181</v>
      </c>
      <c r="C17" s="41"/>
      <c r="D17" s="55">
        <v>15</v>
      </c>
      <c r="E17" s="56">
        <v>0.91</v>
      </c>
      <c r="F17" s="57">
        <v>15</v>
      </c>
      <c r="G17" s="58">
        <v>0.92499999999999993</v>
      </c>
      <c r="H17" s="60"/>
      <c r="I17" s="2"/>
      <c r="N17" s="92">
        <v>34804</v>
      </c>
      <c r="O17">
        <v>25</v>
      </c>
      <c r="Q17">
        <v>-57</v>
      </c>
      <c r="R17">
        <v>1.1924999999999999</v>
      </c>
      <c r="T17" s="299">
        <v>14</v>
      </c>
      <c r="U17" s="300">
        <v>0.99416667000000003</v>
      </c>
    </row>
    <row r="18" spans="1:21" x14ac:dyDescent="0.2">
      <c r="A18" s="44" t="s">
        <v>594</v>
      </c>
      <c r="B18" s="548">
        <v>0</v>
      </c>
      <c r="C18" s="13"/>
      <c r="D18" s="55">
        <v>16</v>
      </c>
      <c r="E18" s="56">
        <v>0.90400000000000003</v>
      </c>
      <c r="F18" s="57">
        <v>16</v>
      </c>
      <c r="G18" s="58">
        <v>0.91999999999999993</v>
      </c>
      <c r="H18" s="59"/>
      <c r="I18" s="2"/>
      <c r="Q18">
        <v>-56</v>
      </c>
      <c r="R18">
        <v>1.19</v>
      </c>
      <c r="T18" s="299">
        <v>15</v>
      </c>
      <c r="U18" s="300">
        <v>0.99375000000000002</v>
      </c>
    </row>
    <row r="19" spans="1:21" x14ac:dyDescent="0.2">
      <c r="A19" s="44" t="s">
        <v>687</v>
      </c>
      <c r="B19" s="547">
        <v>0.52115</v>
      </c>
      <c r="C19" s="13"/>
      <c r="D19" s="55">
        <v>17</v>
      </c>
      <c r="E19" s="56">
        <v>0.89800000000000002</v>
      </c>
      <c r="F19" s="57">
        <v>17</v>
      </c>
      <c r="G19" s="58">
        <v>0.91499999999999992</v>
      </c>
      <c r="H19" s="59"/>
      <c r="I19" s="2"/>
      <c r="Q19">
        <v>-55</v>
      </c>
      <c r="R19">
        <v>1.1875</v>
      </c>
      <c r="T19" s="299">
        <v>16</v>
      </c>
      <c r="U19" s="300">
        <v>0.99333333000000001</v>
      </c>
    </row>
    <row r="20" spans="1:21" x14ac:dyDescent="0.2">
      <c r="A20" s="44" t="s">
        <v>809</v>
      </c>
      <c r="B20" s="108">
        <v>1</v>
      </c>
      <c r="C20" s="13"/>
      <c r="D20" s="55">
        <v>18</v>
      </c>
      <c r="E20" s="56">
        <v>0.89200000000000002</v>
      </c>
      <c r="F20" s="57">
        <v>18</v>
      </c>
      <c r="G20" s="58">
        <v>0.90999999999999992</v>
      </c>
      <c r="H20" s="59"/>
      <c r="I20" s="2"/>
      <c r="Q20">
        <v>-54</v>
      </c>
      <c r="R20">
        <v>1.1850000000000001</v>
      </c>
      <c r="T20" s="299">
        <v>17</v>
      </c>
      <c r="U20" s="300">
        <v>0.99291666999999995</v>
      </c>
    </row>
    <row r="21" spans="1:21" x14ac:dyDescent="0.2">
      <c r="A21" s="46"/>
      <c r="B21" s="81"/>
      <c r="C21" s="13"/>
      <c r="D21" s="55">
        <v>19</v>
      </c>
      <c r="E21" s="56">
        <v>0.88600000000000001</v>
      </c>
      <c r="F21" s="57">
        <v>19</v>
      </c>
      <c r="G21" s="58">
        <v>0.90499999999999992</v>
      </c>
      <c r="H21" s="59"/>
      <c r="I21" s="2"/>
      <c r="Q21">
        <v>-53</v>
      </c>
      <c r="R21">
        <v>1.1825000000000001</v>
      </c>
      <c r="T21" s="299">
        <v>18</v>
      </c>
      <c r="U21" s="300">
        <v>0.99250000000000005</v>
      </c>
    </row>
    <row r="22" spans="1:21" x14ac:dyDescent="0.2">
      <c r="A22" s="46"/>
      <c r="B22" s="13"/>
      <c r="C22" s="13"/>
      <c r="D22" s="55">
        <v>20</v>
      </c>
      <c r="E22" s="56">
        <v>0.88</v>
      </c>
      <c r="F22" s="57">
        <v>20</v>
      </c>
      <c r="G22" s="58">
        <v>0.89999999999999991</v>
      </c>
      <c r="H22" s="59"/>
      <c r="I22" s="2"/>
      <c r="Q22">
        <v>-52</v>
      </c>
      <c r="R22">
        <v>1.18</v>
      </c>
      <c r="T22" s="299">
        <v>19</v>
      </c>
      <c r="U22" s="300">
        <v>0.99208333000000004</v>
      </c>
    </row>
    <row r="23" spans="1:21" x14ac:dyDescent="0.2">
      <c r="A23" s="43"/>
      <c r="B23" s="47"/>
      <c r="C23" s="13"/>
      <c r="D23" s="55">
        <v>21</v>
      </c>
      <c r="E23" s="56">
        <v>0.874</v>
      </c>
      <c r="F23" s="57">
        <v>21</v>
      </c>
      <c r="G23" s="58">
        <v>0.89499999999999991</v>
      </c>
      <c r="H23" s="59"/>
      <c r="I23" s="2"/>
      <c r="Q23">
        <v>-51</v>
      </c>
      <c r="R23">
        <v>1.1775</v>
      </c>
      <c r="T23" s="299">
        <v>20</v>
      </c>
      <c r="U23" s="300">
        <v>0.99166666999999997</v>
      </c>
    </row>
    <row r="24" spans="1:21" x14ac:dyDescent="0.2">
      <c r="A24" s="43"/>
      <c r="B24" s="47"/>
      <c r="C24" s="13"/>
      <c r="D24" s="55">
        <v>22</v>
      </c>
      <c r="E24" s="56">
        <v>0.86799999999999999</v>
      </c>
      <c r="F24" s="57">
        <v>22</v>
      </c>
      <c r="G24" s="58">
        <v>0.8899999999999999</v>
      </c>
      <c r="H24" s="59"/>
      <c r="I24" s="2"/>
      <c r="Q24">
        <v>-50</v>
      </c>
      <c r="R24">
        <v>1.175</v>
      </c>
      <c r="T24" s="299">
        <v>21</v>
      </c>
      <c r="U24" s="300">
        <v>0.99124999999999996</v>
      </c>
    </row>
    <row r="25" spans="1:21" x14ac:dyDescent="0.2">
      <c r="A25" s="43"/>
      <c r="B25" s="47"/>
      <c r="C25" s="13"/>
      <c r="D25" s="55">
        <v>23</v>
      </c>
      <c r="E25" s="56">
        <v>0.86199999999999999</v>
      </c>
      <c r="F25" s="57">
        <v>23</v>
      </c>
      <c r="G25" s="58">
        <v>0.8849999999999999</v>
      </c>
      <c r="H25" s="59"/>
      <c r="I25" s="2"/>
      <c r="Q25">
        <v>-49</v>
      </c>
      <c r="R25">
        <v>1.1725000000000001</v>
      </c>
      <c r="T25" s="299">
        <v>22</v>
      </c>
      <c r="U25" s="300">
        <v>0.99083332999999996</v>
      </c>
    </row>
    <row r="26" spans="1:21" x14ac:dyDescent="0.2">
      <c r="A26" s="43"/>
      <c r="B26" s="47"/>
      <c r="C26" s="13"/>
      <c r="D26" s="55">
        <v>24</v>
      </c>
      <c r="E26" s="56">
        <v>0.85599999999999998</v>
      </c>
      <c r="F26" s="57">
        <v>24</v>
      </c>
      <c r="G26" s="58">
        <v>0.87999999999999989</v>
      </c>
      <c r="H26" s="59"/>
      <c r="I26" s="2"/>
      <c r="Q26">
        <v>-48</v>
      </c>
      <c r="R26">
        <v>1.17</v>
      </c>
      <c r="T26" s="299">
        <v>23</v>
      </c>
      <c r="U26" s="300">
        <v>0.99041667</v>
      </c>
    </row>
    <row r="27" spans="1:21" x14ac:dyDescent="0.2">
      <c r="A27" s="43"/>
      <c r="B27" s="47"/>
      <c r="C27" s="13"/>
      <c r="D27" s="55">
        <v>25</v>
      </c>
      <c r="E27" s="56">
        <v>0.85</v>
      </c>
      <c r="F27" s="57">
        <v>25</v>
      </c>
      <c r="G27" s="58">
        <v>0.87499999999999989</v>
      </c>
      <c r="H27" s="59"/>
      <c r="I27" s="2"/>
      <c r="Q27">
        <v>-47</v>
      </c>
      <c r="R27">
        <v>1.1675</v>
      </c>
      <c r="T27" s="299">
        <v>24</v>
      </c>
      <c r="U27" s="300">
        <v>0.99</v>
      </c>
    </row>
    <row r="28" spans="1:21" x14ac:dyDescent="0.2">
      <c r="A28" s="43"/>
      <c r="B28" s="47"/>
      <c r="C28" s="13"/>
      <c r="D28" s="55">
        <v>26</v>
      </c>
      <c r="E28" s="56">
        <v>0.84399999999999997</v>
      </c>
      <c r="F28" s="57">
        <v>26</v>
      </c>
      <c r="G28" s="58">
        <v>0.86999999999999988</v>
      </c>
      <c r="H28" s="59"/>
      <c r="I28" s="2"/>
      <c r="Q28">
        <v>-46</v>
      </c>
      <c r="R28">
        <v>1.165</v>
      </c>
      <c r="T28" s="299">
        <v>25</v>
      </c>
      <c r="U28" s="300">
        <v>0.98958332999999998</v>
      </c>
    </row>
    <row r="29" spans="1:21" ht="13.6" x14ac:dyDescent="0.25">
      <c r="A29" s="43"/>
      <c r="B29" s="13"/>
      <c r="C29" s="13"/>
      <c r="D29" s="55">
        <v>27</v>
      </c>
      <c r="E29" s="56">
        <v>0.83799999999999997</v>
      </c>
      <c r="F29" s="57">
        <v>27</v>
      </c>
      <c r="G29" s="58">
        <v>0.86499999999999988</v>
      </c>
      <c r="H29" s="60"/>
      <c r="I29" s="2"/>
      <c r="Q29">
        <v>-45</v>
      </c>
      <c r="R29">
        <v>1.1625000000000001</v>
      </c>
      <c r="T29" s="299">
        <v>26</v>
      </c>
      <c r="U29" s="300">
        <v>0.98916667000000003</v>
      </c>
    </row>
    <row r="30" spans="1:21" x14ac:dyDescent="0.2">
      <c r="A30" s="43"/>
      <c r="B30" s="13"/>
      <c r="C30" s="13"/>
      <c r="D30" s="55">
        <v>28</v>
      </c>
      <c r="E30" s="56">
        <v>0.83199999999999996</v>
      </c>
      <c r="F30" s="57">
        <v>28</v>
      </c>
      <c r="G30" s="58">
        <v>0.85999999999999988</v>
      </c>
      <c r="H30" s="59"/>
      <c r="I30" s="2"/>
      <c r="Q30">
        <v>-44</v>
      </c>
      <c r="R30">
        <v>1.1599999999999999</v>
      </c>
      <c r="T30" s="299">
        <v>27</v>
      </c>
      <c r="U30" s="300">
        <v>0.98875000000000002</v>
      </c>
    </row>
    <row r="31" spans="1:21" x14ac:dyDescent="0.2">
      <c r="A31" s="43"/>
      <c r="B31" s="13"/>
      <c r="C31" s="13"/>
      <c r="D31" s="55">
        <v>29</v>
      </c>
      <c r="E31" s="56">
        <v>0.82599999999999996</v>
      </c>
      <c r="F31" s="57">
        <v>29</v>
      </c>
      <c r="G31" s="58">
        <v>0.85499999999999987</v>
      </c>
      <c r="H31" s="59"/>
      <c r="I31" s="2"/>
      <c r="Q31">
        <v>-43</v>
      </c>
      <c r="R31">
        <v>1.1575</v>
      </c>
      <c r="T31" s="299">
        <v>28</v>
      </c>
      <c r="U31" s="300">
        <v>0.98833333000000001</v>
      </c>
    </row>
    <row r="32" spans="1:21" x14ac:dyDescent="0.2">
      <c r="A32" s="43"/>
      <c r="B32" s="13"/>
      <c r="C32" s="13"/>
      <c r="D32" s="55">
        <v>30</v>
      </c>
      <c r="E32" s="56">
        <v>0.82</v>
      </c>
      <c r="F32" s="57">
        <v>30</v>
      </c>
      <c r="G32" s="58">
        <v>0.84999999999999987</v>
      </c>
      <c r="H32" s="59"/>
      <c r="I32" s="2"/>
      <c r="Q32">
        <v>-42</v>
      </c>
      <c r="R32">
        <v>1.155</v>
      </c>
      <c r="T32" s="299">
        <v>29</v>
      </c>
      <c r="U32" s="300">
        <v>0.98791667000000005</v>
      </c>
    </row>
    <row r="33" spans="1:21" x14ac:dyDescent="0.2">
      <c r="A33" s="13"/>
      <c r="B33" s="13"/>
      <c r="C33" s="13"/>
      <c r="D33" s="55">
        <v>31</v>
      </c>
      <c r="E33" s="56">
        <v>0.81399999999999995</v>
      </c>
      <c r="F33" s="57">
        <v>31</v>
      </c>
      <c r="G33" s="58">
        <v>0.84499999999999986</v>
      </c>
      <c r="H33" s="59"/>
      <c r="I33" s="2"/>
      <c r="Q33">
        <v>-41</v>
      </c>
      <c r="R33">
        <v>1.1525000000000001</v>
      </c>
      <c r="T33" s="299">
        <v>30</v>
      </c>
      <c r="U33" s="300">
        <v>0.98750000000000004</v>
      </c>
    </row>
    <row r="34" spans="1:21" x14ac:dyDescent="0.2">
      <c r="A34" s="13"/>
      <c r="B34" s="13"/>
      <c r="C34" s="13"/>
      <c r="D34" s="55">
        <v>32</v>
      </c>
      <c r="E34" s="56">
        <v>0.80800000000000005</v>
      </c>
      <c r="F34" s="57">
        <v>32</v>
      </c>
      <c r="G34" s="58">
        <v>0.83999999999999986</v>
      </c>
      <c r="H34" s="59"/>
      <c r="I34" s="2"/>
      <c r="Q34">
        <v>-40</v>
      </c>
      <c r="R34">
        <v>1.1499999999999999</v>
      </c>
      <c r="T34" s="299">
        <v>31</v>
      </c>
      <c r="U34" s="300">
        <v>0.98708333000000004</v>
      </c>
    </row>
    <row r="35" spans="1:21" x14ac:dyDescent="0.2">
      <c r="A35" s="13"/>
      <c r="B35" s="13"/>
      <c r="C35" s="13"/>
      <c r="D35" s="55">
        <v>33</v>
      </c>
      <c r="E35" s="56">
        <v>0.80200000000000005</v>
      </c>
      <c r="F35" s="57">
        <v>33</v>
      </c>
      <c r="G35" s="58">
        <v>0.83499999999999985</v>
      </c>
      <c r="H35" s="59"/>
      <c r="I35" s="2"/>
      <c r="Q35">
        <v>-39</v>
      </c>
      <c r="R35">
        <v>1.1475</v>
      </c>
      <c r="T35" s="299">
        <v>32</v>
      </c>
      <c r="U35" s="300">
        <v>0.98666666999999997</v>
      </c>
    </row>
    <row r="36" spans="1:21" x14ac:dyDescent="0.2">
      <c r="A36" s="13"/>
      <c r="B36" s="47"/>
      <c r="C36" s="47"/>
      <c r="D36" s="55">
        <v>34</v>
      </c>
      <c r="E36" s="56">
        <v>0.79600000000000004</v>
      </c>
      <c r="F36" s="57">
        <v>34</v>
      </c>
      <c r="G36" s="58">
        <v>0.82999999999999985</v>
      </c>
      <c r="H36" s="59"/>
      <c r="I36" s="2"/>
      <c r="Q36">
        <v>-38</v>
      </c>
      <c r="R36">
        <v>1.145</v>
      </c>
      <c r="T36" s="299">
        <v>33</v>
      </c>
      <c r="U36" s="300">
        <v>0.98624999999999996</v>
      </c>
    </row>
    <row r="37" spans="1:21" x14ac:dyDescent="0.2">
      <c r="A37" s="13"/>
      <c r="B37" s="13"/>
      <c r="C37" s="13"/>
      <c r="D37" s="55">
        <v>35</v>
      </c>
      <c r="E37" s="56">
        <v>0.79</v>
      </c>
      <c r="F37" s="57">
        <v>35</v>
      </c>
      <c r="G37" s="58">
        <v>0.82499999999999984</v>
      </c>
      <c r="H37" s="59"/>
      <c r="I37" s="2"/>
      <c r="Q37">
        <v>-37</v>
      </c>
      <c r="R37">
        <v>1.1425000000000001</v>
      </c>
      <c r="T37" s="299">
        <v>34</v>
      </c>
      <c r="U37" s="300">
        <v>0.98583332999999995</v>
      </c>
    </row>
    <row r="38" spans="1:21" x14ac:dyDescent="0.2">
      <c r="A38" s="13"/>
      <c r="B38" s="13"/>
      <c r="C38" s="13"/>
      <c r="D38" s="55">
        <v>36</v>
      </c>
      <c r="E38" s="56">
        <v>0.78400000000000003</v>
      </c>
      <c r="F38" s="57">
        <v>36</v>
      </c>
      <c r="G38" s="58">
        <v>0.81999999999999984</v>
      </c>
      <c r="H38" s="59"/>
      <c r="I38" s="2"/>
      <c r="Q38">
        <v>-36</v>
      </c>
      <c r="R38">
        <v>1.1399999999999999</v>
      </c>
      <c r="T38" s="299">
        <v>35</v>
      </c>
      <c r="U38" s="300">
        <v>0.98541666999999999</v>
      </c>
    </row>
    <row r="39" spans="1:21" x14ac:dyDescent="0.2">
      <c r="A39" s="13"/>
      <c r="B39" s="13"/>
      <c r="C39" s="13"/>
      <c r="D39" s="55">
        <v>37</v>
      </c>
      <c r="E39" s="56">
        <v>0.77800000000000002</v>
      </c>
      <c r="F39" s="57">
        <v>37</v>
      </c>
      <c r="G39" s="58">
        <v>0.81499999999999984</v>
      </c>
      <c r="H39" s="59"/>
      <c r="I39" s="2"/>
      <c r="Q39">
        <v>-35</v>
      </c>
      <c r="R39">
        <v>1.1375</v>
      </c>
      <c r="T39" s="299">
        <v>36</v>
      </c>
      <c r="U39" s="300">
        <v>0.98499999999999999</v>
      </c>
    </row>
    <row r="40" spans="1:21" x14ac:dyDescent="0.2">
      <c r="A40" s="13"/>
      <c r="B40" s="13"/>
      <c r="C40" s="13"/>
      <c r="D40" s="55">
        <v>38</v>
      </c>
      <c r="E40" s="56">
        <v>0.77200000000000002</v>
      </c>
      <c r="F40" s="57">
        <v>38</v>
      </c>
      <c r="G40" s="58">
        <v>0.80999999999999983</v>
      </c>
      <c r="H40" s="59"/>
      <c r="I40" s="2"/>
      <c r="Q40">
        <v>-34</v>
      </c>
      <c r="R40">
        <v>1.135</v>
      </c>
      <c r="T40" s="299">
        <v>37</v>
      </c>
      <c r="U40" s="300">
        <v>0.98458332999999998</v>
      </c>
    </row>
    <row r="41" spans="1:21" ht="13.6" x14ac:dyDescent="0.25">
      <c r="A41" s="13"/>
      <c r="B41" s="13"/>
      <c r="C41" s="13"/>
      <c r="D41" s="55">
        <v>39</v>
      </c>
      <c r="E41" s="56">
        <v>0.76600000000000001</v>
      </c>
      <c r="F41" s="57">
        <v>39</v>
      </c>
      <c r="G41" s="58">
        <v>0.80499999999999983</v>
      </c>
      <c r="H41" s="60"/>
      <c r="I41" s="2"/>
      <c r="Q41">
        <v>-33</v>
      </c>
      <c r="R41">
        <v>1.1325000000000001</v>
      </c>
      <c r="T41" s="299">
        <v>38</v>
      </c>
      <c r="U41" s="300">
        <v>0.98416667000000002</v>
      </c>
    </row>
    <row r="42" spans="1:21" x14ac:dyDescent="0.2">
      <c r="A42" s="13"/>
      <c r="B42" s="47"/>
      <c r="C42" s="47"/>
      <c r="D42" s="55">
        <v>40</v>
      </c>
      <c r="E42" s="56">
        <v>0.76</v>
      </c>
      <c r="F42" s="57">
        <v>40</v>
      </c>
      <c r="G42" s="58">
        <v>0.79999999999999982</v>
      </c>
      <c r="H42" s="59"/>
      <c r="I42" s="2"/>
      <c r="Q42">
        <v>-32</v>
      </c>
      <c r="R42">
        <v>1.1299999999999999</v>
      </c>
      <c r="T42" s="299">
        <v>39</v>
      </c>
      <c r="U42" s="300">
        <v>0.98375000000000001</v>
      </c>
    </row>
    <row r="43" spans="1:21" x14ac:dyDescent="0.2">
      <c r="A43" s="13"/>
      <c r="B43" s="13"/>
      <c r="C43" s="13"/>
      <c r="D43" s="55">
        <v>41</v>
      </c>
      <c r="E43" s="56">
        <v>0.754</v>
      </c>
      <c r="F43" s="57">
        <v>41</v>
      </c>
      <c r="G43" s="58">
        <v>0.79499999999999982</v>
      </c>
      <c r="H43" s="59"/>
      <c r="I43" s="2"/>
      <c r="Q43">
        <v>-31</v>
      </c>
      <c r="R43">
        <v>1.1274999999999999</v>
      </c>
      <c r="T43" s="299">
        <v>40</v>
      </c>
      <c r="U43" s="300">
        <v>0.98333333000000001</v>
      </c>
    </row>
    <row r="44" spans="1:21" x14ac:dyDescent="0.2">
      <c r="A44" s="13"/>
      <c r="B44" s="13"/>
      <c r="C44" s="13"/>
      <c r="D44" s="55">
        <v>42</v>
      </c>
      <c r="E44" s="56">
        <v>0.748</v>
      </c>
      <c r="F44" s="57">
        <v>42</v>
      </c>
      <c r="G44" s="58">
        <v>0.78999999999999981</v>
      </c>
      <c r="H44" s="59"/>
      <c r="I44" s="2"/>
      <c r="Q44">
        <v>-30</v>
      </c>
      <c r="R44">
        <v>1.125</v>
      </c>
      <c r="T44" s="299">
        <v>41</v>
      </c>
      <c r="U44" s="300">
        <v>0.98291667000000005</v>
      </c>
    </row>
    <row r="45" spans="1:21" x14ac:dyDescent="0.2">
      <c r="A45" s="13"/>
      <c r="B45" s="13"/>
      <c r="C45" s="13"/>
      <c r="D45" s="55">
        <v>43</v>
      </c>
      <c r="E45" s="56">
        <v>0.74199999999999999</v>
      </c>
      <c r="F45" s="57">
        <v>43</v>
      </c>
      <c r="G45" s="58">
        <v>0.78499999999999981</v>
      </c>
      <c r="H45" s="59"/>
      <c r="I45" s="2"/>
      <c r="Q45">
        <v>-29</v>
      </c>
      <c r="R45">
        <v>1.1225000000000001</v>
      </c>
      <c r="T45" s="299">
        <v>42</v>
      </c>
      <c r="U45" s="300">
        <v>0.98250000000000004</v>
      </c>
    </row>
    <row r="46" spans="1:21" x14ac:dyDescent="0.2">
      <c r="A46" s="44"/>
      <c r="B46" s="13"/>
      <c r="C46" s="45"/>
      <c r="D46" s="55">
        <v>44</v>
      </c>
      <c r="E46" s="56">
        <v>0.73599999999999999</v>
      </c>
      <c r="F46" s="57">
        <v>44</v>
      </c>
      <c r="G46" s="58">
        <v>0.7799999999999998</v>
      </c>
      <c r="H46" s="59"/>
      <c r="I46" s="2"/>
      <c r="Q46">
        <v>-28</v>
      </c>
      <c r="R46">
        <v>1.1200000000000001</v>
      </c>
      <c r="T46" s="299">
        <v>43</v>
      </c>
      <c r="U46" s="300">
        <v>0.98208333000000003</v>
      </c>
    </row>
    <row r="47" spans="1:21" x14ac:dyDescent="0.2">
      <c r="A47" s="44"/>
      <c r="B47" s="13"/>
      <c r="C47" s="13"/>
      <c r="D47" s="55">
        <v>45</v>
      </c>
      <c r="E47" s="56">
        <v>0.73</v>
      </c>
      <c r="F47" s="57">
        <v>45</v>
      </c>
      <c r="G47" s="58">
        <v>0.7749999999999998</v>
      </c>
      <c r="H47" s="59"/>
      <c r="I47" s="2"/>
      <c r="Q47">
        <v>-27</v>
      </c>
      <c r="R47">
        <v>1.1174999999999999</v>
      </c>
      <c r="T47" s="299">
        <v>44</v>
      </c>
      <c r="U47" s="300">
        <v>0.98166666999999996</v>
      </c>
    </row>
    <row r="48" spans="1:21" x14ac:dyDescent="0.2">
      <c r="A48" s="44"/>
      <c r="B48" s="13"/>
      <c r="C48" s="13"/>
      <c r="D48" s="55">
        <v>46</v>
      </c>
      <c r="E48" s="56">
        <v>0.72399999999999998</v>
      </c>
      <c r="F48" s="57">
        <v>46</v>
      </c>
      <c r="G48" s="58">
        <v>0.7699999999999998</v>
      </c>
      <c r="H48" s="59"/>
      <c r="I48" s="2"/>
      <c r="Q48">
        <v>-26</v>
      </c>
      <c r="R48">
        <v>1.115</v>
      </c>
      <c r="T48" s="299">
        <v>45</v>
      </c>
      <c r="U48" s="300">
        <v>0.98124999999999996</v>
      </c>
    </row>
    <row r="49" spans="1:21" x14ac:dyDescent="0.2">
      <c r="A49" s="13"/>
      <c r="B49" s="13"/>
      <c r="C49" s="13"/>
      <c r="D49" s="55">
        <v>47</v>
      </c>
      <c r="E49" s="56">
        <v>0.71799999999999997</v>
      </c>
      <c r="F49" s="57">
        <v>47</v>
      </c>
      <c r="G49" s="58">
        <v>0.76499999999999979</v>
      </c>
      <c r="H49" s="59"/>
      <c r="I49" s="2"/>
      <c r="Q49">
        <v>-25</v>
      </c>
      <c r="R49">
        <v>1.1125</v>
      </c>
      <c r="T49" s="299">
        <v>46</v>
      </c>
      <c r="U49" s="300">
        <v>0.98083332999999995</v>
      </c>
    </row>
    <row r="50" spans="1:21" x14ac:dyDescent="0.2">
      <c r="A50" s="13"/>
      <c r="B50" s="13"/>
      <c r="C50" s="13"/>
      <c r="D50" s="55">
        <v>48</v>
      </c>
      <c r="E50" s="56">
        <v>0.71199999999999997</v>
      </c>
      <c r="F50" s="57">
        <v>48</v>
      </c>
      <c r="G50" s="58">
        <v>0.75999999999999979</v>
      </c>
      <c r="H50" s="59"/>
      <c r="I50" s="2"/>
      <c r="Q50">
        <v>-24</v>
      </c>
      <c r="R50">
        <v>1.1100000000000001</v>
      </c>
      <c r="T50" s="299">
        <v>47</v>
      </c>
      <c r="U50" s="300">
        <v>0.98041666999999999</v>
      </c>
    </row>
    <row r="51" spans="1:21" x14ac:dyDescent="0.2">
      <c r="A51" s="13"/>
      <c r="B51" s="13"/>
      <c r="C51" s="13"/>
      <c r="D51" s="55">
        <v>49</v>
      </c>
      <c r="E51" s="56">
        <v>0.70599999999999996</v>
      </c>
      <c r="F51" s="57">
        <v>49</v>
      </c>
      <c r="G51" s="58">
        <v>0.75499999999999978</v>
      </c>
      <c r="H51" s="59"/>
      <c r="I51" s="2"/>
      <c r="Q51">
        <v>-23</v>
      </c>
      <c r="R51">
        <v>1.1074999999999999</v>
      </c>
      <c r="T51" s="299">
        <v>48</v>
      </c>
      <c r="U51" s="300">
        <v>0.98</v>
      </c>
    </row>
    <row r="52" spans="1:21" x14ac:dyDescent="0.2">
      <c r="A52" s="13"/>
      <c r="B52" s="13"/>
      <c r="C52" s="13"/>
      <c r="D52" s="55">
        <v>50</v>
      </c>
      <c r="E52" s="56">
        <v>0.7</v>
      </c>
      <c r="F52" s="57">
        <v>50</v>
      </c>
      <c r="G52" s="58">
        <v>0.74999999999999978</v>
      </c>
      <c r="H52" s="59"/>
      <c r="I52" s="2"/>
      <c r="Q52">
        <v>-22</v>
      </c>
      <c r="R52">
        <v>1.105</v>
      </c>
      <c r="T52" s="299">
        <v>49</v>
      </c>
      <c r="U52" s="300">
        <v>0.97958332999999997</v>
      </c>
    </row>
    <row r="53" spans="1:21" x14ac:dyDescent="0.2">
      <c r="A53" s="13"/>
      <c r="B53" s="13"/>
      <c r="C53" s="13"/>
      <c r="D53" s="55">
        <v>51</v>
      </c>
      <c r="E53" s="56">
        <v>0.69399999999999995</v>
      </c>
      <c r="F53" s="57">
        <v>51</v>
      </c>
      <c r="G53" s="58">
        <v>0.74499999999999977</v>
      </c>
      <c r="H53" s="59"/>
      <c r="I53" s="2"/>
      <c r="Q53">
        <v>-21</v>
      </c>
      <c r="R53">
        <v>1.1025</v>
      </c>
      <c r="T53" s="299">
        <v>50</v>
      </c>
      <c r="U53" s="300">
        <v>0.97916667000000002</v>
      </c>
    </row>
    <row r="54" spans="1:21" x14ac:dyDescent="0.2">
      <c r="A54" s="13"/>
      <c r="B54" s="13"/>
      <c r="C54" s="13"/>
      <c r="D54" s="55">
        <v>52</v>
      </c>
      <c r="E54" s="56">
        <v>0.68799999999999994</v>
      </c>
      <c r="F54" s="57">
        <v>52</v>
      </c>
      <c r="G54" s="58">
        <v>0.73999999999999977</v>
      </c>
      <c r="H54" s="59"/>
      <c r="I54" s="2"/>
      <c r="Q54">
        <v>-20</v>
      </c>
      <c r="R54">
        <v>1.1000000000000001</v>
      </c>
      <c r="T54" s="299">
        <v>51</v>
      </c>
      <c r="U54" s="300">
        <v>0.97875000000000001</v>
      </c>
    </row>
    <row r="55" spans="1:21" x14ac:dyDescent="0.2">
      <c r="A55" s="13"/>
      <c r="B55" s="13"/>
      <c r="C55" s="13"/>
      <c r="D55" s="55">
        <v>53</v>
      </c>
      <c r="E55" s="56">
        <v>0.68200000000000005</v>
      </c>
      <c r="F55" s="57">
        <v>53</v>
      </c>
      <c r="G55" s="58">
        <v>0.73499999999999976</v>
      </c>
      <c r="H55" s="59"/>
      <c r="I55" s="2"/>
      <c r="Q55">
        <v>-19</v>
      </c>
      <c r="R55">
        <v>1.095</v>
      </c>
      <c r="T55" s="299">
        <v>52</v>
      </c>
      <c r="U55" s="300">
        <v>0.97833333</v>
      </c>
    </row>
    <row r="56" spans="1:21" x14ac:dyDescent="0.2">
      <c r="A56" s="13"/>
      <c r="B56" s="13"/>
      <c r="C56" s="13"/>
      <c r="D56" s="55">
        <v>54</v>
      </c>
      <c r="E56" s="56">
        <v>0.67600000000000005</v>
      </c>
      <c r="F56" s="57">
        <v>54</v>
      </c>
      <c r="G56" s="58">
        <v>0.72999999999999976</v>
      </c>
      <c r="H56" s="59"/>
      <c r="I56" s="2"/>
      <c r="Q56">
        <v>-18</v>
      </c>
      <c r="R56">
        <v>1.0900000000000001</v>
      </c>
      <c r="T56" s="299">
        <v>53</v>
      </c>
      <c r="U56" s="300">
        <v>0.97791667000000004</v>
      </c>
    </row>
    <row r="57" spans="1:21" x14ac:dyDescent="0.2">
      <c r="A57" s="13"/>
      <c r="B57" s="13"/>
      <c r="C57" s="13"/>
      <c r="D57" s="55">
        <v>55</v>
      </c>
      <c r="E57" s="56">
        <v>0.67</v>
      </c>
      <c r="F57" s="57">
        <v>55</v>
      </c>
      <c r="G57" s="58">
        <v>0.72499999999999976</v>
      </c>
      <c r="H57" s="59"/>
      <c r="I57" s="2"/>
      <c r="Q57">
        <v>-17</v>
      </c>
      <c r="R57">
        <v>1.085</v>
      </c>
      <c r="T57" s="299">
        <v>54</v>
      </c>
      <c r="U57" s="300">
        <v>0.97750000000000004</v>
      </c>
    </row>
    <row r="58" spans="1:21" x14ac:dyDescent="0.2">
      <c r="A58" s="13"/>
      <c r="B58" s="13"/>
      <c r="C58" s="13"/>
      <c r="D58" s="55">
        <v>56</v>
      </c>
      <c r="E58" s="56">
        <v>0.66400000000000003</v>
      </c>
      <c r="F58" s="57">
        <v>56</v>
      </c>
      <c r="G58" s="58">
        <v>0.71999999999999975</v>
      </c>
      <c r="H58" s="59"/>
      <c r="I58" s="2"/>
      <c r="Q58">
        <v>-16</v>
      </c>
      <c r="R58">
        <v>1.08</v>
      </c>
      <c r="T58" s="299">
        <v>55</v>
      </c>
      <c r="U58" s="300">
        <v>0.97708333000000003</v>
      </c>
    </row>
    <row r="59" spans="1:21" x14ac:dyDescent="0.2">
      <c r="A59" s="13"/>
      <c r="B59" s="13"/>
      <c r="C59" s="13"/>
      <c r="D59" s="55">
        <v>57</v>
      </c>
      <c r="E59" s="56">
        <v>0.65800000000000003</v>
      </c>
      <c r="F59" s="57">
        <v>57</v>
      </c>
      <c r="G59" s="58">
        <v>0.71499999999999975</v>
      </c>
      <c r="H59" s="59"/>
      <c r="I59" s="2"/>
      <c r="Q59">
        <v>-15</v>
      </c>
      <c r="R59">
        <v>1.075</v>
      </c>
      <c r="T59" s="299">
        <v>56</v>
      </c>
      <c r="U59" s="300">
        <v>0.97666666999999996</v>
      </c>
    </row>
    <row r="60" spans="1:21" x14ac:dyDescent="0.2">
      <c r="A60" s="13"/>
      <c r="B60" s="13"/>
      <c r="C60" s="13"/>
      <c r="D60" s="55">
        <v>58</v>
      </c>
      <c r="E60" s="56">
        <v>0.65200000000000002</v>
      </c>
      <c r="F60" s="57">
        <v>58</v>
      </c>
      <c r="G60" s="58">
        <v>0.70999999999999974</v>
      </c>
      <c r="H60" s="59"/>
      <c r="I60" s="2"/>
      <c r="Q60">
        <v>-14</v>
      </c>
      <c r="R60">
        <v>1.07</v>
      </c>
      <c r="T60" s="299">
        <v>57</v>
      </c>
      <c r="U60" s="300">
        <v>0.97624999999999995</v>
      </c>
    </row>
    <row r="61" spans="1:21" x14ac:dyDescent="0.2">
      <c r="A61" s="13"/>
      <c r="B61" s="13"/>
      <c r="C61" s="13"/>
      <c r="D61" s="55">
        <v>59</v>
      </c>
      <c r="E61" s="56">
        <v>0.64600000000000002</v>
      </c>
      <c r="F61" s="57">
        <v>59</v>
      </c>
      <c r="G61" s="58">
        <v>0.70499999999999974</v>
      </c>
      <c r="H61" s="59"/>
      <c r="I61" s="2"/>
      <c r="Q61">
        <v>-13</v>
      </c>
      <c r="R61">
        <v>1.0649999999999999</v>
      </c>
      <c r="T61" s="299">
        <v>58</v>
      </c>
      <c r="U61" s="300">
        <v>0.97583333000000005</v>
      </c>
    </row>
    <row r="62" spans="1:21" x14ac:dyDescent="0.2">
      <c r="A62" s="13"/>
      <c r="B62" s="13"/>
      <c r="C62" s="13"/>
      <c r="D62" s="55">
        <v>60</v>
      </c>
      <c r="E62" s="56">
        <v>0.64</v>
      </c>
      <c r="F62" s="57">
        <v>60</v>
      </c>
      <c r="G62" s="58">
        <v>0.69999999999999973</v>
      </c>
      <c r="H62" s="59"/>
      <c r="I62" s="2"/>
      <c r="Q62">
        <v>-12</v>
      </c>
      <c r="R62">
        <v>1.06</v>
      </c>
      <c r="T62" s="299">
        <v>59</v>
      </c>
      <c r="U62" s="300">
        <v>0.97541666999999999</v>
      </c>
    </row>
    <row r="63" spans="1:21" x14ac:dyDescent="0.2">
      <c r="A63" s="13"/>
      <c r="B63" s="13"/>
      <c r="C63" s="13"/>
      <c r="D63" s="55">
        <v>61</v>
      </c>
      <c r="E63" s="56">
        <v>0.63700000000000001</v>
      </c>
      <c r="F63" s="57">
        <v>61</v>
      </c>
      <c r="G63" s="58">
        <v>0.69499999999999973</v>
      </c>
      <c r="H63" s="59"/>
      <c r="I63" s="2"/>
      <c r="Q63">
        <v>-11</v>
      </c>
      <c r="R63">
        <v>1.0549999999999999</v>
      </c>
      <c r="T63" s="299">
        <v>60</v>
      </c>
      <c r="U63" s="300">
        <v>0.97499999999999998</v>
      </c>
    </row>
    <row r="64" spans="1:21" x14ac:dyDescent="0.2">
      <c r="A64" s="13"/>
      <c r="B64" s="13"/>
      <c r="C64" s="13"/>
      <c r="D64" s="55">
        <v>62</v>
      </c>
      <c r="E64" s="56">
        <v>0.63400000000000001</v>
      </c>
      <c r="F64" s="57">
        <v>62</v>
      </c>
      <c r="G64" s="58">
        <v>0.68999999999999972</v>
      </c>
      <c r="H64" s="59"/>
      <c r="I64" s="2"/>
      <c r="Q64">
        <v>-10</v>
      </c>
      <c r="R64">
        <v>1.05</v>
      </c>
      <c r="T64" s="299">
        <v>61</v>
      </c>
      <c r="U64" s="300">
        <v>0.97416667000000001</v>
      </c>
    </row>
    <row r="65" spans="1:21" x14ac:dyDescent="0.2">
      <c r="A65" s="13"/>
      <c r="B65" s="13"/>
      <c r="C65" s="13"/>
      <c r="D65" s="55">
        <v>63</v>
      </c>
      <c r="E65" s="56">
        <v>0.63100000000000001</v>
      </c>
      <c r="F65" s="57">
        <v>63</v>
      </c>
      <c r="G65" s="58">
        <v>0.68499999999999972</v>
      </c>
      <c r="H65" s="59"/>
      <c r="I65" s="2"/>
      <c r="Q65">
        <v>-9</v>
      </c>
      <c r="R65">
        <v>1.0449999999999999</v>
      </c>
      <c r="T65" s="299">
        <v>62</v>
      </c>
      <c r="U65" s="300">
        <v>0.97333333</v>
      </c>
    </row>
    <row r="66" spans="1:21" x14ac:dyDescent="0.2">
      <c r="A66" s="13"/>
      <c r="B66" s="13"/>
      <c r="C66" s="13"/>
      <c r="D66" s="55">
        <v>64</v>
      </c>
      <c r="E66" s="56">
        <v>0.628</v>
      </c>
      <c r="F66" s="57">
        <v>64</v>
      </c>
      <c r="G66" s="58">
        <v>0.67999999999999972</v>
      </c>
      <c r="H66" s="59"/>
      <c r="I66" s="2"/>
      <c r="Q66">
        <v>-8</v>
      </c>
      <c r="R66">
        <v>1.04</v>
      </c>
      <c r="T66" s="299">
        <v>63</v>
      </c>
      <c r="U66" s="300">
        <v>0.97250000000000003</v>
      </c>
    </row>
    <row r="67" spans="1:21" x14ac:dyDescent="0.2">
      <c r="A67" s="13"/>
      <c r="B67" s="13"/>
      <c r="C67" s="13"/>
      <c r="D67" s="55">
        <v>65</v>
      </c>
      <c r="E67" s="56">
        <v>0.625</v>
      </c>
      <c r="F67" s="57">
        <v>65</v>
      </c>
      <c r="G67" s="58">
        <v>0.67499999999999971</v>
      </c>
      <c r="H67" s="59"/>
      <c r="I67" s="2"/>
      <c r="Q67">
        <v>-7</v>
      </c>
      <c r="R67">
        <v>1.0349999999999999</v>
      </c>
      <c r="T67" s="299">
        <v>64</v>
      </c>
      <c r="U67" s="300">
        <v>0.97166666999999995</v>
      </c>
    </row>
    <row r="68" spans="1:21" x14ac:dyDescent="0.2">
      <c r="A68" s="13"/>
      <c r="B68" s="13"/>
      <c r="C68" s="13"/>
      <c r="D68" s="55">
        <v>66</v>
      </c>
      <c r="E68" s="56">
        <v>0.622</v>
      </c>
      <c r="F68" s="57">
        <v>66</v>
      </c>
      <c r="G68" s="58">
        <v>0.66999999999999971</v>
      </c>
      <c r="H68" s="59"/>
      <c r="I68" s="2"/>
      <c r="Q68">
        <v>-6</v>
      </c>
      <c r="R68">
        <v>1.03</v>
      </c>
      <c r="T68" s="299">
        <v>65</v>
      </c>
      <c r="U68" s="300">
        <v>0.97083333000000005</v>
      </c>
    </row>
    <row r="69" spans="1:21" x14ac:dyDescent="0.2">
      <c r="A69" s="13"/>
      <c r="B69" s="13"/>
      <c r="C69" s="13"/>
      <c r="D69" s="55">
        <v>67</v>
      </c>
      <c r="E69" s="56">
        <v>0.61899999999999999</v>
      </c>
      <c r="F69" s="57">
        <v>67</v>
      </c>
      <c r="G69" s="58">
        <v>0.6649999999999997</v>
      </c>
      <c r="H69" s="59"/>
      <c r="I69" s="2"/>
      <c r="Q69">
        <v>-5</v>
      </c>
      <c r="R69">
        <v>1.0249999999999999</v>
      </c>
      <c r="T69" s="299">
        <v>66</v>
      </c>
      <c r="U69" s="300">
        <v>0.97</v>
      </c>
    </row>
    <row r="70" spans="1:21" x14ac:dyDescent="0.2">
      <c r="A70" s="13"/>
      <c r="B70" s="13"/>
      <c r="C70" s="13"/>
      <c r="D70" s="55">
        <v>68</v>
      </c>
      <c r="E70" s="56">
        <v>0.61599999999999999</v>
      </c>
      <c r="F70" s="57">
        <v>68</v>
      </c>
      <c r="G70" s="58">
        <v>0.6599999999999997</v>
      </c>
      <c r="H70" s="59"/>
      <c r="I70" s="2"/>
      <c r="Q70">
        <v>-4</v>
      </c>
      <c r="R70">
        <v>1.02</v>
      </c>
      <c r="T70" s="299">
        <v>67</v>
      </c>
      <c r="U70" s="300">
        <v>0.96916667000000001</v>
      </c>
    </row>
    <row r="71" spans="1:21" x14ac:dyDescent="0.2">
      <c r="A71" s="13"/>
      <c r="B71" s="13"/>
      <c r="C71" s="13"/>
      <c r="D71" s="55">
        <v>69</v>
      </c>
      <c r="E71" s="56">
        <v>0.61299999999999999</v>
      </c>
      <c r="F71" s="57">
        <v>69</v>
      </c>
      <c r="G71" s="58">
        <v>0.65499999999999969</v>
      </c>
      <c r="H71" s="59"/>
      <c r="I71" s="2"/>
      <c r="Q71">
        <v>-3</v>
      </c>
      <c r="R71">
        <v>1.0149999999999999</v>
      </c>
      <c r="T71" s="299">
        <v>68</v>
      </c>
      <c r="U71" s="300">
        <v>0.96833332999999999</v>
      </c>
    </row>
    <row r="72" spans="1:21" x14ac:dyDescent="0.2">
      <c r="A72" s="13"/>
      <c r="B72" s="13"/>
      <c r="C72" s="13"/>
      <c r="D72" s="55">
        <v>70</v>
      </c>
      <c r="E72" s="56">
        <v>0.61</v>
      </c>
      <c r="F72" s="57">
        <v>70</v>
      </c>
      <c r="G72" s="58">
        <v>0.64999999999999969</v>
      </c>
      <c r="H72" s="59"/>
      <c r="I72" s="2"/>
      <c r="Q72">
        <v>-2</v>
      </c>
      <c r="R72">
        <v>1.01</v>
      </c>
      <c r="T72" s="299">
        <v>69</v>
      </c>
      <c r="U72" s="300">
        <v>0.96750000000000003</v>
      </c>
    </row>
    <row r="73" spans="1:21" x14ac:dyDescent="0.2">
      <c r="A73" s="13"/>
      <c r="B73" s="13"/>
      <c r="C73" s="13"/>
      <c r="D73" s="55">
        <v>71</v>
      </c>
      <c r="E73" s="56">
        <v>0.60699999999999998</v>
      </c>
      <c r="F73" s="57">
        <v>71</v>
      </c>
      <c r="G73" s="58">
        <v>0.64499999999999968</v>
      </c>
      <c r="H73" s="59"/>
      <c r="I73" s="2"/>
      <c r="Q73">
        <v>-1</v>
      </c>
      <c r="R73">
        <v>1.0049999999999999</v>
      </c>
      <c r="T73" s="299">
        <v>70</v>
      </c>
      <c r="U73" s="300">
        <v>0.96666666999999995</v>
      </c>
    </row>
    <row r="74" spans="1:21" x14ac:dyDescent="0.2">
      <c r="A74" s="13"/>
      <c r="B74" s="13"/>
      <c r="C74" s="13"/>
      <c r="D74" s="55">
        <v>72</v>
      </c>
      <c r="E74" s="56">
        <v>0.60399999999999998</v>
      </c>
      <c r="F74" s="57">
        <v>72</v>
      </c>
      <c r="G74" s="58">
        <v>0.63999999999999968</v>
      </c>
      <c r="H74" s="59"/>
      <c r="I74" s="2"/>
      <c r="Q74">
        <v>0</v>
      </c>
      <c r="R74">
        <v>1</v>
      </c>
      <c r="T74" s="299">
        <v>71</v>
      </c>
      <c r="U74" s="300">
        <v>0.96583333000000005</v>
      </c>
    </row>
    <row r="75" spans="1:21" x14ac:dyDescent="0.2">
      <c r="A75" s="13"/>
      <c r="B75" s="13"/>
      <c r="C75" s="13"/>
      <c r="D75" s="55">
        <v>73</v>
      </c>
      <c r="E75" s="56">
        <v>0.60099999999999998</v>
      </c>
      <c r="F75" s="57">
        <v>73</v>
      </c>
      <c r="G75" s="58">
        <v>0.63499999999999968</v>
      </c>
      <c r="H75" s="59"/>
      <c r="I75" s="2"/>
      <c r="Q75">
        <v>1</v>
      </c>
      <c r="R75">
        <v>0.99</v>
      </c>
      <c r="T75" s="299">
        <v>72</v>
      </c>
      <c r="U75" s="300">
        <v>0.96499999999999997</v>
      </c>
    </row>
    <row r="76" spans="1:21" x14ac:dyDescent="0.2">
      <c r="A76" s="13"/>
      <c r="B76" s="13"/>
      <c r="C76" s="13"/>
      <c r="D76" s="55">
        <v>74</v>
      </c>
      <c r="E76" s="56">
        <v>0.59799999999999998</v>
      </c>
      <c r="F76" s="57">
        <v>74</v>
      </c>
      <c r="G76" s="58">
        <v>0.62999999999999967</v>
      </c>
      <c r="H76" s="59"/>
      <c r="I76" s="2"/>
      <c r="Q76">
        <v>2</v>
      </c>
      <c r="R76">
        <v>0.98</v>
      </c>
      <c r="T76" s="299">
        <v>73</v>
      </c>
      <c r="U76" s="300">
        <v>0.96416667</v>
      </c>
    </row>
    <row r="77" spans="1:21" x14ac:dyDescent="0.2">
      <c r="A77" s="13"/>
      <c r="B77" s="13"/>
      <c r="C77" s="13"/>
      <c r="D77" s="55">
        <v>75</v>
      </c>
      <c r="E77" s="56">
        <v>0.59499999999999997</v>
      </c>
      <c r="F77" s="57">
        <v>75</v>
      </c>
      <c r="G77" s="58">
        <v>0.62499999999999967</v>
      </c>
      <c r="H77" s="59"/>
      <c r="I77" s="2"/>
      <c r="Q77">
        <v>3</v>
      </c>
      <c r="R77">
        <v>0.97</v>
      </c>
      <c r="T77" s="299">
        <v>74</v>
      </c>
      <c r="U77" s="300">
        <v>0.96333332999999999</v>
      </c>
    </row>
    <row r="78" spans="1:21" x14ac:dyDescent="0.2">
      <c r="A78" s="13"/>
      <c r="B78" s="13"/>
      <c r="C78" s="13"/>
      <c r="D78" s="55">
        <v>76</v>
      </c>
      <c r="E78" s="56">
        <v>0.59199999999999997</v>
      </c>
      <c r="F78" s="57">
        <v>76</v>
      </c>
      <c r="G78" s="58">
        <v>0.61999999999999966</v>
      </c>
      <c r="H78" s="59"/>
      <c r="I78" s="2"/>
      <c r="Q78">
        <v>4</v>
      </c>
      <c r="R78">
        <v>0.96</v>
      </c>
      <c r="T78" s="299">
        <v>75</v>
      </c>
      <c r="U78" s="300">
        <v>0.96250000000000002</v>
      </c>
    </row>
    <row r="79" spans="1:21" x14ac:dyDescent="0.2">
      <c r="A79" s="13"/>
      <c r="B79" s="13"/>
      <c r="C79" s="13"/>
      <c r="D79" s="55">
        <v>77</v>
      </c>
      <c r="E79" s="56">
        <v>0.58899999999999997</v>
      </c>
      <c r="F79" s="57">
        <v>77</v>
      </c>
      <c r="G79" s="58">
        <v>0.61499999999999966</v>
      </c>
      <c r="H79" s="59"/>
      <c r="I79" s="2"/>
      <c r="Q79">
        <v>5</v>
      </c>
      <c r="R79">
        <v>0.95</v>
      </c>
      <c r="T79" s="299">
        <v>76</v>
      </c>
      <c r="U79" s="300">
        <v>0.96166666999999995</v>
      </c>
    </row>
    <row r="80" spans="1:21" x14ac:dyDescent="0.2">
      <c r="A80" s="13"/>
      <c r="B80" s="13"/>
      <c r="C80" s="13"/>
      <c r="D80" s="55">
        <v>78</v>
      </c>
      <c r="E80" s="56">
        <v>0.58599999999999997</v>
      </c>
      <c r="F80" s="57">
        <v>78</v>
      </c>
      <c r="G80" s="58">
        <v>0.60999999999999965</v>
      </c>
      <c r="H80" s="59"/>
      <c r="I80" s="2"/>
      <c r="Q80">
        <v>6</v>
      </c>
      <c r="R80">
        <v>0.94</v>
      </c>
      <c r="T80" s="299">
        <v>77</v>
      </c>
      <c r="U80" s="300">
        <v>0.96083333000000004</v>
      </c>
    </row>
    <row r="81" spans="1:21" x14ac:dyDescent="0.2">
      <c r="A81" s="13"/>
      <c r="B81" s="13"/>
      <c r="C81" s="13"/>
      <c r="D81" s="55">
        <v>79</v>
      </c>
      <c r="E81" s="56">
        <v>0.58299999999999996</v>
      </c>
      <c r="F81" s="57">
        <v>79</v>
      </c>
      <c r="G81" s="58">
        <v>0.60499999999999965</v>
      </c>
      <c r="H81" s="59"/>
      <c r="I81" s="2"/>
      <c r="Q81">
        <v>7</v>
      </c>
      <c r="R81">
        <v>0.93</v>
      </c>
      <c r="T81" s="299">
        <v>78</v>
      </c>
      <c r="U81" s="300">
        <v>0.96</v>
      </c>
    </row>
    <row r="82" spans="1:21" x14ac:dyDescent="0.2">
      <c r="A82" s="13"/>
      <c r="B82" s="13"/>
      <c r="C82" s="13"/>
      <c r="D82" s="55">
        <v>80</v>
      </c>
      <c r="E82" s="56">
        <v>0.57999999999999996</v>
      </c>
      <c r="F82" s="57">
        <v>80</v>
      </c>
      <c r="G82" s="58">
        <v>0.59999999999999964</v>
      </c>
      <c r="H82" s="59"/>
      <c r="I82" s="2"/>
      <c r="Q82">
        <v>8</v>
      </c>
      <c r="R82">
        <v>0.92</v>
      </c>
      <c r="T82" s="299">
        <v>79</v>
      </c>
      <c r="U82" s="300">
        <v>0.95916667</v>
      </c>
    </row>
    <row r="83" spans="1:21" x14ac:dyDescent="0.2">
      <c r="A83" s="13"/>
      <c r="B83" s="13"/>
      <c r="C83" s="13"/>
      <c r="D83" s="55">
        <v>81</v>
      </c>
      <c r="E83" s="56">
        <v>0.57699999999999996</v>
      </c>
      <c r="F83" s="57">
        <v>81</v>
      </c>
      <c r="G83" s="58">
        <v>0.59499999999999964</v>
      </c>
      <c r="H83" s="59"/>
      <c r="I83" s="2"/>
      <c r="Q83">
        <v>9</v>
      </c>
      <c r="R83">
        <v>0.91</v>
      </c>
      <c r="T83" s="299">
        <v>80</v>
      </c>
      <c r="U83" s="300">
        <v>0.95833332999999998</v>
      </c>
    </row>
    <row r="84" spans="1:21" x14ac:dyDescent="0.2">
      <c r="A84" s="13"/>
      <c r="B84" s="13"/>
      <c r="C84" s="13"/>
      <c r="D84" s="55">
        <v>82</v>
      </c>
      <c r="E84" s="56">
        <v>0.57399999999999995</v>
      </c>
      <c r="F84" s="57">
        <v>82</v>
      </c>
      <c r="G84" s="58">
        <v>0.58999999999999964</v>
      </c>
      <c r="H84" s="59"/>
      <c r="I84" s="2"/>
      <c r="Q84">
        <v>10</v>
      </c>
      <c r="R84">
        <v>0.9</v>
      </c>
      <c r="T84" s="299">
        <v>81</v>
      </c>
      <c r="U84" s="300">
        <v>0.95750000000000002</v>
      </c>
    </row>
    <row r="85" spans="1:21" x14ac:dyDescent="0.2">
      <c r="A85" s="13"/>
      <c r="B85" s="13"/>
      <c r="C85" s="13"/>
      <c r="D85" s="55">
        <v>83</v>
      </c>
      <c r="E85" s="56">
        <v>0.57099999999999995</v>
      </c>
      <c r="F85" s="57">
        <v>83</v>
      </c>
      <c r="G85" s="58">
        <v>0.58499999999999963</v>
      </c>
      <c r="H85" s="59"/>
      <c r="I85" s="2"/>
      <c r="Q85">
        <v>11</v>
      </c>
      <c r="R85">
        <v>0.89</v>
      </c>
      <c r="T85" s="299">
        <v>82</v>
      </c>
      <c r="U85" s="300">
        <v>0.95666667000000005</v>
      </c>
    </row>
    <row r="86" spans="1:21" x14ac:dyDescent="0.2">
      <c r="A86" s="13"/>
      <c r="B86" s="13"/>
      <c r="C86" s="13"/>
      <c r="D86" s="55">
        <v>84</v>
      </c>
      <c r="E86" s="56">
        <v>0.56799999999999995</v>
      </c>
      <c r="F86" s="57">
        <v>84</v>
      </c>
      <c r="G86" s="58">
        <v>0.57999999999999963</v>
      </c>
      <c r="H86" s="59"/>
      <c r="I86" s="2"/>
      <c r="Q86">
        <v>12</v>
      </c>
      <c r="R86">
        <v>0.88</v>
      </c>
      <c r="T86" s="299">
        <v>83</v>
      </c>
      <c r="U86" s="300">
        <v>0.95583333000000004</v>
      </c>
    </row>
    <row r="87" spans="1:21" x14ac:dyDescent="0.2">
      <c r="A87" s="13"/>
      <c r="B87" s="13"/>
      <c r="C87" s="13"/>
      <c r="D87" s="55">
        <v>85</v>
      </c>
      <c r="E87" s="56">
        <v>0.56499999999999995</v>
      </c>
      <c r="F87" s="48">
        <v>85</v>
      </c>
      <c r="G87" s="54">
        <v>0.57499999999999962</v>
      </c>
      <c r="H87" s="59"/>
      <c r="I87" s="2"/>
      <c r="Q87">
        <v>13</v>
      </c>
      <c r="R87">
        <v>0.87</v>
      </c>
      <c r="T87" s="299">
        <v>84</v>
      </c>
      <c r="U87" s="300">
        <v>0.95499999999999996</v>
      </c>
    </row>
    <row r="88" spans="1:21" x14ac:dyDescent="0.2">
      <c r="A88" s="13"/>
      <c r="B88" s="13"/>
      <c r="C88" s="13"/>
      <c r="D88" s="55">
        <v>86</v>
      </c>
      <c r="E88" s="56">
        <v>0.56200000000000006</v>
      </c>
      <c r="F88" s="48">
        <v>86</v>
      </c>
      <c r="G88" s="54">
        <v>0.56999999999999962</v>
      </c>
      <c r="H88" s="59"/>
      <c r="I88" s="2"/>
      <c r="Q88">
        <v>14</v>
      </c>
      <c r="R88">
        <v>0.86</v>
      </c>
      <c r="T88" s="299">
        <v>85</v>
      </c>
      <c r="U88" s="300">
        <v>0.95416666999999999</v>
      </c>
    </row>
    <row r="89" spans="1:21" x14ac:dyDescent="0.2">
      <c r="A89" s="13"/>
      <c r="B89" s="13"/>
      <c r="C89" s="13"/>
      <c r="D89" s="55">
        <v>87</v>
      </c>
      <c r="E89" s="56">
        <v>0.55900000000000005</v>
      </c>
      <c r="F89" s="48">
        <v>87</v>
      </c>
      <c r="G89" s="54">
        <v>0.56499999999999961</v>
      </c>
      <c r="H89" s="59"/>
      <c r="I89" s="2"/>
      <c r="Q89">
        <v>15</v>
      </c>
      <c r="R89">
        <v>0.85</v>
      </c>
      <c r="T89" s="299">
        <v>86</v>
      </c>
      <c r="U89" s="300">
        <v>0.95333332999999998</v>
      </c>
    </row>
    <row r="90" spans="1:21" x14ac:dyDescent="0.2">
      <c r="A90" s="13"/>
      <c r="B90" s="13"/>
      <c r="C90" s="13"/>
      <c r="D90" s="55">
        <v>88</v>
      </c>
      <c r="E90" s="56">
        <v>0.55600000000000005</v>
      </c>
      <c r="F90" s="48">
        <v>88</v>
      </c>
      <c r="G90" s="54">
        <v>0.55999999999999961</v>
      </c>
      <c r="H90" s="59"/>
      <c r="I90" s="2"/>
      <c r="Q90">
        <v>16</v>
      </c>
      <c r="R90">
        <v>0.84</v>
      </c>
      <c r="T90" s="299">
        <v>87</v>
      </c>
      <c r="U90" s="300">
        <v>0.95250000000000001</v>
      </c>
    </row>
    <row r="91" spans="1:21" x14ac:dyDescent="0.2">
      <c r="A91" s="13"/>
      <c r="B91" s="13"/>
      <c r="C91" s="13"/>
      <c r="D91" s="55">
        <v>89</v>
      </c>
      <c r="E91" s="56">
        <v>0.55300000000000005</v>
      </c>
      <c r="F91" s="48">
        <v>89</v>
      </c>
      <c r="G91" s="54">
        <v>0.5549999999999996</v>
      </c>
      <c r="H91" s="59"/>
      <c r="I91" s="2"/>
      <c r="Q91">
        <v>17</v>
      </c>
      <c r="R91">
        <v>0.83</v>
      </c>
      <c r="T91" s="299">
        <v>88</v>
      </c>
      <c r="U91" s="300">
        <v>0.95166667000000005</v>
      </c>
    </row>
    <row r="92" spans="1:21" x14ac:dyDescent="0.2">
      <c r="A92" s="13"/>
      <c r="B92" s="13"/>
      <c r="C92" s="13"/>
      <c r="D92" s="55">
        <v>90</v>
      </c>
      <c r="E92" s="56">
        <v>0.55000000000000004</v>
      </c>
      <c r="F92" s="48">
        <v>90</v>
      </c>
      <c r="G92" s="54">
        <v>0.5499999999999996</v>
      </c>
      <c r="H92" s="59"/>
      <c r="I92" s="2"/>
      <c r="Q92">
        <v>18</v>
      </c>
      <c r="R92">
        <v>0.82</v>
      </c>
      <c r="T92" s="299">
        <v>89</v>
      </c>
      <c r="U92" s="300">
        <v>0.95083333000000003</v>
      </c>
    </row>
    <row r="93" spans="1:21" x14ac:dyDescent="0.2">
      <c r="A93" s="13"/>
      <c r="B93" s="13"/>
      <c r="C93" s="13"/>
      <c r="D93" s="55">
        <v>91</v>
      </c>
      <c r="E93" s="56">
        <v>0.54700000000000004</v>
      </c>
      <c r="F93" s="48">
        <v>91</v>
      </c>
      <c r="G93" s="54">
        <v>0.5449999999999996</v>
      </c>
      <c r="H93" s="59"/>
      <c r="I93" s="2"/>
      <c r="Q93">
        <v>19</v>
      </c>
      <c r="R93">
        <v>0.81</v>
      </c>
      <c r="T93" s="299">
        <v>90</v>
      </c>
      <c r="U93" s="300">
        <v>0.95</v>
      </c>
    </row>
    <row r="94" spans="1:21" x14ac:dyDescent="0.2">
      <c r="A94" s="13"/>
      <c r="B94" s="13"/>
      <c r="C94" s="13"/>
      <c r="D94" s="55">
        <v>92</v>
      </c>
      <c r="E94" s="56">
        <v>0.54400000000000004</v>
      </c>
      <c r="F94" s="48">
        <v>92</v>
      </c>
      <c r="G94" s="54">
        <v>0.53999999999999959</v>
      </c>
      <c r="H94" s="59"/>
      <c r="I94" s="2"/>
      <c r="Q94">
        <v>20</v>
      </c>
      <c r="R94">
        <v>0.8</v>
      </c>
      <c r="T94" s="299">
        <v>91</v>
      </c>
      <c r="U94" s="300">
        <v>0.94916666999999999</v>
      </c>
    </row>
    <row r="95" spans="1:21" x14ac:dyDescent="0.2">
      <c r="A95" s="13"/>
      <c r="B95" s="13"/>
      <c r="C95" s="13"/>
      <c r="D95" s="55">
        <v>93</v>
      </c>
      <c r="E95" s="56">
        <v>0.54100000000000004</v>
      </c>
      <c r="F95" s="48">
        <v>93</v>
      </c>
      <c r="G95" s="54">
        <v>0.53499999999999959</v>
      </c>
      <c r="H95" s="59"/>
      <c r="I95" s="2"/>
      <c r="Q95">
        <v>21</v>
      </c>
      <c r="R95">
        <v>0.79500000000000004</v>
      </c>
      <c r="T95" s="299">
        <v>92</v>
      </c>
      <c r="U95" s="300">
        <v>0.94833332999999997</v>
      </c>
    </row>
    <row r="96" spans="1:21" x14ac:dyDescent="0.2">
      <c r="A96" s="13"/>
      <c r="B96" s="13"/>
      <c r="C96" s="13"/>
      <c r="D96" s="55">
        <v>94</v>
      </c>
      <c r="E96" s="56">
        <v>0.53800000000000003</v>
      </c>
      <c r="F96" s="48">
        <v>94</v>
      </c>
      <c r="G96" s="54">
        <v>0.52999999999999958</v>
      </c>
      <c r="H96" s="59"/>
      <c r="I96" s="2"/>
      <c r="Q96">
        <v>22</v>
      </c>
      <c r="R96">
        <v>0.79</v>
      </c>
      <c r="T96" s="299">
        <v>93</v>
      </c>
      <c r="U96" s="300">
        <v>0.94750000000000001</v>
      </c>
    </row>
    <row r="97" spans="1:21" x14ac:dyDescent="0.2">
      <c r="A97" s="13"/>
      <c r="B97" s="13"/>
      <c r="C97" s="13"/>
      <c r="D97" s="55">
        <v>95</v>
      </c>
      <c r="E97" s="56">
        <v>0.53500000000000003</v>
      </c>
      <c r="F97" s="48">
        <v>95</v>
      </c>
      <c r="G97" s="54">
        <v>0.52499999999999958</v>
      </c>
      <c r="H97" s="59"/>
      <c r="I97" s="2"/>
      <c r="Q97">
        <v>23</v>
      </c>
      <c r="R97">
        <v>0.78500000000000003</v>
      </c>
      <c r="T97" s="299">
        <v>94</v>
      </c>
      <c r="U97" s="300">
        <v>0.94666667000000004</v>
      </c>
    </row>
    <row r="98" spans="1:21" x14ac:dyDescent="0.2">
      <c r="A98" s="13"/>
      <c r="B98" s="13"/>
      <c r="C98" s="13"/>
      <c r="D98" s="55">
        <v>96</v>
      </c>
      <c r="E98" s="56">
        <v>0.53200000000000003</v>
      </c>
      <c r="F98" s="48">
        <v>96</v>
      </c>
      <c r="G98" s="54">
        <v>0.51999999999999957</v>
      </c>
      <c r="H98" s="59"/>
      <c r="I98" s="2"/>
      <c r="Q98">
        <v>24</v>
      </c>
      <c r="R98">
        <v>0.78</v>
      </c>
      <c r="T98" s="299">
        <v>95</v>
      </c>
      <c r="U98" s="300">
        <v>0.94583333000000003</v>
      </c>
    </row>
    <row r="99" spans="1:21" x14ac:dyDescent="0.2">
      <c r="A99" s="13"/>
      <c r="B99" s="13"/>
      <c r="C99" s="13"/>
      <c r="D99" s="55">
        <v>97</v>
      </c>
      <c r="E99" s="56">
        <v>0.52900000000000003</v>
      </c>
      <c r="F99" s="48">
        <v>97</v>
      </c>
      <c r="G99" s="54">
        <v>0.51499999999999957</v>
      </c>
      <c r="H99" s="59"/>
      <c r="I99" s="2"/>
      <c r="Q99">
        <v>25</v>
      </c>
      <c r="R99">
        <v>0.77500000000000002</v>
      </c>
      <c r="T99" s="299">
        <v>96</v>
      </c>
      <c r="U99" s="300">
        <v>0.94499999999999995</v>
      </c>
    </row>
    <row r="100" spans="1:21" x14ac:dyDescent="0.2">
      <c r="A100" s="13"/>
      <c r="B100" s="13"/>
      <c r="C100" s="13"/>
      <c r="D100" s="55">
        <v>98</v>
      </c>
      <c r="E100" s="56">
        <v>0.52600000000000002</v>
      </c>
      <c r="F100" s="48">
        <v>98</v>
      </c>
      <c r="G100" s="54">
        <v>0.50999999999999956</v>
      </c>
      <c r="H100" s="59"/>
      <c r="I100" s="2"/>
      <c r="Q100">
        <v>26</v>
      </c>
      <c r="R100">
        <v>0.77</v>
      </c>
      <c r="T100" s="299">
        <v>97</v>
      </c>
      <c r="U100" s="300">
        <v>0.94416666999999999</v>
      </c>
    </row>
    <row r="101" spans="1:21" x14ac:dyDescent="0.2">
      <c r="A101" s="13"/>
      <c r="B101" s="13"/>
      <c r="C101" s="13"/>
      <c r="D101" s="55">
        <v>99</v>
      </c>
      <c r="E101" s="56">
        <v>0.52300000000000002</v>
      </c>
      <c r="F101" s="48">
        <v>99</v>
      </c>
      <c r="G101" s="54">
        <v>0.50499999999999956</v>
      </c>
      <c r="H101" s="59"/>
      <c r="I101" s="2"/>
      <c r="Q101">
        <v>27</v>
      </c>
      <c r="R101">
        <v>0.76500000000000001</v>
      </c>
      <c r="T101" s="299">
        <v>98</v>
      </c>
      <c r="U101" s="300">
        <v>0.94333332999999997</v>
      </c>
    </row>
    <row r="102" spans="1:21" x14ac:dyDescent="0.2">
      <c r="A102" s="13"/>
      <c r="B102" s="13"/>
      <c r="C102" s="13"/>
      <c r="D102" s="55">
        <v>100</v>
      </c>
      <c r="E102" s="56">
        <v>0.52</v>
      </c>
      <c r="F102" s="48">
        <v>100</v>
      </c>
      <c r="G102" s="54">
        <v>0.49999999999999956</v>
      </c>
      <c r="H102" s="59"/>
      <c r="I102" s="2"/>
      <c r="Q102">
        <v>28</v>
      </c>
      <c r="R102">
        <v>0.76</v>
      </c>
      <c r="T102" s="299">
        <v>99</v>
      </c>
      <c r="U102" s="300">
        <v>0.9425</v>
      </c>
    </row>
    <row r="103" spans="1:21" x14ac:dyDescent="0.2">
      <c r="A103" s="13"/>
      <c r="B103" s="13"/>
      <c r="C103" s="13"/>
      <c r="D103" s="55">
        <v>101</v>
      </c>
      <c r="E103" s="56">
        <v>0.51700000000000002</v>
      </c>
      <c r="F103" s="48">
        <v>101</v>
      </c>
      <c r="G103" s="54">
        <v>0.49499999999999955</v>
      </c>
      <c r="H103" s="59"/>
      <c r="I103" s="2"/>
      <c r="Q103">
        <v>29</v>
      </c>
      <c r="R103">
        <v>0.755</v>
      </c>
      <c r="T103" s="299">
        <v>100</v>
      </c>
      <c r="U103" s="300">
        <v>0.94166667000000004</v>
      </c>
    </row>
    <row r="104" spans="1:21" x14ac:dyDescent="0.2">
      <c r="A104" s="13"/>
      <c r="B104" s="13"/>
      <c r="C104" s="13"/>
      <c r="D104" s="55">
        <v>102</v>
      </c>
      <c r="E104" s="56">
        <v>0.51400000000000001</v>
      </c>
      <c r="F104" s="48">
        <v>102</v>
      </c>
      <c r="G104" s="54">
        <v>0.48999999999999955</v>
      </c>
      <c r="H104" s="59"/>
      <c r="I104" s="2"/>
      <c r="Q104">
        <v>30</v>
      </c>
      <c r="R104">
        <v>0.75</v>
      </c>
      <c r="T104" s="299">
        <v>101</v>
      </c>
      <c r="U104" s="300">
        <v>0.94083333000000002</v>
      </c>
    </row>
    <row r="105" spans="1:21" x14ac:dyDescent="0.2">
      <c r="A105" s="13"/>
      <c r="B105" s="13"/>
      <c r="C105" s="13"/>
      <c r="D105" s="55">
        <v>103</v>
      </c>
      <c r="E105" s="56">
        <v>0.51100000000000001</v>
      </c>
      <c r="F105" s="48">
        <v>103</v>
      </c>
      <c r="G105" s="54">
        <v>0.48499999999999954</v>
      </c>
      <c r="H105" s="59"/>
      <c r="I105" s="2"/>
      <c r="Q105">
        <v>31</v>
      </c>
      <c r="R105">
        <v>0.745</v>
      </c>
      <c r="T105" s="299">
        <v>102</v>
      </c>
      <c r="U105" s="300">
        <v>0.94</v>
      </c>
    </row>
    <row r="106" spans="1:21" x14ac:dyDescent="0.2">
      <c r="A106" s="13"/>
      <c r="B106" s="13"/>
      <c r="C106" s="13"/>
      <c r="D106" s="55">
        <v>104</v>
      </c>
      <c r="E106" s="56">
        <v>0.50800000000000001</v>
      </c>
      <c r="F106" s="48">
        <v>104</v>
      </c>
      <c r="G106" s="54">
        <v>0.47999999999999954</v>
      </c>
      <c r="H106" s="59"/>
      <c r="I106" s="2"/>
      <c r="Q106">
        <v>32</v>
      </c>
      <c r="R106">
        <v>0.74</v>
      </c>
      <c r="T106" s="299">
        <v>103</v>
      </c>
      <c r="U106" s="300">
        <v>0.93916666999999998</v>
      </c>
    </row>
    <row r="107" spans="1:21" x14ac:dyDescent="0.2">
      <c r="A107" s="13"/>
      <c r="B107" s="13"/>
      <c r="C107" s="13"/>
      <c r="D107" s="55">
        <v>105</v>
      </c>
      <c r="E107" s="56">
        <v>0.505</v>
      </c>
      <c r="F107" s="48">
        <v>105</v>
      </c>
      <c r="G107" s="54">
        <v>0.47499999999999953</v>
      </c>
      <c r="H107" s="59"/>
      <c r="I107" s="2"/>
      <c r="Q107">
        <v>33</v>
      </c>
      <c r="R107">
        <v>0.73499999999999999</v>
      </c>
      <c r="T107" s="299">
        <v>104</v>
      </c>
      <c r="U107" s="300">
        <v>0.93833332999999997</v>
      </c>
    </row>
    <row r="108" spans="1:21" x14ac:dyDescent="0.2">
      <c r="A108" s="13"/>
      <c r="B108" s="13"/>
      <c r="C108" s="13"/>
      <c r="D108" s="55">
        <v>106</v>
      </c>
      <c r="E108" s="56">
        <v>0.502</v>
      </c>
      <c r="F108" s="48">
        <v>106</v>
      </c>
      <c r="G108" s="54">
        <v>0.46999999999999953</v>
      </c>
      <c r="H108" s="59"/>
      <c r="I108" s="2"/>
      <c r="Q108">
        <v>34</v>
      </c>
      <c r="R108">
        <v>0.73</v>
      </c>
      <c r="T108" s="299">
        <v>105</v>
      </c>
      <c r="U108" s="300">
        <v>0.9375</v>
      </c>
    </row>
    <row r="109" spans="1:21" x14ac:dyDescent="0.2">
      <c r="A109" s="13"/>
      <c r="B109" s="13"/>
      <c r="C109" s="13"/>
      <c r="D109" s="55">
        <v>107</v>
      </c>
      <c r="E109" s="56">
        <v>0.499</v>
      </c>
      <c r="F109" s="48">
        <v>107</v>
      </c>
      <c r="G109" s="54">
        <v>0.46499999999999952</v>
      </c>
      <c r="H109" s="59"/>
      <c r="I109" s="2"/>
      <c r="Q109">
        <v>35</v>
      </c>
      <c r="R109">
        <v>0.72499999999999998</v>
      </c>
      <c r="T109" s="299">
        <v>106</v>
      </c>
      <c r="U109" s="300">
        <v>0.93666667000000003</v>
      </c>
    </row>
    <row r="110" spans="1:21" x14ac:dyDescent="0.2">
      <c r="A110" s="13"/>
      <c r="B110" s="13"/>
      <c r="C110" s="13"/>
      <c r="D110" s="55">
        <v>108</v>
      </c>
      <c r="E110" s="56">
        <v>0.496</v>
      </c>
      <c r="F110" s="48">
        <v>108</v>
      </c>
      <c r="G110" s="54">
        <v>0.45999999999999952</v>
      </c>
      <c r="H110" s="59"/>
      <c r="I110" s="2"/>
      <c r="Q110">
        <v>36</v>
      </c>
      <c r="R110">
        <v>0.72</v>
      </c>
      <c r="T110" s="299">
        <v>107</v>
      </c>
      <c r="U110" s="300">
        <v>0.93583333000000002</v>
      </c>
    </row>
    <row r="111" spans="1:21" x14ac:dyDescent="0.2">
      <c r="A111" s="13"/>
      <c r="B111" s="13"/>
      <c r="C111" s="13"/>
      <c r="D111" s="55">
        <v>109</v>
      </c>
      <c r="E111" s="56">
        <v>0.49299999999999999</v>
      </c>
      <c r="F111" s="48">
        <v>109</v>
      </c>
      <c r="G111" s="54">
        <v>0.45499999999999952</v>
      </c>
      <c r="H111" s="59"/>
      <c r="I111" s="2"/>
      <c r="Q111">
        <v>37</v>
      </c>
      <c r="R111">
        <v>0.71499999999999997</v>
      </c>
      <c r="T111" s="299">
        <v>108</v>
      </c>
      <c r="U111" s="300">
        <v>0.93500000000000005</v>
      </c>
    </row>
    <row r="112" spans="1:21" x14ac:dyDescent="0.2">
      <c r="A112" s="13"/>
      <c r="B112" s="13"/>
      <c r="C112" s="13"/>
      <c r="D112" s="55">
        <v>110</v>
      </c>
      <c r="E112" s="56">
        <v>0.49</v>
      </c>
      <c r="F112" s="48">
        <v>110</v>
      </c>
      <c r="G112" s="54">
        <v>0.44999999999999951</v>
      </c>
      <c r="H112" s="59"/>
      <c r="I112" s="2"/>
      <c r="Q112">
        <v>38</v>
      </c>
      <c r="R112">
        <v>0.71</v>
      </c>
      <c r="T112" s="299">
        <v>109</v>
      </c>
      <c r="U112" s="300">
        <v>0.93416666999999998</v>
      </c>
    </row>
    <row r="113" spans="1:21" x14ac:dyDescent="0.2">
      <c r="A113" s="13"/>
      <c r="B113" s="13"/>
      <c r="C113" s="13"/>
      <c r="D113" s="55">
        <v>111</v>
      </c>
      <c r="E113" s="56">
        <v>0.48699999999999999</v>
      </c>
      <c r="F113" s="48">
        <v>111</v>
      </c>
      <c r="G113" s="54">
        <v>0.44499999999999951</v>
      </c>
      <c r="H113" s="59"/>
      <c r="I113" s="2"/>
      <c r="Q113">
        <v>39</v>
      </c>
      <c r="R113">
        <v>0.70499999999999996</v>
      </c>
      <c r="T113" s="299">
        <v>110</v>
      </c>
      <c r="U113" s="300">
        <v>0.93333332999999996</v>
      </c>
    </row>
    <row r="114" spans="1:21" x14ac:dyDescent="0.2">
      <c r="A114" s="13"/>
      <c r="B114" s="13"/>
      <c r="C114" s="13"/>
      <c r="D114" s="55">
        <v>112</v>
      </c>
      <c r="E114" s="56">
        <v>0.48399999999999999</v>
      </c>
      <c r="F114" s="48">
        <v>112</v>
      </c>
      <c r="G114" s="54">
        <v>0.4399999999999995</v>
      </c>
      <c r="H114" s="59"/>
      <c r="I114" s="2"/>
      <c r="Q114">
        <v>40</v>
      </c>
      <c r="R114">
        <v>0.7</v>
      </c>
      <c r="T114" s="299">
        <v>111</v>
      </c>
      <c r="U114" s="300">
        <v>0.9325</v>
      </c>
    </row>
    <row r="115" spans="1:21" x14ac:dyDescent="0.2">
      <c r="A115" s="13"/>
      <c r="B115" s="13"/>
      <c r="C115" s="13"/>
      <c r="D115" s="55">
        <v>113</v>
      </c>
      <c r="E115" s="56">
        <v>0.48099999999999998</v>
      </c>
      <c r="F115" s="48">
        <v>113</v>
      </c>
      <c r="G115" s="54">
        <v>0.4349999999999995</v>
      </c>
      <c r="H115" s="59"/>
      <c r="I115" s="2"/>
      <c r="Q115">
        <v>41</v>
      </c>
      <c r="R115">
        <v>0.69499999999999995</v>
      </c>
      <c r="T115" s="299">
        <v>112</v>
      </c>
      <c r="U115" s="300">
        <v>0.93166667000000003</v>
      </c>
    </row>
    <row r="116" spans="1:21" x14ac:dyDescent="0.2">
      <c r="A116" s="13"/>
      <c r="B116" s="13"/>
      <c r="C116" s="13"/>
      <c r="D116" s="55">
        <v>114</v>
      </c>
      <c r="E116" s="56">
        <v>0.47799999999999998</v>
      </c>
      <c r="F116" s="48">
        <v>114</v>
      </c>
      <c r="G116" s="54">
        <v>0.42999999999999949</v>
      </c>
      <c r="H116" s="59"/>
      <c r="I116" s="2"/>
      <c r="Q116">
        <v>42</v>
      </c>
      <c r="R116">
        <v>0.69</v>
      </c>
      <c r="T116" s="299">
        <v>113</v>
      </c>
      <c r="U116" s="300">
        <v>0.93083333000000001</v>
      </c>
    </row>
    <row r="117" spans="1:21" x14ac:dyDescent="0.2">
      <c r="A117" s="13"/>
      <c r="B117" s="13"/>
      <c r="C117" s="13"/>
      <c r="D117" s="55">
        <v>115</v>
      </c>
      <c r="E117" s="56">
        <v>0.47499999999999998</v>
      </c>
      <c r="F117" s="48">
        <v>115</v>
      </c>
      <c r="G117" s="54">
        <v>0.42499999999999949</v>
      </c>
      <c r="H117" s="59"/>
      <c r="I117" s="2"/>
      <c r="Q117">
        <v>43</v>
      </c>
      <c r="R117">
        <v>0.68500000000000005</v>
      </c>
      <c r="T117" s="299">
        <v>114</v>
      </c>
      <c r="U117" s="300">
        <v>0.93</v>
      </c>
    </row>
    <row r="118" spans="1:21" x14ac:dyDescent="0.2">
      <c r="A118" s="13"/>
      <c r="B118" s="13"/>
      <c r="C118" s="13"/>
      <c r="D118" s="55">
        <v>116</v>
      </c>
      <c r="E118" s="56">
        <v>0.47199999999999998</v>
      </c>
      <c r="F118" s="48">
        <v>116</v>
      </c>
      <c r="G118" s="54">
        <v>0.41999999999999948</v>
      </c>
      <c r="H118" s="59"/>
      <c r="I118" s="2"/>
      <c r="Q118">
        <v>44</v>
      </c>
      <c r="R118">
        <v>0.68</v>
      </c>
      <c r="T118" s="299">
        <v>115</v>
      </c>
      <c r="U118" s="300">
        <v>0.92916666999999997</v>
      </c>
    </row>
    <row r="119" spans="1:21" x14ac:dyDescent="0.2">
      <c r="A119" s="13"/>
      <c r="B119" s="13"/>
      <c r="C119" s="13"/>
      <c r="D119" s="55">
        <v>117</v>
      </c>
      <c r="E119" s="56">
        <v>0.46899999999999997</v>
      </c>
      <c r="F119" s="48">
        <v>117</v>
      </c>
      <c r="G119" s="54">
        <v>0.41499999999999948</v>
      </c>
      <c r="H119" s="59"/>
      <c r="I119" s="2"/>
      <c r="Q119">
        <v>45</v>
      </c>
      <c r="R119">
        <v>0.67500000000000004</v>
      </c>
      <c r="T119" s="299">
        <v>116</v>
      </c>
      <c r="U119" s="300">
        <v>0.92833332999999996</v>
      </c>
    </row>
    <row r="120" spans="1:21" x14ac:dyDescent="0.2">
      <c r="A120" s="13"/>
      <c r="B120" s="13"/>
      <c r="C120" s="13"/>
      <c r="D120" s="55">
        <v>118</v>
      </c>
      <c r="E120" s="56">
        <v>0.46600000000000003</v>
      </c>
      <c r="F120" s="48">
        <v>118</v>
      </c>
      <c r="G120" s="54">
        <v>0.40999999999999948</v>
      </c>
      <c r="H120" s="59"/>
      <c r="I120" s="2"/>
      <c r="Q120">
        <v>46</v>
      </c>
      <c r="R120">
        <v>0.67</v>
      </c>
      <c r="T120" s="299">
        <v>117</v>
      </c>
      <c r="U120" s="300">
        <v>0.92749999999999999</v>
      </c>
    </row>
    <row r="121" spans="1:21" x14ac:dyDescent="0.2">
      <c r="A121" s="13"/>
      <c r="B121" s="13"/>
      <c r="C121" s="13"/>
      <c r="D121" s="55">
        <v>119</v>
      </c>
      <c r="E121" s="56">
        <v>0.46300000000000002</v>
      </c>
      <c r="F121" s="48">
        <v>119</v>
      </c>
      <c r="G121" s="54">
        <v>0.40499999999999947</v>
      </c>
      <c r="H121" s="59"/>
      <c r="I121" s="2"/>
      <c r="Q121">
        <v>47</v>
      </c>
      <c r="R121">
        <v>0.66500000000000004</v>
      </c>
      <c r="T121" s="299">
        <v>118</v>
      </c>
      <c r="U121" s="300">
        <v>0.92666667000000003</v>
      </c>
    </row>
    <row r="122" spans="1:21" x14ac:dyDescent="0.2">
      <c r="A122" s="13"/>
      <c r="B122" s="13"/>
      <c r="C122" s="13"/>
      <c r="D122" s="55">
        <v>120</v>
      </c>
      <c r="E122" s="56">
        <v>0.46</v>
      </c>
      <c r="F122" s="48">
        <v>120</v>
      </c>
      <c r="G122" s="54">
        <v>0.39999999999999947</v>
      </c>
      <c r="H122" s="59"/>
      <c r="I122" s="2"/>
      <c r="Q122">
        <v>48</v>
      </c>
      <c r="R122">
        <v>0.66</v>
      </c>
      <c r="T122" s="299">
        <v>119</v>
      </c>
      <c r="U122" s="300">
        <v>0.92583333000000001</v>
      </c>
    </row>
    <row r="123" spans="1:21" x14ac:dyDescent="0.2">
      <c r="A123" s="13"/>
      <c r="B123" s="13"/>
      <c r="C123" s="13"/>
      <c r="H123" s="59"/>
      <c r="I123" s="2"/>
      <c r="Q123">
        <v>49</v>
      </c>
      <c r="R123">
        <v>0.65500000000000003</v>
      </c>
      <c r="T123" s="299">
        <v>120</v>
      </c>
      <c r="U123" s="300">
        <v>0.92500000000000004</v>
      </c>
    </row>
    <row r="124" spans="1:21" x14ac:dyDescent="0.2">
      <c r="A124" s="13"/>
      <c r="B124" s="13"/>
      <c r="C124" s="13"/>
      <c r="H124" s="59"/>
      <c r="I124" s="2"/>
      <c r="Q124">
        <v>50</v>
      </c>
      <c r="R124">
        <v>0.65</v>
      </c>
      <c r="T124" s="299">
        <v>121</v>
      </c>
      <c r="U124" s="300">
        <v>0.92416666999999997</v>
      </c>
    </row>
    <row r="125" spans="1:21" x14ac:dyDescent="0.2">
      <c r="A125" s="13"/>
      <c r="B125" s="13"/>
      <c r="C125" s="13"/>
      <c r="H125" s="59"/>
      <c r="I125" s="2"/>
      <c r="Q125">
        <v>51</v>
      </c>
      <c r="R125">
        <v>0.64500000000000002</v>
      </c>
      <c r="T125" s="299">
        <v>122</v>
      </c>
      <c r="U125" s="300">
        <v>0.92333332999999995</v>
      </c>
    </row>
    <row r="126" spans="1:21" x14ac:dyDescent="0.2">
      <c r="A126" s="13"/>
      <c r="B126" s="13"/>
      <c r="C126" s="13"/>
      <c r="H126" s="59"/>
      <c r="I126" s="2"/>
      <c r="Q126">
        <v>52</v>
      </c>
      <c r="R126">
        <v>0.64</v>
      </c>
      <c r="T126" s="299">
        <v>123</v>
      </c>
      <c r="U126" s="300">
        <v>0.92249999999999999</v>
      </c>
    </row>
    <row r="127" spans="1:21" x14ac:dyDescent="0.2">
      <c r="A127" s="13"/>
      <c r="B127" s="13"/>
      <c r="C127" s="13"/>
      <c r="H127" s="59"/>
      <c r="I127" s="2"/>
      <c r="Q127">
        <v>53</v>
      </c>
      <c r="R127">
        <v>0.63500000000000001</v>
      </c>
      <c r="T127" s="299">
        <v>124</v>
      </c>
      <c r="U127" s="300">
        <v>0.92166667000000002</v>
      </c>
    </row>
    <row r="128" spans="1:21" x14ac:dyDescent="0.2">
      <c r="A128" s="13"/>
      <c r="B128" s="13"/>
      <c r="C128" s="13"/>
      <c r="H128" s="59"/>
      <c r="I128" s="2"/>
      <c r="Q128">
        <v>54</v>
      </c>
      <c r="R128">
        <v>0.63</v>
      </c>
      <c r="T128" s="299">
        <v>125</v>
      </c>
      <c r="U128" s="300">
        <v>0.92083333000000001</v>
      </c>
    </row>
    <row r="129" spans="1:21" x14ac:dyDescent="0.2">
      <c r="A129" s="13"/>
      <c r="B129" s="13"/>
      <c r="C129" s="13"/>
      <c r="H129" s="59"/>
      <c r="I129" s="2"/>
      <c r="Q129">
        <v>55</v>
      </c>
      <c r="R129">
        <v>0.625</v>
      </c>
      <c r="T129" s="299">
        <v>126</v>
      </c>
      <c r="U129" s="300">
        <v>0.92</v>
      </c>
    </row>
    <row r="130" spans="1:21" x14ac:dyDescent="0.2">
      <c r="A130" s="13"/>
      <c r="B130" s="13"/>
      <c r="C130" s="13"/>
      <c r="H130" s="59"/>
      <c r="I130" s="2"/>
      <c r="Q130">
        <v>56</v>
      </c>
      <c r="R130">
        <v>0.62</v>
      </c>
      <c r="T130" s="299">
        <v>127</v>
      </c>
      <c r="U130" s="300">
        <v>0.91916666999999996</v>
      </c>
    </row>
    <row r="131" spans="1:21" x14ac:dyDescent="0.2">
      <c r="A131" s="13"/>
      <c r="B131" s="13"/>
      <c r="C131" s="13"/>
      <c r="H131" s="59"/>
      <c r="I131" s="2"/>
      <c r="Q131">
        <v>57</v>
      </c>
      <c r="R131">
        <v>0.61499999999999999</v>
      </c>
      <c r="T131" s="299">
        <v>128</v>
      </c>
      <c r="U131" s="300">
        <v>0.91833332999999995</v>
      </c>
    </row>
    <row r="132" spans="1:21" x14ac:dyDescent="0.2">
      <c r="A132" s="13"/>
      <c r="B132" s="13"/>
      <c r="C132" s="13"/>
      <c r="H132" s="59"/>
      <c r="I132" s="2"/>
      <c r="Q132">
        <v>58</v>
      </c>
      <c r="R132">
        <v>0.61</v>
      </c>
      <c r="T132" s="299">
        <v>129</v>
      </c>
      <c r="U132" s="300">
        <v>0.91749999999999998</v>
      </c>
    </row>
    <row r="133" spans="1:21" x14ac:dyDescent="0.2">
      <c r="A133" s="13"/>
      <c r="B133" s="13"/>
      <c r="C133" s="13"/>
      <c r="H133" s="59"/>
      <c r="I133" s="2"/>
      <c r="Q133">
        <v>59</v>
      </c>
      <c r="R133">
        <v>0.60499999999999998</v>
      </c>
      <c r="T133" s="299">
        <v>130</v>
      </c>
      <c r="U133" s="300">
        <v>0.91666667000000002</v>
      </c>
    </row>
    <row r="134" spans="1:21" x14ac:dyDescent="0.2">
      <c r="A134" s="13"/>
      <c r="B134" s="13"/>
      <c r="C134" s="13"/>
      <c r="H134" s="59"/>
      <c r="I134" s="2"/>
      <c r="Q134">
        <v>60</v>
      </c>
      <c r="R134">
        <v>0.6</v>
      </c>
      <c r="T134" s="299">
        <v>131</v>
      </c>
      <c r="U134" s="300">
        <v>0.91583333</v>
      </c>
    </row>
    <row r="135" spans="1:21" x14ac:dyDescent="0.2">
      <c r="A135" s="13"/>
      <c r="B135" s="13"/>
      <c r="C135" s="13"/>
      <c r="H135" s="59"/>
      <c r="I135" s="2"/>
      <c r="Q135">
        <v>61</v>
      </c>
      <c r="R135">
        <v>0.59499999999999997</v>
      </c>
      <c r="T135" s="299">
        <v>132</v>
      </c>
      <c r="U135" s="300">
        <v>0.91500000000000004</v>
      </c>
    </row>
    <row r="136" spans="1:21" x14ac:dyDescent="0.2">
      <c r="A136" s="13"/>
      <c r="B136" s="13"/>
      <c r="C136" s="13"/>
      <c r="H136" s="59"/>
      <c r="I136" s="2"/>
      <c r="Q136">
        <v>62</v>
      </c>
      <c r="R136">
        <v>0.59</v>
      </c>
      <c r="T136" s="299">
        <v>133</v>
      </c>
      <c r="U136" s="300">
        <v>0.91416666999999996</v>
      </c>
    </row>
    <row r="137" spans="1:21" x14ac:dyDescent="0.2">
      <c r="A137" s="13"/>
      <c r="B137" s="13"/>
      <c r="C137" s="13"/>
      <c r="H137" s="59"/>
      <c r="I137" s="2"/>
      <c r="Q137">
        <v>63</v>
      </c>
      <c r="R137">
        <v>0.58499999999999996</v>
      </c>
      <c r="T137" s="299">
        <v>134</v>
      </c>
      <c r="U137" s="300">
        <v>0.91333333000000005</v>
      </c>
    </row>
    <row r="138" spans="1:21" x14ac:dyDescent="0.2">
      <c r="A138" s="13"/>
      <c r="B138" s="13"/>
      <c r="C138" s="13"/>
      <c r="H138" s="59"/>
      <c r="I138" s="2"/>
      <c r="Q138">
        <v>64</v>
      </c>
      <c r="R138">
        <v>0.57999999999999996</v>
      </c>
      <c r="T138" s="299">
        <v>135</v>
      </c>
      <c r="U138" s="300">
        <v>0.91249999999999998</v>
      </c>
    </row>
    <row r="139" spans="1:21" x14ac:dyDescent="0.2">
      <c r="A139" s="13"/>
      <c r="B139" s="13"/>
      <c r="C139" s="13"/>
      <c r="H139" s="59"/>
      <c r="I139" s="2"/>
      <c r="Q139">
        <v>65</v>
      </c>
      <c r="R139">
        <v>0.57499999999999996</v>
      </c>
      <c r="T139" s="299">
        <v>136</v>
      </c>
      <c r="U139" s="300">
        <v>0.91166667000000001</v>
      </c>
    </row>
    <row r="140" spans="1:21" x14ac:dyDescent="0.2">
      <c r="A140" s="13"/>
      <c r="B140" s="13"/>
      <c r="C140" s="13"/>
      <c r="H140" s="59"/>
      <c r="I140" s="2"/>
      <c r="Q140">
        <v>66</v>
      </c>
      <c r="R140">
        <v>0.56999999999999995</v>
      </c>
      <c r="T140" s="299">
        <v>137</v>
      </c>
      <c r="U140" s="300">
        <v>0.91083333</v>
      </c>
    </row>
    <row r="141" spans="1:21" x14ac:dyDescent="0.2">
      <c r="A141" s="13"/>
      <c r="B141" s="13"/>
      <c r="C141" s="13"/>
      <c r="H141" s="59"/>
      <c r="I141" s="2"/>
      <c r="Q141">
        <v>67</v>
      </c>
      <c r="R141">
        <v>0.56499999999999995</v>
      </c>
      <c r="T141" s="299">
        <v>138</v>
      </c>
      <c r="U141" s="300">
        <v>0.91</v>
      </c>
    </row>
    <row r="142" spans="1:21" x14ac:dyDescent="0.2">
      <c r="A142" s="13"/>
      <c r="B142" s="13"/>
      <c r="C142" s="13"/>
      <c r="H142" s="59"/>
      <c r="I142" s="2"/>
      <c r="Q142">
        <v>68</v>
      </c>
      <c r="R142">
        <v>0.56000000000000005</v>
      </c>
      <c r="T142" s="299">
        <v>139</v>
      </c>
      <c r="U142" s="300">
        <v>0.90916666999999995</v>
      </c>
    </row>
    <row r="143" spans="1:21" x14ac:dyDescent="0.2">
      <c r="A143" s="13"/>
      <c r="B143" s="13"/>
      <c r="C143" s="13"/>
      <c r="H143" s="59"/>
      <c r="I143" s="2"/>
      <c r="Q143">
        <v>69</v>
      </c>
      <c r="R143">
        <v>0.55500000000000005</v>
      </c>
      <c r="T143" s="299">
        <v>140</v>
      </c>
      <c r="U143" s="300">
        <v>0.90833333000000005</v>
      </c>
    </row>
    <row r="144" spans="1:21" x14ac:dyDescent="0.2">
      <c r="A144" s="13"/>
      <c r="B144" s="13"/>
      <c r="C144" s="13"/>
      <c r="H144" s="59"/>
      <c r="I144" s="2"/>
      <c r="Q144">
        <v>70</v>
      </c>
      <c r="R144">
        <v>0.55000000000000004</v>
      </c>
      <c r="T144" s="299">
        <v>141</v>
      </c>
      <c r="U144" s="300">
        <v>0.90749999999999997</v>
      </c>
    </row>
    <row r="145" spans="1:21" x14ac:dyDescent="0.2">
      <c r="A145" s="13"/>
      <c r="B145" s="13"/>
      <c r="C145" s="13"/>
      <c r="H145" s="59"/>
      <c r="I145" s="2"/>
      <c r="T145" s="299">
        <v>142</v>
      </c>
      <c r="U145" s="300">
        <v>0.90666667000000001</v>
      </c>
    </row>
    <row r="146" spans="1:21" x14ac:dyDescent="0.2">
      <c r="A146" s="13"/>
      <c r="B146" s="13"/>
      <c r="C146" s="13"/>
      <c r="H146" s="59"/>
      <c r="I146" s="2"/>
      <c r="T146" s="299">
        <v>143</v>
      </c>
      <c r="U146" s="300">
        <v>0.90583332999999999</v>
      </c>
    </row>
    <row r="147" spans="1:21" x14ac:dyDescent="0.2">
      <c r="A147" s="13"/>
      <c r="B147" s="13"/>
      <c r="C147" s="13"/>
      <c r="T147" s="299">
        <v>144</v>
      </c>
      <c r="U147" s="300">
        <v>0.90500000000000003</v>
      </c>
    </row>
    <row r="148" spans="1:21" x14ac:dyDescent="0.2">
      <c r="A148" s="13"/>
      <c r="B148" s="13"/>
      <c r="C148" s="13"/>
      <c r="T148" s="299">
        <v>145</v>
      </c>
      <c r="U148" s="300">
        <v>0.90416666999999995</v>
      </c>
    </row>
    <row r="149" spans="1:21" x14ac:dyDescent="0.2">
      <c r="A149" s="13"/>
      <c r="B149" s="13"/>
      <c r="C149" s="13"/>
      <c r="T149" s="299">
        <v>146</v>
      </c>
      <c r="U149" s="300">
        <v>0.90333333000000005</v>
      </c>
    </row>
    <row r="150" spans="1:21" x14ac:dyDescent="0.2">
      <c r="A150" s="13"/>
      <c r="B150" s="13"/>
      <c r="C150" s="13"/>
      <c r="T150" s="299">
        <v>147</v>
      </c>
      <c r="U150" s="300">
        <v>0.90249999999999997</v>
      </c>
    </row>
    <row r="151" spans="1:21" x14ac:dyDescent="0.2">
      <c r="A151" s="13"/>
      <c r="B151" s="13"/>
      <c r="C151" s="13"/>
      <c r="T151" s="299">
        <v>148</v>
      </c>
      <c r="U151" s="300">
        <v>0.90166667</v>
      </c>
    </row>
    <row r="152" spans="1:21" x14ac:dyDescent="0.2">
      <c r="A152" s="13"/>
      <c r="B152" s="13"/>
      <c r="C152" s="13"/>
      <c r="T152" s="299">
        <v>149</v>
      </c>
      <c r="U152" s="300">
        <v>0.90083332999999999</v>
      </c>
    </row>
    <row r="153" spans="1:21" x14ac:dyDescent="0.2">
      <c r="A153" s="13"/>
      <c r="B153" s="13"/>
      <c r="C153" s="13"/>
      <c r="T153" s="299">
        <v>150</v>
      </c>
      <c r="U153" s="300">
        <v>0.9</v>
      </c>
    </row>
    <row r="154" spans="1:21" x14ac:dyDescent="0.2">
      <c r="A154" s="13"/>
      <c r="B154" s="13"/>
      <c r="C154" s="13"/>
      <c r="T154" s="299">
        <v>151</v>
      </c>
      <c r="U154" s="300">
        <v>0.89916666999999995</v>
      </c>
    </row>
    <row r="155" spans="1:21" x14ac:dyDescent="0.2">
      <c r="A155" s="13"/>
      <c r="B155" s="13"/>
      <c r="C155" s="13"/>
      <c r="T155" s="299">
        <v>152</v>
      </c>
      <c r="U155" s="300">
        <v>0.89833333000000004</v>
      </c>
    </row>
    <row r="156" spans="1:21" x14ac:dyDescent="0.2">
      <c r="A156" s="13"/>
      <c r="B156" s="13"/>
      <c r="C156" s="13"/>
      <c r="T156" s="299">
        <v>153</v>
      </c>
      <c r="U156" s="300">
        <v>0.89749999999999996</v>
      </c>
    </row>
    <row r="157" spans="1:21" x14ac:dyDescent="0.2">
      <c r="A157" s="13"/>
      <c r="B157" s="13"/>
      <c r="C157" s="13"/>
      <c r="T157" s="299">
        <v>154</v>
      </c>
      <c r="U157" s="300">
        <v>0.89666667</v>
      </c>
    </row>
    <row r="158" spans="1:21" x14ac:dyDescent="0.2">
      <c r="A158" s="13"/>
      <c r="B158" s="13"/>
      <c r="C158" s="13"/>
      <c r="T158" s="299">
        <v>155</v>
      </c>
      <c r="U158" s="300">
        <v>0.89583332999999998</v>
      </c>
    </row>
    <row r="159" spans="1:21" x14ac:dyDescent="0.2">
      <c r="A159" s="13"/>
      <c r="B159" s="13"/>
      <c r="C159" s="13"/>
      <c r="T159" s="299">
        <v>156</v>
      </c>
      <c r="U159" s="300">
        <v>0.89500000000000002</v>
      </c>
    </row>
    <row r="160" spans="1:21" x14ac:dyDescent="0.2">
      <c r="A160" s="13"/>
      <c r="B160" s="13"/>
      <c r="C160" s="13"/>
      <c r="T160" s="299">
        <v>157</v>
      </c>
      <c r="U160" s="300">
        <v>0.89416667000000005</v>
      </c>
    </row>
    <row r="161" spans="1:21" x14ac:dyDescent="0.2">
      <c r="A161" s="13"/>
      <c r="B161" s="13"/>
      <c r="C161" s="13"/>
      <c r="T161" s="299">
        <v>158</v>
      </c>
      <c r="U161" s="300">
        <v>0.89333333000000004</v>
      </c>
    </row>
    <row r="162" spans="1:21" x14ac:dyDescent="0.2">
      <c r="A162" s="13"/>
      <c r="B162" s="13"/>
      <c r="C162" s="13"/>
      <c r="T162" s="299">
        <v>159</v>
      </c>
      <c r="U162" s="300">
        <v>0.89249999999999996</v>
      </c>
    </row>
    <row r="163" spans="1:21" x14ac:dyDescent="0.2">
      <c r="A163" s="13"/>
      <c r="B163" s="13"/>
      <c r="C163" s="13"/>
      <c r="T163" s="299">
        <v>160</v>
      </c>
      <c r="U163" s="300">
        <v>0.89166666999999999</v>
      </c>
    </row>
    <row r="164" spans="1:21" x14ac:dyDescent="0.2">
      <c r="A164" s="13"/>
      <c r="B164" s="13"/>
      <c r="C164" s="13"/>
      <c r="T164" s="299">
        <v>161</v>
      </c>
      <c r="U164" s="300">
        <v>0.89083332999999998</v>
      </c>
    </row>
    <row r="165" spans="1:21" x14ac:dyDescent="0.2">
      <c r="A165" s="13"/>
      <c r="B165" s="13"/>
      <c r="C165" s="13"/>
      <c r="T165" s="299">
        <v>162</v>
      </c>
      <c r="U165" s="300">
        <v>0.89</v>
      </c>
    </row>
    <row r="166" spans="1:21" x14ac:dyDescent="0.2">
      <c r="A166" s="13"/>
      <c r="B166" s="13"/>
      <c r="C166" s="13"/>
      <c r="T166" s="299">
        <v>163</v>
      </c>
      <c r="U166" s="300">
        <v>0.88916667000000005</v>
      </c>
    </row>
    <row r="167" spans="1:21" x14ac:dyDescent="0.2">
      <c r="A167" s="13"/>
      <c r="B167" s="13"/>
      <c r="C167" s="13"/>
      <c r="T167" s="299">
        <v>164</v>
      </c>
      <c r="U167" s="300">
        <v>0.88833333000000003</v>
      </c>
    </row>
    <row r="168" spans="1:21" x14ac:dyDescent="0.2">
      <c r="A168" s="13"/>
      <c r="B168" s="13"/>
      <c r="C168" s="13"/>
      <c r="T168" s="299">
        <v>165</v>
      </c>
      <c r="U168" s="300">
        <v>0.88749999999999996</v>
      </c>
    </row>
    <row r="169" spans="1:21" x14ac:dyDescent="0.2">
      <c r="A169" s="13"/>
      <c r="B169" s="13"/>
      <c r="C169" s="13"/>
      <c r="T169" s="299">
        <v>166</v>
      </c>
      <c r="U169" s="300">
        <v>0.88666666999999999</v>
      </c>
    </row>
    <row r="170" spans="1:21" x14ac:dyDescent="0.2">
      <c r="A170" s="13"/>
      <c r="B170" s="13"/>
      <c r="C170" s="13"/>
      <c r="T170" s="299">
        <v>167</v>
      </c>
      <c r="U170" s="300">
        <v>0.88583332999999997</v>
      </c>
    </row>
    <row r="171" spans="1:21" x14ac:dyDescent="0.2">
      <c r="A171" s="13"/>
      <c r="B171" s="13"/>
      <c r="C171" s="13"/>
      <c r="T171" s="299">
        <v>168</v>
      </c>
      <c r="U171" s="300">
        <v>0.88500000000000001</v>
      </c>
    </row>
    <row r="172" spans="1:21" x14ac:dyDescent="0.2">
      <c r="A172" s="13"/>
      <c r="B172" s="13"/>
      <c r="C172" s="13"/>
      <c r="T172" s="299">
        <v>169</v>
      </c>
      <c r="U172" s="300">
        <v>0.88416667000000004</v>
      </c>
    </row>
    <row r="173" spans="1:21" x14ac:dyDescent="0.2">
      <c r="A173" s="13"/>
      <c r="B173" s="13"/>
      <c r="C173" s="13"/>
      <c r="T173" s="299">
        <v>170</v>
      </c>
      <c r="U173" s="300">
        <v>0.88333333000000003</v>
      </c>
    </row>
    <row r="174" spans="1:21" x14ac:dyDescent="0.2">
      <c r="A174" s="13"/>
      <c r="B174" s="13"/>
      <c r="C174" s="13"/>
      <c r="T174" s="299">
        <v>171</v>
      </c>
      <c r="U174" s="300">
        <v>0.88249999999999995</v>
      </c>
    </row>
    <row r="175" spans="1:21" x14ac:dyDescent="0.2">
      <c r="A175" s="13"/>
      <c r="B175" s="13"/>
      <c r="C175" s="13"/>
      <c r="T175" s="299">
        <v>172</v>
      </c>
      <c r="U175" s="300">
        <v>0.88166666999999999</v>
      </c>
    </row>
    <row r="176" spans="1:21" x14ac:dyDescent="0.2">
      <c r="A176" s="13"/>
      <c r="B176" s="13"/>
      <c r="C176" s="13"/>
      <c r="T176" s="299">
        <v>173</v>
      </c>
      <c r="U176" s="300">
        <v>0.88083332999999997</v>
      </c>
    </row>
    <row r="177" spans="1:21" x14ac:dyDescent="0.2">
      <c r="A177" s="13"/>
      <c r="B177" s="13"/>
      <c r="C177" s="13"/>
      <c r="T177" s="299">
        <v>174</v>
      </c>
      <c r="U177" s="300">
        <v>0.88</v>
      </c>
    </row>
    <row r="178" spans="1:21" x14ac:dyDescent="0.2">
      <c r="A178" s="13"/>
      <c r="B178" s="13"/>
      <c r="C178" s="13"/>
      <c r="T178" s="299">
        <v>175</v>
      </c>
      <c r="U178" s="300">
        <v>0.87916667000000004</v>
      </c>
    </row>
    <row r="179" spans="1:21" x14ac:dyDescent="0.2">
      <c r="A179" s="13"/>
      <c r="B179" s="13"/>
      <c r="C179" s="13"/>
      <c r="T179" s="299">
        <v>176</v>
      </c>
      <c r="U179" s="300">
        <v>0.87833333000000002</v>
      </c>
    </row>
    <row r="180" spans="1:21" x14ac:dyDescent="0.2">
      <c r="A180" s="13"/>
      <c r="B180" s="13"/>
      <c r="C180" s="13"/>
      <c r="T180" s="299">
        <v>177</v>
      </c>
      <c r="U180" s="300">
        <v>0.87749999999999995</v>
      </c>
    </row>
    <row r="181" spans="1:21" x14ac:dyDescent="0.2">
      <c r="A181" s="13"/>
      <c r="B181" s="13"/>
      <c r="C181" s="13"/>
      <c r="T181" s="299">
        <v>178</v>
      </c>
      <c r="U181" s="300">
        <v>0.87666666999999998</v>
      </c>
    </row>
    <row r="182" spans="1:21" x14ac:dyDescent="0.2">
      <c r="A182" s="13"/>
      <c r="B182" s="13"/>
      <c r="C182" s="13"/>
      <c r="T182" s="299">
        <v>179</v>
      </c>
      <c r="U182" s="300">
        <v>0.87583332999999997</v>
      </c>
    </row>
    <row r="183" spans="1:21" x14ac:dyDescent="0.2">
      <c r="A183" s="13"/>
      <c r="B183" s="13"/>
      <c r="C183" s="13"/>
      <c r="T183" s="299">
        <v>180</v>
      </c>
      <c r="U183" s="300">
        <v>0.875</v>
      </c>
    </row>
    <row r="184" spans="1:21" x14ac:dyDescent="0.2">
      <c r="A184" s="13"/>
      <c r="B184" s="13"/>
      <c r="C184" s="13"/>
      <c r="T184" s="293"/>
      <c r="U184" s="293"/>
    </row>
    <row r="185" spans="1:21" x14ac:dyDescent="0.2">
      <c r="A185" s="13"/>
      <c r="B185" s="13"/>
      <c r="C185" s="13"/>
      <c r="T185" s="293"/>
      <c r="U185" s="293"/>
    </row>
    <row r="186" spans="1:21" x14ac:dyDescent="0.2">
      <c r="A186" s="13"/>
      <c r="B186" s="13"/>
      <c r="C186" s="13"/>
      <c r="T186" s="293"/>
      <c r="U186" s="293"/>
    </row>
    <row r="187" spans="1:21" x14ac:dyDescent="0.2">
      <c r="A187" s="13"/>
      <c r="B187" s="13"/>
      <c r="C187" s="13"/>
      <c r="T187" s="293"/>
      <c r="U187" s="293"/>
    </row>
    <row r="188" spans="1:21" x14ac:dyDescent="0.2">
      <c r="A188" s="13"/>
      <c r="B188" s="13"/>
      <c r="C188" s="13"/>
      <c r="T188" s="293"/>
      <c r="U188" s="293"/>
    </row>
    <row r="189" spans="1:21" x14ac:dyDescent="0.2">
      <c r="A189" s="13"/>
      <c r="B189" s="13"/>
      <c r="C189" s="13"/>
      <c r="T189" s="293"/>
      <c r="U189" s="293"/>
    </row>
    <row r="190" spans="1:21" x14ac:dyDescent="0.2">
      <c r="A190" s="13"/>
      <c r="B190" s="13"/>
      <c r="C190" s="13"/>
      <c r="T190" s="293"/>
      <c r="U190" s="293"/>
    </row>
    <row r="191" spans="1:21" x14ac:dyDescent="0.2">
      <c r="A191" s="13"/>
      <c r="B191" s="13"/>
      <c r="C191" s="13"/>
      <c r="T191" s="293"/>
      <c r="U191" s="293"/>
    </row>
    <row r="192" spans="1:21" x14ac:dyDescent="0.2">
      <c r="A192" s="13"/>
      <c r="B192" s="13"/>
      <c r="C192" s="13"/>
      <c r="T192" s="293"/>
      <c r="U192" s="293"/>
    </row>
    <row r="193" spans="1:21" x14ac:dyDescent="0.2">
      <c r="A193" s="13"/>
      <c r="B193" s="13"/>
      <c r="C193" s="13"/>
      <c r="T193" s="293"/>
      <c r="U193" s="293"/>
    </row>
    <row r="194" spans="1:21" x14ac:dyDescent="0.2">
      <c r="A194" s="13"/>
      <c r="B194" s="13"/>
      <c r="C194" s="13"/>
      <c r="T194" s="293"/>
      <c r="U194" s="293"/>
    </row>
    <row r="195" spans="1:21" x14ac:dyDescent="0.2">
      <c r="A195" s="13"/>
      <c r="B195" s="13"/>
      <c r="C195" s="13"/>
      <c r="T195" s="293"/>
      <c r="U195" s="293"/>
    </row>
    <row r="196" spans="1:21" x14ac:dyDescent="0.2">
      <c r="A196" s="13"/>
      <c r="B196" s="13"/>
      <c r="C196" s="13"/>
      <c r="T196" s="293"/>
      <c r="U196" s="293"/>
    </row>
    <row r="197" spans="1:21" x14ac:dyDescent="0.2">
      <c r="A197" s="13"/>
      <c r="B197" s="13"/>
      <c r="C197" s="13"/>
      <c r="T197" s="293"/>
      <c r="U197" s="293"/>
    </row>
    <row r="198" spans="1:21" x14ac:dyDescent="0.2">
      <c r="A198" s="13"/>
      <c r="B198" s="13"/>
      <c r="C198" s="13"/>
      <c r="T198" s="293"/>
      <c r="U198" s="293"/>
    </row>
    <row r="199" spans="1:21" x14ac:dyDescent="0.2">
      <c r="A199" s="13"/>
      <c r="B199" s="13"/>
      <c r="C199" s="13"/>
      <c r="T199" s="293"/>
      <c r="U199" s="293"/>
    </row>
    <row r="200" spans="1:21" x14ac:dyDescent="0.2">
      <c r="A200" s="13"/>
      <c r="B200" s="13"/>
      <c r="C200" s="13"/>
      <c r="T200" s="293"/>
      <c r="U200" s="293"/>
    </row>
    <row r="201" spans="1:21" x14ac:dyDescent="0.2">
      <c r="A201" s="13"/>
      <c r="B201" s="13"/>
      <c r="C201" s="13"/>
      <c r="T201" s="293"/>
      <c r="U201" s="293"/>
    </row>
    <row r="202" spans="1:21" x14ac:dyDescent="0.2">
      <c r="A202" s="13"/>
      <c r="B202" s="13"/>
      <c r="C202" s="13"/>
      <c r="T202" s="293"/>
      <c r="U202" s="293"/>
    </row>
    <row r="203" spans="1:21" x14ac:dyDescent="0.2">
      <c r="A203" s="13"/>
      <c r="B203" s="13"/>
      <c r="C203" s="13"/>
      <c r="T203" s="293"/>
      <c r="U203" s="293"/>
    </row>
    <row r="204" spans="1:21" x14ac:dyDescent="0.2">
      <c r="A204" s="13"/>
      <c r="B204" s="13"/>
      <c r="C204" s="13"/>
      <c r="T204" s="293"/>
      <c r="U204" s="293"/>
    </row>
    <row r="205" spans="1:21" x14ac:dyDescent="0.2">
      <c r="A205" s="13"/>
      <c r="B205" s="13"/>
      <c r="C205" s="13"/>
      <c r="T205" s="293"/>
      <c r="U205" s="293"/>
    </row>
    <row r="206" spans="1:21" x14ac:dyDescent="0.2">
      <c r="A206" s="13"/>
      <c r="B206" s="13"/>
      <c r="C206" s="13"/>
      <c r="T206" s="293"/>
      <c r="U206" s="293"/>
    </row>
    <row r="207" spans="1:21" x14ac:dyDescent="0.2">
      <c r="A207" s="13"/>
      <c r="B207" s="13"/>
      <c r="C207" s="13"/>
      <c r="T207" s="293"/>
      <c r="U207" s="293"/>
    </row>
    <row r="208" spans="1:21" x14ac:dyDescent="0.2">
      <c r="A208" s="13"/>
      <c r="B208" s="13"/>
      <c r="C208" s="13"/>
      <c r="T208" s="293"/>
      <c r="U208" s="293"/>
    </row>
    <row r="209" spans="1:21" x14ac:dyDescent="0.2">
      <c r="A209" s="13"/>
      <c r="B209" s="13"/>
      <c r="C209" s="13"/>
      <c r="T209" s="293"/>
      <c r="U209" s="293"/>
    </row>
    <row r="210" spans="1:21" x14ac:dyDescent="0.2">
      <c r="A210" s="13"/>
      <c r="B210" s="13"/>
      <c r="C210" s="13"/>
      <c r="T210" s="293"/>
      <c r="U210" s="293"/>
    </row>
    <row r="211" spans="1:21" x14ac:dyDescent="0.2">
      <c r="A211" s="13"/>
      <c r="B211" s="13"/>
      <c r="C211" s="13"/>
      <c r="T211" s="293"/>
      <c r="U211" s="293"/>
    </row>
    <row r="212" spans="1:21" x14ac:dyDescent="0.2">
      <c r="A212" s="13"/>
      <c r="B212" s="13"/>
      <c r="C212" s="13"/>
      <c r="T212" s="293"/>
      <c r="U212" s="293"/>
    </row>
    <row r="213" spans="1:21" x14ac:dyDescent="0.2">
      <c r="A213" s="13"/>
      <c r="B213" s="13"/>
      <c r="C213" s="13"/>
      <c r="T213" s="293"/>
      <c r="U213" s="293"/>
    </row>
    <row r="214" spans="1:21" x14ac:dyDescent="0.2">
      <c r="A214" s="13"/>
      <c r="B214" s="13"/>
      <c r="C214" s="13"/>
      <c r="T214" s="293"/>
      <c r="U214" s="293"/>
    </row>
    <row r="215" spans="1:21" x14ac:dyDescent="0.2">
      <c r="A215" s="13"/>
      <c r="B215" s="13"/>
      <c r="C215" s="13"/>
      <c r="T215" s="293"/>
      <c r="U215" s="293"/>
    </row>
    <row r="216" spans="1:21" x14ac:dyDescent="0.2">
      <c r="A216" s="13"/>
      <c r="B216" s="13"/>
      <c r="C216" s="13"/>
      <c r="T216" s="293"/>
      <c r="U216" s="293"/>
    </row>
    <row r="217" spans="1:21" x14ac:dyDescent="0.2">
      <c r="A217" s="13"/>
      <c r="B217" s="13"/>
      <c r="C217" s="13"/>
      <c r="T217" s="293"/>
      <c r="U217" s="293"/>
    </row>
    <row r="218" spans="1:21" x14ac:dyDescent="0.2">
      <c r="A218" s="13"/>
      <c r="B218" s="13"/>
      <c r="C218" s="13"/>
      <c r="T218" s="293"/>
      <c r="U218" s="293"/>
    </row>
    <row r="219" spans="1:21" x14ac:dyDescent="0.2">
      <c r="A219" s="13"/>
      <c r="B219" s="13"/>
      <c r="C219" s="13"/>
      <c r="T219" s="293"/>
      <c r="U219" s="293"/>
    </row>
    <row r="220" spans="1:21" x14ac:dyDescent="0.2">
      <c r="A220" s="13"/>
      <c r="B220" s="13"/>
      <c r="C220" s="13"/>
      <c r="T220" s="293"/>
      <c r="U220" s="293"/>
    </row>
    <row r="221" spans="1:21" x14ac:dyDescent="0.2">
      <c r="A221" s="13"/>
      <c r="B221" s="13"/>
      <c r="C221" s="13"/>
      <c r="T221" s="293"/>
      <c r="U221" s="293"/>
    </row>
    <row r="222" spans="1:21" x14ac:dyDescent="0.2">
      <c r="A222" s="13"/>
      <c r="B222" s="13"/>
      <c r="C222" s="13"/>
      <c r="T222" s="293"/>
      <c r="U222" s="293"/>
    </row>
    <row r="223" spans="1:21" x14ac:dyDescent="0.2">
      <c r="A223" s="13"/>
      <c r="B223" s="13"/>
      <c r="C223" s="13"/>
      <c r="T223" s="293"/>
      <c r="U223" s="293"/>
    </row>
    <row r="224" spans="1:21" x14ac:dyDescent="0.2">
      <c r="A224" s="13"/>
      <c r="B224" s="13"/>
      <c r="C224" s="13"/>
      <c r="T224" s="293"/>
      <c r="U224" s="293"/>
    </row>
    <row r="225" spans="1:21" x14ac:dyDescent="0.2">
      <c r="A225" s="13"/>
      <c r="B225" s="13"/>
      <c r="C225" s="13"/>
      <c r="T225" s="293"/>
      <c r="U225" s="293"/>
    </row>
    <row r="226" spans="1:21" x14ac:dyDescent="0.2">
      <c r="A226" s="13"/>
      <c r="B226" s="13"/>
      <c r="C226" s="13"/>
      <c r="T226" s="293"/>
      <c r="U226" s="293"/>
    </row>
    <row r="227" spans="1:21" x14ac:dyDescent="0.2">
      <c r="A227" s="13"/>
      <c r="B227" s="13"/>
      <c r="C227" s="13"/>
      <c r="T227" s="293"/>
      <c r="U227" s="293"/>
    </row>
    <row r="228" spans="1:21" x14ac:dyDescent="0.2">
      <c r="A228" s="13"/>
      <c r="B228" s="13"/>
      <c r="C228" s="13"/>
      <c r="T228" s="293"/>
      <c r="U228" s="293"/>
    </row>
    <row r="229" spans="1:21" x14ac:dyDescent="0.2">
      <c r="A229" s="13"/>
      <c r="B229" s="13"/>
      <c r="C229" s="13"/>
      <c r="T229" s="293"/>
      <c r="U229" s="293"/>
    </row>
    <row r="230" spans="1:21" x14ac:dyDescent="0.2">
      <c r="A230" s="13"/>
      <c r="B230" s="13"/>
      <c r="C230" s="13"/>
      <c r="T230" s="293"/>
      <c r="U230" s="293"/>
    </row>
    <row r="231" spans="1:21" x14ac:dyDescent="0.2">
      <c r="A231" s="13"/>
      <c r="B231" s="13"/>
      <c r="C231" s="13"/>
      <c r="T231" s="293"/>
      <c r="U231" s="293"/>
    </row>
    <row r="232" spans="1:21" x14ac:dyDescent="0.2">
      <c r="A232" s="13"/>
      <c r="B232" s="13"/>
      <c r="C232" s="13"/>
      <c r="T232" s="293"/>
      <c r="U232" s="293"/>
    </row>
    <row r="233" spans="1:21" x14ac:dyDescent="0.2">
      <c r="A233" s="13"/>
      <c r="B233" s="13"/>
      <c r="C233" s="13"/>
      <c r="T233" s="293"/>
      <c r="U233" s="293"/>
    </row>
    <row r="234" spans="1:21" x14ac:dyDescent="0.2">
      <c r="A234" s="13"/>
      <c r="B234" s="13"/>
      <c r="C234" s="13"/>
      <c r="T234" s="293"/>
      <c r="U234" s="293"/>
    </row>
    <row r="235" spans="1:21" x14ac:dyDescent="0.2">
      <c r="A235" s="13"/>
      <c r="B235" s="13"/>
      <c r="C235" s="13"/>
      <c r="T235" s="293"/>
      <c r="U235" s="293"/>
    </row>
    <row r="236" spans="1:21" x14ac:dyDescent="0.2">
      <c r="A236" s="13"/>
      <c r="B236" s="13"/>
      <c r="C236" s="13"/>
      <c r="T236" s="293"/>
      <c r="U236" s="293"/>
    </row>
    <row r="237" spans="1:21" x14ac:dyDescent="0.2">
      <c r="A237" s="13"/>
      <c r="B237" s="13"/>
      <c r="C237" s="13"/>
      <c r="T237" s="293"/>
      <c r="U237" s="293"/>
    </row>
    <row r="238" spans="1:21" x14ac:dyDescent="0.2">
      <c r="A238" s="13"/>
      <c r="B238" s="13"/>
      <c r="C238" s="13"/>
      <c r="T238" s="293"/>
      <c r="U238" s="293"/>
    </row>
    <row r="239" spans="1:21" x14ac:dyDescent="0.2">
      <c r="A239" s="13"/>
      <c r="B239" s="13"/>
      <c r="C239" s="13"/>
      <c r="T239" s="293"/>
      <c r="U239" s="293"/>
    </row>
    <row r="240" spans="1:21" x14ac:dyDescent="0.2">
      <c r="A240" s="13"/>
      <c r="B240" s="13"/>
      <c r="C240" s="13"/>
      <c r="T240" s="293"/>
      <c r="U240" s="293"/>
    </row>
    <row r="241" spans="1:21" x14ac:dyDescent="0.2">
      <c r="A241" s="13"/>
      <c r="B241" s="13"/>
      <c r="C241" s="13"/>
      <c r="T241" s="293"/>
      <c r="U241" s="293"/>
    </row>
    <row r="242" spans="1:21" x14ac:dyDescent="0.2">
      <c r="A242" s="13"/>
      <c r="B242" s="13"/>
      <c r="C242" s="13"/>
      <c r="T242" s="293"/>
      <c r="U242" s="293"/>
    </row>
    <row r="243" spans="1:21" x14ac:dyDescent="0.2">
      <c r="A243" s="13"/>
      <c r="B243" s="13"/>
      <c r="C243" s="13"/>
      <c r="T243" s="293"/>
      <c r="U243" s="293"/>
    </row>
    <row r="244" spans="1:21" x14ac:dyDescent="0.2">
      <c r="A244" s="13"/>
      <c r="B244" s="13"/>
      <c r="C244" s="13"/>
      <c r="T244" s="293"/>
      <c r="U244" s="293"/>
    </row>
    <row r="245" spans="1:21" x14ac:dyDescent="0.2">
      <c r="A245" s="13"/>
      <c r="B245" s="13"/>
      <c r="C245" s="13"/>
      <c r="T245" s="293"/>
      <c r="U245" s="293"/>
    </row>
    <row r="246" spans="1:21" x14ac:dyDescent="0.2">
      <c r="A246" s="13"/>
      <c r="B246" s="13"/>
      <c r="C246" s="13"/>
      <c r="T246" s="293"/>
      <c r="U246" s="293"/>
    </row>
    <row r="247" spans="1:21" x14ac:dyDescent="0.2">
      <c r="A247" s="13"/>
      <c r="B247" s="13"/>
      <c r="C247" s="13"/>
      <c r="T247" s="293"/>
      <c r="U247" s="293"/>
    </row>
    <row r="248" spans="1:21" x14ac:dyDescent="0.2">
      <c r="A248" s="13"/>
      <c r="B248" s="13"/>
      <c r="C248" s="13"/>
      <c r="T248" s="293"/>
      <c r="U248" s="293"/>
    </row>
    <row r="249" spans="1:21" x14ac:dyDescent="0.2">
      <c r="A249" s="13"/>
      <c r="B249" s="13"/>
      <c r="C249" s="13"/>
      <c r="T249" s="293"/>
      <c r="U249" s="293"/>
    </row>
    <row r="250" spans="1:21" x14ac:dyDescent="0.2">
      <c r="A250" s="13"/>
      <c r="B250" s="13"/>
      <c r="C250" s="13"/>
      <c r="T250" s="293"/>
      <c r="U250" s="293"/>
    </row>
    <row r="251" spans="1:21" x14ac:dyDescent="0.2">
      <c r="A251" s="13"/>
      <c r="B251" s="13"/>
      <c r="C251" s="13"/>
      <c r="T251" s="293"/>
      <c r="U251" s="293"/>
    </row>
    <row r="252" spans="1:21" x14ac:dyDescent="0.2">
      <c r="A252" s="13"/>
      <c r="B252" s="13"/>
      <c r="C252" s="13"/>
      <c r="T252" s="293"/>
      <c r="U252" s="293"/>
    </row>
    <row r="253" spans="1:21" x14ac:dyDescent="0.2">
      <c r="A253" s="13"/>
      <c r="B253" s="13"/>
      <c r="C253" s="13"/>
      <c r="T253" s="293"/>
      <c r="U253" s="293"/>
    </row>
    <row r="254" spans="1:21" x14ac:dyDescent="0.2">
      <c r="A254" s="13"/>
      <c r="B254" s="13"/>
      <c r="C254" s="13"/>
      <c r="T254" s="293"/>
      <c r="U254" s="293"/>
    </row>
    <row r="255" spans="1:21" x14ac:dyDescent="0.2">
      <c r="A255" s="13"/>
      <c r="B255" s="13"/>
      <c r="C255" s="13"/>
      <c r="T255" s="293"/>
      <c r="U255" s="293"/>
    </row>
    <row r="256" spans="1:21" x14ac:dyDescent="0.2">
      <c r="A256" s="13"/>
      <c r="B256" s="13"/>
      <c r="C256" s="13"/>
      <c r="T256" s="293"/>
      <c r="U256" s="293"/>
    </row>
    <row r="257" spans="1:21" x14ac:dyDescent="0.2">
      <c r="A257" s="13"/>
      <c r="B257" s="13"/>
      <c r="C257" s="13"/>
      <c r="T257" s="293"/>
      <c r="U257" s="293"/>
    </row>
    <row r="258" spans="1:21" x14ac:dyDescent="0.2">
      <c r="A258" s="13"/>
      <c r="B258" s="13"/>
      <c r="C258" s="13"/>
      <c r="T258" s="293"/>
      <c r="U258" s="293"/>
    </row>
    <row r="259" spans="1:21" x14ac:dyDescent="0.2">
      <c r="A259" s="13"/>
      <c r="B259" s="13"/>
      <c r="C259" s="13"/>
      <c r="T259" s="293"/>
      <c r="U259" s="293"/>
    </row>
    <row r="260" spans="1:21" x14ac:dyDescent="0.2">
      <c r="A260" s="13"/>
      <c r="B260" s="13"/>
      <c r="C260" s="13"/>
      <c r="T260" s="293"/>
      <c r="U260" s="293"/>
    </row>
    <row r="261" spans="1:21" x14ac:dyDescent="0.2">
      <c r="A261" s="13"/>
      <c r="B261" s="13"/>
      <c r="C261" s="13"/>
      <c r="T261" s="293"/>
      <c r="U261" s="293"/>
    </row>
    <row r="262" spans="1:21" x14ac:dyDescent="0.2">
      <c r="A262" s="13"/>
      <c r="B262" s="13"/>
      <c r="C262" s="13"/>
      <c r="T262" s="293"/>
      <c r="U262" s="293"/>
    </row>
    <row r="263" spans="1:21" x14ac:dyDescent="0.2">
      <c r="A263" s="13"/>
      <c r="B263" s="13"/>
      <c r="C263" s="13"/>
      <c r="T263" s="293"/>
      <c r="U263" s="293"/>
    </row>
    <row r="264" spans="1:21" x14ac:dyDescent="0.2">
      <c r="A264" s="13"/>
      <c r="B264" s="13"/>
      <c r="C264" s="13"/>
      <c r="T264" s="293"/>
      <c r="U264" s="293"/>
    </row>
    <row r="265" spans="1:21" x14ac:dyDescent="0.2">
      <c r="A265" s="13"/>
      <c r="B265" s="13"/>
      <c r="C265" s="13"/>
      <c r="T265" s="293"/>
      <c r="U265" s="293"/>
    </row>
    <row r="266" spans="1:21" x14ac:dyDescent="0.2">
      <c r="A266" s="13"/>
      <c r="B266" s="13"/>
      <c r="C266" s="13"/>
      <c r="T266" s="293"/>
      <c r="U266" s="293"/>
    </row>
    <row r="267" spans="1:21" x14ac:dyDescent="0.2">
      <c r="A267" s="13"/>
      <c r="B267" s="13"/>
      <c r="C267" s="13"/>
      <c r="T267" s="293"/>
      <c r="U267" s="293"/>
    </row>
    <row r="268" spans="1:21" x14ac:dyDescent="0.2">
      <c r="A268" s="13"/>
      <c r="B268" s="13"/>
      <c r="C268" s="13"/>
      <c r="T268" s="293"/>
      <c r="U268" s="293"/>
    </row>
    <row r="269" spans="1:21" x14ac:dyDescent="0.2">
      <c r="A269" s="13"/>
      <c r="B269" s="13"/>
      <c r="C269" s="13"/>
      <c r="T269" s="293"/>
      <c r="U269" s="293"/>
    </row>
    <row r="270" spans="1:21" x14ac:dyDescent="0.2">
      <c r="A270" s="13"/>
      <c r="B270" s="13"/>
      <c r="C270" s="13"/>
      <c r="T270" s="293"/>
      <c r="U270" s="293"/>
    </row>
    <row r="271" spans="1:21" x14ac:dyDescent="0.2">
      <c r="A271" s="13"/>
      <c r="B271" s="13"/>
      <c r="C271" s="13"/>
      <c r="T271" s="293"/>
      <c r="U271" s="293"/>
    </row>
    <row r="272" spans="1:21" x14ac:dyDescent="0.2">
      <c r="A272" s="13"/>
      <c r="B272" s="13"/>
      <c r="C272" s="13"/>
      <c r="T272" s="293"/>
      <c r="U272" s="293"/>
    </row>
    <row r="273" spans="1:21" x14ac:dyDescent="0.2">
      <c r="A273" s="13"/>
      <c r="B273" s="13"/>
      <c r="C273" s="13"/>
      <c r="T273" s="293"/>
      <c r="U273" s="293"/>
    </row>
    <row r="274" spans="1:21" x14ac:dyDescent="0.2">
      <c r="A274" s="13"/>
      <c r="B274" s="13"/>
      <c r="C274" s="13"/>
      <c r="T274" s="293"/>
      <c r="U274" s="293"/>
    </row>
    <row r="275" spans="1:21" x14ac:dyDescent="0.2">
      <c r="A275" s="13"/>
      <c r="B275" s="13"/>
      <c r="C275" s="13"/>
      <c r="T275" s="293"/>
      <c r="U275" s="293"/>
    </row>
    <row r="276" spans="1:21" x14ac:dyDescent="0.2">
      <c r="A276" s="13"/>
      <c r="B276" s="13"/>
      <c r="C276" s="13"/>
      <c r="T276" s="293"/>
      <c r="U276" s="293"/>
    </row>
    <row r="277" spans="1:21" x14ac:dyDescent="0.2">
      <c r="A277" s="13"/>
      <c r="B277" s="13"/>
      <c r="C277" s="13"/>
      <c r="T277" s="293"/>
      <c r="U277" s="293"/>
    </row>
    <row r="278" spans="1:21" x14ac:dyDescent="0.2">
      <c r="A278" s="13"/>
      <c r="B278" s="13"/>
      <c r="C278" s="13"/>
      <c r="T278" s="293"/>
      <c r="U278" s="293"/>
    </row>
    <row r="279" spans="1:21" x14ac:dyDescent="0.2">
      <c r="A279" s="13"/>
      <c r="B279" s="13"/>
      <c r="C279" s="13"/>
      <c r="T279" s="293"/>
      <c r="U279" s="293"/>
    </row>
    <row r="280" spans="1:21" x14ac:dyDescent="0.2">
      <c r="A280" s="13"/>
      <c r="B280" s="13"/>
      <c r="C280" s="13"/>
      <c r="T280" s="293"/>
      <c r="U280" s="293"/>
    </row>
    <row r="281" spans="1:21" x14ac:dyDescent="0.2">
      <c r="A281" s="13"/>
      <c r="B281" s="13"/>
      <c r="C281" s="13"/>
      <c r="T281" s="293"/>
      <c r="U281" s="293"/>
    </row>
    <row r="282" spans="1:21" x14ac:dyDescent="0.2">
      <c r="A282" s="13"/>
      <c r="B282" s="13"/>
      <c r="C282" s="13"/>
      <c r="T282" s="293"/>
      <c r="U282" s="293"/>
    </row>
    <row r="283" spans="1:21" x14ac:dyDescent="0.2">
      <c r="A283" s="13"/>
      <c r="B283" s="13"/>
      <c r="C283" s="13"/>
      <c r="T283" s="293"/>
      <c r="U283" s="293"/>
    </row>
    <row r="284" spans="1:21" x14ac:dyDescent="0.2">
      <c r="A284" s="13"/>
      <c r="B284" s="13"/>
      <c r="C284" s="13"/>
      <c r="T284" s="293"/>
      <c r="U284" s="293"/>
    </row>
    <row r="285" spans="1:21" x14ac:dyDescent="0.2">
      <c r="A285" s="13"/>
      <c r="B285" s="13"/>
      <c r="C285" s="13"/>
      <c r="T285" s="293"/>
      <c r="U285" s="293"/>
    </row>
    <row r="286" spans="1:21" x14ac:dyDescent="0.2">
      <c r="A286" s="13"/>
      <c r="B286" s="13"/>
      <c r="C286" s="13"/>
      <c r="T286" s="293"/>
      <c r="U286" s="293"/>
    </row>
    <row r="287" spans="1:21" x14ac:dyDescent="0.2">
      <c r="A287" s="13"/>
      <c r="B287" s="13"/>
      <c r="C287" s="13"/>
      <c r="T287" s="293"/>
      <c r="U287" s="293"/>
    </row>
    <row r="288" spans="1:21" x14ac:dyDescent="0.2">
      <c r="A288" s="13"/>
      <c r="B288" s="13"/>
      <c r="C288" s="13"/>
      <c r="T288" s="293"/>
      <c r="U288" s="293"/>
    </row>
    <row r="289" spans="1:21" x14ac:dyDescent="0.2">
      <c r="A289" s="13"/>
      <c r="B289" s="13"/>
      <c r="C289" s="13"/>
      <c r="T289" s="293"/>
      <c r="U289" s="293"/>
    </row>
    <row r="290" spans="1:21" x14ac:dyDescent="0.2">
      <c r="A290" s="13"/>
      <c r="B290" s="13"/>
      <c r="C290" s="13"/>
      <c r="T290" s="293"/>
      <c r="U290" s="293"/>
    </row>
    <row r="291" spans="1:21" x14ac:dyDescent="0.2">
      <c r="A291" s="13"/>
      <c r="B291" s="13"/>
      <c r="C291" s="13"/>
      <c r="T291" s="293"/>
      <c r="U291" s="293"/>
    </row>
    <row r="292" spans="1:21" x14ac:dyDescent="0.2">
      <c r="A292" s="13"/>
      <c r="B292" s="13"/>
      <c r="C292" s="13"/>
      <c r="T292" s="293"/>
      <c r="U292" s="293"/>
    </row>
    <row r="293" spans="1:21" x14ac:dyDescent="0.2">
      <c r="A293" s="13"/>
      <c r="B293" s="13"/>
      <c r="C293" s="13"/>
      <c r="T293" s="293"/>
      <c r="U293" s="293"/>
    </row>
    <row r="294" spans="1:21" x14ac:dyDescent="0.2">
      <c r="A294" s="13"/>
      <c r="B294" s="13"/>
      <c r="C294" s="13"/>
      <c r="T294" s="293"/>
      <c r="U294" s="293"/>
    </row>
    <row r="295" spans="1:21" x14ac:dyDescent="0.2">
      <c r="A295" s="13"/>
      <c r="B295" s="13"/>
      <c r="C295" s="13"/>
      <c r="T295" s="293"/>
      <c r="U295" s="293"/>
    </row>
    <row r="296" spans="1:21" x14ac:dyDescent="0.2">
      <c r="A296" s="13"/>
      <c r="B296" s="13"/>
      <c r="C296" s="13"/>
      <c r="T296" s="293"/>
      <c r="U296" s="293"/>
    </row>
    <row r="297" spans="1:21" x14ac:dyDescent="0.2">
      <c r="A297" s="13"/>
      <c r="B297" s="13"/>
      <c r="C297" s="13"/>
      <c r="T297" s="293"/>
      <c r="U297" s="293"/>
    </row>
    <row r="298" spans="1:21" x14ac:dyDescent="0.2">
      <c r="A298" s="13"/>
      <c r="B298" s="13"/>
      <c r="C298" s="13"/>
      <c r="T298" s="293"/>
      <c r="U298" s="293"/>
    </row>
    <row r="299" spans="1:21" x14ac:dyDescent="0.2">
      <c r="A299" s="13"/>
      <c r="B299" s="13"/>
      <c r="C299" s="13"/>
      <c r="T299" s="293"/>
      <c r="U299" s="293"/>
    </row>
    <row r="300" spans="1:21" x14ac:dyDescent="0.2">
      <c r="A300" s="13"/>
      <c r="B300" s="13"/>
      <c r="C300" s="13"/>
      <c r="T300" s="293"/>
      <c r="U300" s="293"/>
    </row>
    <row r="301" spans="1:21" x14ac:dyDescent="0.2">
      <c r="A301" s="13"/>
      <c r="B301" s="13"/>
      <c r="C301" s="13"/>
      <c r="T301" s="293"/>
      <c r="U301" s="293"/>
    </row>
    <row r="302" spans="1:21" x14ac:dyDescent="0.2">
      <c r="A302" s="13"/>
      <c r="B302" s="13"/>
      <c r="C302" s="13"/>
      <c r="T302" s="293"/>
      <c r="U302" s="293"/>
    </row>
    <row r="303" spans="1:21" x14ac:dyDescent="0.2">
      <c r="A303" s="13"/>
      <c r="B303" s="13"/>
      <c r="C303" s="13"/>
      <c r="T303" s="293"/>
      <c r="U303" s="293"/>
    </row>
    <row r="304" spans="1:21" x14ac:dyDescent="0.2">
      <c r="A304" s="13"/>
      <c r="B304" s="13"/>
      <c r="C304" s="13"/>
      <c r="T304" s="293"/>
      <c r="U304" s="293"/>
    </row>
    <row r="305" spans="1:21" x14ac:dyDescent="0.2">
      <c r="A305" s="13"/>
      <c r="B305" s="13"/>
      <c r="C305" s="13"/>
      <c r="T305" s="293"/>
      <c r="U305" s="293"/>
    </row>
    <row r="306" spans="1:21" x14ac:dyDescent="0.2">
      <c r="A306" s="13"/>
      <c r="B306" s="13"/>
      <c r="C306" s="13"/>
      <c r="T306" s="293"/>
      <c r="U306" s="293"/>
    </row>
    <row r="307" spans="1:21" x14ac:dyDescent="0.2">
      <c r="A307" s="13"/>
      <c r="B307" s="13"/>
      <c r="C307" s="13"/>
      <c r="T307" s="293"/>
      <c r="U307" s="293"/>
    </row>
    <row r="308" spans="1:21" x14ac:dyDescent="0.2">
      <c r="A308" s="13"/>
      <c r="B308" s="13"/>
      <c r="C308" s="13"/>
      <c r="T308" s="293"/>
      <c r="U308" s="293"/>
    </row>
    <row r="309" spans="1:21" x14ac:dyDescent="0.2">
      <c r="A309" s="13"/>
      <c r="B309" s="13"/>
      <c r="C309" s="13"/>
      <c r="T309" s="293"/>
      <c r="U309" s="293"/>
    </row>
    <row r="310" spans="1:21" x14ac:dyDescent="0.2">
      <c r="A310" s="13"/>
      <c r="B310" s="13"/>
      <c r="C310" s="13"/>
      <c r="T310" s="293"/>
      <c r="U310" s="293"/>
    </row>
    <row r="311" spans="1:21" x14ac:dyDescent="0.2">
      <c r="A311" s="13"/>
      <c r="B311" s="13"/>
      <c r="C311" s="13"/>
      <c r="T311" s="293"/>
      <c r="U311" s="293"/>
    </row>
    <row r="312" spans="1:21" x14ac:dyDescent="0.2">
      <c r="A312" s="13"/>
      <c r="B312" s="13"/>
      <c r="C312" s="13"/>
      <c r="T312" s="293"/>
      <c r="U312" s="293"/>
    </row>
    <row r="313" spans="1:21" x14ac:dyDescent="0.2">
      <c r="A313" s="13"/>
      <c r="B313" s="13"/>
      <c r="C313" s="13"/>
      <c r="T313" s="293"/>
      <c r="U313" s="293"/>
    </row>
    <row r="314" spans="1:21" x14ac:dyDescent="0.2">
      <c r="A314" s="13"/>
      <c r="B314" s="13"/>
      <c r="C314" s="13"/>
      <c r="T314" s="293"/>
      <c r="U314" s="293"/>
    </row>
    <row r="315" spans="1:21" x14ac:dyDescent="0.2">
      <c r="A315" s="13"/>
      <c r="B315" s="13"/>
      <c r="C315" s="13"/>
      <c r="T315" s="293"/>
      <c r="U315" s="293"/>
    </row>
    <row r="316" spans="1:21" x14ac:dyDescent="0.2">
      <c r="A316" s="13"/>
      <c r="B316" s="13"/>
      <c r="C316" s="13"/>
      <c r="T316" s="293"/>
      <c r="U316" s="293"/>
    </row>
    <row r="317" spans="1:21" x14ac:dyDescent="0.2">
      <c r="A317" s="13"/>
      <c r="B317" s="13"/>
      <c r="C317" s="13"/>
      <c r="T317" s="293"/>
      <c r="U317" s="293"/>
    </row>
    <row r="318" spans="1:21" x14ac:dyDescent="0.2">
      <c r="A318" s="13"/>
      <c r="B318" s="13"/>
      <c r="C318" s="13"/>
      <c r="T318" s="293"/>
      <c r="U318" s="293"/>
    </row>
    <row r="319" spans="1:21" x14ac:dyDescent="0.2">
      <c r="A319" s="13"/>
      <c r="B319" s="13"/>
      <c r="C319" s="13"/>
      <c r="T319" s="293"/>
      <c r="U319" s="293"/>
    </row>
    <row r="320" spans="1:21" x14ac:dyDescent="0.2">
      <c r="A320" s="13"/>
      <c r="B320" s="13"/>
      <c r="C320" s="13"/>
      <c r="T320" s="293"/>
      <c r="U320" s="293"/>
    </row>
    <row r="321" spans="1:21" x14ac:dyDescent="0.2">
      <c r="A321" s="13"/>
      <c r="B321" s="13"/>
      <c r="C321" s="13"/>
      <c r="T321" s="293"/>
      <c r="U321" s="293"/>
    </row>
    <row r="322" spans="1:21" x14ac:dyDescent="0.2">
      <c r="A322" s="13"/>
      <c r="B322" s="13"/>
      <c r="C322" s="13"/>
      <c r="T322" s="293"/>
      <c r="U322" s="293"/>
    </row>
    <row r="323" spans="1:21" x14ac:dyDescent="0.2">
      <c r="A323" s="13"/>
      <c r="B323" s="13"/>
      <c r="C323" s="13"/>
      <c r="T323" s="293"/>
      <c r="U323" s="293"/>
    </row>
    <row r="324" spans="1:21" x14ac:dyDescent="0.2">
      <c r="A324" s="13"/>
      <c r="B324" s="13"/>
      <c r="C324" s="13"/>
      <c r="T324" s="293"/>
      <c r="U324" s="293"/>
    </row>
    <row r="325" spans="1:21" x14ac:dyDescent="0.2">
      <c r="A325" s="13"/>
      <c r="B325" s="13"/>
      <c r="C325" s="13"/>
      <c r="T325" s="293"/>
      <c r="U325" s="293"/>
    </row>
    <row r="326" spans="1:21" x14ac:dyDescent="0.2">
      <c r="A326" s="13"/>
      <c r="B326" s="13"/>
      <c r="C326" s="13"/>
      <c r="T326" s="293"/>
      <c r="U326" s="293"/>
    </row>
    <row r="327" spans="1:21" x14ac:dyDescent="0.2">
      <c r="A327" s="13"/>
      <c r="B327" s="13"/>
      <c r="C327" s="13"/>
      <c r="T327" s="293"/>
      <c r="U327" s="293"/>
    </row>
    <row r="328" spans="1:21" x14ac:dyDescent="0.2">
      <c r="A328" s="13"/>
      <c r="B328" s="13"/>
      <c r="C328" s="13"/>
      <c r="T328" s="293"/>
      <c r="U328" s="293"/>
    </row>
    <row r="329" spans="1:21" x14ac:dyDescent="0.2">
      <c r="A329" s="13"/>
      <c r="B329" s="13"/>
      <c r="C329" s="13"/>
      <c r="T329" s="293"/>
      <c r="U329" s="293"/>
    </row>
    <row r="330" spans="1:21" x14ac:dyDescent="0.2">
      <c r="A330" s="13"/>
      <c r="B330" s="13"/>
      <c r="C330" s="13"/>
      <c r="T330" s="293"/>
      <c r="U330" s="293"/>
    </row>
    <row r="331" spans="1:21" x14ac:dyDescent="0.2">
      <c r="A331" s="13"/>
      <c r="B331" s="13"/>
      <c r="C331" s="13"/>
      <c r="T331" s="293"/>
      <c r="U331" s="293"/>
    </row>
    <row r="332" spans="1:21" x14ac:dyDescent="0.2">
      <c r="A332" s="13"/>
      <c r="B332" s="13"/>
      <c r="C332" s="13"/>
      <c r="T332" s="293"/>
      <c r="U332" s="293"/>
    </row>
    <row r="333" spans="1:21" x14ac:dyDescent="0.2">
      <c r="A333" s="13"/>
      <c r="B333" s="13"/>
      <c r="C333" s="13"/>
      <c r="T333" s="293"/>
      <c r="U333" s="293"/>
    </row>
    <row r="334" spans="1:21" x14ac:dyDescent="0.2">
      <c r="A334" s="13"/>
      <c r="B334" s="13"/>
      <c r="C334" s="13"/>
      <c r="T334" s="293"/>
      <c r="U334" s="293"/>
    </row>
    <row r="335" spans="1:21" x14ac:dyDescent="0.2">
      <c r="A335" s="13"/>
      <c r="B335" s="13"/>
      <c r="C335" s="13"/>
      <c r="T335" s="293"/>
      <c r="U335" s="293"/>
    </row>
    <row r="336" spans="1:21" x14ac:dyDescent="0.2">
      <c r="A336" s="13"/>
      <c r="B336" s="13"/>
      <c r="C336" s="13"/>
      <c r="T336" s="293"/>
      <c r="U336" s="293"/>
    </row>
    <row r="337" spans="1:21" x14ac:dyDescent="0.2">
      <c r="A337" s="13"/>
      <c r="B337" s="13"/>
      <c r="C337" s="13"/>
      <c r="T337" s="293"/>
      <c r="U337" s="293"/>
    </row>
    <row r="338" spans="1:21" x14ac:dyDescent="0.2">
      <c r="A338" s="13"/>
      <c r="B338" s="13"/>
      <c r="C338" s="13"/>
      <c r="T338" s="293"/>
      <c r="U338" s="293"/>
    </row>
    <row r="339" spans="1:21" x14ac:dyDescent="0.2">
      <c r="A339" s="13"/>
      <c r="B339" s="13"/>
      <c r="C339" s="13"/>
      <c r="T339" s="293"/>
      <c r="U339" s="293"/>
    </row>
    <row r="340" spans="1:21" x14ac:dyDescent="0.2">
      <c r="A340" s="13"/>
      <c r="B340" s="13"/>
      <c r="C340" s="13"/>
      <c r="T340" s="293"/>
      <c r="U340" s="293"/>
    </row>
    <row r="341" spans="1:21" x14ac:dyDescent="0.2">
      <c r="A341" s="13"/>
      <c r="B341" s="13"/>
      <c r="C341" s="13"/>
      <c r="T341" s="293"/>
      <c r="U341" s="293"/>
    </row>
    <row r="342" spans="1:21" x14ac:dyDescent="0.2">
      <c r="A342" s="13"/>
      <c r="B342" s="13"/>
      <c r="C342" s="13"/>
      <c r="T342" s="293"/>
      <c r="U342" s="293"/>
    </row>
    <row r="343" spans="1:21" x14ac:dyDescent="0.2">
      <c r="A343" s="13"/>
      <c r="B343" s="13"/>
      <c r="C343" s="13"/>
      <c r="T343" s="293"/>
      <c r="U343" s="293"/>
    </row>
    <row r="344" spans="1:21" x14ac:dyDescent="0.2">
      <c r="A344" s="13"/>
      <c r="B344" s="13"/>
      <c r="C344" s="13"/>
      <c r="T344" s="293"/>
      <c r="U344" s="293"/>
    </row>
    <row r="345" spans="1:21" x14ac:dyDescent="0.2">
      <c r="A345" s="13"/>
      <c r="B345" s="13"/>
      <c r="C345" s="13"/>
      <c r="T345" s="293"/>
      <c r="U345" s="293"/>
    </row>
    <row r="346" spans="1:21" x14ac:dyDescent="0.2">
      <c r="A346" s="13"/>
      <c r="B346" s="13"/>
      <c r="C346" s="13"/>
      <c r="T346" s="293"/>
      <c r="U346" s="293"/>
    </row>
    <row r="347" spans="1:21" x14ac:dyDescent="0.2">
      <c r="A347" s="13"/>
      <c r="B347" s="13"/>
      <c r="C347" s="13"/>
      <c r="T347" s="293"/>
      <c r="U347" s="293"/>
    </row>
    <row r="348" spans="1:21" x14ac:dyDescent="0.2">
      <c r="A348" s="13"/>
      <c r="B348" s="13"/>
      <c r="C348" s="13"/>
      <c r="T348" s="293"/>
      <c r="U348" s="293"/>
    </row>
    <row r="349" spans="1:21" x14ac:dyDescent="0.2">
      <c r="A349" s="13"/>
      <c r="B349" s="13"/>
      <c r="C349" s="13"/>
      <c r="T349" s="293"/>
      <c r="U349" s="293"/>
    </row>
    <row r="350" spans="1:21" x14ac:dyDescent="0.2">
      <c r="A350" s="13"/>
      <c r="B350" s="13"/>
      <c r="C350" s="13"/>
      <c r="T350" s="293"/>
      <c r="U350" s="293"/>
    </row>
    <row r="351" spans="1:21" x14ac:dyDescent="0.2">
      <c r="A351" s="13"/>
      <c r="B351" s="13"/>
      <c r="C351" s="13"/>
      <c r="T351" s="293"/>
      <c r="U351" s="293"/>
    </row>
    <row r="352" spans="1:21" x14ac:dyDescent="0.2">
      <c r="A352" s="13"/>
      <c r="B352" s="13"/>
      <c r="C352" s="13"/>
      <c r="T352" s="293"/>
      <c r="U352" s="293"/>
    </row>
    <row r="353" spans="1:21" x14ac:dyDescent="0.2">
      <c r="A353" s="13"/>
      <c r="B353" s="13"/>
      <c r="C353" s="13"/>
      <c r="T353" s="293"/>
      <c r="U353" s="293"/>
    </row>
    <row r="354" spans="1:21" x14ac:dyDescent="0.2">
      <c r="A354" s="13"/>
      <c r="B354" s="13"/>
      <c r="C354" s="13"/>
      <c r="T354" s="293"/>
      <c r="U354" s="293"/>
    </row>
    <row r="355" spans="1:21" x14ac:dyDescent="0.2">
      <c r="A355" s="13"/>
      <c r="B355" s="13"/>
      <c r="C355" s="13"/>
      <c r="T355" s="293"/>
      <c r="U355" s="293"/>
    </row>
    <row r="356" spans="1:21" x14ac:dyDescent="0.2">
      <c r="A356" s="13"/>
      <c r="B356" s="13"/>
      <c r="C356" s="13"/>
      <c r="T356" s="293"/>
      <c r="U356" s="293"/>
    </row>
    <row r="357" spans="1:21" x14ac:dyDescent="0.2">
      <c r="A357" s="13"/>
      <c r="B357" s="13"/>
      <c r="C357" s="13"/>
      <c r="T357" s="293"/>
      <c r="U357" s="293"/>
    </row>
    <row r="358" spans="1:21" x14ac:dyDescent="0.2">
      <c r="A358" s="13"/>
      <c r="B358" s="13"/>
      <c r="C358" s="13"/>
      <c r="T358" s="293"/>
      <c r="U358" s="293"/>
    </row>
    <row r="359" spans="1:21" x14ac:dyDescent="0.2">
      <c r="A359" s="13"/>
      <c r="B359" s="13"/>
      <c r="C359" s="13"/>
      <c r="T359" s="293"/>
      <c r="U359" s="293"/>
    </row>
    <row r="360" spans="1:21" x14ac:dyDescent="0.2">
      <c r="A360" s="13"/>
      <c r="B360" s="13"/>
      <c r="C360" s="13"/>
      <c r="T360" s="293"/>
      <c r="U360" s="293"/>
    </row>
    <row r="361" spans="1:21" x14ac:dyDescent="0.2">
      <c r="A361" s="13"/>
      <c r="B361" s="13"/>
      <c r="C361" s="13"/>
      <c r="T361" s="293"/>
      <c r="U361" s="293"/>
    </row>
    <row r="362" spans="1:21" x14ac:dyDescent="0.2">
      <c r="A362" s="13"/>
      <c r="B362" s="13"/>
      <c r="C362" s="13"/>
      <c r="T362" s="293"/>
      <c r="U362" s="293"/>
    </row>
    <row r="363" spans="1:21" x14ac:dyDescent="0.2">
      <c r="T363" s="293"/>
      <c r="U363" s="293"/>
    </row>
    <row r="364" spans="1:21" x14ac:dyDescent="0.2">
      <c r="T364" s="293"/>
      <c r="U364" s="293"/>
    </row>
    <row r="365" spans="1:21" x14ac:dyDescent="0.2">
      <c r="T365" s="293"/>
      <c r="U365" s="293"/>
    </row>
    <row r="366" spans="1:21" x14ac:dyDescent="0.2">
      <c r="T366" s="293"/>
      <c r="U366" s="293"/>
    </row>
    <row r="367" spans="1:21" x14ac:dyDescent="0.2">
      <c r="T367" s="293"/>
      <c r="U367" s="293"/>
    </row>
    <row r="368" spans="1:21" x14ac:dyDescent="0.2">
      <c r="T368" s="293"/>
      <c r="U368" s="293"/>
    </row>
    <row r="369" spans="20:21" x14ac:dyDescent="0.2">
      <c r="T369" s="293"/>
      <c r="U369" s="293"/>
    </row>
    <row r="370" spans="20:21" x14ac:dyDescent="0.2">
      <c r="T370" s="293"/>
      <c r="U370" s="293"/>
    </row>
    <row r="371" spans="20:21" x14ac:dyDescent="0.2">
      <c r="T371" s="293"/>
      <c r="U371" s="293"/>
    </row>
    <row r="372" spans="20:21" x14ac:dyDescent="0.2">
      <c r="T372" s="293"/>
      <c r="U372" s="293"/>
    </row>
    <row r="373" spans="20:21" x14ac:dyDescent="0.2">
      <c r="T373" s="293"/>
      <c r="U373" s="293"/>
    </row>
    <row r="374" spans="20:21" x14ac:dyDescent="0.2">
      <c r="T374" s="293"/>
      <c r="U374" s="293"/>
    </row>
    <row r="375" spans="20:21" x14ac:dyDescent="0.2">
      <c r="T375" s="293"/>
      <c r="U375" s="293"/>
    </row>
    <row r="376" spans="20:21" x14ac:dyDescent="0.2">
      <c r="T376" s="293"/>
      <c r="U376" s="293"/>
    </row>
    <row r="377" spans="20:21" x14ac:dyDescent="0.2">
      <c r="T377" s="293"/>
      <c r="U377" s="293"/>
    </row>
    <row r="378" spans="20:21" x14ac:dyDescent="0.2">
      <c r="T378" s="293"/>
      <c r="U378" s="293"/>
    </row>
    <row r="379" spans="20:21" x14ac:dyDescent="0.2">
      <c r="T379" s="293"/>
      <c r="U379" s="293"/>
    </row>
    <row r="380" spans="20:21" x14ac:dyDescent="0.2">
      <c r="T380" s="293"/>
      <c r="U380" s="293"/>
    </row>
    <row r="381" spans="20:21" x14ac:dyDescent="0.2">
      <c r="T381" s="293"/>
      <c r="U381" s="293"/>
    </row>
    <row r="382" spans="20:21" x14ac:dyDescent="0.2">
      <c r="T382" s="293"/>
      <c r="U382" s="293"/>
    </row>
    <row r="383" spans="20:21" x14ac:dyDescent="0.2">
      <c r="T383" s="293"/>
      <c r="U383" s="293"/>
    </row>
    <row r="384" spans="20:21" x14ac:dyDescent="0.2">
      <c r="T384" s="293"/>
      <c r="U384" s="293"/>
    </row>
    <row r="385" spans="20:21" x14ac:dyDescent="0.2">
      <c r="T385" s="293"/>
      <c r="U385" s="293"/>
    </row>
    <row r="386" spans="20:21" x14ac:dyDescent="0.2">
      <c r="T386" s="293"/>
      <c r="U386" s="293"/>
    </row>
    <row r="387" spans="20:21" x14ac:dyDescent="0.2">
      <c r="T387" s="293"/>
      <c r="U387" s="293"/>
    </row>
    <row r="388" spans="20:21" x14ac:dyDescent="0.2">
      <c r="T388" s="293"/>
      <c r="U388" s="293"/>
    </row>
    <row r="389" spans="20:21" x14ac:dyDescent="0.2">
      <c r="T389" s="293"/>
      <c r="U389" s="293"/>
    </row>
    <row r="390" spans="20:21" x14ac:dyDescent="0.2">
      <c r="T390" s="293"/>
      <c r="U390" s="293"/>
    </row>
    <row r="391" spans="20:21" x14ac:dyDescent="0.2">
      <c r="T391" s="293"/>
      <c r="U391" s="293"/>
    </row>
    <row r="392" spans="20:21" x14ac:dyDescent="0.2">
      <c r="T392" s="293"/>
      <c r="U392" s="293"/>
    </row>
    <row r="393" spans="20:21" x14ac:dyDescent="0.2">
      <c r="T393" s="293"/>
      <c r="U393" s="293"/>
    </row>
    <row r="394" spans="20:21" x14ac:dyDescent="0.2">
      <c r="T394" s="293"/>
      <c r="U394" s="293"/>
    </row>
    <row r="395" spans="20:21" x14ac:dyDescent="0.2">
      <c r="T395" s="293"/>
      <c r="U395" s="293"/>
    </row>
    <row r="396" spans="20:21" x14ac:dyDescent="0.2">
      <c r="T396" s="293"/>
      <c r="U396" s="293"/>
    </row>
    <row r="397" spans="20:21" x14ac:dyDescent="0.2">
      <c r="T397" s="293"/>
      <c r="U397" s="293"/>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2197"/>
  <sheetViews>
    <sheetView workbookViewId="0"/>
  </sheetViews>
  <sheetFormatPr defaultRowHeight="12.9" x14ac:dyDescent="0.2"/>
  <sheetData>
    <row r="1" spans="1:1" x14ac:dyDescent="0.2">
      <c r="A1" t="s">
        <v>117</v>
      </c>
    </row>
    <row r="2" spans="1:1" x14ac:dyDescent="0.2">
      <c r="A2" t="s">
        <v>262</v>
      </c>
    </row>
    <row r="3" spans="1:1" x14ac:dyDescent="0.2">
      <c r="A3" t="s">
        <v>64</v>
      </c>
    </row>
    <row r="4" spans="1:1" x14ac:dyDescent="0.2">
      <c r="A4" t="s">
        <v>614</v>
      </c>
    </row>
    <row r="5" spans="1:1" x14ac:dyDescent="0.2">
      <c r="A5" t="s">
        <v>34</v>
      </c>
    </row>
    <row r="6" spans="1:1" x14ac:dyDescent="0.2">
      <c r="A6" t="s">
        <v>67</v>
      </c>
    </row>
    <row r="7" spans="1:1" x14ac:dyDescent="0.2">
      <c r="A7" t="s">
        <v>599</v>
      </c>
    </row>
    <row r="8" spans="1:1" x14ac:dyDescent="0.2">
      <c r="A8" t="s">
        <v>608</v>
      </c>
    </row>
    <row r="9" spans="1:1" x14ac:dyDescent="0.2">
      <c r="A9" t="s">
        <v>609</v>
      </c>
    </row>
    <row r="10" spans="1:1" x14ac:dyDescent="0.2">
      <c r="A10" t="s">
        <v>603</v>
      </c>
    </row>
    <row r="11" spans="1:1" x14ac:dyDescent="0.2">
      <c r="A11" t="s">
        <v>604</v>
      </c>
    </row>
    <row r="12" spans="1:1" x14ac:dyDescent="0.2">
      <c r="A12" t="s">
        <v>601</v>
      </c>
    </row>
    <row r="13" spans="1:1" x14ac:dyDescent="0.2">
      <c r="A13" t="s">
        <v>602</v>
      </c>
    </row>
    <row r="14" spans="1:1" x14ac:dyDescent="0.2">
      <c r="A14" t="s">
        <v>605</v>
      </c>
    </row>
    <row r="15" spans="1:1" x14ac:dyDescent="0.2">
      <c r="A15" t="s">
        <v>600</v>
      </c>
    </row>
    <row r="16" spans="1:1" x14ac:dyDescent="0.2">
      <c r="A16" t="s">
        <v>289</v>
      </c>
    </row>
    <row r="17" spans="1:1" x14ac:dyDescent="0.2">
      <c r="A17" t="s">
        <v>227</v>
      </c>
    </row>
    <row r="18" spans="1:1" x14ac:dyDescent="0.2">
      <c r="A18" t="s">
        <v>290</v>
      </c>
    </row>
    <row r="19" spans="1:1" x14ac:dyDescent="0.2">
      <c r="A19" t="s">
        <v>225</v>
      </c>
    </row>
    <row r="20" spans="1:1" x14ac:dyDescent="0.2">
      <c r="A20" t="s">
        <v>224</v>
      </c>
    </row>
    <row r="21" spans="1:1" x14ac:dyDescent="0.2">
      <c r="A21" t="s">
        <v>539</v>
      </c>
    </row>
    <row r="22" spans="1:1" x14ac:dyDescent="0.2">
      <c r="A22" t="s">
        <v>40</v>
      </c>
    </row>
    <row r="23" spans="1:1" x14ac:dyDescent="0.2">
      <c r="A23" t="s">
        <v>38</v>
      </c>
    </row>
    <row r="24" spans="1:1" x14ac:dyDescent="0.2">
      <c r="A24" t="s">
        <v>107</v>
      </c>
    </row>
    <row r="25" spans="1:1" x14ac:dyDescent="0.2">
      <c r="A25" t="s">
        <v>109</v>
      </c>
    </row>
    <row r="26" spans="1:1" x14ac:dyDescent="0.2">
      <c r="A26" t="s">
        <v>297</v>
      </c>
    </row>
    <row r="27" spans="1:1" x14ac:dyDescent="0.2">
      <c r="A27" t="s">
        <v>296</v>
      </c>
    </row>
    <row r="28" spans="1:1" x14ac:dyDescent="0.2">
      <c r="A28" t="s">
        <v>147</v>
      </c>
    </row>
    <row r="29" spans="1:1" x14ac:dyDescent="0.2">
      <c r="A29" t="s">
        <v>49</v>
      </c>
    </row>
    <row r="30" spans="1:1" x14ac:dyDescent="0.2">
      <c r="A30" t="s">
        <v>146</v>
      </c>
    </row>
    <row r="31" spans="1:1" x14ac:dyDescent="0.2">
      <c r="A31" t="s">
        <v>103</v>
      </c>
    </row>
    <row r="32" spans="1:1" x14ac:dyDescent="0.2">
      <c r="A32" t="s">
        <v>46</v>
      </c>
    </row>
    <row r="33" spans="1:1" x14ac:dyDescent="0.2">
      <c r="A33" t="s">
        <v>104</v>
      </c>
    </row>
    <row r="34" spans="1:1" x14ac:dyDescent="0.2">
      <c r="A34" t="s">
        <v>679</v>
      </c>
    </row>
    <row r="35" spans="1:1" x14ac:dyDescent="0.2">
      <c r="A35" t="s">
        <v>205</v>
      </c>
    </row>
    <row r="36" spans="1:1" x14ac:dyDescent="0.2">
      <c r="A36" t="s">
        <v>204</v>
      </c>
    </row>
    <row r="37" spans="1:1" x14ac:dyDescent="0.2">
      <c r="A37" t="s">
        <v>106</v>
      </c>
    </row>
    <row r="38" spans="1:1" x14ac:dyDescent="0.2">
      <c r="A38" t="s">
        <v>102</v>
      </c>
    </row>
    <row r="39" spans="1:1" x14ac:dyDescent="0.2">
      <c r="A39" t="s">
        <v>263</v>
      </c>
    </row>
    <row r="40" spans="1:1" x14ac:dyDescent="0.2">
      <c r="A40" t="s">
        <v>2</v>
      </c>
    </row>
    <row r="41" spans="1:1" x14ac:dyDescent="0.2">
      <c r="A41" t="s">
        <v>3</v>
      </c>
    </row>
    <row r="42" spans="1:1" x14ac:dyDescent="0.2">
      <c r="A42" t="s">
        <v>1</v>
      </c>
    </row>
    <row r="43" spans="1:1" x14ac:dyDescent="0.2">
      <c r="A43" t="s">
        <v>122</v>
      </c>
    </row>
    <row r="44" spans="1:1" x14ac:dyDescent="0.2">
      <c r="A44" t="s">
        <v>361</v>
      </c>
    </row>
    <row r="45" spans="1:1" x14ac:dyDescent="0.2">
      <c r="A45" t="s">
        <v>362</v>
      </c>
    </row>
    <row r="46" spans="1:1" x14ac:dyDescent="0.2">
      <c r="A46" t="s">
        <v>363</v>
      </c>
    </row>
    <row r="47" spans="1:1" x14ac:dyDescent="0.2">
      <c r="A47" t="s">
        <v>364</v>
      </c>
    </row>
    <row r="48" spans="1:1" x14ac:dyDescent="0.2">
      <c r="A48" t="s">
        <v>365</v>
      </c>
    </row>
    <row r="49" spans="1:1" x14ac:dyDescent="0.2">
      <c r="A49" t="s">
        <v>366</v>
      </c>
    </row>
    <row r="50" spans="1:1" x14ac:dyDescent="0.2">
      <c r="A50" t="s">
        <v>692</v>
      </c>
    </row>
    <row r="51" spans="1:1" x14ac:dyDescent="0.2">
      <c r="A51" t="s">
        <v>260</v>
      </c>
    </row>
    <row r="52" spans="1:1" x14ac:dyDescent="0.2">
      <c r="A52" t="s">
        <v>128</v>
      </c>
    </row>
    <row r="53" spans="1:1" x14ac:dyDescent="0.2">
      <c r="A53" t="s">
        <v>611</v>
      </c>
    </row>
    <row r="54" spans="1:1" x14ac:dyDescent="0.2">
      <c r="A54" t="s">
        <v>868</v>
      </c>
    </row>
    <row r="55" spans="1:1" x14ac:dyDescent="0.2">
      <c r="A55" t="s">
        <v>1516</v>
      </c>
    </row>
    <row r="56" spans="1:1" x14ac:dyDescent="0.2">
      <c r="A56" t="s">
        <v>1538</v>
      </c>
    </row>
    <row r="57" spans="1:1" x14ac:dyDescent="0.2">
      <c r="A57" t="s">
        <v>1539</v>
      </c>
    </row>
    <row r="58" spans="1:1" x14ac:dyDescent="0.2">
      <c r="A58" t="s">
        <v>517</v>
      </c>
    </row>
    <row r="59" spans="1:1" x14ac:dyDescent="0.2">
      <c r="A59" t="s">
        <v>523</v>
      </c>
    </row>
    <row r="60" spans="1:1" x14ac:dyDescent="0.2">
      <c r="A60" t="s">
        <v>1533</v>
      </c>
    </row>
    <row r="61" spans="1:1" x14ac:dyDescent="0.2">
      <c r="A61" t="s">
        <v>1534</v>
      </c>
    </row>
    <row r="62" spans="1:1" x14ac:dyDescent="0.2">
      <c r="A62" t="s">
        <v>1541</v>
      </c>
    </row>
    <row r="63" spans="1:1" x14ac:dyDescent="0.2">
      <c r="A63" t="s">
        <v>1247</v>
      </c>
    </row>
    <row r="64" spans="1:1" x14ac:dyDescent="0.2">
      <c r="A64" t="s">
        <v>1498</v>
      </c>
    </row>
    <row r="65" spans="1:1" x14ac:dyDescent="0.2">
      <c r="A65" t="s">
        <v>1502</v>
      </c>
    </row>
    <row r="66" spans="1:1" x14ac:dyDescent="0.2">
      <c r="A66" t="s">
        <v>1231</v>
      </c>
    </row>
    <row r="67" spans="1:1" x14ac:dyDescent="0.2">
      <c r="A67" t="s">
        <v>1497</v>
      </c>
    </row>
    <row r="68" spans="1:1" x14ac:dyDescent="0.2">
      <c r="A68" t="s">
        <v>1215</v>
      </c>
    </row>
    <row r="69" spans="1:1" x14ac:dyDescent="0.2">
      <c r="A69" t="s">
        <v>1216</v>
      </c>
    </row>
    <row r="70" spans="1:1" x14ac:dyDescent="0.2">
      <c r="A70" t="s">
        <v>1509</v>
      </c>
    </row>
    <row r="71" spans="1:1" x14ac:dyDescent="0.2">
      <c r="A71" t="s">
        <v>1542</v>
      </c>
    </row>
    <row r="72" spans="1:1" x14ac:dyDescent="0.2">
      <c r="A72" t="s">
        <v>2771</v>
      </c>
    </row>
    <row r="73" spans="1:1" x14ac:dyDescent="0.2">
      <c r="A73" t="s">
        <v>2785</v>
      </c>
    </row>
    <row r="74" spans="1:1" x14ac:dyDescent="0.2">
      <c r="A74" t="s">
        <v>2786</v>
      </c>
    </row>
    <row r="75" spans="1:1" x14ac:dyDescent="0.2">
      <c r="A75" t="s">
        <v>2791</v>
      </c>
    </row>
    <row r="76" spans="1:1" x14ac:dyDescent="0.2">
      <c r="A76" t="s">
        <v>6</v>
      </c>
    </row>
    <row r="77" spans="1:1" x14ac:dyDescent="0.2">
      <c r="A77" t="s">
        <v>126</v>
      </c>
    </row>
    <row r="78" spans="1:1" x14ac:dyDescent="0.2">
      <c r="A78" t="s">
        <v>1224</v>
      </c>
    </row>
    <row r="79" spans="1:1" x14ac:dyDescent="0.2">
      <c r="A79" t="s">
        <v>75</v>
      </c>
    </row>
    <row r="80" spans="1:1" x14ac:dyDescent="0.2">
      <c r="A80" t="s">
        <v>22</v>
      </c>
    </row>
    <row r="81" spans="1:1" x14ac:dyDescent="0.2">
      <c r="A81" t="s">
        <v>254</v>
      </c>
    </row>
    <row r="82" spans="1:1" x14ac:dyDescent="0.2">
      <c r="A82" t="s">
        <v>136</v>
      </c>
    </row>
    <row r="83" spans="1:1" x14ac:dyDescent="0.2">
      <c r="A83" t="s">
        <v>1225</v>
      </c>
    </row>
    <row r="84" spans="1:1" x14ac:dyDescent="0.2">
      <c r="A84" t="s">
        <v>23</v>
      </c>
    </row>
    <row r="85" spans="1:1" x14ac:dyDescent="0.2">
      <c r="A85" t="s">
        <v>360</v>
      </c>
    </row>
    <row r="86" spans="1:1" x14ac:dyDescent="0.2">
      <c r="A86" t="s">
        <v>768</v>
      </c>
    </row>
    <row r="87" spans="1:1" x14ac:dyDescent="0.2">
      <c r="A87" t="s">
        <v>314</v>
      </c>
    </row>
    <row r="88" spans="1:1" x14ac:dyDescent="0.2">
      <c r="A88" t="s">
        <v>326</v>
      </c>
    </row>
    <row r="89" spans="1:1" x14ac:dyDescent="0.2">
      <c r="A89" t="s">
        <v>178</v>
      </c>
    </row>
    <row r="90" spans="1:1" x14ac:dyDescent="0.2">
      <c r="A90" t="s">
        <v>270</v>
      </c>
    </row>
    <row r="91" spans="1:1" x14ac:dyDescent="0.2">
      <c r="A91" t="s">
        <v>1050</v>
      </c>
    </row>
    <row r="92" spans="1:1" x14ac:dyDescent="0.2">
      <c r="A92" t="s">
        <v>1217</v>
      </c>
    </row>
    <row r="93" spans="1:1" x14ac:dyDescent="0.2">
      <c r="A93" t="s">
        <v>41</v>
      </c>
    </row>
    <row r="94" spans="1:1" x14ac:dyDescent="0.2">
      <c r="A94" t="s">
        <v>127</v>
      </c>
    </row>
    <row r="95" spans="1:1" x14ac:dyDescent="0.2">
      <c r="A95" t="s">
        <v>48</v>
      </c>
    </row>
    <row r="96" spans="1:1" x14ac:dyDescent="0.2">
      <c r="A96" t="s">
        <v>39</v>
      </c>
    </row>
    <row r="97" spans="1:1" x14ac:dyDescent="0.2">
      <c r="A97" t="s">
        <v>143</v>
      </c>
    </row>
    <row r="98" spans="1:1" x14ac:dyDescent="0.2">
      <c r="A98" t="s">
        <v>4</v>
      </c>
    </row>
    <row r="99" spans="1:1" x14ac:dyDescent="0.2">
      <c r="A99" t="s">
        <v>30</v>
      </c>
    </row>
    <row r="100" spans="1:1" x14ac:dyDescent="0.2">
      <c r="A100" t="s">
        <v>268</v>
      </c>
    </row>
    <row r="101" spans="1:1" x14ac:dyDescent="0.2">
      <c r="A101" t="s">
        <v>681</v>
      </c>
    </row>
    <row r="102" spans="1:1" x14ac:dyDescent="0.2">
      <c r="A102" t="s">
        <v>1049</v>
      </c>
    </row>
    <row r="103" spans="1:1" x14ac:dyDescent="0.2">
      <c r="A103" t="s">
        <v>25</v>
      </c>
    </row>
    <row r="104" spans="1:1" x14ac:dyDescent="0.2">
      <c r="A104" t="s">
        <v>24</v>
      </c>
    </row>
    <row r="105" spans="1:1" x14ac:dyDescent="0.2">
      <c r="A105" t="s">
        <v>506</v>
      </c>
    </row>
    <row r="106" spans="1:1" x14ac:dyDescent="0.2">
      <c r="A106" t="s">
        <v>488</v>
      </c>
    </row>
    <row r="107" spans="1:1" x14ac:dyDescent="0.2">
      <c r="A107" t="s">
        <v>2749</v>
      </c>
    </row>
    <row r="108" spans="1:1" x14ac:dyDescent="0.2">
      <c r="A108" t="s">
        <v>277</v>
      </c>
    </row>
    <row r="109" spans="1:1" x14ac:dyDescent="0.2">
      <c r="A109" t="s">
        <v>878</v>
      </c>
    </row>
    <row r="110" spans="1:1" x14ac:dyDescent="0.2">
      <c r="A110" t="s">
        <v>1080</v>
      </c>
    </row>
    <row r="111" spans="1:1" x14ac:dyDescent="0.2">
      <c r="A111" t="s">
        <v>1489</v>
      </c>
    </row>
    <row r="112" spans="1:1" x14ac:dyDescent="0.2">
      <c r="A112" t="s">
        <v>1228</v>
      </c>
    </row>
    <row r="113" spans="1:1" x14ac:dyDescent="0.2">
      <c r="A113" t="s">
        <v>1233</v>
      </c>
    </row>
    <row r="114" spans="1:1" x14ac:dyDescent="0.2">
      <c r="A114" t="s">
        <v>1493</v>
      </c>
    </row>
    <row r="115" spans="1:1" x14ac:dyDescent="0.2">
      <c r="A115" t="s">
        <v>357</v>
      </c>
    </row>
    <row r="116" spans="1:1" x14ac:dyDescent="0.2">
      <c r="A116" t="s">
        <v>301</v>
      </c>
    </row>
    <row r="117" spans="1:1" x14ac:dyDescent="0.2">
      <c r="A117" t="s">
        <v>213</v>
      </c>
    </row>
    <row r="118" spans="1:1" x14ac:dyDescent="0.2">
      <c r="A118" t="s">
        <v>5</v>
      </c>
    </row>
    <row r="119" spans="1:1" x14ac:dyDescent="0.2">
      <c r="A119" t="s">
        <v>330</v>
      </c>
    </row>
    <row r="120" spans="1:1" x14ac:dyDescent="0.2">
      <c r="A120" t="s">
        <v>58</v>
      </c>
    </row>
    <row r="121" spans="1:1" x14ac:dyDescent="0.2">
      <c r="A121" t="s">
        <v>124</v>
      </c>
    </row>
    <row r="122" spans="1:1" x14ac:dyDescent="0.2">
      <c r="A122" t="s">
        <v>52</v>
      </c>
    </row>
    <row r="123" spans="1:1" x14ac:dyDescent="0.2">
      <c r="A123" t="s">
        <v>47</v>
      </c>
    </row>
    <row r="124" spans="1:1" x14ac:dyDescent="0.2">
      <c r="A124" t="s">
        <v>284</v>
      </c>
    </row>
    <row r="125" spans="1:1" x14ac:dyDescent="0.2">
      <c r="A125" t="s">
        <v>57</v>
      </c>
    </row>
    <row r="126" spans="1:1" x14ac:dyDescent="0.2">
      <c r="A126" t="s">
        <v>21</v>
      </c>
    </row>
    <row r="127" spans="1:1" x14ac:dyDescent="0.2">
      <c r="A127" t="s">
        <v>33</v>
      </c>
    </row>
    <row r="128" spans="1:1" x14ac:dyDescent="0.2">
      <c r="A128" t="s">
        <v>269</v>
      </c>
    </row>
    <row r="129" spans="1:1" x14ac:dyDescent="0.2">
      <c r="A129" t="s">
        <v>508</v>
      </c>
    </row>
    <row r="130" spans="1:1" x14ac:dyDescent="0.2">
      <c r="A130" t="s">
        <v>489</v>
      </c>
    </row>
    <row r="131" spans="1:1" x14ac:dyDescent="0.2">
      <c r="A131" t="s">
        <v>29</v>
      </c>
    </row>
    <row r="132" spans="1:1" x14ac:dyDescent="0.2">
      <c r="A132" t="s">
        <v>28</v>
      </c>
    </row>
    <row r="133" spans="1:1" x14ac:dyDescent="0.2">
      <c r="A133" t="s">
        <v>271</v>
      </c>
    </row>
    <row r="134" spans="1:1" x14ac:dyDescent="0.2">
      <c r="A134" t="s">
        <v>682</v>
      </c>
    </row>
    <row r="135" spans="1:1" x14ac:dyDescent="0.2">
      <c r="A135" t="s">
        <v>695</v>
      </c>
    </row>
    <row r="136" spans="1:1" x14ac:dyDescent="0.2">
      <c r="A136" t="s">
        <v>300</v>
      </c>
    </row>
    <row r="137" spans="1:1" x14ac:dyDescent="0.2">
      <c r="A137" t="s">
        <v>298</v>
      </c>
    </row>
    <row r="138" spans="1:1" x14ac:dyDescent="0.2">
      <c r="A138" t="s">
        <v>299</v>
      </c>
    </row>
    <row r="139" spans="1:1" x14ac:dyDescent="0.2">
      <c r="A139" t="s">
        <v>629</v>
      </c>
    </row>
    <row r="140" spans="1:1" x14ac:dyDescent="0.2">
      <c r="A140" t="s">
        <v>182</v>
      </c>
    </row>
    <row r="141" spans="1:1" x14ac:dyDescent="0.2">
      <c r="A141" t="s">
        <v>239</v>
      </c>
    </row>
    <row r="142" spans="1:1" x14ac:dyDescent="0.2">
      <c r="A142" t="s">
        <v>183</v>
      </c>
    </row>
    <row r="143" spans="1:1" x14ac:dyDescent="0.2">
      <c r="A143" t="s">
        <v>187</v>
      </c>
    </row>
    <row r="144" spans="1:1" x14ac:dyDescent="0.2">
      <c r="A144" t="s">
        <v>190</v>
      </c>
    </row>
    <row r="145" spans="1:1" x14ac:dyDescent="0.2">
      <c r="A145" t="s">
        <v>240</v>
      </c>
    </row>
    <row r="146" spans="1:1" x14ac:dyDescent="0.2">
      <c r="A146" t="s">
        <v>191</v>
      </c>
    </row>
    <row r="147" spans="1:1" x14ac:dyDescent="0.2">
      <c r="A147" t="s">
        <v>192</v>
      </c>
    </row>
    <row r="148" spans="1:1" x14ac:dyDescent="0.2">
      <c r="A148" t="s">
        <v>194</v>
      </c>
    </row>
    <row r="149" spans="1:1" x14ac:dyDescent="0.2">
      <c r="A149" t="s">
        <v>195</v>
      </c>
    </row>
    <row r="150" spans="1:1" x14ac:dyDescent="0.2">
      <c r="A150" t="s">
        <v>196</v>
      </c>
    </row>
    <row r="151" spans="1:1" x14ac:dyDescent="0.2">
      <c r="A151" t="s">
        <v>197</v>
      </c>
    </row>
    <row r="152" spans="1:1" x14ac:dyDescent="0.2">
      <c r="A152" t="s">
        <v>198</v>
      </c>
    </row>
    <row r="153" spans="1:1" x14ac:dyDescent="0.2">
      <c r="A153" t="s">
        <v>199</v>
      </c>
    </row>
    <row r="154" spans="1:1" x14ac:dyDescent="0.2">
      <c r="A154" t="s">
        <v>200</v>
      </c>
    </row>
    <row r="155" spans="1:1" x14ac:dyDescent="0.2">
      <c r="A155" t="s">
        <v>201</v>
      </c>
    </row>
    <row r="156" spans="1:1" x14ac:dyDescent="0.2">
      <c r="A156" t="s">
        <v>202</v>
      </c>
    </row>
    <row r="157" spans="1:1" x14ac:dyDescent="0.2">
      <c r="A157" t="s">
        <v>203</v>
      </c>
    </row>
    <row r="158" spans="1:1" x14ac:dyDescent="0.2">
      <c r="A158" t="s">
        <v>1494</v>
      </c>
    </row>
    <row r="159" spans="1:1" x14ac:dyDescent="0.2">
      <c r="A159" t="s">
        <v>216</v>
      </c>
    </row>
    <row r="160" spans="1:1" x14ac:dyDescent="0.2">
      <c r="A160" t="s">
        <v>253</v>
      </c>
    </row>
    <row r="161" spans="1:1" x14ac:dyDescent="0.2">
      <c r="A161" t="s">
        <v>302</v>
      </c>
    </row>
    <row r="162" spans="1:1" x14ac:dyDescent="0.2">
      <c r="A162" t="s">
        <v>303</v>
      </c>
    </row>
    <row r="163" spans="1:1" x14ac:dyDescent="0.2">
      <c r="A163" t="s">
        <v>304</v>
      </c>
    </row>
    <row r="164" spans="1:1" x14ac:dyDescent="0.2">
      <c r="A164" t="s">
        <v>305</v>
      </c>
    </row>
    <row r="165" spans="1:1" x14ac:dyDescent="0.2">
      <c r="A165" t="s">
        <v>311</v>
      </c>
    </row>
    <row r="166" spans="1:1" x14ac:dyDescent="0.2">
      <c r="A166" t="s">
        <v>346</v>
      </c>
    </row>
    <row r="167" spans="1:1" x14ac:dyDescent="0.2">
      <c r="A167" t="s">
        <v>312</v>
      </c>
    </row>
    <row r="168" spans="1:1" x14ac:dyDescent="0.2">
      <c r="A168" t="s">
        <v>313</v>
      </c>
    </row>
    <row r="169" spans="1:1" x14ac:dyDescent="0.2">
      <c r="A169" t="s">
        <v>325</v>
      </c>
    </row>
    <row r="170" spans="1:1" x14ac:dyDescent="0.2">
      <c r="A170" t="s">
        <v>335</v>
      </c>
    </row>
    <row r="171" spans="1:1" x14ac:dyDescent="0.2">
      <c r="A171" t="s">
        <v>336</v>
      </c>
    </row>
    <row r="172" spans="1:1" x14ac:dyDescent="0.2">
      <c r="A172" t="s">
        <v>353</v>
      </c>
    </row>
    <row r="173" spans="1:1" x14ac:dyDescent="0.2">
      <c r="A173" t="s">
        <v>354</v>
      </c>
    </row>
    <row r="174" spans="1:1" x14ac:dyDescent="0.2">
      <c r="A174" t="s">
        <v>355</v>
      </c>
    </row>
    <row r="175" spans="1:1" x14ac:dyDescent="0.2">
      <c r="A175" t="s">
        <v>403</v>
      </c>
    </row>
    <row r="176" spans="1:1" x14ac:dyDescent="0.2">
      <c r="A176" t="s">
        <v>410</v>
      </c>
    </row>
    <row r="177" spans="1:1" x14ac:dyDescent="0.2">
      <c r="A177" t="s">
        <v>1070</v>
      </c>
    </row>
    <row r="178" spans="1:1" x14ac:dyDescent="0.2">
      <c r="A178" t="s">
        <v>1510</v>
      </c>
    </row>
    <row r="179" spans="1:1" x14ac:dyDescent="0.2">
      <c r="A179" t="s">
        <v>451</v>
      </c>
    </row>
    <row r="180" spans="1:1" x14ac:dyDescent="0.2">
      <c r="A180" t="s">
        <v>1495</v>
      </c>
    </row>
    <row r="181" spans="1:1" x14ac:dyDescent="0.2">
      <c r="A181" t="s">
        <v>474</v>
      </c>
    </row>
    <row r="182" spans="1:1" x14ac:dyDescent="0.2">
      <c r="A182" t="s">
        <v>1511</v>
      </c>
    </row>
    <row r="183" spans="1:1" x14ac:dyDescent="0.2">
      <c r="A183" t="s">
        <v>492</v>
      </c>
    </row>
    <row r="184" spans="1:1" x14ac:dyDescent="0.2">
      <c r="A184" t="s">
        <v>1496</v>
      </c>
    </row>
    <row r="185" spans="1:1" x14ac:dyDescent="0.2">
      <c r="A185" t="s">
        <v>625</v>
      </c>
    </row>
    <row r="186" spans="1:1" x14ac:dyDescent="0.2">
      <c r="A186" t="s">
        <v>513</v>
      </c>
    </row>
    <row r="187" spans="1:1" x14ac:dyDescent="0.2">
      <c r="A187" t="s">
        <v>521</v>
      </c>
    </row>
    <row r="188" spans="1:1" x14ac:dyDescent="0.2">
      <c r="A188" t="s">
        <v>527</v>
      </c>
    </row>
    <row r="189" spans="1:1" x14ac:dyDescent="0.2">
      <c r="A189" t="s">
        <v>531</v>
      </c>
    </row>
    <row r="190" spans="1:1" x14ac:dyDescent="0.2">
      <c r="A190" t="s">
        <v>1515</v>
      </c>
    </row>
    <row r="191" spans="1:1" x14ac:dyDescent="0.2">
      <c r="A191" t="s">
        <v>541</v>
      </c>
    </row>
    <row r="192" spans="1:1" x14ac:dyDescent="0.2">
      <c r="A192" t="s">
        <v>1517</v>
      </c>
    </row>
    <row r="193" spans="1:1" x14ac:dyDescent="0.2">
      <c r="A193" t="s">
        <v>1518</v>
      </c>
    </row>
    <row r="194" spans="1:1" x14ac:dyDescent="0.2">
      <c r="A194" t="s">
        <v>1519</v>
      </c>
    </row>
    <row r="195" spans="1:1" x14ac:dyDescent="0.2">
      <c r="A195" t="s">
        <v>1520</v>
      </c>
    </row>
    <row r="196" spans="1:1" x14ac:dyDescent="0.2">
      <c r="A196" t="s">
        <v>1521</v>
      </c>
    </row>
    <row r="197" spans="1:1" x14ac:dyDescent="0.2">
      <c r="A197" t="s">
        <v>1523</v>
      </c>
    </row>
    <row r="198" spans="1:1" x14ac:dyDescent="0.2">
      <c r="A198" t="s">
        <v>1537</v>
      </c>
    </row>
    <row r="199" spans="1:1" x14ac:dyDescent="0.2">
      <c r="A199" t="s">
        <v>545</v>
      </c>
    </row>
    <row r="200" spans="1:1" x14ac:dyDescent="0.2">
      <c r="A200" t="s">
        <v>546</v>
      </c>
    </row>
    <row r="201" spans="1:1" x14ac:dyDescent="0.2">
      <c r="A201" t="s">
        <v>547</v>
      </c>
    </row>
    <row r="202" spans="1:1" x14ac:dyDescent="0.2">
      <c r="A202" t="s">
        <v>548</v>
      </c>
    </row>
    <row r="203" spans="1:1" x14ac:dyDescent="0.2">
      <c r="A203" t="s">
        <v>549</v>
      </c>
    </row>
    <row r="204" spans="1:1" x14ac:dyDescent="0.2">
      <c r="A204" t="s">
        <v>1055</v>
      </c>
    </row>
    <row r="205" spans="1:1" x14ac:dyDescent="0.2">
      <c r="A205" t="s">
        <v>1525</v>
      </c>
    </row>
    <row r="206" spans="1:1" x14ac:dyDescent="0.2">
      <c r="A206" t="s">
        <v>1526</v>
      </c>
    </row>
    <row r="207" spans="1:1" x14ac:dyDescent="0.2">
      <c r="A207" t="s">
        <v>595</v>
      </c>
    </row>
    <row r="208" spans="1:1" x14ac:dyDescent="0.2">
      <c r="A208" t="s">
        <v>596</v>
      </c>
    </row>
    <row r="209" spans="1:1" x14ac:dyDescent="0.2">
      <c r="A209" t="s">
        <v>597</v>
      </c>
    </row>
    <row r="210" spans="1:1" x14ac:dyDescent="0.2">
      <c r="A210" t="s">
        <v>705</v>
      </c>
    </row>
    <row r="211" spans="1:1" x14ac:dyDescent="0.2">
      <c r="A211" t="s">
        <v>718</v>
      </c>
    </row>
    <row r="212" spans="1:1" x14ac:dyDescent="0.2">
      <c r="A212" t="s">
        <v>814</v>
      </c>
    </row>
    <row r="213" spans="1:1" x14ac:dyDescent="0.2">
      <c r="A213" t="s">
        <v>845</v>
      </c>
    </row>
    <row r="214" spans="1:1" x14ac:dyDescent="0.2">
      <c r="A214" t="s">
        <v>852</v>
      </c>
    </row>
    <row r="215" spans="1:1" x14ac:dyDescent="0.2">
      <c r="A215" t="s">
        <v>853</v>
      </c>
    </row>
    <row r="216" spans="1:1" x14ac:dyDescent="0.2">
      <c r="A216" t="s">
        <v>854</v>
      </c>
    </row>
    <row r="217" spans="1:1" x14ac:dyDescent="0.2">
      <c r="A217" t="s">
        <v>855</v>
      </c>
    </row>
    <row r="218" spans="1:1" x14ac:dyDescent="0.2">
      <c r="A218" t="s">
        <v>856</v>
      </c>
    </row>
    <row r="219" spans="1:1" x14ac:dyDescent="0.2">
      <c r="A219" t="s">
        <v>1078</v>
      </c>
    </row>
    <row r="220" spans="1:1" x14ac:dyDescent="0.2">
      <c r="A220" t="s">
        <v>1079</v>
      </c>
    </row>
    <row r="221" spans="1:1" x14ac:dyDescent="0.2">
      <c r="A221" t="s">
        <v>858</v>
      </c>
    </row>
    <row r="222" spans="1:1" x14ac:dyDescent="0.2">
      <c r="A222" t="s">
        <v>861</v>
      </c>
    </row>
    <row r="223" spans="1:1" x14ac:dyDescent="0.2">
      <c r="A223" t="s">
        <v>862</v>
      </c>
    </row>
    <row r="224" spans="1:1" x14ac:dyDescent="0.2">
      <c r="A224" t="s">
        <v>863</v>
      </c>
    </row>
    <row r="225" spans="1:1" x14ac:dyDescent="0.2">
      <c r="A225" t="s">
        <v>876</v>
      </c>
    </row>
    <row r="226" spans="1:1" x14ac:dyDescent="0.2">
      <c r="A226" t="s">
        <v>877</v>
      </c>
    </row>
    <row r="227" spans="1:1" x14ac:dyDescent="0.2">
      <c r="A227" t="s">
        <v>906</v>
      </c>
    </row>
    <row r="228" spans="1:1" x14ac:dyDescent="0.2">
      <c r="A228" t="s">
        <v>907</v>
      </c>
    </row>
    <row r="229" spans="1:1" x14ac:dyDescent="0.2">
      <c r="A229" t="s">
        <v>908</v>
      </c>
    </row>
    <row r="230" spans="1:1" x14ac:dyDescent="0.2">
      <c r="A230" t="s">
        <v>697</v>
      </c>
    </row>
    <row r="231" spans="1:1" x14ac:dyDescent="0.2">
      <c r="A231" t="s">
        <v>698</v>
      </c>
    </row>
    <row r="232" spans="1:1" x14ac:dyDescent="0.2">
      <c r="A232" t="s">
        <v>909</v>
      </c>
    </row>
    <row r="233" spans="1:1" x14ac:dyDescent="0.2">
      <c r="A233" t="s">
        <v>918</v>
      </c>
    </row>
    <row r="234" spans="1:1" x14ac:dyDescent="0.2">
      <c r="A234" t="s">
        <v>922</v>
      </c>
    </row>
    <row r="235" spans="1:1" x14ac:dyDescent="0.2">
      <c r="A235" t="s">
        <v>923</v>
      </c>
    </row>
    <row r="236" spans="1:1" x14ac:dyDescent="0.2">
      <c r="A236" t="s">
        <v>925</v>
      </c>
    </row>
    <row r="237" spans="1:1" x14ac:dyDescent="0.2">
      <c r="A237" t="s">
        <v>926</v>
      </c>
    </row>
    <row r="238" spans="1:1" x14ac:dyDescent="0.2">
      <c r="A238" t="s">
        <v>927</v>
      </c>
    </row>
    <row r="239" spans="1:1" x14ac:dyDescent="0.2">
      <c r="A239" t="s">
        <v>928</v>
      </c>
    </row>
    <row r="240" spans="1:1" x14ac:dyDescent="0.2">
      <c r="A240" t="s">
        <v>931</v>
      </c>
    </row>
    <row r="241" spans="1:1" x14ac:dyDescent="0.2">
      <c r="A241" t="s">
        <v>1011</v>
      </c>
    </row>
    <row r="242" spans="1:1" x14ac:dyDescent="0.2">
      <c r="A242" t="s">
        <v>1014</v>
      </c>
    </row>
    <row r="243" spans="1:1" x14ac:dyDescent="0.2">
      <c r="A243" t="s">
        <v>1527</v>
      </c>
    </row>
    <row r="244" spans="1:1" x14ac:dyDescent="0.2">
      <c r="A244" t="s">
        <v>1540</v>
      </c>
    </row>
    <row r="245" spans="1:1" x14ac:dyDescent="0.2">
      <c r="A245" t="s">
        <v>1022</v>
      </c>
    </row>
    <row r="246" spans="1:1" x14ac:dyDescent="0.2">
      <c r="A246" t="s">
        <v>1530</v>
      </c>
    </row>
    <row r="247" spans="1:1" x14ac:dyDescent="0.2">
      <c r="A247" t="s">
        <v>1531</v>
      </c>
    </row>
    <row r="248" spans="1:1" x14ac:dyDescent="0.2">
      <c r="A248" t="s">
        <v>1506</v>
      </c>
    </row>
    <row r="249" spans="1:1" x14ac:dyDescent="0.2">
      <c r="A249" t="s">
        <v>1507</v>
      </c>
    </row>
    <row r="250" spans="1:1" x14ac:dyDescent="0.2">
      <c r="A250" t="s">
        <v>1528</v>
      </c>
    </row>
    <row r="251" spans="1:1" x14ac:dyDescent="0.2">
      <c r="A251" t="s">
        <v>1529</v>
      </c>
    </row>
    <row r="252" spans="1:1" x14ac:dyDescent="0.2">
      <c r="A252" t="s">
        <v>1151</v>
      </c>
    </row>
    <row r="253" spans="1:1" x14ac:dyDescent="0.2">
      <c r="A253" t="s">
        <v>1156</v>
      </c>
    </row>
    <row r="254" spans="1:1" x14ac:dyDescent="0.2">
      <c r="A254" t="s">
        <v>1073</v>
      </c>
    </row>
    <row r="255" spans="1:1" x14ac:dyDescent="0.2">
      <c r="A255" t="s">
        <v>1260</v>
      </c>
    </row>
    <row r="256" spans="1:1" x14ac:dyDescent="0.2">
      <c r="A256" t="s">
        <v>1081</v>
      </c>
    </row>
    <row r="257" spans="1:1" x14ac:dyDescent="0.2">
      <c r="A257" t="s">
        <v>1561</v>
      </c>
    </row>
    <row r="258" spans="1:1" x14ac:dyDescent="0.2">
      <c r="A258" t="s">
        <v>1562</v>
      </c>
    </row>
    <row r="259" spans="1:1" x14ac:dyDescent="0.2">
      <c r="A259" t="s">
        <v>1560</v>
      </c>
    </row>
    <row r="260" spans="1:1" x14ac:dyDescent="0.2">
      <c r="A260" t="s">
        <v>1229</v>
      </c>
    </row>
    <row r="261" spans="1:1" x14ac:dyDescent="0.2">
      <c r="A261" t="s">
        <v>1230</v>
      </c>
    </row>
    <row r="262" spans="1:1" x14ac:dyDescent="0.2">
      <c r="A262" t="s">
        <v>1499</v>
      </c>
    </row>
    <row r="263" spans="1:1" x14ac:dyDescent="0.2">
      <c r="A263" t="s">
        <v>1500</v>
      </c>
    </row>
    <row r="264" spans="1:1" x14ac:dyDescent="0.2">
      <c r="A264" t="s">
        <v>1501</v>
      </c>
    </row>
    <row r="265" spans="1:1" x14ac:dyDescent="0.2">
      <c r="A265" t="s">
        <v>1213</v>
      </c>
    </row>
    <row r="266" spans="1:1" x14ac:dyDescent="0.2">
      <c r="A266" t="s">
        <v>1214</v>
      </c>
    </row>
    <row r="267" spans="1:1" x14ac:dyDescent="0.2">
      <c r="A267" t="s">
        <v>1235</v>
      </c>
    </row>
    <row r="268" spans="1:1" x14ac:dyDescent="0.2">
      <c r="A268" t="s">
        <v>1559</v>
      </c>
    </row>
    <row r="269" spans="1:1" x14ac:dyDescent="0.2">
      <c r="A269" t="s">
        <v>1563</v>
      </c>
    </row>
    <row r="270" spans="1:1" x14ac:dyDescent="0.2">
      <c r="A270" t="s">
        <v>1490</v>
      </c>
    </row>
    <row r="271" spans="1:1" x14ac:dyDescent="0.2">
      <c r="A271" t="s">
        <v>1491</v>
      </c>
    </row>
    <row r="272" spans="1:1" x14ac:dyDescent="0.2">
      <c r="A272" t="s">
        <v>1492</v>
      </c>
    </row>
    <row r="273" spans="1:1" x14ac:dyDescent="0.2">
      <c r="A273" t="s">
        <v>1508</v>
      </c>
    </row>
    <row r="274" spans="1:1" x14ac:dyDescent="0.2">
      <c r="A274" t="s">
        <v>699</v>
      </c>
    </row>
    <row r="275" spans="1:1" x14ac:dyDescent="0.2">
      <c r="A275" t="s">
        <v>700</v>
      </c>
    </row>
    <row r="276" spans="1:1" x14ac:dyDescent="0.2">
      <c r="A276" t="s">
        <v>1544</v>
      </c>
    </row>
    <row r="277" spans="1:1" x14ac:dyDescent="0.2">
      <c r="A277" t="s">
        <v>1545</v>
      </c>
    </row>
    <row r="278" spans="1:1" x14ac:dyDescent="0.2">
      <c r="A278" t="s">
        <v>1546</v>
      </c>
    </row>
    <row r="279" spans="1:1" x14ac:dyDescent="0.2">
      <c r="A279" t="s">
        <v>1547</v>
      </c>
    </row>
    <row r="280" spans="1:1" x14ac:dyDescent="0.2">
      <c r="A280" t="s">
        <v>1548</v>
      </c>
    </row>
    <row r="281" spans="1:1" x14ac:dyDescent="0.2">
      <c r="A281" t="s">
        <v>1549</v>
      </c>
    </row>
    <row r="282" spans="1:1" x14ac:dyDescent="0.2">
      <c r="A282" t="s">
        <v>1550</v>
      </c>
    </row>
    <row r="283" spans="1:1" x14ac:dyDescent="0.2">
      <c r="A283" t="s">
        <v>1552</v>
      </c>
    </row>
    <row r="284" spans="1:1" x14ac:dyDescent="0.2">
      <c r="A284" t="s">
        <v>1553</v>
      </c>
    </row>
    <row r="285" spans="1:1" x14ac:dyDescent="0.2">
      <c r="A285" t="s">
        <v>1554</v>
      </c>
    </row>
    <row r="286" spans="1:1" x14ac:dyDescent="0.2">
      <c r="A286" t="s">
        <v>1555</v>
      </c>
    </row>
    <row r="287" spans="1:1" x14ac:dyDescent="0.2">
      <c r="A287" t="s">
        <v>1556</v>
      </c>
    </row>
    <row r="288" spans="1:1" x14ac:dyDescent="0.2">
      <c r="A288" t="s">
        <v>1557</v>
      </c>
    </row>
    <row r="289" spans="1:1" x14ac:dyDescent="0.2">
      <c r="A289" t="s">
        <v>1558</v>
      </c>
    </row>
    <row r="290" spans="1:1" x14ac:dyDescent="0.2">
      <c r="A290" t="s">
        <v>1535</v>
      </c>
    </row>
    <row r="291" spans="1:1" x14ac:dyDescent="0.2">
      <c r="A291" t="s">
        <v>1543</v>
      </c>
    </row>
    <row r="292" spans="1:1" x14ac:dyDescent="0.2">
      <c r="A292" t="s">
        <v>1564</v>
      </c>
    </row>
    <row r="293" spans="1:1" x14ac:dyDescent="0.2">
      <c r="A293" t="s">
        <v>1569</v>
      </c>
    </row>
    <row r="294" spans="1:1" x14ac:dyDescent="0.2">
      <c r="A294" t="s">
        <v>1135</v>
      </c>
    </row>
    <row r="295" spans="1:1" x14ac:dyDescent="0.2">
      <c r="A295" t="s">
        <v>1234</v>
      </c>
    </row>
    <row r="296" spans="1:1" x14ac:dyDescent="0.2">
      <c r="A296" t="s">
        <v>1503</v>
      </c>
    </row>
    <row r="297" spans="1:1" x14ac:dyDescent="0.2">
      <c r="A297" t="s">
        <v>1504</v>
      </c>
    </row>
    <row r="298" spans="1:1" x14ac:dyDescent="0.2">
      <c r="A298" t="s">
        <v>1505</v>
      </c>
    </row>
    <row r="299" spans="1:1" x14ac:dyDescent="0.2">
      <c r="A299" t="s">
        <v>1522</v>
      </c>
    </row>
    <row r="300" spans="1:1" x14ac:dyDescent="0.2">
      <c r="A300" t="s">
        <v>1524</v>
      </c>
    </row>
    <row r="301" spans="1:1" x14ac:dyDescent="0.2">
      <c r="A301" t="s">
        <v>1512</v>
      </c>
    </row>
    <row r="302" spans="1:1" x14ac:dyDescent="0.2">
      <c r="A302" t="s">
        <v>1513</v>
      </c>
    </row>
    <row r="303" spans="1:1" x14ac:dyDescent="0.2">
      <c r="A303" t="s">
        <v>1574</v>
      </c>
    </row>
    <row r="304" spans="1:1" x14ac:dyDescent="0.2">
      <c r="A304" t="s">
        <v>1575</v>
      </c>
    </row>
    <row r="305" spans="1:1" x14ac:dyDescent="0.2">
      <c r="A305" t="s">
        <v>1576</v>
      </c>
    </row>
    <row r="306" spans="1:1" x14ac:dyDescent="0.2">
      <c r="A306" t="s">
        <v>1577</v>
      </c>
    </row>
    <row r="307" spans="1:1" x14ac:dyDescent="0.2">
      <c r="A307" t="s">
        <v>1578</v>
      </c>
    </row>
    <row r="308" spans="1:1" x14ac:dyDescent="0.2">
      <c r="A308" t="s">
        <v>1582</v>
      </c>
    </row>
    <row r="309" spans="1:1" x14ac:dyDescent="0.2">
      <c r="A309" t="s">
        <v>1583</v>
      </c>
    </row>
    <row r="310" spans="1:1" x14ac:dyDescent="0.2">
      <c r="A310" t="s">
        <v>1588</v>
      </c>
    </row>
    <row r="311" spans="1:1" x14ac:dyDescent="0.2">
      <c r="A311" t="s">
        <v>1586</v>
      </c>
    </row>
    <row r="312" spans="1:1" x14ac:dyDescent="0.2">
      <c r="A312" t="s">
        <v>1585</v>
      </c>
    </row>
    <row r="313" spans="1:1" x14ac:dyDescent="0.2">
      <c r="A313" t="s">
        <v>1587</v>
      </c>
    </row>
    <row r="314" spans="1:1" x14ac:dyDescent="0.2">
      <c r="A314" t="s">
        <v>1589</v>
      </c>
    </row>
    <row r="315" spans="1:1" x14ac:dyDescent="0.2">
      <c r="A315" t="s">
        <v>1590</v>
      </c>
    </row>
    <row r="316" spans="1:1" x14ac:dyDescent="0.2">
      <c r="A316" t="s">
        <v>1226</v>
      </c>
    </row>
    <row r="317" spans="1:1" x14ac:dyDescent="0.2">
      <c r="A317" t="s">
        <v>1227</v>
      </c>
    </row>
    <row r="318" spans="1:1" x14ac:dyDescent="0.2">
      <c r="A318" t="s">
        <v>1591</v>
      </c>
    </row>
    <row r="319" spans="1:1" x14ac:dyDescent="0.2">
      <c r="A319" t="s">
        <v>1592</v>
      </c>
    </row>
    <row r="320" spans="1:1" x14ac:dyDescent="0.2">
      <c r="A320" t="s">
        <v>1263</v>
      </c>
    </row>
    <row r="321" spans="1:1" x14ac:dyDescent="0.2">
      <c r="A321" t="s">
        <v>1731</v>
      </c>
    </row>
    <row r="322" spans="1:1" x14ac:dyDescent="0.2">
      <c r="A322" t="s">
        <v>1732</v>
      </c>
    </row>
    <row r="323" spans="1:1" x14ac:dyDescent="0.2">
      <c r="A323" t="s">
        <v>2172</v>
      </c>
    </row>
    <row r="324" spans="1:1" x14ac:dyDescent="0.2">
      <c r="A324" t="s">
        <v>2173</v>
      </c>
    </row>
    <row r="325" spans="1:1" x14ac:dyDescent="0.2">
      <c r="A325" t="s">
        <v>2174</v>
      </c>
    </row>
    <row r="326" spans="1:1" x14ac:dyDescent="0.2">
      <c r="A326" t="s">
        <v>2175</v>
      </c>
    </row>
    <row r="327" spans="1:1" x14ac:dyDescent="0.2">
      <c r="A327" t="s">
        <v>2176</v>
      </c>
    </row>
    <row r="328" spans="1:1" x14ac:dyDescent="0.2">
      <c r="A328" t="s">
        <v>2177</v>
      </c>
    </row>
    <row r="329" spans="1:1" x14ac:dyDescent="0.2">
      <c r="A329" t="s">
        <v>2178</v>
      </c>
    </row>
    <row r="330" spans="1:1" x14ac:dyDescent="0.2">
      <c r="A330" t="s">
        <v>2179</v>
      </c>
    </row>
    <row r="331" spans="1:1" x14ac:dyDescent="0.2">
      <c r="A331" t="s">
        <v>2180</v>
      </c>
    </row>
    <row r="332" spans="1:1" x14ac:dyDescent="0.2">
      <c r="A332" t="s">
        <v>2181</v>
      </c>
    </row>
    <row r="333" spans="1:1" x14ac:dyDescent="0.2">
      <c r="A333" t="s">
        <v>2182</v>
      </c>
    </row>
    <row r="334" spans="1:1" x14ac:dyDescent="0.2">
      <c r="A334" t="s">
        <v>2183</v>
      </c>
    </row>
    <row r="335" spans="1:1" x14ac:dyDescent="0.2">
      <c r="A335" t="s">
        <v>2184</v>
      </c>
    </row>
    <row r="336" spans="1:1" x14ac:dyDescent="0.2">
      <c r="A336" t="s">
        <v>2185</v>
      </c>
    </row>
    <row r="337" spans="1:1" x14ac:dyDescent="0.2">
      <c r="A337" t="s">
        <v>2186</v>
      </c>
    </row>
    <row r="338" spans="1:1" x14ac:dyDescent="0.2">
      <c r="A338" t="s">
        <v>2187</v>
      </c>
    </row>
    <row r="339" spans="1:1" x14ac:dyDescent="0.2">
      <c r="A339" t="s">
        <v>2188</v>
      </c>
    </row>
    <row r="340" spans="1:1" x14ac:dyDescent="0.2">
      <c r="A340" t="s">
        <v>2189</v>
      </c>
    </row>
    <row r="341" spans="1:1" x14ac:dyDescent="0.2">
      <c r="A341" t="s">
        <v>2190</v>
      </c>
    </row>
    <row r="342" spans="1:1" x14ac:dyDescent="0.2">
      <c r="A342" t="s">
        <v>2191</v>
      </c>
    </row>
    <row r="343" spans="1:1" x14ac:dyDescent="0.2">
      <c r="A343" t="s">
        <v>2192</v>
      </c>
    </row>
    <row r="344" spans="1:1" x14ac:dyDescent="0.2">
      <c r="A344" t="s">
        <v>2193</v>
      </c>
    </row>
    <row r="345" spans="1:1" x14ac:dyDescent="0.2">
      <c r="A345" t="s">
        <v>2194</v>
      </c>
    </row>
    <row r="346" spans="1:1" x14ac:dyDescent="0.2">
      <c r="A346" t="s">
        <v>2195</v>
      </c>
    </row>
    <row r="347" spans="1:1" x14ac:dyDescent="0.2">
      <c r="A347" t="s">
        <v>2196</v>
      </c>
    </row>
    <row r="348" spans="1:1" x14ac:dyDescent="0.2">
      <c r="A348" t="s">
        <v>2197</v>
      </c>
    </row>
    <row r="349" spans="1:1" x14ac:dyDescent="0.2">
      <c r="A349" t="s">
        <v>2198</v>
      </c>
    </row>
    <row r="350" spans="1:1" x14ac:dyDescent="0.2">
      <c r="A350" t="s">
        <v>2199</v>
      </c>
    </row>
    <row r="351" spans="1:1" x14ac:dyDescent="0.2">
      <c r="A351" t="s">
        <v>2200</v>
      </c>
    </row>
    <row r="352" spans="1:1" x14ac:dyDescent="0.2">
      <c r="A352" t="s">
        <v>105</v>
      </c>
    </row>
    <row r="353" spans="1:1" x14ac:dyDescent="0.2">
      <c r="A353" t="s">
        <v>36</v>
      </c>
    </row>
    <row r="354" spans="1:1" x14ac:dyDescent="0.2">
      <c r="A354" t="s">
        <v>37</v>
      </c>
    </row>
    <row r="355" spans="1:1" x14ac:dyDescent="0.2">
      <c r="A355" t="s">
        <v>452</v>
      </c>
    </row>
    <row r="356" spans="1:1" x14ac:dyDescent="0.2">
      <c r="A356" t="s">
        <v>179</v>
      </c>
    </row>
    <row r="357" spans="1:1" x14ac:dyDescent="0.2">
      <c r="A357" t="s">
        <v>93</v>
      </c>
    </row>
    <row r="358" spans="1:1" x14ac:dyDescent="0.2">
      <c r="A358" t="s">
        <v>590</v>
      </c>
    </row>
    <row r="359" spans="1:1" x14ac:dyDescent="0.2">
      <c r="A359" t="s">
        <v>1237</v>
      </c>
    </row>
    <row r="360" spans="1:1" x14ac:dyDescent="0.2">
      <c r="A360" t="s">
        <v>85</v>
      </c>
    </row>
    <row r="361" spans="1:1" x14ac:dyDescent="0.2">
      <c r="A361" t="s">
        <v>86</v>
      </c>
    </row>
    <row r="362" spans="1:1" x14ac:dyDescent="0.2">
      <c r="A362" t="s">
        <v>84</v>
      </c>
    </row>
    <row r="363" spans="1:1" x14ac:dyDescent="0.2">
      <c r="A363" t="s">
        <v>89</v>
      </c>
    </row>
    <row r="364" spans="1:1" x14ac:dyDescent="0.2">
      <c r="A364" t="s">
        <v>87</v>
      </c>
    </row>
    <row r="365" spans="1:1" x14ac:dyDescent="0.2">
      <c r="A365" t="s">
        <v>88</v>
      </c>
    </row>
    <row r="366" spans="1:1" x14ac:dyDescent="0.2">
      <c r="A366" t="s">
        <v>90</v>
      </c>
    </row>
    <row r="367" spans="1:1" x14ac:dyDescent="0.2">
      <c r="A367" t="s">
        <v>83</v>
      </c>
    </row>
    <row r="368" spans="1:1" x14ac:dyDescent="0.2">
      <c r="A368" t="s">
        <v>92</v>
      </c>
    </row>
    <row r="369" spans="1:1" x14ac:dyDescent="0.2">
      <c r="A369" t="s">
        <v>714</v>
      </c>
    </row>
    <row r="370" spans="1:1" x14ac:dyDescent="0.2">
      <c r="A370" t="s">
        <v>791</v>
      </c>
    </row>
    <row r="371" spans="1:1" x14ac:dyDescent="0.2">
      <c r="A371" t="s">
        <v>788</v>
      </c>
    </row>
    <row r="372" spans="1:1" x14ac:dyDescent="0.2">
      <c r="A372" t="s">
        <v>789</v>
      </c>
    </row>
    <row r="373" spans="1:1" x14ac:dyDescent="0.2">
      <c r="A373" t="s">
        <v>760</v>
      </c>
    </row>
    <row r="374" spans="1:1" x14ac:dyDescent="0.2">
      <c r="A374" t="s">
        <v>756</v>
      </c>
    </row>
    <row r="375" spans="1:1" x14ac:dyDescent="0.2">
      <c r="A375" t="s">
        <v>753</v>
      </c>
    </row>
    <row r="376" spans="1:1" x14ac:dyDescent="0.2">
      <c r="A376" t="s">
        <v>91</v>
      </c>
    </row>
    <row r="377" spans="1:1" x14ac:dyDescent="0.2">
      <c r="A377" t="s">
        <v>734</v>
      </c>
    </row>
    <row r="378" spans="1:1" x14ac:dyDescent="0.2">
      <c r="A378" t="s">
        <v>742</v>
      </c>
    </row>
    <row r="379" spans="1:1" x14ac:dyDescent="0.2">
      <c r="A379" t="s">
        <v>746</v>
      </c>
    </row>
    <row r="380" spans="1:1" x14ac:dyDescent="0.2">
      <c r="A380" t="s">
        <v>743</v>
      </c>
    </row>
    <row r="381" spans="1:1" x14ac:dyDescent="0.2">
      <c r="A381" t="s">
        <v>752</v>
      </c>
    </row>
    <row r="382" spans="1:1" x14ac:dyDescent="0.2">
      <c r="A382" t="s">
        <v>750</v>
      </c>
    </row>
    <row r="383" spans="1:1" x14ac:dyDescent="0.2">
      <c r="A383" t="s">
        <v>745</v>
      </c>
    </row>
    <row r="384" spans="1:1" x14ac:dyDescent="0.2">
      <c r="A384" t="s">
        <v>749</v>
      </c>
    </row>
    <row r="385" spans="1:1" x14ac:dyDescent="0.2">
      <c r="A385" t="s">
        <v>1573</v>
      </c>
    </row>
    <row r="386" spans="1:1" x14ac:dyDescent="0.2">
      <c r="A386" t="s">
        <v>1571</v>
      </c>
    </row>
    <row r="387" spans="1:1" x14ac:dyDescent="0.2">
      <c r="A387" t="s">
        <v>1572</v>
      </c>
    </row>
    <row r="388" spans="1:1" x14ac:dyDescent="0.2">
      <c r="A388" t="s">
        <v>757</v>
      </c>
    </row>
    <row r="389" spans="1:1" x14ac:dyDescent="0.2">
      <c r="A389" t="s">
        <v>1570</v>
      </c>
    </row>
    <row r="390" spans="1:1" x14ac:dyDescent="0.2">
      <c r="A390" t="s">
        <v>790</v>
      </c>
    </row>
    <row r="391" spans="1:1" x14ac:dyDescent="0.2">
      <c r="A391" t="s">
        <v>94</v>
      </c>
    </row>
    <row r="392" spans="1:1" x14ac:dyDescent="0.2">
      <c r="A392" t="s">
        <v>1007</v>
      </c>
    </row>
    <row r="393" spans="1:1" x14ac:dyDescent="0.2">
      <c r="A393" t="s">
        <v>1006</v>
      </c>
    </row>
    <row r="394" spans="1:1" x14ac:dyDescent="0.2">
      <c r="A394" t="s">
        <v>1158</v>
      </c>
    </row>
    <row r="395" spans="1:1" x14ac:dyDescent="0.2">
      <c r="A395" t="s">
        <v>899</v>
      </c>
    </row>
    <row r="396" spans="1:1" x14ac:dyDescent="0.2">
      <c r="A396" t="s">
        <v>1157</v>
      </c>
    </row>
    <row r="397" spans="1:1" x14ac:dyDescent="0.2">
      <c r="A397" t="s">
        <v>1008</v>
      </c>
    </row>
    <row r="398" spans="1:1" x14ac:dyDescent="0.2">
      <c r="A398" t="s">
        <v>1074</v>
      </c>
    </row>
    <row r="399" spans="1:1" x14ac:dyDescent="0.2">
      <c r="A399" t="s">
        <v>1262</v>
      </c>
    </row>
    <row r="400" spans="1:1" x14ac:dyDescent="0.2">
      <c r="A400" t="s">
        <v>841</v>
      </c>
    </row>
    <row r="401" spans="1:1" x14ac:dyDescent="0.2">
      <c r="A401" t="s">
        <v>1581</v>
      </c>
    </row>
    <row r="402" spans="1:1" x14ac:dyDescent="0.2">
      <c r="A402" t="s">
        <v>842</v>
      </c>
    </row>
    <row r="403" spans="1:1" x14ac:dyDescent="0.2">
      <c r="A403" t="s">
        <v>1584</v>
      </c>
    </row>
    <row r="404" spans="1:1" x14ac:dyDescent="0.2">
      <c r="A404" t="s">
        <v>689</v>
      </c>
    </row>
    <row r="405" spans="1:1" x14ac:dyDescent="0.2">
      <c r="A405" t="s">
        <v>234</v>
      </c>
    </row>
    <row r="406" spans="1:1" x14ac:dyDescent="0.2">
      <c r="A406" t="s">
        <v>110</v>
      </c>
    </row>
    <row r="407" spans="1:1" x14ac:dyDescent="0.2">
      <c r="A407" t="s">
        <v>238</v>
      </c>
    </row>
    <row r="408" spans="1:1" x14ac:dyDescent="0.2">
      <c r="A408" t="s">
        <v>144</v>
      </c>
    </row>
    <row r="409" spans="1:1" x14ac:dyDescent="0.2">
      <c r="A409" t="s">
        <v>96</v>
      </c>
    </row>
    <row r="410" spans="1:1" x14ac:dyDescent="0.2">
      <c r="A410" t="s">
        <v>142</v>
      </c>
    </row>
    <row r="411" spans="1:1" x14ac:dyDescent="0.2">
      <c r="A411" t="s">
        <v>95</v>
      </c>
    </row>
    <row r="412" spans="1:1" x14ac:dyDescent="0.2">
      <c r="A412" t="s">
        <v>358</v>
      </c>
    </row>
    <row r="413" spans="1:1" x14ac:dyDescent="0.2">
      <c r="A413" t="s">
        <v>867</v>
      </c>
    </row>
    <row r="414" spans="1:1" x14ac:dyDescent="0.2">
      <c r="A414" t="s">
        <v>444</v>
      </c>
    </row>
    <row r="415" spans="1:1" x14ac:dyDescent="0.2">
      <c r="A415" t="s">
        <v>359</v>
      </c>
    </row>
    <row r="416" spans="1:1" x14ac:dyDescent="0.2">
      <c r="A416" t="s">
        <v>8</v>
      </c>
    </row>
    <row r="417" spans="1:1" x14ac:dyDescent="0.2">
      <c r="A417" t="s">
        <v>159</v>
      </c>
    </row>
    <row r="418" spans="1:1" x14ac:dyDescent="0.2">
      <c r="A418" t="s">
        <v>51</v>
      </c>
    </row>
    <row r="419" spans="1:1" x14ac:dyDescent="0.2">
      <c r="A419" t="s">
        <v>153</v>
      </c>
    </row>
    <row r="420" spans="1:1" x14ac:dyDescent="0.2">
      <c r="A420" t="s">
        <v>154</v>
      </c>
    </row>
    <row r="421" spans="1:1" x14ac:dyDescent="0.2">
      <c r="A421" t="s">
        <v>443</v>
      </c>
    </row>
    <row r="422" spans="1:1" x14ac:dyDescent="0.2">
      <c r="A422" t="s">
        <v>123</v>
      </c>
    </row>
    <row r="423" spans="1:1" x14ac:dyDescent="0.2">
      <c r="A423" t="s">
        <v>151</v>
      </c>
    </row>
    <row r="424" spans="1:1" x14ac:dyDescent="0.2">
      <c r="A424" t="s">
        <v>152</v>
      </c>
    </row>
    <row r="425" spans="1:1" x14ac:dyDescent="0.2">
      <c r="A425" t="s">
        <v>719</v>
      </c>
    </row>
    <row r="426" spans="1:1" x14ac:dyDescent="0.2">
      <c r="A426" t="s">
        <v>150</v>
      </c>
    </row>
    <row r="427" spans="1:1" x14ac:dyDescent="0.2">
      <c r="A427" t="s">
        <v>550</v>
      </c>
    </row>
    <row r="428" spans="1:1" x14ac:dyDescent="0.2">
      <c r="A428" t="s">
        <v>551</v>
      </c>
    </row>
    <row r="429" spans="1:1" x14ac:dyDescent="0.2">
      <c r="A429" t="s">
        <v>615</v>
      </c>
    </row>
    <row r="430" spans="1:1" x14ac:dyDescent="0.2">
      <c r="A430" t="s">
        <v>351</v>
      </c>
    </row>
    <row r="431" spans="1:1" x14ac:dyDescent="0.2">
      <c r="A431" t="s">
        <v>350</v>
      </c>
    </row>
    <row r="432" spans="1:1" x14ac:dyDescent="0.2">
      <c r="A432" t="s">
        <v>334</v>
      </c>
    </row>
    <row r="433" spans="1:1" x14ac:dyDescent="0.2">
      <c r="A433" t="s">
        <v>333</v>
      </c>
    </row>
    <row r="434" spans="1:1" x14ac:dyDescent="0.2">
      <c r="A434" t="s">
        <v>456</v>
      </c>
    </row>
    <row r="435" spans="1:1" x14ac:dyDescent="0.2">
      <c r="A435" t="s">
        <v>332</v>
      </c>
    </row>
    <row r="436" spans="1:1" x14ac:dyDescent="0.2">
      <c r="A436" t="s">
        <v>99</v>
      </c>
    </row>
    <row r="437" spans="1:1" x14ac:dyDescent="0.2">
      <c r="A437" t="s">
        <v>98</v>
      </c>
    </row>
    <row r="438" spans="1:1" x14ac:dyDescent="0.2">
      <c r="A438" t="s">
        <v>606</v>
      </c>
    </row>
    <row r="439" spans="1:1" x14ac:dyDescent="0.2">
      <c r="A439" t="s">
        <v>612</v>
      </c>
    </row>
    <row r="440" spans="1:1" x14ac:dyDescent="0.2">
      <c r="A440" t="s">
        <v>610</v>
      </c>
    </row>
    <row r="441" spans="1:1" x14ac:dyDescent="0.2">
      <c r="A441" t="s">
        <v>607</v>
      </c>
    </row>
    <row r="442" spans="1:1" x14ac:dyDescent="0.2">
      <c r="A442" t="s">
        <v>113</v>
      </c>
    </row>
    <row r="443" spans="1:1" x14ac:dyDescent="0.2">
      <c r="A443" t="s">
        <v>62</v>
      </c>
    </row>
    <row r="444" spans="1:1" x14ac:dyDescent="0.2">
      <c r="A444" t="s">
        <v>257</v>
      </c>
    </row>
    <row r="445" spans="1:1" x14ac:dyDescent="0.2">
      <c r="A445" t="s">
        <v>135</v>
      </c>
    </row>
    <row r="446" spans="1:1" x14ac:dyDescent="0.2">
      <c r="A446" t="s">
        <v>1232</v>
      </c>
    </row>
    <row r="447" spans="1:1" x14ac:dyDescent="0.2">
      <c r="A447" t="s">
        <v>56</v>
      </c>
    </row>
    <row r="448" spans="1:1" x14ac:dyDescent="0.2">
      <c r="A448" t="s">
        <v>63</v>
      </c>
    </row>
    <row r="449" spans="1:1" x14ac:dyDescent="0.2">
      <c r="A449" t="s">
        <v>79</v>
      </c>
    </row>
    <row r="450" spans="1:1" x14ac:dyDescent="0.2">
      <c r="A450" t="s">
        <v>80</v>
      </c>
    </row>
    <row r="451" spans="1:1" x14ac:dyDescent="0.2">
      <c r="A451" t="s">
        <v>81</v>
      </c>
    </row>
    <row r="452" spans="1:1" x14ac:dyDescent="0.2">
      <c r="A452" t="s">
        <v>45</v>
      </c>
    </row>
    <row r="453" spans="1:1" x14ac:dyDescent="0.2">
      <c r="A453" t="s">
        <v>35</v>
      </c>
    </row>
    <row r="454" spans="1:1" x14ac:dyDescent="0.2">
      <c r="A454" t="s">
        <v>68</v>
      </c>
    </row>
    <row r="455" spans="1:1" x14ac:dyDescent="0.2">
      <c r="A455" t="s">
        <v>208</v>
      </c>
    </row>
    <row r="456" spans="1:1" x14ac:dyDescent="0.2">
      <c r="A456" t="s">
        <v>7</v>
      </c>
    </row>
    <row r="457" spans="1:1" x14ac:dyDescent="0.2">
      <c r="A457" t="s">
        <v>145</v>
      </c>
    </row>
    <row r="458" spans="1:1" x14ac:dyDescent="0.2">
      <c r="A458" t="s">
        <v>108</v>
      </c>
    </row>
    <row r="459" spans="1:1" x14ac:dyDescent="0.2">
      <c r="A459" t="s">
        <v>72</v>
      </c>
    </row>
    <row r="460" spans="1:1" x14ac:dyDescent="0.2">
      <c r="A460" t="s">
        <v>76</v>
      </c>
    </row>
    <row r="461" spans="1:1" x14ac:dyDescent="0.2">
      <c r="A461" t="s">
        <v>73</v>
      </c>
    </row>
    <row r="462" spans="1:1" x14ac:dyDescent="0.2">
      <c r="A462" t="s">
        <v>101</v>
      </c>
    </row>
    <row r="463" spans="1:1" x14ac:dyDescent="0.2">
      <c r="A463" t="s">
        <v>507</v>
      </c>
    </row>
    <row r="464" spans="1:1" x14ac:dyDescent="0.2">
      <c r="A464" t="s">
        <v>32</v>
      </c>
    </row>
    <row r="465" spans="1:1" x14ac:dyDescent="0.2">
      <c r="A465" t="s">
        <v>27</v>
      </c>
    </row>
    <row r="466" spans="1:1" x14ac:dyDescent="0.2">
      <c r="A466" t="s">
        <v>26</v>
      </c>
    </row>
    <row r="467" spans="1:1" x14ac:dyDescent="0.2">
      <c r="A467" t="s">
        <v>9</v>
      </c>
    </row>
    <row r="468" spans="1:1" x14ac:dyDescent="0.2">
      <c r="A468" t="s">
        <v>77</v>
      </c>
    </row>
    <row r="469" spans="1:1" x14ac:dyDescent="0.2">
      <c r="A469" t="s">
        <v>71</v>
      </c>
    </row>
    <row r="470" spans="1:1" x14ac:dyDescent="0.2">
      <c r="A470" t="s">
        <v>44</v>
      </c>
    </row>
    <row r="471" spans="1:1" x14ac:dyDescent="0.2">
      <c r="A471" t="s">
        <v>703</v>
      </c>
    </row>
    <row r="472" spans="1:1" x14ac:dyDescent="0.2">
      <c r="A472" t="s">
        <v>807</v>
      </c>
    </row>
    <row r="473" spans="1:1" x14ac:dyDescent="0.2">
      <c r="A473" t="s">
        <v>866</v>
      </c>
    </row>
    <row r="474" spans="1:1" x14ac:dyDescent="0.2">
      <c r="A474" t="s">
        <v>250</v>
      </c>
    </row>
    <row r="475" spans="1:1" x14ac:dyDescent="0.2">
      <c r="A475" t="s">
        <v>206</v>
      </c>
    </row>
    <row r="476" spans="1:1" x14ac:dyDescent="0.2">
      <c r="A476" t="s">
        <v>207</v>
      </c>
    </row>
    <row r="477" spans="1:1" x14ac:dyDescent="0.2">
      <c r="A477" t="s">
        <v>1536</v>
      </c>
    </row>
    <row r="478" spans="1:1" x14ac:dyDescent="0.2">
      <c r="A478" t="s">
        <v>800</v>
      </c>
    </row>
    <row r="479" spans="1:1" x14ac:dyDescent="0.2">
      <c r="A479" t="s">
        <v>801</v>
      </c>
    </row>
    <row r="480" spans="1:1" x14ac:dyDescent="0.2">
      <c r="A480" t="s">
        <v>802</v>
      </c>
    </row>
    <row r="481" spans="1:1" x14ac:dyDescent="0.2">
      <c r="A481" t="s">
        <v>803</v>
      </c>
    </row>
    <row r="482" spans="1:1" x14ac:dyDescent="0.2">
      <c r="A482" t="s">
        <v>804</v>
      </c>
    </row>
    <row r="483" spans="1:1" x14ac:dyDescent="0.2">
      <c r="A483" t="s">
        <v>805</v>
      </c>
    </row>
    <row r="484" spans="1:1" x14ac:dyDescent="0.2">
      <c r="A484" t="s">
        <v>806</v>
      </c>
    </row>
    <row r="485" spans="1:1" x14ac:dyDescent="0.2">
      <c r="A485" t="s">
        <v>883</v>
      </c>
    </row>
    <row r="486" spans="1:1" x14ac:dyDescent="0.2">
      <c r="A486" t="s">
        <v>884</v>
      </c>
    </row>
    <row r="487" spans="1:1" x14ac:dyDescent="0.2">
      <c r="A487" t="s">
        <v>1532</v>
      </c>
    </row>
    <row r="488" spans="1:1" x14ac:dyDescent="0.2">
      <c r="A488" t="s">
        <v>276</v>
      </c>
    </row>
    <row r="489" spans="1:1" x14ac:dyDescent="0.2">
      <c r="A489" t="s">
        <v>1218</v>
      </c>
    </row>
    <row r="490" spans="1:1" x14ac:dyDescent="0.2">
      <c r="A490" t="s">
        <v>1219</v>
      </c>
    </row>
    <row r="491" spans="1:1" x14ac:dyDescent="0.2">
      <c r="A491" t="s">
        <v>1220</v>
      </c>
    </row>
    <row r="492" spans="1:1" x14ac:dyDescent="0.2">
      <c r="A492" t="s">
        <v>1100</v>
      </c>
    </row>
    <row r="493" spans="1:1" x14ac:dyDescent="0.2">
      <c r="A493" t="s">
        <v>1101</v>
      </c>
    </row>
    <row r="494" spans="1:1" x14ac:dyDescent="0.2">
      <c r="A494" t="s">
        <v>1102</v>
      </c>
    </row>
    <row r="495" spans="1:1" x14ac:dyDescent="0.2">
      <c r="A495" t="s">
        <v>1103</v>
      </c>
    </row>
    <row r="496" spans="1:1" x14ac:dyDescent="0.2">
      <c r="A496" t="s">
        <v>1104</v>
      </c>
    </row>
    <row r="497" spans="1:1" x14ac:dyDescent="0.2">
      <c r="A497" t="s">
        <v>1105</v>
      </c>
    </row>
    <row r="498" spans="1:1" x14ac:dyDescent="0.2">
      <c r="A498" t="s">
        <v>1106</v>
      </c>
    </row>
    <row r="499" spans="1:1" x14ac:dyDescent="0.2">
      <c r="A499" t="s">
        <v>1107</v>
      </c>
    </row>
    <row r="500" spans="1:1" x14ac:dyDescent="0.2">
      <c r="A500" t="s">
        <v>1112</v>
      </c>
    </row>
    <row r="501" spans="1:1" x14ac:dyDescent="0.2">
      <c r="A501" t="s">
        <v>1514</v>
      </c>
    </row>
    <row r="502" spans="1:1" x14ac:dyDescent="0.2">
      <c r="A502" t="s">
        <v>1551</v>
      </c>
    </row>
    <row r="503" spans="1:1" x14ac:dyDescent="0.2">
      <c r="A503" t="s">
        <v>1565</v>
      </c>
    </row>
    <row r="504" spans="1:1" x14ac:dyDescent="0.2">
      <c r="A504" t="s">
        <v>1566</v>
      </c>
    </row>
    <row r="505" spans="1:1" x14ac:dyDescent="0.2">
      <c r="A505" t="s">
        <v>1567</v>
      </c>
    </row>
    <row r="506" spans="1:1" x14ac:dyDescent="0.2">
      <c r="A506" t="s">
        <v>1568</v>
      </c>
    </row>
    <row r="507" spans="1:1" x14ac:dyDescent="0.2">
      <c r="A507" t="s">
        <v>1221</v>
      </c>
    </row>
    <row r="508" spans="1:1" x14ac:dyDescent="0.2">
      <c r="A508" t="s">
        <v>1222</v>
      </c>
    </row>
    <row r="509" spans="1:1" x14ac:dyDescent="0.2">
      <c r="A509" t="s">
        <v>1223</v>
      </c>
    </row>
    <row r="510" spans="1:1" x14ac:dyDescent="0.2">
      <c r="A510" t="s">
        <v>1818</v>
      </c>
    </row>
    <row r="511" spans="1:1" x14ac:dyDescent="0.2">
      <c r="A511" t="s">
        <v>2315</v>
      </c>
    </row>
    <row r="512" spans="1:1" x14ac:dyDescent="0.2">
      <c r="A512" t="s">
        <v>2316</v>
      </c>
    </row>
    <row r="513" spans="1:1" x14ac:dyDescent="0.2">
      <c r="A513" t="s">
        <v>2317</v>
      </c>
    </row>
    <row r="514" spans="1:1" x14ac:dyDescent="0.2">
      <c r="A514" t="s">
        <v>598</v>
      </c>
    </row>
    <row r="515" spans="1:1" x14ac:dyDescent="0.2">
      <c r="A515" t="s">
        <v>54</v>
      </c>
    </row>
    <row r="516" spans="1:1" x14ac:dyDescent="0.2">
      <c r="A516" t="s">
        <v>55</v>
      </c>
    </row>
    <row r="517" spans="1:1" x14ac:dyDescent="0.2">
      <c r="A517" t="s">
        <v>116</v>
      </c>
    </row>
    <row r="518" spans="1:1" x14ac:dyDescent="0.2">
      <c r="A518" t="s">
        <v>125</v>
      </c>
    </row>
    <row r="519" spans="1:1" x14ac:dyDescent="0.2">
      <c r="A519" t="s">
        <v>19</v>
      </c>
    </row>
    <row r="520" spans="1:1" x14ac:dyDescent="0.2">
      <c r="A520" t="s">
        <v>65</v>
      </c>
    </row>
    <row r="521" spans="1:1" x14ac:dyDescent="0.2">
      <c r="A521" t="s">
        <v>70</v>
      </c>
    </row>
    <row r="522" spans="1:1" x14ac:dyDescent="0.2">
      <c r="A522" t="s">
        <v>259</v>
      </c>
    </row>
    <row r="523" spans="1:1" x14ac:dyDescent="0.2">
      <c r="A523" t="s">
        <v>42</v>
      </c>
    </row>
    <row r="524" spans="1:1" x14ac:dyDescent="0.2">
      <c r="A524" t="s">
        <v>43</v>
      </c>
    </row>
    <row r="525" spans="1:1" x14ac:dyDescent="0.2">
      <c r="A525" t="s">
        <v>78</v>
      </c>
    </row>
    <row r="526" spans="1:1" x14ac:dyDescent="0.2">
      <c r="A526" t="s">
        <v>100</v>
      </c>
    </row>
    <row r="527" spans="1:1" x14ac:dyDescent="0.2">
      <c r="A527" t="s">
        <v>575</v>
      </c>
    </row>
    <row r="528" spans="1:1" x14ac:dyDescent="0.2">
      <c r="A528" t="s">
        <v>50</v>
      </c>
    </row>
    <row r="529" spans="1:1" x14ac:dyDescent="0.2">
      <c r="A529" t="s">
        <v>82</v>
      </c>
    </row>
    <row r="530" spans="1:1" x14ac:dyDescent="0.2">
      <c r="A530" t="s">
        <v>552</v>
      </c>
    </row>
    <row r="531" spans="1:1" x14ac:dyDescent="0.2">
      <c r="A531" t="s">
        <v>349</v>
      </c>
    </row>
    <row r="532" spans="1:1" x14ac:dyDescent="0.2">
      <c r="A532" t="s">
        <v>337</v>
      </c>
    </row>
    <row r="533" spans="1:1" x14ac:dyDescent="0.2">
      <c r="A533" t="s">
        <v>348</v>
      </c>
    </row>
    <row r="534" spans="1:1" x14ac:dyDescent="0.2">
      <c r="A534" t="s">
        <v>226</v>
      </c>
    </row>
    <row r="535" spans="1:1" x14ac:dyDescent="0.2">
      <c r="A535" t="s">
        <v>97</v>
      </c>
    </row>
    <row r="536" spans="1:1" x14ac:dyDescent="0.2">
      <c r="A536" t="s">
        <v>553</v>
      </c>
    </row>
    <row r="537" spans="1:1" x14ac:dyDescent="0.2">
      <c r="A537" t="s">
        <v>574</v>
      </c>
    </row>
    <row r="538" spans="1:1" x14ac:dyDescent="0.2">
      <c r="A538" t="s">
        <v>228</v>
      </c>
    </row>
    <row r="539" spans="1:1" x14ac:dyDescent="0.2">
      <c r="A539" t="s">
        <v>111</v>
      </c>
    </row>
    <row r="541" spans="1:1" x14ac:dyDescent="0.2">
      <c r="A541" t="s">
        <v>111</v>
      </c>
    </row>
    <row r="543" spans="1:1" x14ac:dyDescent="0.2">
      <c r="A543" t="s">
        <v>1862</v>
      </c>
    </row>
    <row r="544" spans="1:1" x14ac:dyDescent="0.2">
      <c r="A544" t="s">
        <v>1863</v>
      </c>
    </row>
    <row r="545" spans="1:1" x14ac:dyDescent="0.2">
      <c r="A545" t="s">
        <v>1864</v>
      </c>
    </row>
    <row r="546" spans="1:1" x14ac:dyDescent="0.2">
      <c r="A546" t="s">
        <v>1865</v>
      </c>
    </row>
    <row r="547" spans="1:1" x14ac:dyDescent="0.2">
      <c r="A547" t="s">
        <v>1866</v>
      </c>
    </row>
    <row r="548" spans="1:1" x14ac:dyDescent="0.2">
      <c r="A548" t="s">
        <v>1867</v>
      </c>
    </row>
    <row r="549" spans="1:1" x14ac:dyDescent="0.2">
      <c r="A549" t="s">
        <v>1868</v>
      </c>
    </row>
    <row r="550" spans="1:1" x14ac:dyDescent="0.2">
      <c r="A550" t="s">
        <v>1869</v>
      </c>
    </row>
    <row r="551" spans="1:1" x14ac:dyDescent="0.2">
      <c r="A551" t="s">
        <v>1948</v>
      </c>
    </row>
    <row r="552" spans="1:1" x14ac:dyDescent="0.2">
      <c r="A552" t="s">
        <v>1949</v>
      </c>
    </row>
    <row r="553" spans="1:1" x14ac:dyDescent="0.2">
      <c r="A553" t="s">
        <v>1950</v>
      </c>
    </row>
    <row r="554" spans="1:1" x14ac:dyDescent="0.2">
      <c r="A554" t="s">
        <v>1951</v>
      </c>
    </row>
    <row r="555" spans="1:1" x14ac:dyDescent="0.2">
      <c r="A555" t="s">
        <v>1952</v>
      </c>
    </row>
    <row r="556" spans="1:1" x14ac:dyDescent="0.2">
      <c r="A556" t="s">
        <v>1953</v>
      </c>
    </row>
    <row r="557" spans="1:1" x14ac:dyDescent="0.2">
      <c r="A557" t="s">
        <v>1954</v>
      </c>
    </row>
    <row r="558" spans="1:1" x14ac:dyDescent="0.2">
      <c r="A558" t="s">
        <v>1955</v>
      </c>
    </row>
    <row r="559" spans="1:1" x14ac:dyDescent="0.2">
      <c r="A559" t="s">
        <v>1956</v>
      </c>
    </row>
    <row r="560" spans="1:1" x14ac:dyDescent="0.2">
      <c r="A560" t="s">
        <v>1957</v>
      </c>
    </row>
    <row r="561" spans="1:1" x14ac:dyDescent="0.2">
      <c r="A561" t="s">
        <v>1958</v>
      </c>
    </row>
    <row r="562" spans="1:1" x14ac:dyDescent="0.2">
      <c r="A562" t="s">
        <v>1959</v>
      </c>
    </row>
    <row r="563" spans="1:1" x14ac:dyDescent="0.2">
      <c r="A563" t="s">
        <v>1960</v>
      </c>
    </row>
    <row r="564" spans="1:1" x14ac:dyDescent="0.2">
      <c r="A564" t="s">
        <v>1961</v>
      </c>
    </row>
    <row r="565" spans="1:1" x14ac:dyDescent="0.2">
      <c r="A565" t="s">
        <v>1962</v>
      </c>
    </row>
    <row r="566" spans="1:1" x14ac:dyDescent="0.2">
      <c r="A566" t="s">
        <v>2035</v>
      </c>
    </row>
    <row r="567" spans="1:1" x14ac:dyDescent="0.2">
      <c r="A567" t="s">
        <v>2036</v>
      </c>
    </row>
    <row r="568" spans="1:1" x14ac:dyDescent="0.2">
      <c r="A568" t="s">
        <v>2037</v>
      </c>
    </row>
    <row r="569" spans="1:1" x14ac:dyDescent="0.2">
      <c r="A569" t="s">
        <v>2038</v>
      </c>
    </row>
    <row r="570" spans="1:1" x14ac:dyDescent="0.2">
      <c r="A570" t="s">
        <v>2039</v>
      </c>
    </row>
    <row r="571" spans="1:1" x14ac:dyDescent="0.2">
      <c r="A571" t="s">
        <v>2040</v>
      </c>
    </row>
    <row r="572" spans="1:1" x14ac:dyDescent="0.2">
      <c r="A572" t="s">
        <v>2041</v>
      </c>
    </row>
    <row r="573" spans="1:1" x14ac:dyDescent="0.2">
      <c r="A573" t="s">
        <v>2042</v>
      </c>
    </row>
    <row r="574" spans="1:1" x14ac:dyDescent="0.2">
      <c r="A574" t="s">
        <v>2043</v>
      </c>
    </row>
    <row r="575" spans="1:1" x14ac:dyDescent="0.2">
      <c r="A575" t="s">
        <v>2044</v>
      </c>
    </row>
    <row r="576" spans="1:1" x14ac:dyDescent="0.2">
      <c r="A576" t="s">
        <v>2045</v>
      </c>
    </row>
    <row r="577" spans="1:1" x14ac:dyDescent="0.2">
      <c r="A577" t="s">
        <v>2046</v>
      </c>
    </row>
    <row r="578" spans="1:1" x14ac:dyDescent="0.2">
      <c r="A578" t="s">
        <v>2047</v>
      </c>
    </row>
    <row r="579" spans="1:1" x14ac:dyDescent="0.2">
      <c r="A579" t="s">
        <v>2048</v>
      </c>
    </row>
    <row r="580" spans="1:1" x14ac:dyDescent="0.2">
      <c r="A580" t="s">
        <v>2049</v>
      </c>
    </row>
    <row r="581" spans="1:1" x14ac:dyDescent="0.2">
      <c r="A581" t="s">
        <v>2105</v>
      </c>
    </row>
    <row r="582" spans="1:1" x14ac:dyDescent="0.2">
      <c r="A582" t="s">
        <v>2106</v>
      </c>
    </row>
    <row r="583" spans="1:1" x14ac:dyDescent="0.2">
      <c r="A583" t="s">
        <v>2107</v>
      </c>
    </row>
    <row r="584" spans="1:1" x14ac:dyDescent="0.2">
      <c r="A584" t="s">
        <v>2108</v>
      </c>
    </row>
    <row r="585" spans="1:1" x14ac:dyDescent="0.2">
      <c r="A585" t="s">
        <v>2109</v>
      </c>
    </row>
    <row r="586" spans="1:1" x14ac:dyDescent="0.2">
      <c r="A586" t="s">
        <v>2110</v>
      </c>
    </row>
    <row r="587" spans="1:1" x14ac:dyDescent="0.2">
      <c r="A587" t="s">
        <v>2111</v>
      </c>
    </row>
    <row r="588" spans="1:1" x14ac:dyDescent="0.2">
      <c r="A588" t="s">
        <v>2112</v>
      </c>
    </row>
    <row r="589" spans="1:1" x14ac:dyDescent="0.2">
      <c r="A589" t="s">
        <v>2113</v>
      </c>
    </row>
    <row r="590" spans="1:1" x14ac:dyDescent="0.2">
      <c r="A590" t="s">
        <v>2114</v>
      </c>
    </row>
    <row r="591" spans="1:1" x14ac:dyDescent="0.2">
      <c r="A591" t="s">
        <v>2115</v>
      </c>
    </row>
    <row r="592" spans="1:1" x14ac:dyDescent="0.2">
      <c r="A592" t="s">
        <v>2116</v>
      </c>
    </row>
    <row r="593" spans="1:1" x14ac:dyDescent="0.2">
      <c r="A593" t="s">
        <v>2117</v>
      </c>
    </row>
    <row r="594" spans="1:1" x14ac:dyDescent="0.2">
      <c r="A594" t="s">
        <v>2118</v>
      </c>
    </row>
    <row r="595" spans="1:1" x14ac:dyDescent="0.2">
      <c r="A595" t="s">
        <v>2119</v>
      </c>
    </row>
    <row r="596" spans="1:1" x14ac:dyDescent="0.2">
      <c r="A596" t="s">
        <v>2300</v>
      </c>
    </row>
    <row r="597" spans="1:1" x14ac:dyDescent="0.2">
      <c r="A597" t="s">
        <v>2301</v>
      </c>
    </row>
    <row r="598" spans="1:1" x14ac:dyDescent="0.2">
      <c r="A598" t="s">
        <v>2302</v>
      </c>
    </row>
    <row r="599" spans="1:1" x14ac:dyDescent="0.2">
      <c r="A599" t="s">
        <v>2303</v>
      </c>
    </row>
    <row r="600" spans="1:1" x14ac:dyDescent="0.2">
      <c r="A600" t="s">
        <v>2304</v>
      </c>
    </row>
    <row r="601" spans="1:1" x14ac:dyDescent="0.2">
      <c r="A601" t="s">
        <v>2305</v>
      </c>
    </row>
    <row r="602" spans="1:1" x14ac:dyDescent="0.2">
      <c r="A602" t="s">
        <v>2306</v>
      </c>
    </row>
    <row r="603" spans="1:1" x14ac:dyDescent="0.2">
      <c r="A603" t="s">
        <v>2307</v>
      </c>
    </row>
    <row r="604" spans="1:1" x14ac:dyDescent="0.2">
      <c r="A604" t="s">
        <v>2308</v>
      </c>
    </row>
    <row r="605" spans="1:1" x14ac:dyDescent="0.2">
      <c r="A605" t="s">
        <v>2309</v>
      </c>
    </row>
    <row r="606" spans="1:1" x14ac:dyDescent="0.2">
      <c r="A606" t="s">
        <v>2310</v>
      </c>
    </row>
    <row r="607" spans="1:1" x14ac:dyDescent="0.2">
      <c r="A607" t="s">
        <v>2311</v>
      </c>
    </row>
    <row r="608" spans="1:1" x14ac:dyDescent="0.2">
      <c r="A608" t="s">
        <v>2312</v>
      </c>
    </row>
    <row r="609" spans="1:1" x14ac:dyDescent="0.2">
      <c r="A609" t="s">
        <v>2313</v>
      </c>
    </row>
    <row r="610" spans="1:1" x14ac:dyDescent="0.2">
      <c r="A610" t="s">
        <v>2314</v>
      </c>
    </row>
    <row r="611" spans="1:1" x14ac:dyDescent="0.2">
      <c r="A611" t="s">
        <v>2382</v>
      </c>
    </row>
    <row r="612" spans="1:1" x14ac:dyDescent="0.2">
      <c r="A612" t="s">
        <v>2383</v>
      </c>
    </row>
    <row r="613" spans="1:1" x14ac:dyDescent="0.2">
      <c r="A613" t="s">
        <v>2449</v>
      </c>
    </row>
    <row r="614" spans="1:1" x14ac:dyDescent="0.2">
      <c r="A614" t="s">
        <v>357</v>
      </c>
    </row>
    <row r="615" spans="1:1" x14ac:dyDescent="0.2">
      <c r="A615" t="s">
        <v>2482</v>
      </c>
    </row>
    <row r="616" spans="1:1" x14ac:dyDescent="0.2">
      <c r="A616" t="s">
        <v>2483</v>
      </c>
    </row>
    <row r="617" spans="1:1" x14ac:dyDescent="0.2">
      <c r="A617" t="s">
        <v>1870</v>
      </c>
    </row>
    <row r="618" spans="1:1" x14ac:dyDescent="0.2">
      <c r="A618" t="s">
        <v>301</v>
      </c>
    </row>
    <row r="619" spans="1:1" x14ac:dyDescent="0.2">
      <c r="A619" t="s">
        <v>213</v>
      </c>
    </row>
    <row r="620" spans="1:1" x14ac:dyDescent="0.2">
      <c r="A620" t="s">
        <v>2481</v>
      </c>
    </row>
    <row r="621" spans="1:1" x14ac:dyDescent="0.2">
      <c r="A621" t="s">
        <v>5</v>
      </c>
    </row>
    <row r="622" spans="1:1" x14ac:dyDescent="0.2">
      <c r="A622" t="s">
        <v>2727</v>
      </c>
    </row>
    <row r="623" spans="1:1" x14ac:dyDescent="0.2">
      <c r="A623" t="s">
        <v>330</v>
      </c>
    </row>
    <row r="624" spans="1:1" x14ac:dyDescent="0.2">
      <c r="A624" t="s">
        <v>328</v>
      </c>
    </row>
    <row r="625" spans="1:1" x14ac:dyDescent="0.2">
      <c r="A625" t="s">
        <v>2632</v>
      </c>
    </row>
    <row r="626" spans="1:1" x14ac:dyDescent="0.2">
      <c r="A626" t="s">
        <v>392</v>
      </c>
    </row>
    <row r="627" spans="1:1" x14ac:dyDescent="0.2">
      <c r="A627" t="s">
        <v>391</v>
      </c>
    </row>
    <row r="628" spans="1:1" x14ac:dyDescent="0.2">
      <c r="A628" t="s">
        <v>2638</v>
      </c>
    </row>
    <row r="629" spans="1:1" x14ac:dyDescent="0.2">
      <c r="A629" t="s">
        <v>58</v>
      </c>
    </row>
    <row r="630" spans="1:1" x14ac:dyDescent="0.2">
      <c r="A630" t="s">
        <v>711</v>
      </c>
    </row>
    <row r="631" spans="1:1" x14ac:dyDescent="0.2">
      <c r="A631" t="s">
        <v>2468</v>
      </c>
    </row>
    <row r="632" spans="1:1" x14ac:dyDescent="0.2">
      <c r="A632" t="s">
        <v>2469</v>
      </c>
    </row>
    <row r="633" spans="1:1" x14ac:dyDescent="0.2">
      <c r="A633" t="s">
        <v>124</v>
      </c>
    </row>
    <row r="634" spans="1:1" x14ac:dyDescent="0.2">
      <c r="A634" t="s">
        <v>2467</v>
      </c>
    </row>
    <row r="635" spans="1:1" x14ac:dyDescent="0.2">
      <c r="A635" t="s">
        <v>52</v>
      </c>
    </row>
    <row r="636" spans="1:1" x14ac:dyDescent="0.2">
      <c r="A636" t="s">
        <v>2466</v>
      </c>
    </row>
    <row r="637" spans="1:1" x14ac:dyDescent="0.2">
      <c r="A637" t="s">
        <v>53</v>
      </c>
    </row>
    <row r="638" spans="1:1" x14ac:dyDescent="0.2">
      <c r="A638" t="s">
        <v>2643</v>
      </c>
    </row>
    <row r="639" spans="1:1" x14ac:dyDescent="0.2">
      <c r="A639" t="s">
        <v>1777</v>
      </c>
    </row>
    <row r="640" spans="1:1" x14ac:dyDescent="0.2">
      <c r="A640" t="s">
        <v>2379</v>
      </c>
    </row>
    <row r="641" spans="1:1" x14ac:dyDescent="0.2">
      <c r="A641" t="s">
        <v>2380</v>
      </c>
    </row>
    <row r="642" spans="1:1" x14ac:dyDescent="0.2">
      <c r="A642" t="s">
        <v>2628</v>
      </c>
    </row>
    <row r="643" spans="1:1" x14ac:dyDescent="0.2">
      <c r="A643" t="s">
        <v>2629</v>
      </c>
    </row>
    <row r="644" spans="1:1" x14ac:dyDescent="0.2">
      <c r="A644" t="s">
        <v>2633</v>
      </c>
    </row>
    <row r="645" spans="1:1" x14ac:dyDescent="0.2">
      <c r="A645" t="s">
        <v>706</v>
      </c>
    </row>
    <row r="646" spans="1:1" x14ac:dyDescent="0.2">
      <c r="A646" t="s">
        <v>2640</v>
      </c>
    </row>
    <row r="647" spans="1:1" x14ac:dyDescent="0.2">
      <c r="A647" t="s">
        <v>2639</v>
      </c>
    </row>
    <row r="648" spans="1:1" x14ac:dyDescent="0.2">
      <c r="A648" t="s">
        <v>2635</v>
      </c>
    </row>
    <row r="649" spans="1:1" x14ac:dyDescent="0.2">
      <c r="A649" t="s">
        <v>713</v>
      </c>
    </row>
    <row r="650" spans="1:1" x14ac:dyDescent="0.2">
      <c r="A650" t="s">
        <v>281</v>
      </c>
    </row>
    <row r="651" spans="1:1" x14ac:dyDescent="0.2">
      <c r="A651" t="s">
        <v>2630</v>
      </c>
    </row>
    <row r="652" spans="1:1" x14ac:dyDescent="0.2">
      <c r="A652" t="s">
        <v>387</v>
      </c>
    </row>
    <row r="653" spans="1:1" x14ac:dyDescent="0.2">
      <c r="A653" t="s">
        <v>2641</v>
      </c>
    </row>
    <row r="654" spans="1:1" x14ac:dyDescent="0.2">
      <c r="A654" t="s">
        <v>2636</v>
      </c>
    </row>
    <row r="655" spans="1:1" x14ac:dyDescent="0.2">
      <c r="A655" t="s">
        <v>2634</v>
      </c>
    </row>
    <row r="656" spans="1:1" x14ac:dyDescent="0.2">
      <c r="A656" t="s">
        <v>47</v>
      </c>
    </row>
    <row r="657" spans="1:1" x14ac:dyDescent="0.2">
      <c r="A657" t="s">
        <v>708</v>
      </c>
    </row>
    <row r="658" spans="1:1" x14ac:dyDescent="0.2">
      <c r="A658" t="s">
        <v>2620</v>
      </c>
    </row>
    <row r="659" spans="1:1" x14ac:dyDescent="0.2">
      <c r="A659" t="s">
        <v>283</v>
      </c>
    </row>
    <row r="660" spans="1:1" x14ac:dyDescent="0.2">
      <c r="A660" t="s">
        <v>2631</v>
      </c>
    </row>
    <row r="661" spans="1:1" x14ac:dyDescent="0.2">
      <c r="A661" t="s">
        <v>284</v>
      </c>
    </row>
    <row r="662" spans="1:1" x14ac:dyDescent="0.2">
      <c r="A662" t="s">
        <v>390</v>
      </c>
    </row>
    <row r="663" spans="1:1" x14ac:dyDescent="0.2">
      <c r="A663" t="s">
        <v>389</v>
      </c>
    </row>
    <row r="664" spans="1:1" x14ac:dyDescent="0.2">
      <c r="A664" t="s">
        <v>2637</v>
      </c>
    </row>
    <row r="665" spans="1:1" x14ac:dyDescent="0.2">
      <c r="A665" t="s">
        <v>57</v>
      </c>
    </row>
    <row r="666" spans="1:1" x14ac:dyDescent="0.2">
      <c r="A666" t="s">
        <v>710</v>
      </c>
    </row>
    <row r="667" spans="1:1" x14ac:dyDescent="0.2">
      <c r="A667" t="s">
        <v>2371</v>
      </c>
    </row>
    <row r="668" spans="1:1" x14ac:dyDescent="0.2">
      <c r="A668" t="s">
        <v>2497</v>
      </c>
    </row>
    <row r="669" spans="1:1" x14ac:dyDescent="0.2">
      <c r="A669" t="s">
        <v>21</v>
      </c>
    </row>
    <row r="670" spans="1:1" x14ac:dyDescent="0.2">
      <c r="A670" t="s">
        <v>33</v>
      </c>
    </row>
    <row r="671" spans="1:1" x14ac:dyDescent="0.2">
      <c r="A671" t="s">
        <v>269</v>
      </c>
    </row>
    <row r="672" spans="1:1" x14ac:dyDescent="0.2">
      <c r="A672" t="s">
        <v>478</v>
      </c>
    </row>
    <row r="673" spans="1:1" x14ac:dyDescent="0.2">
      <c r="A673" t="s">
        <v>508</v>
      </c>
    </row>
    <row r="674" spans="1:1" x14ac:dyDescent="0.2">
      <c r="A674" t="s">
        <v>489</v>
      </c>
    </row>
    <row r="675" spans="1:1" x14ac:dyDescent="0.2">
      <c r="A675" t="s">
        <v>29</v>
      </c>
    </row>
    <row r="676" spans="1:1" x14ac:dyDescent="0.2">
      <c r="A676" t="s">
        <v>28</v>
      </c>
    </row>
    <row r="677" spans="1:1" x14ac:dyDescent="0.2">
      <c r="A677" t="s">
        <v>271</v>
      </c>
    </row>
    <row r="678" spans="1:1" x14ac:dyDescent="0.2">
      <c r="A678" t="s">
        <v>682</v>
      </c>
    </row>
    <row r="679" spans="1:1" x14ac:dyDescent="0.2">
      <c r="A679" t="s">
        <v>676</v>
      </c>
    </row>
    <row r="680" spans="1:1" x14ac:dyDescent="0.2">
      <c r="A680" t="s">
        <v>1092</v>
      </c>
    </row>
    <row r="681" spans="1:1" x14ac:dyDescent="0.2">
      <c r="A681" t="s">
        <v>695</v>
      </c>
    </row>
    <row r="682" spans="1:1" x14ac:dyDescent="0.2">
      <c r="A682" t="s">
        <v>1840</v>
      </c>
    </row>
    <row r="683" spans="1:1" x14ac:dyDescent="0.2">
      <c r="A683" t="s">
        <v>1841</v>
      </c>
    </row>
    <row r="684" spans="1:1" x14ac:dyDescent="0.2">
      <c r="A684" t="s">
        <v>1842</v>
      </c>
    </row>
    <row r="685" spans="1:1" x14ac:dyDescent="0.2">
      <c r="A685" t="s">
        <v>393</v>
      </c>
    </row>
    <row r="686" spans="1:1" x14ac:dyDescent="0.2">
      <c r="A686" t="s">
        <v>394</v>
      </c>
    </row>
    <row r="687" spans="1:1" x14ac:dyDescent="0.2">
      <c r="A687" t="s">
        <v>399</v>
      </c>
    </row>
    <row r="688" spans="1:1" x14ac:dyDescent="0.2">
      <c r="A688" t="s">
        <v>400</v>
      </c>
    </row>
    <row r="689" spans="1:1" x14ac:dyDescent="0.2">
      <c r="A689" t="s">
        <v>300</v>
      </c>
    </row>
    <row r="690" spans="1:1" x14ac:dyDescent="0.2">
      <c r="A690" t="s">
        <v>298</v>
      </c>
    </row>
    <row r="691" spans="1:1" x14ac:dyDescent="0.2">
      <c r="A691" t="s">
        <v>299</v>
      </c>
    </row>
    <row r="692" spans="1:1" x14ac:dyDescent="0.2">
      <c r="A692" t="s">
        <v>401</v>
      </c>
    </row>
    <row r="693" spans="1:1" x14ac:dyDescent="0.2">
      <c r="A693" t="s">
        <v>402</v>
      </c>
    </row>
    <row r="694" spans="1:1" x14ac:dyDescent="0.2">
      <c r="A694" t="s">
        <v>629</v>
      </c>
    </row>
    <row r="695" spans="1:1" x14ac:dyDescent="0.2">
      <c r="A695" t="s">
        <v>1843</v>
      </c>
    </row>
    <row r="696" spans="1:1" x14ac:dyDescent="0.2">
      <c r="A696" t="s">
        <v>1844</v>
      </c>
    </row>
    <row r="697" spans="1:1" x14ac:dyDescent="0.2">
      <c r="A697" t="s">
        <v>1845</v>
      </c>
    </row>
    <row r="698" spans="1:1" x14ac:dyDescent="0.2">
      <c r="A698" t="s">
        <v>1846</v>
      </c>
    </row>
    <row r="699" spans="1:1" x14ac:dyDescent="0.2">
      <c r="A699" t="s">
        <v>182</v>
      </c>
    </row>
    <row r="700" spans="1:1" x14ac:dyDescent="0.2">
      <c r="A700" t="s">
        <v>239</v>
      </c>
    </row>
    <row r="701" spans="1:1" x14ac:dyDescent="0.2">
      <c r="A701" t="s">
        <v>183</v>
      </c>
    </row>
    <row r="702" spans="1:1" x14ac:dyDescent="0.2">
      <c r="A702" t="s">
        <v>187</v>
      </c>
    </row>
    <row r="703" spans="1:1" x14ac:dyDescent="0.2">
      <c r="A703" t="s">
        <v>188</v>
      </c>
    </row>
    <row r="704" spans="1:1" x14ac:dyDescent="0.2">
      <c r="A704" t="s">
        <v>189</v>
      </c>
    </row>
    <row r="705" spans="1:1" x14ac:dyDescent="0.2">
      <c r="A705" t="s">
        <v>190</v>
      </c>
    </row>
    <row r="706" spans="1:1" x14ac:dyDescent="0.2">
      <c r="A706" t="s">
        <v>240</v>
      </c>
    </row>
    <row r="707" spans="1:1" x14ac:dyDescent="0.2">
      <c r="A707" t="s">
        <v>191</v>
      </c>
    </row>
    <row r="708" spans="1:1" x14ac:dyDescent="0.2">
      <c r="A708" t="s">
        <v>192</v>
      </c>
    </row>
    <row r="709" spans="1:1" x14ac:dyDescent="0.2">
      <c r="A709" t="s">
        <v>211</v>
      </c>
    </row>
    <row r="710" spans="1:1" x14ac:dyDescent="0.2">
      <c r="A710" t="s">
        <v>194</v>
      </c>
    </row>
    <row r="711" spans="1:1" x14ac:dyDescent="0.2">
      <c r="A711" t="s">
        <v>195</v>
      </c>
    </row>
    <row r="712" spans="1:1" x14ac:dyDescent="0.2">
      <c r="A712" t="s">
        <v>196</v>
      </c>
    </row>
    <row r="713" spans="1:1" x14ac:dyDescent="0.2">
      <c r="A713" t="s">
        <v>197</v>
      </c>
    </row>
    <row r="714" spans="1:1" x14ac:dyDescent="0.2">
      <c r="A714" t="s">
        <v>1847</v>
      </c>
    </row>
    <row r="715" spans="1:1" x14ac:dyDescent="0.2">
      <c r="A715" t="s">
        <v>1848</v>
      </c>
    </row>
    <row r="716" spans="1:1" x14ac:dyDescent="0.2">
      <c r="A716" t="s">
        <v>198</v>
      </c>
    </row>
    <row r="717" spans="1:1" x14ac:dyDescent="0.2">
      <c r="A717" t="s">
        <v>199</v>
      </c>
    </row>
    <row r="718" spans="1:1" x14ac:dyDescent="0.2">
      <c r="A718" t="s">
        <v>200</v>
      </c>
    </row>
    <row r="719" spans="1:1" x14ac:dyDescent="0.2">
      <c r="A719" t="s">
        <v>201</v>
      </c>
    </row>
    <row r="720" spans="1:1" x14ac:dyDescent="0.2">
      <c r="A720" t="s">
        <v>202</v>
      </c>
    </row>
    <row r="721" spans="1:1" x14ac:dyDescent="0.2">
      <c r="A721" t="s">
        <v>203</v>
      </c>
    </row>
    <row r="722" spans="1:1" x14ac:dyDescent="0.2">
      <c r="A722" t="s">
        <v>1494</v>
      </c>
    </row>
    <row r="723" spans="1:1" x14ac:dyDescent="0.2">
      <c r="A723" t="s">
        <v>216</v>
      </c>
    </row>
    <row r="724" spans="1:1" x14ac:dyDescent="0.2">
      <c r="A724" t="s">
        <v>1849</v>
      </c>
    </row>
    <row r="725" spans="1:1" x14ac:dyDescent="0.2">
      <c r="A725" t="s">
        <v>230</v>
      </c>
    </row>
    <row r="726" spans="1:1" x14ac:dyDescent="0.2">
      <c r="A726" t="s">
        <v>253</v>
      </c>
    </row>
    <row r="727" spans="1:1" x14ac:dyDescent="0.2">
      <c r="A727" t="s">
        <v>1850</v>
      </c>
    </row>
    <row r="728" spans="1:1" x14ac:dyDescent="0.2">
      <c r="A728" t="s">
        <v>302</v>
      </c>
    </row>
    <row r="729" spans="1:1" x14ac:dyDescent="0.2">
      <c r="A729" t="s">
        <v>303</v>
      </c>
    </row>
    <row r="730" spans="1:1" x14ac:dyDescent="0.2">
      <c r="A730" t="s">
        <v>304</v>
      </c>
    </row>
    <row r="731" spans="1:1" x14ac:dyDescent="0.2">
      <c r="A731" t="s">
        <v>305</v>
      </c>
    </row>
    <row r="732" spans="1:1" x14ac:dyDescent="0.2">
      <c r="A732" t="s">
        <v>311</v>
      </c>
    </row>
    <row r="733" spans="1:1" x14ac:dyDescent="0.2">
      <c r="A733" t="s">
        <v>346</v>
      </c>
    </row>
    <row r="734" spans="1:1" x14ac:dyDescent="0.2">
      <c r="A734" t="s">
        <v>312</v>
      </c>
    </row>
    <row r="735" spans="1:1" x14ac:dyDescent="0.2">
      <c r="A735" t="s">
        <v>1851</v>
      </c>
    </row>
    <row r="736" spans="1:1" x14ac:dyDescent="0.2">
      <c r="A736" t="s">
        <v>313</v>
      </c>
    </row>
    <row r="737" spans="1:1" x14ac:dyDescent="0.2">
      <c r="A737" t="s">
        <v>325</v>
      </c>
    </row>
    <row r="738" spans="1:1" x14ac:dyDescent="0.2">
      <c r="A738" t="s">
        <v>335</v>
      </c>
    </row>
    <row r="739" spans="1:1" x14ac:dyDescent="0.2">
      <c r="A739" t="s">
        <v>336</v>
      </c>
    </row>
    <row r="740" spans="1:1" x14ac:dyDescent="0.2">
      <c r="A740" t="s">
        <v>353</v>
      </c>
    </row>
    <row r="741" spans="1:1" x14ac:dyDescent="0.2">
      <c r="A741" t="s">
        <v>354</v>
      </c>
    </row>
    <row r="742" spans="1:1" x14ac:dyDescent="0.2">
      <c r="A742" t="s">
        <v>355</v>
      </c>
    </row>
    <row r="743" spans="1:1" x14ac:dyDescent="0.2">
      <c r="A743" t="s">
        <v>1852</v>
      </c>
    </row>
    <row r="744" spans="1:1" x14ac:dyDescent="0.2">
      <c r="A744" t="s">
        <v>403</v>
      </c>
    </row>
    <row r="745" spans="1:1" x14ac:dyDescent="0.2">
      <c r="A745" t="s">
        <v>404</v>
      </c>
    </row>
    <row r="746" spans="1:1" x14ac:dyDescent="0.2">
      <c r="A746" t="s">
        <v>405</v>
      </c>
    </row>
    <row r="747" spans="1:1" x14ac:dyDescent="0.2">
      <c r="A747" t="s">
        <v>406</v>
      </c>
    </row>
    <row r="748" spans="1:1" x14ac:dyDescent="0.2">
      <c r="A748" t="s">
        <v>407</v>
      </c>
    </row>
    <row r="749" spans="1:1" x14ac:dyDescent="0.2">
      <c r="A749" t="s">
        <v>408</v>
      </c>
    </row>
    <row r="750" spans="1:1" x14ac:dyDescent="0.2">
      <c r="A750" t="s">
        <v>411</v>
      </c>
    </row>
    <row r="751" spans="1:1" x14ac:dyDescent="0.2">
      <c r="A751" t="s">
        <v>412</v>
      </c>
    </row>
    <row r="752" spans="1:1" x14ac:dyDescent="0.2">
      <c r="A752" t="s">
        <v>413</v>
      </c>
    </row>
    <row r="753" spans="1:1" x14ac:dyDescent="0.2">
      <c r="A753" t="s">
        <v>414</v>
      </c>
    </row>
    <row r="754" spans="1:1" x14ac:dyDescent="0.2">
      <c r="A754" t="s">
        <v>415</v>
      </c>
    </row>
    <row r="755" spans="1:1" x14ac:dyDescent="0.2">
      <c r="A755" t="s">
        <v>416</v>
      </c>
    </row>
    <row r="756" spans="1:1" x14ac:dyDescent="0.2">
      <c r="A756" t="s">
        <v>417</v>
      </c>
    </row>
    <row r="757" spans="1:1" x14ac:dyDescent="0.2">
      <c r="A757" t="s">
        <v>418</v>
      </c>
    </row>
    <row r="758" spans="1:1" x14ac:dyDescent="0.2">
      <c r="A758" t="s">
        <v>419</v>
      </c>
    </row>
    <row r="759" spans="1:1" x14ac:dyDescent="0.2">
      <c r="A759" t="s">
        <v>409</v>
      </c>
    </row>
    <row r="760" spans="1:1" x14ac:dyDescent="0.2">
      <c r="A760" t="s">
        <v>421</v>
      </c>
    </row>
    <row r="761" spans="1:1" x14ac:dyDescent="0.2">
      <c r="A761" t="s">
        <v>422</v>
      </c>
    </row>
    <row r="762" spans="1:1" x14ac:dyDescent="0.2">
      <c r="A762" t="s">
        <v>423</v>
      </c>
    </row>
    <row r="763" spans="1:1" x14ac:dyDescent="0.2">
      <c r="A763" t="s">
        <v>424</v>
      </c>
    </row>
    <row r="764" spans="1:1" x14ac:dyDescent="0.2">
      <c r="A764" t="s">
        <v>425</v>
      </c>
    </row>
    <row r="765" spans="1:1" x14ac:dyDescent="0.2">
      <c r="A765" t="s">
        <v>426</v>
      </c>
    </row>
    <row r="766" spans="1:1" x14ac:dyDescent="0.2">
      <c r="A766" t="s">
        <v>427</v>
      </c>
    </row>
    <row r="767" spans="1:1" x14ac:dyDescent="0.2">
      <c r="A767" t="s">
        <v>428</v>
      </c>
    </row>
    <row r="768" spans="1:1" x14ac:dyDescent="0.2">
      <c r="A768" t="s">
        <v>420</v>
      </c>
    </row>
    <row r="769" spans="1:1" x14ac:dyDescent="0.2">
      <c r="A769" t="s">
        <v>410</v>
      </c>
    </row>
    <row r="770" spans="1:1" x14ac:dyDescent="0.2">
      <c r="A770" t="s">
        <v>1853</v>
      </c>
    </row>
    <row r="771" spans="1:1" x14ac:dyDescent="0.2">
      <c r="A771" t="s">
        <v>429</v>
      </c>
    </row>
    <row r="772" spans="1:1" x14ac:dyDescent="0.2">
      <c r="A772" t="s">
        <v>430</v>
      </c>
    </row>
    <row r="773" spans="1:1" x14ac:dyDescent="0.2">
      <c r="A773" t="s">
        <v>431</v>
      </c>
    </row>
    <row r="774" spans="1:1" x14ac:dyDescent="0.2">
      <c r="A774" t="s">
        <v>436</v>
      </c>
    </row>
    <row r="775" spans="1:1" x14ac:dyDescent="0.2">
      <c r="A775" t="s">
        <v>1854</v>
      </c>
    </row>
    <row r="776" spans="1:1" x14ac:dyDescent="0.2">
      <c r="A776" t="s">
        <v>1855</v>
      </c>
    </row>
    <row r="777" spans="1:1" x14ac:dyDescent="0.2">
      <c r="A777" t="s">
        <v>1070</v>
      </c>
    </row>
    <row r="778" spans="1:1" x14ac:dyDescent="0.2">
      <c r="A778" t="s">
        <v>445</v>
      </c>
    </row>
    <row r="779" spans="1:1" x14ac:dyDescent="0.2">
      <c r="A779" t="s">
        <v>1856</v>
      </c>
    </row>
    <row r="780" spans="1:1" x14ac:dyDescent="0.2">
      <c r="A780" t="s">
        <v>1857</v>
      </c>
    </row>
    <row r="781" spans="1:1" x14ac:dyDescent="0.2">
      <c r="A781" t="s">
        <v>450</v>
      </c>
    </row>
    <row r="782" spans="1:1" x14ac:dyDescent="0.2">
      <c r="A782" t="s">
        <v>1510</v>
      </c>
    </row>
    <row r="783" spans="1:1" x14ac:dyDescent="0.2">
      <c r="A783" t="s">
        <v>451</v>
      </c>
    </row>
    <row r="784" spans="1:1" x14ac:dyDescent="0.2">
      <c r="A784" t="s">
        <v>1495</v>
      </c>
    </row>
    <row r="785" spans="1:1" x14ac:dyDescent="0.2">
      <c r="A785" t="s">
        <v>1858</v>
      </c>
    </row>
    <row r="786" spans="1:1" x14ac:dyDescent="0.2">
      <c r="A786" t="s">
        <v>1859</v>
      </c>
    </row>
    <row r="787" spans="1:1" x14ac:dyDescent="0.2">
      <c r="A787" t="s">
        <v>1860</v>
      </c>
    </row>
    <row r="788" spans="1:1" x14ac:dyDescent="0.2">
      <c r="A788" t="s">
        <v>469</v>
      </c>
    </row>
    <row r="789" spans="1:1" x14ac:dyDescent="0.2">
      <c r="A789" t="s">
        <v>470</v>
      </c>
    </row>
    <row r="790" spans="1:1" x14ac:dyDescent="0.2">
      <c r="A790" t="s">
        <v>471</v>
      </c>
    </row>
    <row r="791" spans="1:1" x14ac:dyDescent="0.2">
      <c r="A791" t="s">
        <v>472</v>
      </c>
    </row>
    <row r="792" spans="1:1" x14ac:dyDescent="0.2">
      <c r="A792" t="s">
        <v>473</v>
      </c>
    </row>
    <row r="793" spans="1:1" x14ac:dyDescent="0.2">
      <c r="A793" t="s">
        <v>474</v>
      </c>
    </row>
    <row r="794" spans="1:1" x14ac:dyDescent="0.2">
      <c r="A794" t="s">
        <v>1861</v>
      </c>
    </row>
    <row r="795" spans="1:1" x14ac:dyDescent="0.2">
      <c r="A795" t="s">
        <v>1511</v>
      </c>
    </row>
    <row r="796" spans="1:1" x14ac:dyDescent="0.2">
      <c r="A796" t="s">
        <v>492</v>
      </c>
    </row>
    <row r="797" spans="1:1" x14ac:dyDescent="0.2">
      <c r="A797" t="s">
        <v>1496</v>
      </c>
    </row>
    <row r="798" spans="1:1" x14ac:dyDescent="0.2">
      <c r="A798" t="s">
        <v>625</v>
      </c>
    </row>
    <row r="799" spans="1:1" x14ac:dyDescent="0.2">
      <c r="A799" t="s">
        <v>626</v>
      </c>
    </row>
    <row r="800" spans="1:1" x14ac:dyDescent="0.2">
      <c r="A800" t="s">
        <v>627</v>
      </c>
    </row>
    <row r="801" spans="1:1" x14ac:dyDescent="0.2">
      <c r="A801" t="s">
        <v>494</v>
      </c>
    </row>
    <row r="802" spans="1:1" x14ac:dyDescent="0.2">
      <c r="A802" t="s">
        <v>495</v>
      </c>
    </row>
    <row r="803" spans="1:1" x14ac:dyDescent="0.2">
      <c r="A803" t="s">
        <v>496</v>
      </c>
    </row>
    <row r="804" spans="1:1" x14ac:dyDescent="0.2">
      <c r="A804" t="s">
        <v>497</v>
      </c>
    </row>
    <row r="805" spans="1:1" x14ac:dyDescent="0.2">
      <c r="A805" t="s">
        <v>502</v>
      </c>
    </row>
    <row r="806" spans="1:1" x14ac:dyDescent="0.2">
      <c r="A806" t="s">
        <v>503</v>
      </c>
    </row>
    <row r="807" spans="1:1" x14ac:dyDescent="0.2">
      <c r="A807" t="s">
        <v>504</v>
      </c>
    </row>
    <row r="808" spans="1:1" x14ac:dyDescent="0.2">
      <c r="A808" t="s">
        <v>505</v>
      </c>
    </row>
    <row r="809" spans="1:1" x14ac:dyDescent="0.2">
      <c r="A809" t="s">
        <v>509</v>
      </c>
    </row>
    <row r="810" spans="1:1" x14ac:dyDescent="0.2">
      <c r="A810" t="s">
        <v>510</v>
      </c>
    </row>
    <row r="811" spans="1:1" x14ac:dyDescent="0.2">
      <c r="A811" t="s">
        <v>513</v>
      </c>
    </row>
    <row r="812" spans="1:1" x14ac:dyDescent="0.2">
      <c r="A812" t="s">
        <v>515</v>
      </c>
    </row>
    <row r="813" spans="1:1" x14ac:dyDescent="0.2">
      <c r="A813" t="s">
        <v>521</v>
      </c>
    </row>
    <row r="814" spans="1:1" x14ac:dyDescent="0.2">
      <c r="A814" t="s">
        <v>522</v>
      </c>
    </row>
    <row r="815" spans="1:1" x14ac:dyDescent="0.2">
      <c r="A815" t="s">
        <v>527</v>
      </c>
    </row>
    <row r="816" spans="1:1" x14ac:dyDescent="0.2">
      <c r="A816" t="s">
        <v>528</v>
      </c>
    </row>
    <row r="817" spans="1:1" x14ac:dyDescent="0.2">
      <c r="A817" t="s">
        <v>531</v>
      </c>
    </row>
    <row r="818" spans="1:1" x14ac:dyDescent="0.2">
      <c r="A818" t="s">
        <v>532</v>
      </c>
    </row>
    <row r="819" spans="1:1" x14ac:dyDescent="0.2">
      <c r="A819" t="s">
        <v>533</v>
      </c>
    </row>
    <row r="820" spans="1:1" x14ac:dyDescent="0.2">
      <c r="A820" t="s">
        <v>534</v>
      </c>
    </row>
    <row r="821" spans="1:1" x14ac:dyDescent="0.2">
      <c r="A821" t="s">
        <v>1515</v>
      </c>
    </row>
    <row r="822" spans="1:1" x14ac:dyDescent="0.2">
      <c r="A822" t="s">
        <v>541</v>
      </c>
    </row>
    <row r="823" spans="1:1" x14ac:dyDescent="0.2">
      <c r="A823" t="s">
        <v>1517</v>
      </c>
    </row>
    <row r="824" spans="1:1" x14ac:dyDescent="0.2">
      <c r="A824" t="s">
        <v>1518</v>
      </c>
    </row>
    <row r="825" spans="1:1" x14ac:dyDescent="0.2">
      <c r="A825" t="s">
        <v>1519</v>
      </c>
    </row>
    <row r="826" spans="1:1" x14ac:dyDescent="0.2">
      <c r="A826" t="s">
        <v>1520</v>
      </c>
    </row>
    <row r="827" spans="1:1" x14ac:dyDescent="0.2">
      <c r="A827" t="s">
        <v>1521</v>
      </c>
    </row>
    <row r="828" spans="1:1" x14ac:dyDescent="0.2">
      <c r="A828" t="s">
        <v>1523</v>
      </c>
    </row>
    <row r="829" spans="1:1" x14ac:dyDescent="0.2">
      <c r="A829" t="s">
        <v>1537</v>
      </c>
    </row>
    <row r="830" spans="1:1" x14ac:dyDescent="0.2">
      <c r="A830" t="s">
        <v>545</v>
      </c>
    </row>
    <row r="831" spans="1:1" x14ac:dyDescent="0.2">
      <c r="A831" t="s">
        <v>546</v>
      </c>
    </row>
    <row r="832" spans="1:1" x14ac:dyDescent="0.2">
      <c r="A832" t="s">
        <v>547</v>
      </c>
    </row>
    <row r="833" spans="1:1" x14ac:dyDescent="0.2">
      <c r="A833" t="s">
        <v>548</v>
      </c>
    </row>
    <row r="834" spans="1:1" x14ac:dyDescent="0.2">
      <c r="A834" t="s">
        <v>549</v>
      </c>
    </row>
    <row r="835" spans="1:1" x14ac:dyDescent="0.2">
      <c r="A835" t="s">
        <v>558</v>
      </c>
    </row>
    <row r="836" spans="1:1" x14ac:dyDescent="0.2">
      <c r="A836" t="s">
        <v>559</v>
      </c>
    </row>
    <row r="837" spans="1:1" x14ac:dyDescent="0.2">
      <c r="A837" t="s">
        <v>560</v>
      </c>
    </row>
    <row r="838" spans="1:1" x14ac:dyDescent="0.2">
      <c r="A838" t="s">
        <v>561</v>
      </c>
    </row>
    <row r="839" spans="1:1" x14ac:dyDescent="0.2">
      <c r="A839" t="s">
        <v>576</v>
      </c>
    </row>
    <row r="840" spans="1:1" x14ac:dyDescent="0.2">
      <c r="A840" t="s">
        <v>578</v>
      </c>
    </row>
    <row r="841" spans="1:1" x14ac:dyDescent="0.2">
      <c r="A841" t="s">
        <v>1055</v>
      </c>
    </row>
    <row r="842" spans="1:1" x14ac:dyDescent="0.2">
      <c r="A842" t="s">
        <v>1525</v>
      </c>
    </row>
    <row r="843" spans="1:1" x14ac:dyDescent="0.2">
      <c r="A843" t="s">
        <v>1236</v>
      </c>
    </row>
    <row r="844" spans="1:1" x14ac:dyDescent="0.2">
      <c r="A844" t="s">
        <v>1526</v>
      </c>
    </row>
    <row r="845" spans="1:1" x14ac:dyDescent="0.2">
      <c r="A845" t="s">
        <v>1919</v>
      </c>
    </row>
    <row r="846" spans="1:1" x14ac:dyDescent="0.2">
      <c r="A846" t="s">
        <v>1920</v>
      </c>
    </row>
    <row r="847" spans="1:1" x14ac:dyDescent="0.2">
      <c r="A847" t="s">
        <v>582</v>
      </c>
    </row>
    <row r="848" spans="1:1" x14ac:dyDescent="0.2">
      <c r="A848" t="s">
        <v>584</v>
      </c>
    </row>
    <row r="849" spans="1:1" x14ac:dyDescent="0.2">
      <c r="A849" t="s">
        <v>577</v>
      </c>
    </row>
    <row r="850" spans="1:1" x14ac:dyDescent="0.2">
      <c r="A850" t="s">
        <v>595</v>
      </c>
    </row>
    <row r="851" spans="1:1" x14ac:dyDescent="0.2">
      <c r="A851" t="s">
        <v>596</v>
      </c>
    </row>
    <row r="852" spans="1:1" x14ac:dyDescent="0.2">
      <c r="A852" t="s">
        <v>597</v>
      </c>
    </row>
    <row r="853" spans="1:1" x14ac:dyDescent="0.2">
      <c r="A853" t="s">
        <v>1921</v>
      </c>
    </row>
    <row r="854" spans="1:1" x14ac:dyDescent="0.2">
      <c r="A854" t="s">
        <v>1922</v>
      </c>
    </row>
    <row r="855" spans="1:1" x14ac:dyDescent="0.2">
      <c r="A855" t="s">
        <v>1923</v>
      </c>
    </row>
    <row r="856" spans="1:1" x14ac:dyDescent="0.2">
      <c r="A856" t="s">
        <v>1924</v>
      </c>
    </row>
    <row r="857" spans="1:1" x14ac:dyDescent="0.2">
      <c r="A857" t="s">
        <v>1925</v>
      </c>
    </row>
    <row r="858" spans="1:1" x14ac:dyDescent="0.2">
      <c r="A858" t="s">
        <v>1926</v>
      </c>
    </row>
    <row r="859" spans="1:1" x14ac:dyDescent="0.2">
      <c r="A859" t="s">
        <v>1927</v>
      </c>
    </row>
    <row r="860" spans="1:1" x14ac:dyDescent="0.2">
      <c r="A860" t="s">
        <v>1928</v>
      </c>
    </row>
    <row r="861" spans="1:1" x14ac:dyDescent="0.2">
      <c r="A861" t="s">
        <v>1929</v>
      </c>
    </row>
    <row r="862" spans="1:1" x14ac:dyDescent="0.2">
      <c r="A862" t="s">
        <v>1930</v>
      </c>
    </row>
    <row r="863" spans="1:1" x14ac:dyDescent="0.2">
      <c r="A863" t="s">
        <v>1931</v>
      </c>
    </row>
    <row r="864" spans="1:1" x14ac:dyDescent="0.2">
      <c r="A864" t="s">
        <v>1932</v>
      </c>
    </row>
    <row r="865" spans="1:1" x14ac:dyDescent="0.2">
      <c r="A865" t="s">
        <v>1933</v>
      </c>
    </row>
    <row r="866" spans="1:1" x14ac:dyDescent="0.2">
      <c r="A866" t="s">
        <v>1934</v>
      </c>
    </row>
    <row r="867" spans="1:1" x14ac:dyDescent="0.2">
      <c r="A867" t="s">
        <v>1935</v>
      </c>
    </row>
    <row r="868" spans="1:1" x14ac:dyDescent="0.2">
      <c r="A868" t="s">
        <v>1936</v>
      </c>
    </row>
    <row r="869" spans="1:1" x14ac:dyDescent="0.2">
      <c r="A869" t="s">
        <v>1937</v>
      </c>
    </row>
    <row r="870" spans="1:1" x14ac:dyDescent="0.2">
      <c r="A870" t="s">
        <v>1938</v>
      </c>
    </row>
    <row r="871" spans="1:1" x14ac:dyDescent="0.2">
      <c r="A871" t="s">
        <v>1939</v>
      </c>
    </row>
    <row r="872" spans="1:1" x14ac:dyDescent="0.2">
      <c r="A872" t="s">
        <v>1940</v>
      </c>
    </row>
    <row r="873" spans="1:1" x14ac:dyDescent="0.2">
      <c r="A873" t="s">
        <v>1941</v>
      </c>
    </row>
    <row r="874" spans="1:1" x14ac:dyDescent="0.2">
      <c r="A874" t="s">
        <v>1942</v>
      </c>
    </row>
    <row r="875" spans="1:1" x14ac:dyDescent="0.2">
      <c r="A875" t="s">
        <v>688</v>
      </c>
    </row>
    <row r="876" spans="1:1" x14ac:dyDescent="0.2">
      <c r="A876" t="s">
        <v>704</v>
      </c>
    </row>
    <row r="877" spans="1:1" x14ac:dyDescent="0.2">
      <c r="A877" t="s">
        <v>705</v>
      </c>
    </row>
    <row r="878" spans="1:1" x14ac:dyDescent="0.2">
      <c r="A878" t="s">
        <v>718</v>
      </c>
    </row>
    <row r="879" spans="1:1" x14ac:dyDescent="0.2">
      <c r="A879" t="s">
        <v>1943</v>
      </c>
    </row>
    <row r="880" spans="1:1" x14ac:dyDescent="0.2">
      <c r="A880" t="s">
        <v>1944</v>
      </c>
    </row>
    <row r="881" spans="1:1" x14ac:dyDescent="0.2">
      <c r="A881" t="s">
        <v>815</v>
      </c>
    </row>
    <row r="882" spans="1:1" x14ac:dyDescent="0.2">
      <c r="A882" t="s">
        <v>814</v>
      </c>
    </row>
    <row r="883" spans="1:1" x14ac:dyDescent="0.2">
      <c r="A883" t="s">
        <v>816</v>
      </c>
    </row>
    <row r="884" spans="1:1" x14ac:dyDescent="0.2">
      <c r="A884" t="s">
        <v>817</v>
      </c>
    </row>
    <row r="885" spans="1:1" x14ac:dyDescent="0.2">
      <c r="A885" t="s">
        <v>818</v>
      </c>
    </row>
    <row r="886" spans="1:1" x14ac:dyDescent="0.2">
      <c r="A886" t="s">
        <v>1945</v>
      </c>
    </row>
    <row r="887" spans="1:1" x14ac:dyDescent="0.2">
      <c r="A887" t="s">
        <v>820</v>
      </c>
    </row>
    <row r="888" spans="1:1" x14ac:dyDescent="0.2">
      <c r="A888" t="s">
        <v>819</v>
      </c>
    </row>
    <row r="889" spans="1:1" x14ac:dyDescent="0.2">
      <c r="A889" t="s">
        <v>821</v>
      </c>
    </row>
    <row r="890" spans="1:1" x14ac:dyDescent="0.2">
      <c r="A890" t="s">
        <v>822</v>
      </c>
    </row>
    <row r="891" spans="1:1" x14ac:dyDescent="0.2">
      <c r="A891" t="s">
        <v>823</v>
      </c>
    </row>
    <row r="892" spans="1:1" x14ac:dyDescent="0.2">
      <c r="A892" t="s">
        <v>845</v>
      </c>
    </row>
    <row r="893" spans="1:1" x14ac:dyDescent="0.2">
      <c r="A893" t="s">
        <v>848</v>
      </c>
    </row>
    <row r="894" spans="1:1" x14ac:dyDescent="0.2">
      <c r="A894" t="s">
        <v>849</v>
      </c>
    </row>
    <row r="895" spans="1:1" x14ac:dyDescent="0.2">
      <c r="A895" t="s">
        <v>850</v>
      </c>
    </row>
    <row r="896" spans="1:1" x14ac:dyDescent="0.2">
      <c r="A896" t="s">
        <v>851</v>
      </c>
    </row>
    <row r="897" spans="1:1" x14ac:dyDescent="0.2">
      <c r="A897" t="s">
        <v>852</v>
      </c>
    </row>
    <row r="898" spans="1:1" x14ac:dyDescent="0.2">
      <c r="A898" t="s">
        <v>853</v>
      </c>
    </row>
    <row r="899" spans="1:1" x14ac:dyDescent="0.2">
      <c r="A899" t="s">
        <v>854</v>
      </c>
    </row>
    <row r="900" spans="1:1" x14ac:dyDescent="0.2">
      <c r="A900" t="s">
        <v>855</v>
      </c>
    </row>
    <row r="901" spans="1:1" x14ac:dyDescent="0.2">
      <c r="A901" t="s">
        <v>856</v>
      </c>
    </row>
    <row r="902" spans="1:1" x14ac:dyDescent="0.2">
      <c r="A902" t="s">
        <v>1077</v>
      </c>
    </row>
    <row r="903" spans="1:1" x14ac:dyDescent="0.2">
      <c r="A903" t="s">
        <v>1078</v>
      </c>
    </row>
    <row r="904" spans="1:1" x14ac:dyDescent="0.2">
      <c r="A904" t="s">
        <v>1079</v>
      </c>
    </row>
    <row r="905" spans="1:1" x14ac:dyDescent="0.2">
      <c r="A905" t="s">
        <v>857</v>
      </c>
    </row>
    <row r="906" spans="1:1" x14ac:dyDescent="0.2">
      <c r="A906" t="s">
        <v>858</v>
      </c>
    </row>
    <row r="907" spans="1:1" x14ac:dyDescent="0.2">
      <c r="A907" t="s">
        <v>860</v>
      </c>
    </row>
    <row r="908" spans="1:1" x14ac:dyDescent="0.2">
      <c r="A908" t="s">
        <v>861</v>
      </c>
    </row>
    <row r="909" spans="1:1" x14ac:dyDescent="0.2">
      <c r="A909" t="s">
        <v>862</v>
      </c>
    </row>
    <row r="910" spans="1:1" x14ac:dyDescent="0.2">
      <c r="A910" t="s">
        <v>863</v>
      </c>
    </row>
    <row r="911" spans="1:1" x14ac:dyDescent="0.2">
      <c r="A911" t="s">
        <v>876</v>
      </c>
    </row>
    <row r="912" spans="1:1" x14ac:dyDescent="0.2">
      <c r="A912" t="s">
        <v>877</v>
      </c>
    </row>
    <row r="913" spans="1:1" x14ac:dyDescent="0.2">
      <c r="A913" t="s">
        <v>906</v>
      </c>
    </row>
    <row r="914" spans="1:1" x14ac:dyDescent="0.2">
      <c r="A914" t="s">
        <v>907</v>
      </c>
    </row>
    <row r="915" spans="1:1" x14ac:dyDescent="0.2">
      <c r="A915" t="s">
        <v>908</v>
      </c>
    </row>
    <row r="916" spans="1:1" x14ac:dyDescent="0.2">
      <c r="A916" t="s">
        <v>697</v>
      </c>
    </row>
    <row r="917" spans="1:1" x14ac:dyDescent="0.2">
      <c r="A917" t="s">
        <v>698</v>
      </c>
    </row>
    <row r="918" spans="1:1" x14ac:dyDescent="0.2">
      <c r="A918" t="s">
        <v>909</v>
      </c>
    </row>
    <row r="919" spans="1:1" x14ac:dyDescent="0.2">
      <c r="A919" t="s">
        <v>910</v>
      </c>
    </row>
    <row r="920" spans="1:1" x14ac:dyDescent="0.2">
      <c r="A920" t="s">
        <v>918</v>
      </c>
    </row>
    <row r="921" spans="1:1" x14ac:dyDescent="0.2">
      <c r="A921" t="s">
        <v>922</v>
      </c>
    </row>
    <row r="922" spans="1:1" x14ac:dyDescent="0.2">
      <c r="A922" t="s">
        <v>923</v>
      </c>
    </row>
    <row r="923" spans="1:1" x14ac:dyDescent="0.2">
      <c r="A923" t="s">
        <v>925</v>
      </c>
    </row>
    <row r="924" spans="1:1" x14ac:dyDescent="0.2">
      <c r="A924" t="s">
        <v>926</v>
      </c>
    </row>
    <row r="925" spans="1:1" x14ac:dyDescent="0.2">
      <c r="A925" t="s">
        <v>927</v>
      </c>
    </row>
    <row r="926" spans="1:1" x14ac:dyDescent="0.2">
      <c r="A926" t="s">
        <v>928</v>
      </c>
    </row>
    <row r="927" spans="1:1" x14ac:dyDescent="0.2">
      <c r="A927" t="s">
        <v>931</v>
      </c>
    </row>
    <row r="928" spans="1:1" x14ac:dyDescent="0.2">
      <c r="A928" t="s">
        <v>1011</v>
      </c>
    </row>
    <row r="929" spans="1:1" x14ac:dyDescent="0.2">
      <c r="A929" t="s">
        <v>1013</v>
      </c>
    </row>
    <row r="930" spans="1:1" x14ac:dyDescent="0.2">
      <c r="A930" t="s">
        <v>1014</v>
      </c>
    </row>
    <row r="931" spans="1:1" x14ac:dyDescent="0.2">
      <c r="A931" t="s">
        <v>1946</v>
      </c>
    </row>
    <row r="932" spans="1:1" x14ac:dyDescent="0.2">
      <c r="A932" t="s">
        <v>1947</v>
      </c>
    </row>
    <row r="933" spans="1:1" x14ac:dyDescent="0.2">
      <c r="A933" t="s">
        <v>1527</v>
      </c>
    </row>
    <row r="934" spans="1:1" x14ac:dyDescent="0.2">
      <c r="A934" t="s">
        <v>1540</v>
      </c>
    </row>
    <row r="935" spans="1:1" x14ac:dyDescent="0.2">
      <c r="A935" t="s">
        <v>1021</v>
      </c>
    </row>
    <row r="936" spans="1:1" x14ac:dyDescent="0.2">
      <c r="A936" t="s">
        <v>1022</v>
      </c>
    </row>
    <row r="937" spans="1:1" x14ac:dyDescent="0.2">
      <c r="A937" t="s">
        <v>1530</v>
      </c>
    </row>
    <row r="938" spans="1:1" x14ac:dyDescent="0.2">
      <c r="A938" t="s">
        <v>1531</v>
      </c>
    </row>
    <row r="939" spans="1:1" x14ac:dyDescent="0.2">
      <c r="A939" t="s">
        <v>1506</v>
      </c>
    </row>
    <row r="940" spans="1:1" x14ac:dyDescent="0.2">
      <c r="A940" t="s">
        <v>1507</v>
      </c>
    </row>
    <row r="941" spans="1:1" x14ac:dyDescent="0.2">
      <c r="A941" t="s">
        <v>1528</v>
      </c>
    </row>
    <row r="942" spans="1:1" x14ac:dyDescent="0.2">
      <c r="A942" t="s">
        <v>1529</v>
      </c>
    </row>
    <row r="943" spans="1:1" x14ac:dyDescent="0.2">
      <c r="A943" t="s">
        <v>2014</v>
      </c>
    </row>
    <row r="944" spans="1:1" x14ac:dyDescent="0.2">
      <c r="A944" t="s">
        <v>2015</v>
      </c>
    </row>
    <row r="945" spans="1:1" x14ac:dyDescent="0.2">
      <c r="A945" t="s">
        <v>1151</v>
      </c>
    </row>
    <row r="946" spans="1:1" x14ac:dyDescent="0.2">
      <c r="A946" t="s">
        <v>1156</v>
      </c>
    </row>
    <row r="947" spans="1:1" x14ac:dyDescent="0.2">
      <c r="A947" t="s">
        <v>1073</v>
      </c>
    </row>
    <row r="948" spans="1:1" x14ac:dyDescent="0.2">
      <c r="A948" t="s">
        <v>2016</v>
      </c>
    </row>
    <row r="949" spans="1:1" x14ac:dyDescent="0.2">
      <c r="A949" t="s">
        <v>2017</v>
      </c>
    </row>
    <row r="950" spans="1:1" x14ac:dyDescent="0.2">
      <c r="A950" t="s">
        <v>2018</v>
      </c>
    </row>
    <row r="951" spans="1:1" x14ac:dyDescent="0.2">
      <c r="A951" t="s">
        <v>2019</v>
      </c>
    </row>
    <row r="952" spans="1:1" x14ac:dyDescent="0.2">
      <c r="A952" t="s">
        <v>1260</v>
      </c>
    </row>
    <row r="953" spans="1:1" x14ac:dyDescent="0.2">
      <c r="A953" t="s">
        <v>1081</v>
      </c>
    </row>
    <row r="954" spans="1:1" x14ac:dyDescent="0.2">
      <c r="A954" t="s">
        <v>1561</v>
      </c>
    </row>
    <row r="955" spans="1:1" x14ac:dyDescent="0.2">
      <c r="A955" t="s">
        <v>1562</v>
      </c>
    </row>
    <row r="956" spans="1:1" x14ac:dyDescent="0.2">
      <c r="A956" t="s">
        <v>1560</v>
      </c>
    </row>
    <row r="957" spans="1:1" x14ac:dyDescent="0.2">
      <c r="A957" t="s">
        <v>1082</v>
      </c>
    </row>
    <row r="958" spans="1:1" x14ac:dyDescent="0.2">
      <c r="A958" t="s">
        <v>1083</v>
      </c>
    </row>
    <row r="959" spans="1:1" x14ac:dyDescent="0.2">
      <c r="A959" t="s">
        <v>1087</v>
      </c>
    </row>
    <row r="960" spans="1:1" x14ac:dyDescent="0.2">
      <c r="A960" t="s">
        <v>1229</v>
      </c>
    </row>
    <row r="961" spans="1:1" x14ac:dyDescent="0.2">
      <c r="A961" t="s">
        <v>1230</v>
      </c>
    </row>
    <row r="962" spans="1:1" x14ac:dyDescent="0.2">
      <c r="A962" t="s">
        <v>1733</v>
      </c>
    </row>
    <row r="963" spans="1:1" x14ac:dyDescent="0.2">
      <c r="A963" t="s">
        <v>1096</v>
      </c>
    </row>
    <row r="964" spans="1:1" x14ac:dyDescent="0.2">
      <c r="A964" t="s">
        <v>1238</v>
      </c>
    </row>
    <row r="965" spans="1:1" x14ac:dyDescent="0.2">
      <c r="A965" t="s">
        <v>1499</v>
      </c>
    </row>
    <row r="966" spans="1:1" x14ac:dyDescent="0.2">
      <c r="A966" t="s">
        <v>1681</v>
      </c>
    </row>
    <row r="967" spans="1:1" x14ac:dyDescent="0.2">
      <c r="A967" t="s">
        <v>1739</v>
      </c>
    </row>
    <row r="968" spans="1:1" x14ac:dyDescent="0.2">
      <c r="A968" t="s">
        <v>1740</v>
      </c>
    </row>
    <row r="969" spans="1:1" x14ac:dyDescent="0.2">
      <c r="A969" t="s">
        <v>1500</v>
      </c>
    </row>
    <row r="970" spans="1:1" x14ac:dyDescent="0.2">
      <c r="A970" t="s">
        <v>1501</v>
      </c>
    </row>
    <row r="971" spans="1:1" x14ac:dyDescent="0.2">
      <c r="A971" t="s">
        <v>1240</v>
      </c>
    </row>
    <row r="972" spans="1:1" x14ac:dyDescent="0.2">
      <c r="A972" t="s">
        <v>1241</v>
      </c>
    </row>
    <row r="973" spans="1:1" x14ac:dyDescent="0.2">
      <c r="A973" t="s">
        <v>1242</v>
      </c>
    </row>
    <row r="974" spans="1:1" x14ac:dyDescent="0.2">
      <c r="A974" t="s">
        <v>1213</v>
      </c>
    </row>
    <row r="975" spans="1:1" x14ac:dyDescent="0.2">
      <c r="A975" t="s">
        <v>1214</v>
      </c>
    </row>
    <row r="976" spans="1:1" x14ac:dyDescent="0.2">
      <c r="A976" t="s">
        <v>1235</v>
      </c>
    </row>
    <row r="977" spans="1:1" x14ac:dyDescent="0.2">
      <c r="A977" t="s">
        <v>1682</v>
      </c>
    </row>
    <row r="978" spans="1:1" x14ac:dyDescent="0.2">
      <c r="A978" t="s">
        <v>1741</v>
      </c>
    </row>
    <row r="979" spans="1:1" x14ac:dyDescent="0.2">
      <c r="A979" t="s">
        <v>1742</v>
      </c>
    </row>
    <row r="980" spans="1:1" x14ac:dyDescent="0.2">
      <c r="A980" t="s">
        <v>1683</v>
      </c>
    </row>
    <row r="981" spans="1:1" x14ac:dyDescent="0.2">
      <c r="A981" t="s">
        <v>1743</v>
      </c>
    </row>
    <row r="982" spans="1:1" x14ac:dyDescent="0.2">
      <c r="A982" t="s">
        <v>1684</v>
      </c>
    </row>
    <row r="983" spans="1:1" x14ac:dyDescent="0.2">
      <c r="A983" t="s">
        <v>1744</v>
      </c>
    </row>
    <row r="984" spans="1:1" x14ac:dyDescent="0.2">
      <c r="A984" t="s">
        <v>1559</v>
      </c>
    </row>
    <row r="985" spans="1:1" x14ac:dyDescent="0.2">
      <c r="A985" t="s">
        <v>1648</v>
      </c>
    </row>
    <row r="986" spans="1:1" x14ac:dyDescent="0.2">
      <c r="A986" t="s">
        <v>1661</v>
      </c>
    </row>
    <row r="987" spans="1:1" x14ac:dyDescent="0.2">
      <c r="A987" t="s">
        <v>1672</v>
      </c>
    </row>
    <row r="988" spans="1:1" x14ac:dyDescent="0.2">
      <c r="A988" t="s">
        <v>1256</v>
      </c>
    </row>
    <row r="989" spans="1:1" x14ac:dyDescent="0.2">
      <c r="A989" t="s">
        <v>1257</v>
      </c>
    </row>
    <row r="990" spans="1:1" x14ac:dyDescent="0.2">
      <c r="A990" t="s">
        <v>2020</v>
      </c>
    </row>
    <row r="991" spans="1:1" x14ac:dyDescent="0.2">
      <c r="A991" t="s">
        <v>2021</v>
      </c>
    </row>
    <row r="992" spans="1:1" x14ac:dyDescent="0.2">
      <c r="A992" t="s">
        <v>2022</v>
      </c>
    </row>
    <row r="993" spans="1:1" x14ac:dyDescent="0.2">
      <c r="A993" t="s">
        <v>1258</v>
      </c>
    </row>
    <row r="994" spans="1:1" x14ac:dyDescent="0.2">
      <c r="A994" t="s">
        <v>2023</v>
      </c>
    </row>
    <row r="995" spans="1:1" x14ac:dyDescent="0.2">
      <c r="A995" t="s">
        <v>1259</v>
      </c>
    </row>
    <row r="996" spans="1:1" x14ac:dyDescent="0.2">
      <c r="A996" t="s">
        <v>2024</v>
      </c>
    </row>
    <row r="997" spans="1:1" x14ac:dyDescent="0.2">
      <c r="A997" t="s">
        <v>2025</v>
      </c>
    </row>
    <row r="998" spans="1:1" x14ac:dyDescent="0.2">
      <c r="A998" t="s">
        <v>2026</v>
      </c>
    </row>
    <row r="999" spans="1:1" x14ac:dyDescent="0.2">
      <c r="A999" t="s">
        <v>1649</v>
      </c>
    </row>
    <row r="1000" spans="1:1" x14ac:dyDescent="0.2">
      <c r="A1000" t="s">
        <v>1662</v>
      </c>
    </row>
    <row r="1001" spans="1:1" x14ac:dyDescent="0.2">
      <c r="A1001" t="s">
        <v>1261</v>
      </c>
    </row>
    <row r="1002" spans="1:1" x14ac:dyDescent="0.2">
      <c r="A1002" t="s">
        <v>1563</v>
      </c>
    </row>
    <row r="1003" spans="1:1" x14ac:dyDescent="0.2">
      <c r="A1003" t="s">
        <v>1723</v>
      </c>
    </row>
    <row r="1004" spans="1:1" x14ac:dyDescent="0.2">
      <c r="A1004" t="s">
        <v>2027</v>
      </c>
    </row>
    <row r="1005" spans="1:1" x14ac:dyDescent="0.2">
      <c r="A1005" t="s">
        <v>2028</v>
      </c>
    </row>
    <row r="1006" spans="1:1" x14ac:dyDescent="0.2">
      <c r="A1006" t="s">
        <v>2029</v>
      </c>
    </row>
    <row r="1007" spans="1:1" x14ac:dyDescent="0.2">
      <c r="A1007" t="s">
        <v>2030</v>
      </c>
    </row>
    <row r="1008" spans="1:1" x14ac:dyDescent="0.2">
      <c r="A1008" t="s">
        <v>2031</v>
      </c>
    </row>
    <row r="1009" spans="1:1" x14ac:dyDescent="0.2">
      <c r="A1009" t="s">
        <v>1206</v>
      </c>
    </row>
    <row r="1010" spans="1:1" x14ac:dyDescent="0.2">
      <c r="A1010" t="s">
        <v>2032</v>
      </c>
    </row>
    <row r="1011" spans="1:1" x14ac:dyDescent="0.2">
      <c r="A1011" t="s">
        <v>2033</v>
      </c>
    </row>
    <row r="1012" spans="1:1" x14ac:dyDescent="0.2">
      <c r="A1012" t="s">
        <v>2034</v>
      </c>
    </row>
    <row r="1013" spans="1:1" x14ac:dyDescent="0.2">
      <c r="A1013" t="s">
        <v>1207</v>
      </c>
    </row>
    <row r="1014" spans="1:1" x14ac:dyDescent="0.2">
      <c r="A1014" t="s">
        <v>1745</v>
      </c>
    </row>
    <row r="1015" spans="1:1" x14ac:dyDescent="0.2">
      <c r="A1015" t="s">
        <v>1746</v>
      </c>
    </row>
    <row r="1016" spans="1:1" x14ac:dyDescent="0.2">
      <c r="A1016" t="s">
        <v>1747</v>
      </c>
    </row>
    <row r="1017" spans="1:1" x14ac:dyDescent="0.2">
      <c r="A1017" t="s">
        <v>1748</v>
      </c>
    </row>
    <row r="1018" spans="1:1" x14ac:dyDescent="0.2">
      <c r="A1018" t="s">
        <v>1749</v>
      </c>
    </row>
    <row r="1019" spans="1:1" x14ac:dyDescent="0.2">
      <c r="A1019" t="s">
        <v>1750</v>
      </c>
    </row>
    <row r="1020" spans="1:1" x14ac:dyDescent="0.2">
      <c r="A1020" t="s">
        <v>1751</v>
      </c>
    </row>
    <row r="1021" spans="1:1" x14ac:dyDescent="0.2">
      <c r="A1021" t="s">
        <v>1752</v>
      </c>
    </row>
    <row r="1022" spans="1:1" x14ac:dyDescent="0.2">
      <c r="A1022" t="s">
        <v>1753</v>
      </c>
    </row>
    <row r="1023" spans="1:1" x14ac:dyDescent="0.2">
      <c r="A1023" t="s">
        <v>701</v>
      </c>
    </row>
    <row r="1024" spans="1:1" x14ac:dyDescent="0.2">
      <c r="A1024" t="s">
        <v>702</v>
      </c>
    </row>
    <row r="1025" spans="1:1" x14ac:dyDescent="0.2">
      <c r="A1025" t="s">
        <v>1754</v>
      </c>
    </row>
    <row r="1026" spans="1:1" x14ac:dyDescent="0.2">
      <c r="A1026" t="s">
        <v>1755</v>
      </c>
    </row>
    <row r="1027" spans="1:1" x14ac:dyDescent="0.2">
      <c r="A1027" t="s">
        <v>1490</v>
      </c>
    </row>
    <row r="1028" spans="1:1" x14ac:dyDescent="0.2">
      <c r="A1028" t="s">
        <v>1491</v>
      </c>
    </row>
    <row r="1029" spans="1:1" x14ac:dyDescent="0.2">
      <c r="A1029" t="s">
        <v>1492</v>
      </c>
    </row>
    <row r="1030" spans="1:1" x14ac:dyDescent="0.2">
      <c r="A1030" t="s">
        <v>1121</v>
      </c>
    </row>
    <row r="1031" spans="1:1" x14ac:dyDescent="0.2">
      <c r="A1031" t="s">
        <v>1508</v>
      </c>
    </row>
    <row r="1032" spans="1:1" x14ac:dyDescent="0.2">
      <c r="A1032" t="s">
        <v>699</v>
      </c>
    </row>
    <row r="1033" spans="1:1" x14ac:dyDescent="0.2">
      <c r="A1033" t="s">
        <v>700</v>
      </c>
    </row>
    <row r="1034" spans="1:1" x14ac:dyDescent="0.2">
      <c r="A1034" t="s">
        <v>1544</v>
      </c>
    </row>
    <row r="1035" spans="1:1" x14ac:dyDescent="0.2">
      <c r="A1035" t="s">
        <v>1545</v>
      </c>
    </row>
    <row r="1036" spans="1:1" x14ac:dyDescent="0.2">
      <c r="A1036" t="s">
        <v>1546</v>
      </c>
    </row>
    <row r="1037" spans="1:1" x14ac:dyDescent="0.2">
      <c r="A1037" t="s">
        <v>1547</v>
      </c>
    </row>
    <row r="1038" spans="1:1" x14ac:dyDescent="0.2">
      <c r="A1038" t="s">
        <v>1548</v>
      </c>
    </row>
    <row r="1039" spans="1:1" x14ac:dyDescent="0.2">
      <c r="A1039" t="s">
        <v>1549</v>
      </c>
    </row>
    <row r="1040" spans="1:1" x14ac:dyDescent="0.2">
      <c r="A1040" t="s">
        <v>1550</v>
      </c>
    </row>
    <row r="1041" spans="1:1" x14ac:dyDescent="0.2">
      <c r="A1041" t="s">
        <v>1552</v>
      </c>
    </row>
    <row r="1042" spans="1:1" x14ac:dyDescent="0.2">
      <c r="A1042" t="s">
        <v>1553</v>
      </c>
    </row>
    <row r="1043" spans="1:1" x14ac:dyDescent="0.2">
      <c r="A1043" t="s">
        <v>1554</v>
      </c>
    </row>
    <row r="1044" spans="1:1" x14ac:dyDescent="0.2">
      <c r="A1044" t="s">
        <v>1555</v>
      </c>
    </row>
    <row r="1045" spans="1:1" x14ac:dyDescent="0.2">
      <c r="A1045" t="s">
        <v>1556</v>
      </c>
    </row>
    <row r="1046" spans="1:1" x14ac:dyDescent="0.2">
      <c r="A1046" t="s">
        <v>1557</v>
      </c>
    </row>
    <row r="1047" spans="1:1" x14ac:dyDescent="0.2">
      <c r="A1047" t="s">
        <v>1558</v>
      </c>
    </row>
    <row r="1048" spans="1:1" x14ac:dyDescent="0.2">
      <c r="A1048" t="s">
        <v>1535</v>
      </c>
    </row>
    <row r="1049" spans="1:1" x14ac:dyDescent="0.2">
      <c r="A1049" t="s">
        <v>1543</v>
      </c>
    </row>
    <row r="1050" spans="1:1" x14ac:dyDescent="0.2">
      <c r="A1050" t="s">
        <v>1564</v>
      </c>
    </row>
    <row r="1051" spans="1:1" x14ac:dyDescent="0.2">
      <c r="A1051" t="s">
        <v>1569</v>
      </c>
    </row>
    <row r="1052" spans="1:1" x14ac:dyDescent="0.2">
      <c r="A1052" t="s">
        <v>1133</v>
      </c>
    </row>
    <row r="1053" spans="1:1" x14ac:dyDescent="0.2">
      <c r="A1053" t="s">
        <v>1201</v>
      </c>
    </row>
    <row r="1054" spans="1:1" x14ac:dyDescent="0.2">
      <c r="A1054" t="s">
        <v>1135</v>
      </c>
    </row>
    <row r="1055" spans="1:1" x14ac:dyDescent="0.2">
      <c r="A1055" t="s">
        <v>1155</v>
      </c>
    </row>
    <row r="1056" spans="1:1" x14ac:dyDescent="0.2">
      <c r="A1056" t="s">
        <v>1160</v>
      </c>
    </row>
    <row r="1057" spans="1:1" x14ac:dyDescent="0.2">
      <c r="A1057" t="s">
        <v>1163</v>
      </c>
    </row>
    <row r="1058" spans="1:1" x14ac:dyDescent="0.2">
      <c r="A1058" t="s">
        <v>1169</v>
      </c>
    </row>
    <row r="1059" spans="1:1" x14ac:dyDescent="0.2">
      <c r="A1059" t="s">
        <v>1173</v>
      </c>
    </row>
    <row r="1060" spans="1:1" x14ac:dyDescent="0.2">
      <c r="A1060" t="s">
        <v>1174</v>
      </c>
    </row>
    <row r="1061" spans="1:1" x14ac:dyDescent="0.2">
      <c r="A1061" t="s">
        <v>1182</v>
      </c>
    </row>
    <row r="1062" spans="1:1" x14ac:dyDescent="0.2">
      <c r="A1062" t="s">
        <v>1183</v>
      </c>
    </row>
    <row r="1063" spans="1:1" x14ac:dyDescent="0.2">
      <c r="A1063" t="s">
        <v>1184</v>
      </c>
    </row>
    <row r="1064" spans="1:1" x14ac:dyDescent="0.2">
      <c r="A1064" t="s">
        <v>1185</v>
      </c>
    </row>
    <row r="1065" spans="1:1" x14ac:dyDescent="0.2">
      <c r="A1065" t="s">
        <v>1186</v>
      </c>
    </row>
    <row r="1066" spans="1:1" x14ac:dyDescent="0.2">
      <c r="A1066" t="s">
        <v>1187</v>
      </c>
    </row>
    <row r="1067" spans="1:1" x14ac:dyDescent="0.2">
      <c r="A1067" t="s">
        <v>1188</v>
      </c>
    </row>
    <row r="1068" spans="1:1" x14ac:dyDescent="0.2">
      <c r="A1068" t="s">
        <v>1189</v>
      </c>
    </row>
    <row r="1069" spans="1:1" x14ac:dyDescent="0.2">
      <c r="A1069" t="s">
        <v>1191</v>
      </c>
    </row>
    <row r="1070" spans="1:1" x14ac:dyDescent="0.2">
      <c r="A1070" t="s">
        <v>1195</v>
      </c>
    </row>
    <row r="1071" spans="1:1" x14ac:dyDescent="0.2">
      <c r="A1071" t="s">
        <v>1196</v>
      </c>
    </row>
    <row r="1072" spans="1:1" x14ac:dyDescent="0.2">
      <c r="A1072" t="s">
        <v>1197</v>
      </c>
    </row>
    <row r="1073" spans="1:1" x14ac:dyDescent="0.2">
      <c r="A1073" t="s">
        <v>1198</v>
      </c>
    </row>
    <row r="1074" spans="1:1" x14ac:dyDescent="0.2">
      <c r="A1074" t="s">
        <v>1199</v>
      </c>
    </row>
    <row r="1075" spans="1:1" x14ac:dyDescent="0.2">
      <c r="A1075" t="s">
        <v>1234</v>
      </c>
    </row>
    <row r="1076" spans="1:1" x14ac:dyDescent="0.2">
      <c r="A1076" t="s">
        <v>1503</v>
      </c>
    </row>
    <row r="1077" spans="1:1" x14ac:dyDescent="0.2">
      <c r="A1077" t="s">
        <v>1641</v>
      </c>
    </row>
    <row r="1078" spans="1:1" x14ac:dyDescent="0.2">
      <c r="A1078" t="s">
        <v>1655</v>
      </c>
    </row>
    <row r="1079" spans="1:1" x14ac:dyDescent="0.2">
      <c r="A1079" t="s">
        <v>1667</v>
      </c>
    </row>
    <row r="1080" spans="1:1" x14ac:dyDescent="0.2">
      <c r="A1080" t="s">
        <v>1244</v>
      </c>
    </row>
    <row r="1081" spans="1:1" x14ac:dyDescent="0.2">
      <c r="A1081" t="s">
        <v>1504</v>
      </c>
    </row>
    <row r="1082" spans="1:1" x14ac:dyDescent="0.2">
      <c r="A1082" t="s">
        <v>1642</v>
      </c>
    </row>
    <row r="1083" spans="1:1" x14ac:dyDescent="0.2">
      <c r="A1083" t="s">
        <v>1656</v>
      </c>
    </row>
    <row r="1084" spans="1:1" x14ac:dyDescent="0.2">
      <c r="A1084" t="s">
        <v>1668</v>
      </c>
    </row>
    <row r="1085" spans="1:1" x14ac:dyDescent="0.2">
      <c r="A1085" t="s">
        <v>1245</v>
      </c>
    </row>
    <row r="1086" spans="1:1" x14ac:dyDescent="0.2">
      <c r="A1086" t="s">
        <v>1505</v>
      </c>
    </row>
    <row r="1087" spans="1:1" x14ac:dyDescent="0.2">
      <c r="A1087" t="s">
        <v>1643</v>
      </c>
    </row>
    <row r="1088" spans="1:1" x14ac:dyDescent="0.2">
      <c r="A1088" t="s">
        <v>1657</v>
      </c>
    </row>
    <row r="1089" spans="1:1" x14ac:dyDescent="0.2">
      <c r="A1089" t="s">
        <v>1669</v>
      </c>
    </row>
    <row r="1090" spans="1:1" x14ac:dyDescent="0.2">
      <c r="A1090" t="s">
        <v>1246</v>
      </c>
    </row>
    <row r="1091" spans="1:1" x14ac:dyDescent="0.2">
      <c r="A1091" t="s">
        <v>1522</v>
      </c>
    </row>
    <row r="1092" spans="1:1" x14ac:dyDescent="0.2">
      <c r="A1092" t="s">
        <v>1524</v>
      </c>
    </row>
    <row r="1093" spans="1:1" x14ac:dyDescent="0.2">
      <c r="A1093" t="s">
        <v>1512</v>
      </c>
    </row>
    <row r="1094" spans="1:1" x14ac:dyDescent="0.2">
      <c r="A1094" t="s">
        <v>1513</v>
      </c>
    </row>
    <row r="1095" spans="1:1" x14ac:dyDescent="0.2">
      <c r="A1095" t="s">
        <v>1597</v>
      </c>
    </row>
    <row r="1096" spans="1:1" x14ac:dyDescent="0.2">
      <c r="A1096" t="s">
        <v>1243</v>
      </c>
    </row>
    <row r="1097" spans="1:1" x14ac:dyDescent="0.2">
      <c r="A1097" t="s">
        <v>1598</v>
      </c>
    </row>
    <row r="1098" spans="1:1" x14ac:dyDescent="0.2">
      <c r="A1098" t="s">
        <v>1599</v>
      </c>
    </row>
    <row r="1099" spans="1:1" x14ac:dyDescent="0.2">
      <c r="A1099" t="s">
        <v>1600</v>
      </c>
    </row>
    <row r="1100" spans="1:1" x14ac:dyDescent="0.2">
      <c r="A1100" t="s">
        <v>1601</v>
      </c>
    </row>
    <row r="1101" spans="1:1" x14ac:dyDescent="0.2">
      <c r="A1101" t="s">
        <v>1602</v>
      </c>
    </row>
    <row r="1102" spans="1:1" x14ac:dyDescent="0.2">
      <c r="A1102" t="s">
        <v>1603</v>
      </c>
    </row>
    <row r="1103" spans="1:1" x14ac:dyDescent="0.2">
      <c r="A1103" t="s">
        <v>1604</v>
      </c>
    </row>
    <row r="1104" spans="1:1" x14ac:dyDescent="0.2">
      <c r="A1104" t="s">
        <v>1605</v>
      </c>
    </row>
    <row r="1105" spans="1:1" x14ac:dyDescent="0.2">
      <c r="A1105" t="s">
        <v>1606</v>
      </c>
    </row>
    <row r="1106" spans="1:1" x14ac:dyDescent="0.2">
      <c r="A1106" t="s">
        <v>1607</v>
      </c>
    </row>
    <row r="1107" spans="1:1" x14ac:dyDescent="0.2">
      <c r="A1107" t="s">
        <v>1608</v>
      </c>
    </row>
    <row r="1108" spans="1:1" x14ac:dyDescent="0.2">
      <c r="A1108" t="s">
        <v>1609</v>
      </c>
    </row>
    <row r="1109" spans="1:1" x14ac:dyDescent="0.2">
      <c r="A1109" t="s">
        <v>1610</v>
      </c>
    </row>
    <row r="1110" spans="1:1" x14ac:dyDescent="0.2">
      <c r="A1110" t="s">
        <v>1611</v>
      </c>
    </row>
    <row r="1111" spans="1:1" x14ac:dyDescent="0.2">
      <c r="A1111" t="s">
        <v>1612</v>
      </c>
    </row>
    <row r="1112" spans="1:1" x14ac:dyDescent="0.2">
      <c r="A1112" t="s">
        <v>1613</v>
      </c>
    </row>
    <row r="1113" spans="1:1" x14ac:dyDescent="0.2">
      <c r="A1113" t="s">
        <v>1614</v>
      </c>
    </row>
    <row r="1114" spans="1:1" x14ac:dyDescent="0.2">
      <c r="A1114" t="s">
        <v>1615</v>
      </c>
    </row>
    <row r="1115" spans="1:1" x14ac:dyDescent="0.2">
      <c r="A1115" t="s">
        <v>1616</v>
      </c>
    </row>
    <row r="1116" spans="1:1" x14ac:dyDescent="0.2">
      <c r="A1116" t="s">
        <v>1617</v>
      </c>
    </row>
    <row r="1117" spans="1:1" x14ac:dyDescent="0.2">
      <c r="A1117" t="s">
        <v>1618</v>
      </c>
    </row>
    <row r="1118" spans="1:1" x14ac:dyDescent="0.2">
      <c r="A1118" t="s">
        <v>1619</v>
      </c>
    </row>
    <row r="1119" spans="1:1" x14ac:dyDescent="0.2">
      <c r="A1119" t="s">
        <v>1620</v>
      </c>
    </row>
    <row r="1120" spans="1:1" x14ac:dyDescent="0.2">
      <c r="A1120" t="s">
        <v>1621</v>
      </c>
    </row>
    <row r="1121" spans="1:1" x14ac:dyDescent="0.2">
      <c r="A1121" t="s">
        <v>1622</v>
      </c>
    </row>
    <row r="1122" spans="1:1" x14ac:dyDescent="0.2">
      <c r="A1122" t="s">
        <v>1623</v>
      </c>
    </row>
    <row r="1123" spans="1:1" x14ac:dyDescent="0.2">
      <c r="A1123" t="s">
        <v>1624</v>
      </c>
    </row>
    <row r="1124" spans="1:1" x14ac:dyDescent="0.2">
      <c r="A1124" t="s">
        <v>1625</v>
      </c>
    </row>
    <row r="1125" spans="1:1" x14ac:dyDescent="0.2">
      <c r="A1125" t="s">
        <v>1626</v>
      </c>
    </row>
    <row r="1126" spans="1:1" x14ac:dyDescent="0.2">
      <c r="A1126" t="s">
        <v>1627</v>
      </c>
    </row>
    <row r="1127" spans="1:1" x14ac:dyDescent="0.2">
      <c r="A1127" t="s">
        <v>1628</v>
      </c>
    </row>
    <row r="1128" spans="1:1" x14ac:dyDescent="0.2">
      <c r="A1128" t="s">
        <v>1629</v>
      </c>
    </row>
    <row r="1129" spans="1:1" x14ac:dyDescent="0.2">
      <c r="A1129" t="s">
        <v>1630</v>
      </c>
    </row>
    <row r="1130" spans="1:1" x14ac:dyDescent="0.2">
      <c r="A1130" t="s">
        <v>1631</v>
      </c>
    </row>
    <row r="1131" spans="1:1" x14ac:dyDescent="0.2">
      <c r="A1131" t="s">
        <v>1632</v>
      </c>
    </row>
    <row r="1132" spans="1:1" x14ac:dyDescent="0.2">
      <c r="A1132" t="s">
        <v>1633</v>
      </c>
    </row>
    <row r="1133" spans="1:1" x14ac:dyDescent="0.2">
      <c r="A1133" t="s">
        <v>1634</v>
      </c>
    </row>
    <row r="1134" spans="1:1" x14ac:dyDescent="0.2">
      <c r="A1134" t="s">
        <v>1574</v>
      </c>
    </row>
    <row r="1135" spans="1:1" x14ac:dyDescent="0.2">
      <c r="A1135" t="s">
        <v>1575</v>
      </c>
    </row>
    <row r="1136" spans="1:1" x14ac:dyDescent="0.2">
      <c r="A1136" t="s">
        <v>1576</v>
      </c>
    </row>
    <row r="1137" spans="1:1" x14ac:dyDescent="0.2">
      <c r="A1137" t="s">
        <v>1577</v>
      </c>
    </row>
    <row r="1138" spans="1:1" x14ac:dyDescent="0.2">
      <c r="A1138" t="s">
        <v>1578</v>
      </c>
    </row>
    <row r="1139" spans="1:1" x14ac:dyDescent="0.2">
      <c r="A1139" t="s">
        <v>1582</v>
      </c>
    </row>
    <row r="1140" spans="1:1" x14ac:dyDescent="0.2">
      <c r="A1140" t="s">
        <v>1583</v>
      </c>
    </row>
    <row r="1141" spans="1:1" x14ac:dyDescent="0.2">
      <c r="A1141" t="s">
        <v>1635</v>
      </c>
    </row>
    <row r="1142" spans="1:1" x14ac:dyDescent="0.2">
      <c r="A1142" t="s">
        <v>1636</v>
      </c>
    </row>
    <row r="1143" spans="1:1" x14ac:dyDescent="0.2">
      <c r="A1143" t="s">
        <v>1588</v>
      </c>
    </row>
    <row r="1144" spans="1:1" x14ac:dyDescent="0.2">
      <c r="A1144" t="s">
        <v>1637</v>
      </c>
    </row>
    <row r="1145" spans="1:1" x14ac:dyDescent="0.2">
      <c r="A1145" t="s">
        <v>1586</v>
      </c>
    </row>
    <row r="1146" spans="1:1" x14ac:dyDescent="0.2">
      <c r="A1146" t="s">
        <v>1585</v>
      </c>
    </row>
    <row r="1147" spans="1:1" x14ac:dyDescent="0.2">
      <c r="A1147" t="s">
        <v>1587</v>
      </c>
    </row>
    <row r="1148" spans="1:1" x14ac:dyDescent="0.2">
      <c r="A1148" t="s">
        <v>1589</v>
      </c>
    </row>
    <row r="1149" spans="1:1" x14ac:dyDescent="0.2">
      <c r="A1149" t="s">
        <v>1239</v>
      </c>
    </row>
    <row r="1150" spans="1:1" x14ac:dyDescent="0.2">
      <c r="A1150" t="s">
        <v>1596</v>
      </c>
    </row>
    <row r="1151" spans="1:1" x14ac:dyDescent="0.2">
      <c r="A1151" t="s">
        <v>1590</v>
      </c>
    </row>
    <row r="1152" spans="1:1" x14ac:dyDescent="0.2">
      <c r="A1152" t="s">
        <v>1226</v>
      </c>
    </row>
    <row r="1153" spans="1:1" x14ac:dyDescent="0.2">
      <c r="A1153" t="s">
        <v>1227</v>
      </c>
    </row>
    <row r="1154" spans="1:1" x14ac:dyDescent="0.2">
      <c r="A1154" t="s">
        <v>1638</v>
      </c>
    </row>
    <row r="1155" spans="1:1" x14ac:dyDescent="0.2">
      <c r="A1155" t="s">
        <v>1639</v>
      </c>
    </row>
    <row r="1156" spans="1:1" x14ac:dyDescent="0.2">
      <c r="A1156" t="s">
        <v>1640</v>
      </c>
    </row>
    <row r="1157" spans="1:1" x14ac:dyDescent="0.2">
      <c r="A1157" t="s">
        <v>1591</v>
      </c>
    </row>
    <row r="1158" spans="1:1" x14ac:dyDescent="0.2">
      <c r="A1158" t="s">
        <v>1592</v>
      </c>
    </row>
    <row r="1159" spans="1:1" x14ac:dyDescent="0.2">
      <c r="A1159" t="s">
        <v>1645</v>
      </c>
    </row>
    <row r="1160" spans="1:1" x14ac:dyDescent="0.2">
      <c r="A1160" t="s">
        <v>1660</v>
      </c>
    </row>
    <row r="1161" spans="1:1" x14ac:dyDescent="0.2">
      <c r="A1161" t="s">
        <v>1253</v>
      </c>
    </row>
    <row r="1162" spans="1:1" x14ac:dyDescent="0.2">
      <c r="A1162" t="s">
        <v>1263</v>
      </c>
    </row>
    <row r="1163" spans="1:1" x14ac:dyDescent="0.2">
      <c r="A1163" t="s">
        <v>1685</v>
      </c>
    </row>
    <row r="1164" spans="1:1" x14ac:dyDescent="0.2">
      <c r="A1164" t="s">
        <v>1686</v>
      </c>
    </row>
    <row r="1165" spans="1:1" x14ac:dyDescent="0.2">
      <c r="A1165" t="s">
        <v>1721</v>
      </c>
    </row>
    <row r="1166" spans="1:1" x14ac:dyDescent="0.2">
      <c r="A1166" t="s">
        <v>1722</v>
      </c>
    </row>
    <row r="1167" spans="1:1" x14ac:dyDescent="0.2">
      <c r="A1167" t="s">
        <v>1724</v>
      </c>
    </row>
    <row r="1168" spans="1:1" x14ac:dyDescent="0.2">
      <c r="A1168" t="s">
        <v>1725</v>
      </c>
    </row>
    <row r="1169" spans="1:1" x14ac:dyDescent="0.2">
      <c r="A1169" t="s">
        <v>1726</v>
      </c>
    </row>
    <row r="1170" spans="1:1" x14ac:dyDescent="0.2">
      <c r="A1170" t="s">
        <v>1728</v>
      </c>
    </row>
    <row r="1171" spans="1:1" x14ac:dyDescent="0.2">
      <c r="A1171" t="s">
        <v>1729</v>
      </c>
    </row>
    <row r="1172" spans="1:1" x14ac:dyDescent="0.2">
      <c r="A1172" t="s">
        <v>1730</v>
      </c>
    </row>
    <row r="1173" spans="1:1" x14ac:dyDescent="0.2">
      <c r="A1173" t="s">
        <v>1720</v>
      </c>
    </row>
    <row r="1174" spans="1:1" x14ac:dyDescent="0.2">
      <c r="A1174" t="s">
        <v>1762</v>
      </c>
    </row>
    <row r="1175" spans="1:1" x14ac:dyDescent="0.2">
      <c r="A1175" t="s">
        <v>1760</v>
      </c>
    </row>
    <row r="1176" spans="1:1" x14ac:dyDescent="0.2">
      <c r="A1176" t="s">
        <v>1761</v>
      </c>
    </row>
    <row r="1177" spans="1:1" x14ac:dyDescent="0.2">
      <c r="A1177" t="s">
        <v>1731</v>
      </c>
    </row>
    <row r="1178" spans="1:1" x14ac:dyDescent="0.2">
      <c r="A1178" t="s">
        <v>1732</v>
      </c>
    </row>
    <row r="1179" spans="1:1" x14ac:dyDescent="0.2">
      <c r="A1179" t="s">
        <v>1773</v>
      </c>
    </row>
    <row r="1180" spans="1:1" x14ac:dyDescent="0.2">
      <c r="A1180" t="s">
        <v>1775</v>
      </c>
    </row>
    <row r="1181" spans="1:1" x14ac:dyDescent="0.2">
      <c r="A1181" t="s">
        <v>1776</v>
      </c>
    </row>
    <row r="1182" spans="1:1" x14ac:dyDescent="0.2">
      <c r="A1182" t="s">
        <v>1794</v>
      </c>
    </row>
    <row r="1183" spans="1:1" x14ac:dyDescent="0.2">
      <c r="A1183" t="s">
        <v>1795</v>
      </c>
    </row>
    <row r="1184" spans="1:1" x14ac:dyDescent="0.2">
      <c r="A1184" t="s">
        <v>1781</v>
      </c>
    </row>
    <row r="1185" spans="1:1" x14ac:dyDescent="0.2">
      <c r="A1185" t="s">
        <v>1782</v>
      </c>
    </row>
    <row r="1186" spans="1:1" x14ac:dyDescent="0.2">
      <c r="A1186" t="s">
        <v>1783</v>
      </c>
    </row>
    <row r="1187" spans="1:1" x14ac:dyDescent="0.2">
      <c r="A1187" t="s">
        <v>1784</v>
      </c>
    </row>
    <row r="1188" spans="1:1" x14ac:dyDescent="0.2">
      <c r="A1188" t="s">
        <v>1791</v>
      </c>
    </row>
    <row r="1189" spans="1:1" x14ac:dyDescent="0.2">
      <c r="A1189" t="s">
        <v>1792</v>
      </c>
    </row>
    <row r="1190" spans="1:1" x14ac:dyDescent="0.2">
      <c r="A1190" t="s">
        <v>1793</v>
      </c>
    </row>
    <row r="1191" spans="1:1" x14ac:dyDescent="0.2">
      <c r="A1191" t="s">
        <v>1799</v>
      </c>
    </row>
    <row r="1192" spans="1:1" x14ac:dyDescent="0.2">
      <c r="A1192" t="s">
        <v>1814</v>
      </c>
    </row>
    <row r="1193" spans="1:1" x14ac:dyDescent="0.2">
      <c r="A1193" t="s">
        <v>1815</v>
      </c>
    </row>
    <row r="1194" spans="1:1" x14ac:dyDescent="0.2">
      <c r="A1194" t="s">
        <v>2100</v>
      </c>
    </row>
    <row r="1195" spans="1:1" x14ac:dyDescent="0.2">
      <c r="A1195" t="s">
        <v>2101</v>
      </c>
    </row>
    <row r="1196" spans="1:1" x14ac:dyDescent="0.2">
      <c r="A1196" t="s">
        <v>2102</v>
      </c>
    </row>
    <row r="1197" spans="1:1" x14ac:dyDescent="0.2">
      <c r="A1197" t="s">
        <v>2103</v>
      </c>
    </row>
    <row r="1198" spans="1:1" x14ac:dyDescent="0.2">
      <c r="A1198" t="s">
        <v>2104</v>
      </c>
    </row>
    <row r="1199" spans="1:1" x14ac:dyDescent="0.2">
      <c r="A1199" t="s">
        <v>2170</v>
      </c>
    </row>
    <row r="1200" spans="1:1" x14ac:dyDescent="0.2">
      <c r="A1200" t="s">
        <v>2171</v>
      </c>
    </row>
    <row r="1201" spans="1:1" x14ac:dyDescent="0.2">
      <c r="A1201" t="s">
        <v>2172</v>
      </c>
    </row>
    <row r="1202" spans="1:1" x14ac:dyDescent="0.2">
      <c r="A1202" t="s">
        <v>2173</v>
      </c>
    </row>
    <row r="1203" spans="1:1" x14ac:dyDescent="0.2">
      <c r="A1203" t="s">
        <v>2174</v>
      </c>
    </row>
    <row r="1204" spans="1:1" x14ac:dyDescent="0.2">
      <c r="A1204" t="s">
        <v>2175</v>
      </c>
    </row>
    <row r="1205" spans="1:1" x14ac:dyDescent="0.2">
      <c r="A1205" t="s">
        <v>2176</v>
      </c>
    </row>
    <row r="1206" spans="1:1" x14ac:dyDescent="0.2">
      <c r="A1206" t="s">
        <v>2177</v>
      </c>
    </row>
    <row r="1207" spans="1:1" x14ac:dyDescent="0.2">
      <c r="A1207" t="s">
        <v>2178</v>
      </c>
    </row>
    <row r="1208" spans="1:1" x14ac:dyDescent="0.2">
      <c r="A1208" t="s">
        <v>2179</v>
      </c>
    </row>
    <row r="1209" spans="1:1" x14ac:dyDescent="0.2">
      <c r="A1209" t="s">
        <v>2180</v>
      </c>
    </row>
    <row r="1210" spans="1:1" x14ac:dyDescent="0.2">
      <c r="A1210" t="s">
        <v>2181</v>
      </c>
    </row>
    <row r="1211" spans="1:1" x14ac:dyDescent="0.2">
      <c r="A1211" t="s">
        <v>2182</v>
      </c>
    </row>
    <row r="1212" spans="1:1" x14ac:dyDescent="0.2">
      <c r="A1212" t="s">
        <v>2183</v>
      </c>
    </row>
    <row r="1213" spans="1:1" x14ac:dyDescent="0.2">
      <c r="A1213" t="s">
        <v>2184</v>
      </c>
    </row>
    <row r="1214" spans="1:1" x14ac:dyDescent="0.2">
      <c r="A1214" t="s">
        <v>2185</v>
      </c>
    </row>
    <row r="1215" spans="1:1" x14ac:dyDescent="0.2">
      <c r="A1215" t="s">
        <v>2186</v>
      </c>
    </row>
    <row r="1216" spans="1:1" x14ac:dyDescent="0.2">
      <c r="A1216" t="s">
        <v>2187</v>
      </c>
    </row>
    <row r="1217" spans="1:1" x14ac:dyDescent="0.2">
      <c r="A1217" t="s">
        <v>2188</v>
      </c>
    </row>
    <row r="1218" spans="1:1" x14ac:dyDescent="0.2">
      <c r="A1218" t="s">
        <v>2189</v>
      </c>
    </row>
    <row r="1219" spans="1:1" x14ac:dyDescent="0.2">
      <c r="A1219" t="s">
        <v>2190</v>
      </c>
    </row>
    <row r="1220" spans="1:1" x14ac:dyDescent="0.2">
      <c r="A1220" t="s">
        <v>2191</v>
      </c>
    </row>
    <row r="1221" spans="1:1" x14ac:dyDescent="0.2">
      <c r="A1221" t="s">
        <v>2192</v>
      </c>
    </row>
    <row r="1222" spans="1:1" x14ac:dyDescent="0.2">
      <c r="A1222" t="s">
        <v>2193</v>
      </c>
    </row>
    <row r="1223" spans="1:1" x14ac:dyDescent="0.2">
      <c r="A1223" t="s">
        <v>2194</v>
      </c>
    </row>
    <row r="1224" spans="1:1" x14ac:dyDescent="0.2">
      <c r="A1224" t="s">
        <v>2195</v>
      </c>
    </row>
    <row r="1225" spans="1:1" x14ac:dyDescent="0.2">
      <c r="A1225" t="s">
        <v>2196</v>
      </c>
    </row>
    <row r="1226" spans="1:1" x14ac:dyDescent="0.2">
      <c r="A1226" t="s">
        <v>2197</v>
      </c>
    </row>
    <row r="1227" spans="1:1" x14ac:dyDescent="0.2">
      <c r="A1227" t="s">
        <v>2198</v>
      </c>
    </row>
    <row r="1228" spans="1:1" x14ac:dyDescent="0.2">
      <c r="A1228" t="s">
        <v>2199</v>
      </c>
    </row>
    <row r="1229" spans="1:1" x14ac:dyDescent="0.2">
      <c r="A1229" t="s">
        <v>2200</v>
      </c>
    </row>
    <row r="1230" spans="1:1" x14ac:dyDescent="0.2">
      <c r="A1230" t="s">
        <v>2201</v>
      </c>
    </row>
    <row r="1231" spans="1:1" x14ac:dyDescent="0.2">
      <c r="A1231" t="s">
        <v>2202</v>
      </c>
    </row>
    <row r="1232" spans="1:1" x14ac:dyDescent="0.2">
      <c r="A1232" t="s">
        <v>2203</v>
      </c>
    </row>
    <row r="1233" spans="1:1" x14ac:dyDescent="0.2">
      <c r="A1233" t="s">
        <v>2204</v>
      </c>
    </row>
    <row r="1234" spans="1:1" x14ac:dyDescent="0.2">
      <c r="A1234" t="s">
        <v>2205</v>
      </c>
    </row>
    <row r="1235" spans="1:1" x14ac:dyDescent="0.2">
      <c r="A1235" t="s">
        <v>2206</v>
      </c>
    </row>
    <row r="1236" spans="1:1" x14ac:dyDescent="0.2">
      <c r="A1236" t="s">
        <v>2207</v>
      </c>
    </row>
    <row r="1237" spans="1:1" x14ac:dyDescent="0.2">
      <c r="A1237" t="s">
        <v>2208</v>
      </c>
    </row>
    <row r="1238" spans="1:1" x14ac:dyDescent="0.2">
      <c r="A1238" t="s">
        <v>2209</v>
      </c>
    </row>
    <row r="1239" spans="1:1" x14ac:dyDescent="0.2">
      <c r="A1239" t="s">
        <v>2210</v>
      </c>
    </row>
    <row r="1240" spans="1:1" x14ac:dyDescent="0.2">
      <c r="A1240" t="s">
        <v>2211</v>
      </c>
    </row>
    <row r="1241" spans="1:1" x14ac:dyDescent="0.2">
      <c r="A1241" t="s">
        <v>2212</v>
      </c>
    </row>
    <row r="1242" spans="1:1" x14ac:dyDescent="0.2">
      <c r="A1242" t="s">
        <v>2213</v>
      </c>
    </row>
    <row r="1243" spans="1:1" x14ac:dyDescent="0.2">
      <c r="A1243" t="s">
        <v>2214</v>
      </c>
    </row>
    <row r="1244" spans="1:1" x14ac:dyDescent="0.2">
      <c r="A1244" t="s">
        <v>2215</v>
      </c>
    </row>
    <row r="1245" spans="1:1" x14ac:dyDescent="0.2">
      <c r="A1245" t="s">
        <v>2216</v>
      </c>
    </row>
    <row r="1246" spans="1:1" x14ac:dyDescent="0.2">
      <c r="A1246" t="s">
        <v>2217</v>
      </c>
    </row>
    <row r="1247" spans="1:1" x14ac:dyDescent="0.2">
      <c r="A1247" t="s">
        <v>2218</v>
      </c>
    </row>
    <row r="1248" spans="1:1" x14ac:dyDescent="0.2">
      <c r="A1248" t="s">
        <v>2219</v>
      </c>
    </row>
    <row r="1249" spans="1:1" x14ac:dyDescent="0.2">
      <c r="A1249" t="s">
        <v>2220</v>
      </c>
    </row>
    <row r="1250" spans="1:1" x14ac:dyDescent="0.2">
      <c r="A1250" t="s">
        <v>2221</v>
      </c>
    </row>
    <row r="1251" spans="1:1" x14ac:dyDescent="0.2">
      <c r="A1251" t="s">
        <v>2222</v>
      </c>
    </row>
    <row r="1252" spans="1:1" x14ac:dyDescent="0.2">
      <c r="A1252" t="s">
        <v>2223</v>
      </c>
    </row>
    <row r="1253" spans="1:1" x14ac:dyDescent="0.2">
      <c r="A1253" t="s">
        <v>2224</v>
      </c>
    </row>
    <row r="1254" spans="1:1" x14ac:dyDescent="0.2">
      <c r="A1254" t="s">
        <v>2225</v>
      </c>
    </row>
    <row r="1255" spans="1:1" x14ac:dyDescent="0.2">
      <c r="A1255" t="s">
        <v>2226</v>
      </c>
    </row>
    <row r="1256" spans="1:1" x14ac:dyDescent="0.2">
      <c r="A1256" t="s">
        <v>2227</v>
      </c>
    </row>
    <row r="1257" spans="1:1" x14ac:dyDescent="0.2">
      <c r="A1257" t="s">
        <v>2228</v>
      </c>
    </row>
    <row r="1258" spans="1:1" x14ac:dyDescent="0.2">
      <c r="A1258" t="s">
        <v>2229</v>
      </c>
    </row>
    <row r="1259" spans="1:1" x14ac:dyDescent="0.2">
      <c r="A1259" t="s">
        <v>2230</v>
      </c>
    </row>
    <row r="1260" spans="1:1" x14ac:dyDescent="0.2">
      <c r="A1260" t="s">
        <v>2231</v>
      </c>
    </row>
    <row r="1261" spans="1:1" x14ac:dyDescent="0.2">
      <c r="A1261" t="s">
        <v>2232</v>
      </c>
    </row>
    <row r="1262" spans="1:1" x14ac:dyDescent="0.2">
      <c r="A1262" t="s">
        <v>2233</v>
      </c>
    </row>
    <row r="1263" spans="1:1" x14ac:dyDescent="0.2">
      <c r="A1263" t="s">
        <v>2234</v>
      </c>
    </row>
    <row r="1264" spans="1:1" x14ac:dyDescent="0.2">
      <c r="A1264" t="s">
        <v>2235</v>
      </c>
    </row>
    <row r="1265" spans="1:1" x14ac:dyDescent="0.2">
      <c r="A1265" t="s">
        <v>2236</v>
      </c>
    </row>
    <row r="1266" spans="1:1" x14ac:dyDescent="0.2">
      <c r="A1266" t="s">
        <v>2237</v>
      </c>
    </row>
    <row r="1267" spans="1:1" x14ac:dyDescent="0.2">
      <c r="A1267" t="s">
        <v>2238</v>
      </c>
    </row>
    <row r="1268" spans="1:1" x14ac:dyDescent="0.2">
      <c r="A1268" t="s">
        <v>2239</v>
      </c>
    </row>
    <row r="1269" spans="1:1" x14ac:dyDescent="0.2">
      <c r="A1269" t="s">
        <v>2240</v>
      </c>
    </row>
    <row r="1270" spans="1:1" x14ac:dyDescent="0.2">
      <c r="A1270" t="s">
        <v>2241</v>
      </c>
    </row>
    <row r="1271" spans="1:1" x14ac:dyDescent="0.2">
      <c r="A1271" t="s">
        <v>2242</v>
      </c>
    </row>
    <row r="1272" spans="1:1" x14ac:dyDescent="0.2">
      <c r="A1272" t="s">
        <v>2243</v>
      </c>
    </row>
    <row r="1273" spans="1:1" x14ac:dyDescent="0.2">
      <c r="A1273" t="s">
        <v>2244</v>
      </c>
    </row>
    <row r="1274" spans="1:1" x14ac:dyDescent="0.2">
      <c r="A1274" t="s">
        <v>2245</v>
      </c>
    </row>
    <row r="1275" spans="1:1" x14ac:dyDescent="0.2">
      <c r="A1275" t="s">
        <v>2246</v>
      </c>
    </row>
    <row r="1276" spans="1:1" x14ac:dyDescent="0.2">
      <c r="A1276" t="s">
        <v>2247</v>
      </c>
    </row>
    <row r="1277" spans="1:1" x14ac:dyDescent="0.2">
      <c r="A1277" t="s">
        <v>2248</v>
      </c>
    </row>
    <row r="1278" spans="1:1" x14ac:dyDescent="0.2">
      <c r="A1278" t="s">
        <v>2249</v>
      </c>
    </row>
    <row r="1279" spans="1:1" x14ac:dyDescent="0.2">
      <c r="A1279" t="s">
        <v>2250</v>
      </c>
    </row>
    <row r="1280" spans="1:1" x14ac:dyDescent="0.2">
      <c r="A1280" t="s">
        <v>2251</v>
      </c>
    </row>
    <row r="1281" spans="1:1" x14ac:dyDescent="0.2">
      <c r="A1281" t="s">
        <v>2252</v>
      </c>
    </row>
    <row r="1282" spans="1:1" x14ac:dyDescent="0.2">
      <c r="A1282" t="s">
        <v>2253</v>
      </c>
    </row>
    <row r="1283" spans="1:1" x14ac:dyDescent="0.2">
      <c r="A1283" t="s">
        <v>2254</v>
      </c>
    </row>
    <row r="1284" spans="1:1" x14ac:dyDescent="0.2">
      <c r="A1284" t="s">
        <v>2255</v>
      </c>
    </row>
    <row r="1285" spans="1:1" x14ac:dyDescent="0.2">
      <c r="A1285" t="s">
        <v>2256</v>
      </c>
    </row>
    <row r="1286" spans="1:1" x14ac:dyDescent="0.2">
      <c r="A1286" t="s">
        <v>2257</v>
      </c>
    </row>
    <row r="1287" spans="1:1" x14ac:dyDescent="0.2">
      <c r="A1287" t="s">
        <v>2258</v>
      </c>
    </row>
    <row r="1288" spans="1:1" x14ac:dyDescent="0.2">
      <c r="A1288" t="s">
        <v>2259</v>
      </c>
    </row>
    <row r="1289" spans="1:1" x14ac:dyDescent="0.2">
      <c r="A1289" t="s">
        <v>2260</v>
      </c>
    </row>
    <row r="1290" spans="1:1" x14ac:dyDescent="0.2">
      <c r="A1290" t="s">
        <v>2261</v>
      </c>
    </row>
    <row r="1291" spans="1:1" x14ac:dyDescent="0.2">
      <c r="A1291" t="s">
        <v>2262</v>
      </c>
    </row>
    <row r="1292" spans="1:1" x14ac:dyDescent="0.2">
      <c r="A1292" t="s">
        <v>2263</v>
      </c>
    </row>
    <row r="1293" spans="1:1" x14ac:dyDescent="0.2">
      <c r="A1293" t="s">
        <v>2264</v>
      </c>
    </row>
    <row r="1294" spans="1:1" x14ac:dyDescent="0.2">
      <c r="A1294" t="s">
        <v>2265</v>
      </c>
    </row>
    <row r="1295" spans="1:1" x14ac:dyDescent="0.2">
      <c r="A1295" t="s">
        <v>2266</v>
      </c>
    </row>
    <row r="1296" spans="1:1" x14ac:dyDescent="0.2">
      <c r="A1296" t="s">
        <v>2267</v>
      </c>
    </row>
    <row r="1297" spans="1:1" x14ac:dyDescent="0.2">
      <c r="A1297" t="s">
        <v>2268</v>
      </c>
    </row>
    <row r="1298" spans="1:1" x14ac:dyDescent="0.2">
      <c r="A1298" t="s">
        <v>2269</v>
      </c>
    </row>
    <row r="1299" spans="1:1" x14ac:dyDescent="0.2">
      <c r="A1299" t="s">
        <v>2270</v>
      </c>
    </row>
    <row r="1300" spans="1:1" x14ac:dyDescent="0.2">
      <c r="A1300" t="s">
        <v>2271</v>
      </c>
    </row>
    <row r="1301" spans="1:1" x14ac:dyDescent="0.2">
      <c r="A1301" t="s">
        <v>2272</v>
      </c>
    </row>
    <row r="1302" spans="1:1" x14ac:dyDescent="0.2">
      <c r="A1302" t="s">
        <v>2273</v>
      </c>
    </row>
    <row r="1303" spans="1:1" x14ac:dyDescent="0.2">
      <c r="A1303" t="s">
        <v>2274</v>
      </c>
    </row>
    <row r="1304" spans="1:1" x14ac:dyDescent="0.2">
      <c r="A1304" t="s">
        <v>2275</v>
      </c>
    </row>
    <row r="1305" spans="1:1" x14ac:dyDescent="0.2">
      <c r="A1305" t="s">
        <v>2276</v>
      </c>
    </row>
    <row r="1306" spans="1:1" x14ac:dyDescent="0.2">
      <c r="A1306" t="s">
        <v>2277</v>
      </c>
    </row>
    <row r="1307" spans="1:1" x14ac:dyDescent="0.2">
      <c r="A1307" t="s">
        <v>2278</v>
      </c>
    </row>
    <row r="1308" spans="1:1" x14ac:dyDescent="0.2">
      <c r="A1308" t="s">
        <v>2279</v>
      </c>
    </row>
    <row r="1309" spans="1:1" x14ac:dyDescent="0.2">
      <c r="A1309" t="s">
        <v>2280</v>
      </c>
    </row>
    <row r="1310" spans="1:1" x14ac:dyDescent="0.2">
      <c r="A1310" t="s">
        <v>2281</v>
      </c>
    </row>
    <row r="1311" spans="1:1" x14ac:dyDescent="0.2">
      <c r="A1311" t="s">
        <v>2282</v>
      </c>
    </row>
    <row r="1312" spans="1:1" x14ac:dyDescent="0.2">
      <c r="A1312" t="s">
        <v>2283</v>
      </c>
    </row>
    <row r="1313" spans="1:1" x14ac:dyDescent="0.2">
      <c r="A1313" t="s">
        <v>2284</v>
      </c>
    </row>
    <row r="1314" spans="1:1" x14ac:dyDescent="0.2">
      <c r="A1314" t="s">
        <v>2285</v>
      </c>
    </row>
    <row r="1315" spans="1:1" x14ac:dyDescent="0.2">
      <c r="A1315" t="s">
        <v>2286</v>
      </c>
    </row>
    <row r="1316" spans="1:1" x14ac:dyDescent="0.2">
      <c r="A1316" t="s">
        <v>2287</v>
      </c>
    </row>
    <row r="1317" spans="1:1" x14ac:dyDescent="0.2">
      <c r="A1317" t="s">
        <v>2288</v>
      </c>
    </row>
    <row r="1318" spans="1:1" x14ac:dyDescent="0.2">
      <c r="A1318" t="s">
        <v>2289</v>
      </c>
    </row>
    <row r="1319" spans="1:1" x14ac:dyDescent="0.2">
      <c r="A1319" t="s">
        <v>2290</v>
      </c>
    </row>
    <row r="1320" spans="1:1" x14ac:dyDescent="0.2">
      <c r="A1320" t="s">
        <v>2291</v>
      </c>
    </row>
    <row r="1321" spans="1:1" x14ac:dyDescent="0.2">
      <c r="A1321" t="s">
        <v>2292</v>
      </c>
    </row>
    <row r="1322" spans="1:1" x14ac:dyDescent="0.2">
      <c r="A1322" t="s">
        <v>2293</v>
      </c>
    </row>
    <row r="1323" spans="1:1" x14ac:dyDescent="0.2">
      <c r="A1323" t="s">
        <v>2294</v>
      </c>
    </row>
    <row r="1324" spans="1:1" x14ac:dyDescent="0.2">
      <c r="A1324" t="s">
        <v>2295</v>
      </c>
    </row>
    <row r="1325" spans="1:1" x14ac:dyDescent="0.2">
      <c r="A1325" t="s">
        <v>2296</v>
      </c>
    </row>
    <row r="1326" spans="1:1" x14ac:dyDescent="0.2">
      <c r="A1326" t="s">
        <v>2297</v>
      </c>
    </row>
    <row r="1327" spans="1:1" x14ac:dyDescent="0.2">
      <c r="A1327" t="s">
        <v>2298</v>
      </c>
    </row>
    <row r="1328" spans="1:1" x14ac:dyDescent="0.2">
      <c r="A1328" t="s">
        <v>2299</v>
      </c>
    </row>
    <row r="1329" spans="1:1" x14ac:dyDescent="0.2">
      <c r="A1329" t="s">
        <v>2439</v>
      </c>
    </row>
    <row r="1330" spans="1:1" x14ac:dyDescent="0.2">
      <c r="A1330" t="s">
        <v>2437</v>
      </c>
    </row>
    <row r="1331" spans="1:1" x14ac:dyDescent="0.2">
      <c r="A1331" t="s">
        <v>2440</v>
      </c>
    </row>
    <row r="1332" spans="1:1" x14ac:dyDescent="0.2">
      <c r="A1332" t="s">
        <v>2725</v>
      </c>
    </row>
    <row r="1333" spans="1:1" x14ac:dyDescent="0.2">
      <c r="A1333" t="s">
        <v>2438</v>
      </c>
    </row>
    <row r="1334" spans="1:1" x14ac:dyDescent="0.2">
      <c r="A1334" t="s">
        <v>2723</v>
      </c>
    </row>
    <row r="1335" spans="1:1" x14ac:dyDescent="0.2">
      <c r="A1335" t="s">
        <v>105</v>
      </c>
    </row>
    <row r="1336" spans="1:1" x14ac:dyDescent="0.2">
      <c r="A1336" t="s">
        <v>2622</v>
      </c>
    </row>
    <row r="1337" spans="1:1" x14ac:dyDescent="0.2">
      <c r="A1337" t="s">
        <v>2624</v>
      </c>
    </row>
    <row r="1338" spans="1:1" x14ac:dyDescent="0.2">
      <c r="A1338" t="s">
        <v>2623</v>
      </c>
    </row>
    <row r="1339" spans="1:1" x14ac:dyDescent="0.2">
      <c r="A1339" t="s">
        <v>36</v>
      </c>
    </row>
    <row r="1340" spans="1:1" x14ac:dyDescent="0.2">
      <c r="A1340" t="s">
        <v>37</v>
      </c>
    </row>
    <row r="1341" spans="1:1" x14ac:dyDescent="0.2">
      <c r="A1341" t="s">
        <v>1650</v>
      </c>
    </row>
    <row r="1342" spans="1:1" x14ac:dyDescent="0.2">
      <c r="A1342" t="s">
        <v>465</v>
      </c>
    </row>
    <row r="1343" spans="1:1" x14ac:dyDescent="0.2">
      <c r="A1343" t="s">
        <v>452</v>
      </c>
    </row>
    <row r="1344" spans="1:1" x14ac:dyDescent="0.2">
      <c r="A1344" t="s">
        <v>179</v>
      </c>
    </row>
    <row r="1345" spans="1:1" x14ac:dyDescent="0.2">
      <c r="A1345" t="s">
        <v>2563</v>
      </c>
    </row>
    <row r="1346" spans="1:1" x14ac:dyDescent="0.2">
      <c r="A1346" t="s">
        <v>2564</v>
      </c>
    </row>
    <row r="1347" spans="1:1" x14ac:dyDescent="0.2">
      <c r="A1347" t="s">
        <v>2397</v>
      </c>
    </row>
    <row r="1348" spans="1:1" x14ac:dyDescent="0.2">
      <c r="A1348" t="s">
        <v>2596</v>
      </c>
    </row>
    <row r="1349" spans="1:1" x14ac:dyDescent="0.2">
      <c r="A1349" t="s">
        <v>93</v>
      </c>
    </row>
    <row r="1350" spans="1:1" x14ac:dyDescent="0.2">
      <c r="A1350" t="s">
        <v>2396</v>
      </c>
    </row>
    <row r="1351" spans="1:1" x14ac:dyDescent="0.2">
      <c r="A1351" t="s">
        <v>2470</v>
      </c>
    </row>
    <row r="1352" spans="1:1" x14ac:dyDescent="0.2">
      <c r="A1352" t="s">
        <v>2471</v>
      </c>
    </row>
    <row r="1353" spans="1:1" x14ac:dyDescent="0.2">
      <c r="A1353" t="s">
        <v>2446</v>
      </c>
    </row>
    <row r="1354" spans="1:1" x14ac:dyDescent="0.2">
      <c r="A1354" t="s">
        <v>2447</v>
      </c>
    </row>
    <row r="1355" spans="1:1" x14ac:dyDescent="0.2">
      <c r="A1355" t="s">
        <v>1015</v>
      </c>
    </row>
    <row r="1356" spans="1:1" x14ac:dyDescent="0.2">
      <c r="A1356" t="s">
        <v>1205</v>
      </c>
    </row>
    <row r="1357" spans="1:1" x14ac:dyDescent="0.2">
      <c r="A1357" t="s">
        <v>2601</v>
      </c>
    </row>
    <row r="1358" spans="1:1" x14ac:dyDescent="0.2">
      <c r="A1358" t="s">
        <v>1204</v>
      </c>
    </row>
    <row r="1359" spans="1:1" x14ac:dyDescent="0.2">
      <c r="A1359" t="s">
        <v>2597</v>
      </c>
    </row>
    <row r="1360" spans="1:1" x14ac:dyDescent="0.2">
      <c r="A1360" t="s">
        <v>2598</v>
      </c>
    </row>
    <row r="1361" spans="1:1" x14ac:dyDescent="0.2">
      <c r="A1361" t="s">
        <v>2599</v>
      </c>
    </row>
    <row r="1362" spans="1:1" x14ac:dyDescent="0.2">
      <c r="A1362" t="s">
        <v>2600</v>
      </c>
    </row>
    <row r="1363" spans="1:1" x14ac:dyDescent="0.2">
      <c r="A1363" t="s">
        <v>2602</v>
      </c>
    </row>
    <row r="1364" spans="1:1" x14ac:dyDescent="0.2">
      <c r="A1364" t="s">
        <v>2603</v>
      </c>
    </row>
    <row r="1365" spans="1:1" x14ac:dyDescent="0.2">
      <c r="A1365" t="s">
        <v>590</v>
      </c>
    </row>
    <row r="1366" spans="1:1" x14ac:dyDescent="0.2">
      <c r="A1366" t="s">
        <v>1237</v>
      </c>
    </row>
    <row r="1367" spans="1:1" x14ac:dyDescent="0.2">
      <c r="A1367" t="s">
        <v>2644</v>
      </c>
    </row>
    <row r="1368" spans="1:1" x14ac:dyDescent="0.2">
      <c r="A1368" t="s">
        <v>2621</v>
      </c>
    </row>
    <row r="1369" spans="1:1" x14ac:dyDescent="0.2">
      <c r="A1369" t="s">
        <v>85</v>
      </c>
    </row>
    <row r="1370" spans="1:1" x14ac:dyDescent="0.2">
      <c r="A1370" t="s">
        <v>2460</v>
      </c>
    </row>
    <row r="1371" spans="1:1" x14ac:dyDescent="0.2">
      <c r="A1371" t="s">
        <v>86</v>
      </c>
    </row>
    <row r="1372" spans="1:1" x14ac:dyDescent="0.2">
      <c r="A1372" t="s">
        <v>2461</v>
      </c>
    </row>
    <row r="1373" spans="1:1" x14ac:dyDescent="0.2">
      <c r="A1373" t="s">
        <v>84</v>
      </c>
    </row>
    <row r="1374" spans="1:1" x14ac:dyDescent="0.2">
      <c r="A1374" t="s">
        <v>2459</v>
      </c>
    </row>
    <row r="1375" spans="1:1" x14ac:dyDescent="0.2">
      <c r="A1375" t="s">
        <v>89</v>
      </c>
    </row>
    <row r="1376" spans="1:1" x14ac:dyDescent="0.2">
      <c r="A1376" t="s">
        <v>2464</v>
      </c>
    </row>
    <row r="1377" spans="1:1" x14ac:dyDescent="0.2">
      <c r="A1377" t="s">
        <v>87</v>
      </c>
    </row>
    <row r="1378" spans="1:1" x14ac:dyDescent="0.2">
      <c r="A1378" t="s">
        <v>2462</v>
      </c>
    </row>
    <row r="1379" spans="1:1" x14ac:dyDescent="0.2">
      <c r="A1379" t="s">
        <v>88</v>
      </c>
    </row>
    <row r="1380" spans="1:1" x14ac:dyDescent="0.2">
      <c r="A1380" t="s">
        <v>2463</v>
      </c>
    </row>
    <row r="1381" spans="1:1" x14ac:dyDescent="0.2">
      <c r="A1381" t="s">
        <v>90</v>
      </c>
    </row>
    <row r="1382" spans="1:1" x14ac:dyDescent="0.2">
      <c r="A1382" t="s">
        <v>2465</v>
      </c>
    </row>
    <row r="1383" spans="1:1" x14ac:dyDescent="0.2">
      <c r="A1383" t="s">
        <v>2616</v>
      </c>
    </row>
    <row r="1384" spans="1:1" x14ac:dyDescent="0.2">
      <c r="A1384" t="s">
        <v>2615</v>
      </c>
    </row>
    <row r="1385" spans="1:1" x14ac:dyDescent="0.2">
      <c r="A1385" t="s">
        <v>83</v>
      </c>
    </row>
    <row r="1386" spans="1:1" x14ac:dyDescent="0.2">
      <c r="A1386" t="s">
        <v>2458</v>
      </c>
    </row>
    <row r="1387" spans="1:1" x14ac:dyDescent="0.2">
      <c r="A1387" t="s">
        <v>2726</v>
      </c>
    </row>
    <row r="1388" spans="1:1" x14ac:dyDescent="0.2">
      <c r="A1388" t="s">
        <v>2406</v>
      </c>
    </row>
    <row r="1389" spans="1:1" x14ac:dyDescent="0.2">
      <c r="A1389" t="s">
        <v>2402</v>
      </c>
    </row>
    <row r="1390" spans="1:1" x14ac:dyDescent="0.2">
      <c r="A1390" t="s">
        <v>2544</v>
      </c>
    </row>
    <row r="1391" spans="1:1" x14ac:dyDescent="0.2">
      <c r="A1391" t="s">
        <v>2500</v>
      </c>
    </row>
    <row r="1392" spans="1:1" x14ac:dyDescent="0.2">
      <c r="A1392" t="s">
        <v>2545</v>
      </c>
    </row>
    <row r="1393" spans="1:1" x14ac:dyDescent="0.2">
      <c r="A1393" t="s">
        <v>2407</v>
      </c>
    </row>
    <row r="1394" spans="1:1" x14ac:dyDescent="0.2">
      <c r="A1394" t="s">
        <v>2403</v>
      </c>
    </row>
    <row r="1395" spans="1:1" x14ac:dyDescent="0.2">
      <c r="A1395" t="s">
        <v>2410</v>
      </c>
    </row>
    <row r="1396" spans="1:1" x14ac:dyDescent="0.2">
      <c r="A1396" t="s">
        <v>2398</v>
      </c>
    </row>
    <row r="1397" spans="1:1" x14ac:dyDescent="0.2">
      <c r="A1397" t="s">
        <v>2411</v>
      </c>
    </row>
    <row r="1398" spans="1:1" x14ac:dyDescent="0.2">
      <c r="A1398" t="s">
        <v>2412</v>
      </c>
    </row>
    <row r="1399" spans="1:1" x14ac:dyDescent="0.2">
      <c r="A1399" t="s">
        <v>2413</v>
      </c>
    </row>
    <row r="1400" spans="1:1" x14ac:dyDescent="0.2">
      <c r="A1400" t="s">
        <v>2414</v>
      </c>
    </row>
    <row r="1401" spans="1:1" x14ac:dyDescent="0.2">
      <c r="A1401" t="s">
        <v>2733</v>
      </c>
    </row>
    <row r="1402" spans="1:1" x14ac:dyDescent="0.2">
      <c r="A1402" t="s">
        <v>2735</v>
      </c>
    </row>
    <row r="1403" spans="1:1" x14ac:dyDescent="0.2">
      <c r="A1403" t="s">
        <v>2740</v>
      </c>
    </row>
    <row r="1404" spans="1:1" x14ac:dyDescent="0.2">
      <c r="A1404" t="s">
        <v>2741</v>
      </c>
    </row>
    <row r="1405" spans="1:1" x14ac:dyDescent="0.2">
      <c r="A1405" t="s">
        <v>2739</v>
      </c>
    </row>
    <row r="1406" spans="1:1" x14ac:dyDescent="0.2">
      <c r="A1406" t="s">
        <v>92</v>
      </c>
    </row>
    <row r="1407" spans="1:1" x14ac:dyDescent="0.2">
      <c r="A1407" t="s">
        <v>2742</v>
      </c>
    </row>
    <row r="1408" spans="1:1" x14ac:dyDescent="0.2">
      <c r="A1408" t="s">
        <v>714</v>
      </c>
    </row>
    <row r="1409" spans="1:1" x14ac:dyDescent="0.2">
      <c r="A1409" t="s">
        <v>1579</v>
      </c>
    </row>
    <row r="1410" spans="1:1" x14ac:dyDescent="0.2">
      <c r="A1410" t="s">
        <v>791</v>
      </c>
    </row>
    <row r="1411" spans="1:1" x14ac:dyDescent="0.2">
      <c r="A1411" t="s">
        <v>788</v>
      </c>
    </row>
    <row r="1412" spans="1:1" x14ac:dyDescent="0.2">
      <c r="A1412" t="s">
        <v>2505</v>
      </c>
    </row>
    <row r="1413" spans="1:1" x14ac:dyDescent="0.2">
      <c r="A1413" t="s">
        <v>2507</v>
      </c>
    </row>
    <row r="1414" spans="1:1" x14ac:dyDescent="0.2">
      <c r="A1414" t="s">
        <v>789</v>
      </c>
    </row>
    <row r="1415" spans="1:1" x14ac:dyDescent="0.2">
      <c r="A1415" t="s">
        <v>760</v>
      </c>
    </row>
    <row r="1416" spans="1:1" x14ac:dyDescent="0.2">
      <c r="A1416" t="s">
        <v>756</v>
      </c>
    </row>
    <row r="1417" spans="1:1" x14ac:dyDescent="0.2">
      <c r="A1417" t="s">
        <v>2501</v>
      </c>
    </row>
    <row r="1418" spans="1:1" x14ac:dyDescent="0.2">
      <c r="A1418" t="s">
        <v>2503</v>
      </c>
    </row>
    <row r="1419" spans="1:1" x14ac:dyDescent="0.2">
      <c r="A1419" t="s">
        <v>753</v>
      </c>
    </row>
    <row r="1420" spans="1:1" x14ac:dyDescent="0.2">
      <c r="A1420" t="s">
        <v>2734</v>
      </c>
    </row>
    <row r="1421" spans="1:1" x14ac:dyDescent="0.2">
      <c r="A1421" t="s">
        <v>2729</v>
      </c>
    </row>
    <row r="1422" spans="1:1" x14ac:dyDescent="0.2">
      <c r="A1422" t="s">
        <v>2730</v>
      </c>
    </row>
    <row r="1423" spans="1:1" x14ac:dyDescent="0.2">
      <c r="A1423" t="s">
        <v>2736</v>
      </c>
    </row>
    <row r="1424" spans="1:1" x14ac:dyDescent="0.2">
      <c r="A1424" t="s">
        <v>91</v>
      </c>
    </row>
    <row r="1425" spans="1:1" x14ac:dyDescent="0.2">
      <c r="A1425" t="s">
        <v>734</v>
      </c>
    </row>
    <row r="1426" spans="1:1" x14ac:dyDescent="0.2">
      <c r="A1426" t="s">
        <v>742</v>
      </c>
    </row>
    <row r="1427" spans="1:1" x14ac:dyDescent="0.2">
      <c r="A1427" t="s">
        <v>746</v>
      </c>
    </row>
    <row r="1428" spans="1:1" x14ac:dyDescent="0.2">
      <c r="A1428" t="s">
        <v>743</v>
      </c>
    </row>
    <row r="1429" spans="1:1" x14ac:dyDescent="0.2">
      <c r="A1429" t="s">
        <v>752</v>
      </c>
    </row>
    <row r="1430" spans="1:1" x14ac:dyDescent="0.2">
      <c r="A1430" t="s">
        <v>750</v>
      </c>
    </row>
    <row r="1431" spans="1:1" x14ac:dyDescent="0.2">
      <c r="A1431" t="s">
        <v>745</v>
      </c>
    </row>
    <row r="1432" spans="1:1" x14ac:dyDescent="0.2">
      <c r="A1432" t="s">
        <v>749</v>
      </c>
    </row>
    <row r="1433" spans="1:1" x14ac:dyDescent="0.2">
      <c r="A1433" t="s">
        <v>1580</v>
      </c>
    </row>
    <row r="1434" spans="1:1" x14ac:dyDescent="0.2">
      <c r="A1434" t="s">
        <v>1573</v>
      </c>
    </row>
    <row r="1435" spans="1:1" x14ac:dyDescent="0.2">
      <c r="A1435" t="s">
        <v>1571</v>
      </c>
    </row>
    <row r="1436" spans="1:1" x14ac:dyDescent="0.2">
      <c r="A1436" t="s">
        <v>2506</v>
      </c>
    </row>
    <row r="1437" spans="1:1" x14ac:dyDescent="0.2">
      <c r="A1437" t="s">
        <v>2508</v>
      </c>
    </row>
    <row r="1438" spans="1:1" x14ac:dyDescent="0.2">
      <c r="A1438" t="s">
        <v>1572</v>
      </c>
    </row>
    <row r="1439" spans="1:1" x14ac:dyDescent="0.2">
      <c r="A1439" t="s">
        <v>2509</v>
      </c>
    </row>
    <row r="1440" spans="1:1" x14ac:dyDescent="0.2">
      <c r="A1440" t="s">
        <v>757</v>
      </c>
    </row>
    <row r="1441" spans="1:1" x14ac:dyDescent="0.2">
      <c r="A1441" t="s">
        <v>2502</v>
      </c>
    </row>
    <row r="1442" spans="1:1" x14ac:dyDescent="0.2">
      <c r="A1442" t="s">
        <v>2504</v>
      </c>
    </row>
    <row r="1443" spans="1:1" x14ac:dyDescent="0.2">
      <c r="A1443" t="s">
        <v>2745</v>
      </c>
    </row>
    <row r="1444" spans="1:1" x14ac:dyDescent="0.2">
      <c r="A1444" t="s">
        <v>2744</v>
      </c>
    </row>
    <row r="1445" spans="1:1" x14ac:dyDescent="0.2">
      <c r="A1445" t="s">
        <v>1570</v>
      </c>
    </row>
    <row r="1446" spans="1:1" x14ac:dyDescent="0.2">
      <c r="A1446" t="s">
        <v>2743</v>
      </c>
    </row>
    <row r="1447" spans="1:1" x14ac:dyDescent="0.2">
      <c r="A1447" t="s">
        <v>2731</v>
      </c>
    </row>
    <row r="1448" spans="1:1" x14ac:dyDescent="0.2">
      <c r="A1448" t="s">
        <v>2732</v>
      </c>
    </row>
    <row r="1449" spans="1:1" x14ac:dyDescent="0.2">
      <c r="A1449" t="s">
        <v>2415</v>
      </c>
    </row>
    <row r="1450" spans="1:1" x14ac:dyDescent="0.2">
      <c r="A1450" t="s">
        <v>2738</v>
      </c>
    </row>
    <row r="1451" spans="1:1" x14ac:dyDescent="0.2">
      <c r="A1451" t="s">
        <v>2737</v>
      </c>
    </row>
    <row r="1452" spans="1:1" x14ac:dyDescent="0.2">
      <c r="A1452" t="s">
        <v>94</v>
      </c>
    </row>
    <row r="1453" spans="1:1" x14ac:dyDescent="0.2">
      <c r="A1453" t="s">
        <v>1007</v>
      </c>
    </row>
    <row r="1454" spans="1:1" x14ac:dyDescent="0.2">
      <c r="A1454" t="s">
        <v>2513</v>
      </c>
    </row>
    <row r="1455" spans="1:1" x14ac:dyDescent="0.2">
      <c r="A1455" t="s">
        <v>2514</v>
      </c>
    </row>
    <row r="1456" spans="1:1" x14ac:dyDescent="0.2">
      <c r="A1456" t="s">
        <v>1006</v>
      </c>
    </row>
    <row r="1457" spans="1:1" x14ac:dyDescent="0.2">
      <c r="A1457" t="s">
        <v>1158</v>
      </c>
    </row>
    <row r="1458" spans="1:1" x14ac:dyDescent="0.2">
      <c r="A1458" t="s">
        <v>2416</v>
      </c>
    </row>
    <row r="1459" spans="1:1" x14ac:dyDescent="0.2">
      <c r="A1459" t="s">
        <v>899</v>
      </c>
    </row>
    <row r="1460" spans="1:1" x14ac:dyDescent="0.2">
      <c r="A1460" t="s">
        <v>1157</v>
      </c>
    </row>
    <row r="1461" spans="1:1" x14ac:dyDescent="0.2">
      <c r="A1461" t="s">
        <v>2510</v>
      </c>
    </row>
    <row r="1462" spans="1:1" x14ac:dyDescent="0.2">
      <c r="A1462" t="s">
        <v>2511</v>
      </c>
    </row>
    <row r="1463" spans="1:1" x14ac:dyDescent="0.2">
      <c r="A1463" t="s">
        <v>2512</v>
      </c>
    </row>
    <row r="1464" spans="1:1" x14ac:dyDescent="0.2">
      <c r="A1464" t="s">
        <v>2425</v>
      </c>
    </row>
    <row r="1465" spans="1:1" x14ac:dyDescent="0.2">
      <c r="A1465" t="s">
        <v>2417</v>
      </c>
    </row>
    <row r="1466" spans="1:1" x14ac:dyDescent="0.2">
      <c r="A1466" t="s">
        <v>2518</v>
      </c>
    </row>
    <row r="1467" spans="1:1" x14ac:dyDescent="0.2">
      <c r="A1467" t="s">
        <v>2519</v>
      </c>
    </row>
    <row r="1468" spans="1:1" x14ac:dyDescent="0.2">
      <c r="A1468" t="s">
        <v>2399</v>
      </c>
    </row>
    <row r="1469" spans="1:1" x14ac:dyDescent="0.2">
      <c r="A1469" t="s">
        <v>2419</v>
      </c>
    </row>
    <row r="1470" spans="1:1" x14ac:dyDescent="0.2">
      <c r="A1470" t="s">
        <v>2420</v>
      </c>
    </row>
    <row r="1471" spans="1:1" x14ac:dyDescent="0.2">
      <c r="A1471" t="s">
        <v>2520</v>
      </c>
    </row>
    <row r="1472" spans="1:1" x14ac:dyDescent="0.2">
      <c r="A1472" t="s">
        <v>2418</v>
      </c>
    </row>
    <row r="1473" spans="1:1" x14ac:dyDescent="0.2">
      <c r="A1473" t="s">
        <v>2515</v>
      </c>
    </row>
    <row r="1474" spans="1:1" x14ac:dyDescent="0.2">
      <c r="A1474" t="s">
        <v>2516</v>
      </c>
    </row>
    <row r="1475" spans="1:1" x14ac:dyDescent="0.2">
      <c r="A1475" t="s">
        <v>2517</v>
      </c>
    </row>
    <row r="1476" spans="1:1" x14ac:dyDescent="0.2">
      <c r="A1476" t="s">
        <v>2408</v>
      </c>
    </row>
    <row r="1477" spans="1:1" x14ac:dyDescent="0.2">
      <c r="A1477" t="s">
        <v>2404</v>
      </c>
    </row>
    <row r="1478" spans="1:1" x14ac:dyDescent="0.2">
      <c r="A1478" t="s">
        <v>2421</v>
      </c>
    </row>
    <row r="1479" spans="1:1" x14ac:dyDescent="0.2">
      <c r="A1479" t="s">
        <v>2524</v>
      </c>
    </row>
    <row r="1480" spans="1:1" x14ac:dyDescent="0.2">
      <c r="A1480" t="s">
        <v>2525</v>
      </c>
    </row>
    <row r="1481" spans="1:1" x14ac:dyDescent="0.2">
      <c r="A1481" t="s">
        <v>2400</v>
      </c>
    </row>
    <row r="1482" spans="1:1" x14ac:dyDescent="0.2">
      <c r="A1482" t="s">
        <v>2423</v>
      </c>
    </row>
    <row r="1483" spans="1:1" x14ac:dyDescent="0.2">
      <c r="A1483" t="s">
        <v>2424</v>
      </c>
    </row>
    <row r="1484" spans="1:1" x14ac:dyDescent="0.2">
      <c r="A1484" t="s">
        <v>2526</v>
      </c>
    </row>
    <row r="1485" spans="1:1" x14ac:dyDescent="0.2">
      <c r="A1485" t="s">
        <v>2422</v>
      </c>
    </row>
    <row r="1486" spans="1:1" x14ac:dyDescent="0.2">
      <c r="A1486" t="s">
        <v>2521</v>
      </c>
    </row>
    <row r="1487" spans="1:1" x14ac:dyDescent="0.2">
      <c r="A1487" t="s">
        <v>2522</v>
      </c>
    </row>
    <row r="1488" spans="1:1" x14ac:dyDescent="0.2">
      <c r="A1488" t="s">
        <v>2523</v>
      </c>
    </row>
    <row r="1489" spans="1:1" x14ac:dyDescent="0.2">
      <c r="A1489" t="s">
        <v>1074</v>
      </c>
    </row>
    <row r="1490" spans="1:1" x14ac:dyDescent="0.2">
      <c r="A1490" t="s">
        <v>1262</v>
      </c>
    </row>
    <row r="1491" spans="1:1" x14ac:dyDescent="0.2">
      <c r="A1491" t="s">
        <v>841</v>
      </c>
    </row>
    <row r="1492" spans="1:1" x14ac:dyDescent="0.2">
      <c r="A1492" t="s">
        <v>2529</v>
      </c>
    </row>
    <row r="1493" spans="1:1" x14ac:dyDescent="0.2">
      <c r="A1493" t="s">
        <v>2530</v>
      </c>
    </row>
    <row r="1494" spans="1:1" x14ac:dyDescent="0.2">
      <c r="A1494" t="s">
        <v>840</v>
      </c>
    </row>
    <row r="1495" spans="1:1" x14ac:dyDescent="0.2">
      <c r="A1495" t="s">
        <v>2427</v>
      </c>
    </row>
    <row r="1496" spans="1:1" x14ac:dyDescent="0.2">
      <c r="A1496" t="s">
        <v>2428</v>
      </c>
    </row>
    <row r="1497" spans="1:1" x14ac:dyDescent="0.2">
      <c r="A1497" t="s">
        <v>1048</v>
      </c>
    </row>
    <row r="1498" spans="1:1" x14ac:dyDescent="0.2">
      <c r="A1498" t="s">
        <v>2426</v>
      </c>
    </row>
    <row r="1499" spans="1:1" x14ac:dyDescent="0.2">
      <c r="A1499" t="s">
        <v>1581</v>
      </c>
    </row>
    <row r="1500" spans="1:1" x14ac:dyDescent="0.2">
      <c r="A1500" t="s">
        <v>2527</v>
      </c>
    </row>
    <row r="1501" spans="1:1" x14ac:dyDescent="0.2">
      <c r="A1501" t="s">
        <v>2528</v>
      </c>
    </row>
    <row r="1502" spans="1:1" x14ac:dyDescent="0.2">
      <c r="A1502" t="s">
        <v>2429</v>
      </c>
    </row>
    <row r="1503" spans="1:1" x14ac:dyDescent="0.2">
      <c r="A1503" t="s">
        <v>542</v>
      </c>
    </row>
    <row r="1504" spans="1:1" x14ac:dyDescent="0.2">
      <c r="A1504" t="s">
        <v>2645</v>
      </c>
    </row>
    <row r="1505" spans="1:1" x14ac:dyDescent="0.2">
      <c r="A1505" t="s">
        <v>2646</v>
      </c>
    </row>
    <row r="1506" spans="1:1" x14ac:dyDescent="0.2">
      <c r="A1506" t="s">
        <v>2647</v>
      </c>
    </row>
    <row r="1507" spans="1:1" x14ac:dyDescent="0.2">
      <c r="A1507" t="s">
        <v>2648</v>
      </c>
    </row>
    <row r="1508" spans="1:1" x14ac:dyDescent="0.2">
      <c r="A1508" t="s">
        <v>2649</v>
      </c>
    </row>
    <row r="1509" spans="1:1" x14ac:dyDescent="0.2">
      <c r="A1509" t="s">
        <v>2650</v>
      </c>
    </row>
    <row r="1510" spans="1:1" x14ac:dyDescent="0.2">
      <c r="A1510" t="s">
        <v>2651</v>
      </c>
    </row>
    <row r="1511" spans="1:1" x14ac:dyDescent="0.2">
      <c r="A1511" t="s">
        <v>2652</v>
      </c>
    </row>
    <row r="1512" spans="1:1" x14ac:dyDescent="0.2">
      <c r="A1512" t="s">
        <v>2653</v>
      </c>
    </row>
    <row r="1513" spans="1:1" x14ac:dyDescent="0.2">
      <c r="A1513" t="s">
        <v>2654</v>
      </c>
    </row>
    <row r="1514" spans="1:1" x14ac:dyDescent="0.2">
      <c r="A1514" t="s">
        <v>2655</v>
      </c>
    </row>
    <row r="1515" spans="1:1" x14ac:dyDescent="0.2">
      <c r="A1515" t="s">
        <v>2656</v>
      </c>
    </row>
    <row r="1516" spans="1:1" x14ac:dyDescent="0.2">
      <c r="A1516" t="s">
        <v>2657</v>
      </c>
    </row>
    <row r="1517" spans="1:1" x14ac:dyDescent="0.2">
      <c r="A1517" t="s">
        <v>2658</v>
      </c>
    </row>
    <row r="1518" spans="1:1" x14ac:dyDescent="0.2">
      <c r="A1518" t="s">
        <v>2659</v>
      </c>
    </row>
    <row r="1519" spans="1:1" x14ac:dyDescent="0.2">
      <c r="A1519" t="s">
        <v>2660</v>
      </c>
    </row>
    <row r="1520" spans="1:1" x14ac:dyDescent="0.2">
      <c r="A1520" t="s">
        <v>2661</v>
      </c>
    </row>
    <row r="1521" spans="1:1" x14ac:dyDescent="0.2">
      <c r="A1521" t="s">
        <v>2662</v>
      </c>
    </row>
    <row r="1522" spans="1:1" x14ac:dyDescent="0.2">
      <c r="A1522" t="s">
        <v>2663</v>
      </c>
    </row>
    <row r="1523" spans="1:1" x14ac:dyDescent="0.2">
      <c r="A1523" t="s">
        <v>2664</v>
      </c>
    </row>
    <row r="1524" spans="1:1" x14ac:dyDescent="0.2">
      <c r="A1524" t="s">
        <v>2665</v>
      </c>
    </row>
    <row r="1525" spans="1:1" x14ac:dyDescent="0.2">
      <c r="A1525" t="s">
        <v>2666</v>
      </c>
    </row>
    <row r="1526" spans="1:1" x14ac:dyDescent="0.2">
      <c r="A1526" t="s">
        <v>2667</v>
      </c>
    </row>
    <row r="1527" spans="1:1" x14ac:dyDescent="0.2">
      <c r="A1527" t="s">
        <v>2668</v>
      </c>
    </row>
    <row r="1528" spans="1:1" x14ac:dyDescent="0.2">
      <c r="A1528" t="s">
        <v>2669</v>
      </c>
    </row>
    <row r="1529" spans="1:1" x14ac:dyDescent="0.2">
      <c r="A1529" t="s">
        <v>2670</v>
      </c>
    </row>
    <row r="1530" spans="1:1" x14ac:dyDescent="0.2">
      <c r="A1530" t="s">
        <v>2671</v>
      </c>
    </row>
    <row r="1531" spans="1:1" x14ac:dyDescent="0.2">
      <c r="A1531" t="s">
        <v>2672</v>
      </c>
    </row>
    <row r="1532" spans="1:1" x14ac:dyDescent="0.2">
      <c r="A1532" t="s">
        <v>2673</v>
      </c>
    </row>
    <row r="1533" spans="1:1" x14ac:dyDescent="0.2">
      <c r="A1533" t="s">
        <v>2674</v>
      </c>
    </row>
    <row r="1534" spans="1:1" x14ac:dyDescent="0.2">
      <c r="A1534" t="s">
        <v>2675</v>
      </c>
    </row>
    <row r="1535" spans="1:1" x14ac:dyDescent="0.2">
      <c r="A1535" t="s">
        <v>2676</v>
      </c>
    </row>
    <row r="1536" spans="1:1" x14ac:dyDescent="0.2">
      <c r="A1536" t="s">
        <v>2677</v>
      </c>
    </row>
    <row r="1537" spans="1:1" x14ac:dyDescent="0.2">
      <c r="A1537" t="s">
        <v>2678</v>
      </c>
    </row>
    <row r="1538" spans="1:1" x14ac:dyDescent="0.2">
      <c r="A1538" t="s">
        <v>2679</v>
      </c>
    </row>
    <row r="1539" spans="1:1" x14ac:dyDescent="0.2">
      <c r="A1539" t="s">
        <v>2680</v>
      </c>
    </row>
    <row r="1540" spans="1:1" x14ac:dyDescent="0.2">
      <c r="A1540" t="s">
        <v>2681</v>
      </c>
    </row>
    <row r="1541" spans="1:1" x14ac:dyDescent="0.2">
      <c r="A1541" t="s">
        <v>2682</v>
      </c>
    </row>
    <row r="1542" spans="1:1" x14ac:dyDescent="0.2">
      <c r="A1542" t="s">
        <v>2683</v>
      </c>
    </row>
    <row r="1543" spans="1:1" x14ac:dyDescent="0.2">
      <c r="A1543" t="s">
        <v>2684</v>
      </c>
    </row>
    <row r="1544" spans="1:1" x14ac:dyDescent="0.2">
      <c r="A1544" t="s">
        <v>2685</v>
      </c>
    </row>
    <row r="1545" spans="1:1" x14ac:dyDescent="0.2">
      <c r="A1545" t="s">
        <v>2686</v>
      </c>
    </row>
    <row r="1546" spans="1:1" x14ac:dyDescent="0.2">
      <c r="A1546" t="s">
        <v>2687</v>
      </c>
    </row>
    <row r="1547" spans="1:1" x14ac:dyDescent="0.2">
      <c r="A1547" t="s">
        <v>2688</v>
      </c>
    </row>
    <row r="1548" spans="1:1" x14ac:dyDescent="0.2">
      <c r="A1548" t="s">
        <v>2689</v>
      </c>
    </row>
    <row r="1549" spans="1:1" x14ac:dyDescent="0.2">
      <c r="A1549" t="s">
        <v>2690</v>
      </c>
    </row>
    <row r="1550" spans="1:1" x14ac:dyDescent="0.2">
      <c r="A1550" t="s">
        <v>2691</v>
      </c>
    </row>
    <row r="1551" spans="1:1" x14ac:dyDescent="0.2">
      <c r="A1551" t="s">
        <v>2692</v>
      </c>
    </row>
    <row r="1552" spans="1:1" x14ac:dyDescent="0.2">
      <c r="A1552" t="s">
        <v>2693</v>
      </c>
    </row>
    <row r="1553" spans="1:1" x14ac:dyDescent="0.2">
      <c r="A1553" t="s">
        <v>2694</v>
      </c>
    </row>
    <row r="1554" spans="1:1" x14ac:dyDescent="0.2">
      <c r="A1554" t="s">
        <v>2695</v>
      </c>
    </row>
    <row r="1555" spans="1:1" x14ac:dyDescent="0.2">
      <c r="A1555" t="s">
        <v>2696</v>
      </c>
    </row>
    <row r="1556" spans="1:1" x14ac:dyDescent="0.2">
      <c r="A1556" t="s">
        <v>2697</v>
      </c>
    </row>
    <row r="1557" spans="1:1" x14ac:dyDescent="0.2">
      <c r="A1557" t="s">
        <v>2698</v>
      </c>
    </row>
    <row r="1558" spans="1:1" x14ac:dyDescent="0.2">
      <c r="A1558" t="s">
        <v>2699</v>
      </c>
    </row>
    <row r="1559" spans="1:1" x14ac:dyDescent="0.2">
      <c r="A1559" t="s">
        <v>2700</v>
      </c>
    </row>
    <row r="1560" spans="1:1" x14ac:dyDescent="0.2">
      <c r="A1560" t="s">
        <v>2701</v>
      </c>
    </row>
    <row r="1561" spans="1:1" x14ac:dyDescent="0.2">
      <c r="A1561" t="s">
        <v>2702</v>
      </c>
    </row>
    <row r="1562" spans="1:1" x14ac:dyDescent="0.2">
      <c r="A1562" t="s">
        <v>2703</v>
      </c>
    </row>
    <row r="1563" spans="1:1" x14ac:dyDescent="0.2">
      <c r="A1563" t="s">
        <v>2704</v>
      </c>
    </row>
    <row r="1564" spans="1:1" x14ac:dyDescent="0.2">
      <c r="A1564" t="s">
        <v>2705</v>
      </c>
    </row>
    <row r="1565" spans="1:1" x14ac:dyDescent="0.2">
      <c r="A1565" t="s">
        <v>2706</v>
      </c>
    </row>
    <row r="1566" spans="1:1" x14ac:dyDescent="0.2">
      <c r="A1566" t="s">
        <v>2707</v>
      </c>
    </row>
    <row r="1567" spans="1:1" x14ac:dyDescent="0.2">
      <c r="A1567" t="s">
        <v>2708</v>
      </c>
    </row>
    <row r="1568" spans="1:1" x14ac:dyDescent="0.2">
      <c r="A1568" t="s">
        <v>2709</v>
      </c>
    </row>
    <row r="1569" spans="1:1" x14ac:dyDescent="0.2">
      <c r="A1569" t="s">
        <v>2710</v>
      </c>
    </row>
    <row r="1570" spans="1:1" x14ac:dyDescent="0.2">
      <c r="A1570" t="s">
        <v>2711</v>
      </c>
    </row>
    <row r="1571" spans="1:1" x14ac:dyDescent="0.2">
      <c r="A1571" t="s">
        <v>2712</v>
      </c>
    </row>
    <row r="1572" spans="1:1" x14ac:dyDescent="0.2">
      <c r="A1572" t="s">
        <v>2713</v>
      </c>
    </row>
    <row r="1573" spans="1:1" x14ac:dyDescent="0.2">
      <c r="A1573" t="s">
        <v>2409</v>
      </c>
    </row>
    <row r="1574" spans="1:1" x14ac:dyDescent="0.2">
      <c r="A1574" t="s">
        <v>2405</v>
      </c>
    </row>
    <row r="1575" spans="1:1" x14ac:dyDescent="0.2">
      <c r="A1575" t="s">
        <v>1584</v>
      </c>
    </row>
    <row r="1576" spans="1:1" x14ac:dyDescent="0.2">
      <c r="A1576" t="s">
        <v>2534</v>
      </c>
    </row>
    <row r="1577" spans="1:1" x14ac:dyDescent="0.2">
      <c r="A1577" t="s">
        <v>2535</v>
      </c>
    </row>
    <row r="1578" spans="1:1" x14ac:dyDescent="0.2">
      <c r="A1578" t="s">
        <v>2401</v>
      </c>
    </row>
    <row r="1579" spans="1:1" x14ac:dyDescent="0.2">
      <c r="A1579" t="s">
        <v>2431</v>
      </c>
    </row>
    <row r="1580" spans="1:1" x14ac:dyDescent="0.2">
      <c r="A1580" t="s">
        <v>2432</v>
      </c>
    </row>
    <row r="1581" spans="1:1" x14ac:dyDescent="0.2">
      <c r="A1581" t="s">
        <v>2536</v>
      </c>
    </row>
    <row r="1582" spans="1:1" x14ac:dyDescent="0.2">
      <c r="A1582" t="s">
        <v>2430</v>
      </c>
    </row>
    <row r="1583" spans="1:1" x14ac:dyDescent="0.2">
      <c r="A1583" t="s">
        <v>2531</v>
      </c>
    </row>
    <row r="1584" spans="1:1" x14ac:dyDescent="0.2">
      <c r="A1584" t="s">
        <v>2532</v>
      </c>
    </row>
    <row r="1585" spans="1:1" x14ac:dyDescent="0.2">
      <c r="A1585" t="s">
        <v>2533</v>
      </c>
    </row>
    <row r="1586" spans="1:1" x14ac:dyDescent="0.2">
      <c r="A1586" t="s">
        <v>2433</v>
      </c>
    </row>
    <row r="1587" spans="1:1" x14ac:dyDescent="0.2">
      <c r="A1587" t="s">
        <v>2569</v>
      </c>
    </row>
    <row r="1588" spans="1:1" x14ac:dyDescent="0.2">
      <c r="A1588" t="s">
        <v>234</v>
      </c>
    </row>
    <row r="1589" spans="1:1" x14ac:dyDescent="0.2">
      <c r="A1589" t="s">
        <v>2571</v>
      </c>
    </row>
    <row r="1590" spans="1:1" x14ac:dyDescent="0.2">
      <c r="A1590" t="s">
        <v>2546</v>
      </c>
    </row>
    <row r="1591" spans="1:1" x14ac:dyDescent="0.2">
      <c r="A1591" t="s">
        <v>2541</v>
      </c>
    </row>
    <row r="1592" spans="1:1" x14ac:dyDescent="0.2">
      <c r="A1592" t="s">
        <v>2542</v>
      </c>
    </row>
    <row r="1593" spans="1:1" x14ac:dyDescent="0.2">
      <c r="A1593" t="s">
        <v>2537</v>
      </c>
    </row>
    <row r="1594" spans="1:1" x14ac:dyDescent="0.2">
      <c r="A1594" t="s">
        <v>2548</v>
      </c>
    </row>
    <row r="1595" spans="1:1" x14ac:dyDescent="0.2">
      <c r="A1595" t="s">
        <v>2549</v>
      </c>
    </row>
    <row r="1596" spans="1:1" x14ac:dyDescent="0.2">
      <c r="A1596" t="s">
        <v>2543</v>
      </c>
    </row>
    <row r="1597" spans="1:1" x14ac:dyDescent="0.2">
      <c r="A1597" t="s">
        <v>2547</v>
      </c>
    </row>
    <row r="1598" spans="1:1" x14ac:dyDescent="0.2">
      <c r="A1598" t="s">
        <v>2538</v>
      </c>
    </row>
    <row r="1599" spans="1:1" x14ac:dyDescent="0.2">
      <c r="A1599" t="s">
        <v>2539</v>
      </c>
    </row>
    <row r="1600" spans="1:1" x14ac:dyDescent="0.2">
      <c r="A1600" t="s">
        <v>2540</v>
      </c>
    </row>
    <row r="1601" spans="1:1" x14ac:dyDescent="0.2">
      <c r="A1601" t="s">
        <v>110</v>
      </c>
    </row>
    <row r="1602" spans="1:1" x14ac:dyDescent="0.2">
      <c r="A1602" t="s">
        <v>2388</v>
      </c>
    </row>
    <row r="1603" spans="1:1" x14ac:dyDescent="0.2">
      <c r="A1603" t="s">
        <v>2387</v>
      </c>
    </row>
    <row r="1604" spans="1:1" x14ac:dyDescent="0.2">
      <c r="A1604" t="s">
        <v>238</v>
      </c>
    </row>
    <row r="1605" spans="1:1" x14ac:dyDescent="0.2">
      <c r="A1605" t="s">
        <v>144</v>
      </c>
    </row>
    <row r="1606" spans="1:1" x14ac:dyDescent="0.2">
      <c r="A1606" t="s">
        <v>96</v>
      </c>
    </row>
    <row r="1607" spans="1:1" x14ac:dyDescent="0.2">
      <c r="A1607" t="s">
        <v>142</v>
      </c>
    </row>
    <row r="1608" spans="1:1" x14ac:dyDescent="0.2">
      <c r="A1608" t="s">
        <v>95</v>
      </c>
    </row>
    <row r="1609" spans="1:1" x14ac:dyDescent="0.2">
      <c r="A1609" t="s">
        <v>2614</v>
      </c>
    </row>
    <row r="1610" spans="1:1" x14ac:dyDescent="0.2">
      <c r="A1610" t="s">
        <v>358</v>
      </c>
    </row>
    <row r="1611" spans="1:1" x14ac:dyDescent="0.2">
      <c r="A1611" t="s">
        <v>2445</v>
      </c>
    </row>
    <row r="1612" spans="1:1" x14ac:dyDescent="0.2">
      <c r="A1612" t="s">
        <v>867</v>
      </c>
    </row>
    <row r="1613" spans="1:1" x14ac:dyDescent="0.2">
      <c r="A1613" t="s">
        <v>444</v>
      </c>
    </row>
    <row r="1614" spans="1:1" x14ac:dyDescent="0.2">
      <c r="A1614" t="s">
        <v>2627</v>
      </c>
    </row>
    <row r="1615" spans="1:1" x14ac:dyDescent="0.2">
      <c r="A1615" t="s">
        <v>359</v>
      </c>
    </row>
    <row r="1616" spans="1:1" x14ac:dyDescent="0.2">
      <c r="A1616" t="s">
        <v>2381</v>
      </c>
    </row>
    <row r="1617" spans="1:1" x14ac:dyDescent="0.2">
      <c r="A1617" t="s">
        <v>880</v>
      </c>
    </row>
    <row r="1618" spans="1:1" x14ac:dyDescent="0.2">
      <c r="A1618" t="s">
        <v>8</v>
      </c>
    </row>
    <row r="1619" spans="1:1" x14ac:dyDescent="0.2">
      <c r="A1619" t="s">
        <v>2435</v>
      </c>
    </row>
    <row r="1620" spans="1:1" x14ac:dyDescent="0.2">
      <c r="A1620" t="s">
        <v>2498</v>
      </c>
    </row>
    <row r="1621" spans="1:1" x14ac:dyDescent="0.2">
      <c r="A1621" t="s">
        <v>2499</v>
      </c>
    </row>
    <row r="1622" spans="1:1" x14ac:dyDescent="0.2">
      <c r="A1622" t="s">
        <v>2391</v>
      </c>
    </row>
    <row r="1623" spans="1:1" x14ac:dyDescent="0.2">
      <c r="A1623" t="s">
        <v>159</v>
      </c>
    </row>
    <row r="1624" spans="1:1" x14ac:dyDescent="0.2">
      <c r="A1624" t="s">
        <v>51</v>
      </c>
    </row>
    <row r="1625" spans="1:1" x14ac:dyDescent="0.2">
      <c r="A1625" t="s">
        <v>153</v>
      </c>
    </row>
    <row r="1626" spans="1:1" x14ac:dyDescent="0.2">
      <c r="A1626" t="s">
        <v>154</v>
      </c>
    </row>
    <row r="1627" spans="1:1" x14ac:dyDescent="0.2">
      <c r="A1627" t="s">
        <v>443</v>
      </c>
    </row>
    <row r="1628" spans="1:1" x14ac:dyDescent="0.2">
      <c r="A1628" t="s">
        <v>123</v>
      </c>
    </row>
    <row r="1629" spans="1:1" x14ac:dyDescent="0.2">
      <c r="A1629" t="s">
        <v>151</v>
      </c>
    </row>
    <row r="1630" spans="1:1" x14ac:dyDescent="0.2">
      <c r="A1630" t="s">
        <v>152</v>
      </c>
    </row>
    <row r="1631" spans="1:1" x14ac:dyDescent="0.2">
      <c r="A1631" t="s">
        <v>719</v>
      </c>
    </row>
    <row r="1632" spans="1:1" x14ac:dyDescent="0.2">
      <c r="A1632" t="s">
        <v>150</v>
      </c>
    </row>
    <row r="1633" spans="1:1" x14ac:dyDescent="0.2">
      <c r="A1633" t="s">
        <v>2565</v>
      </c>
    </row>
    <row r="1634" spans="1:1" x14ac:dyDescent="0.2">
      <c r="A1634" t="s">
        <v>2566</v>
      </c>
    </row>
    <row r="1635" spans="1:1" x14ac:dyDescent="0.2">
      <c r="A1635" t="s">
        <v>2567</v>
      </c>
    </row>
    <row r="1636" spans="1:1" x14ac:dyDescent="0.2">
      <c r="A1636" t="s">
        <v>550</v>
      </c>
    </row>
    <row r="1637" spans="1:1" x14ac:dyDescent="0.2">
      <c r="A1637" t="s">
        <v>551</v>
      </c>
    </row>
    <row r="1638" spans="1:1" x14ac:dyDescent="0.2">
      <c r="A1638" t="s">
        <v>2718</v>
      </c>
    </row>
    <row r="1639" spans="1:1" x14ac:dyDescent="0.2">
      <c r="A1639" t="s">
        <v>615</v>
      </c>
    </row>
    <row r="1640" spans="1:1" x14ac:dyDescent="0.2">
      <c r="A1640" t="s">
        <v>2715</v>
      </c>
    </row>
    <row r="1641" spans="1:1" x14ac:dyDescent="0.2">
      <c r="A1641" t="s">
        <v>2720</v>
      </c>
    </row>
    <row r="1642" spans="1:1" x14ac:dyDescent="0.2">
      <c r="A1642" t="s">
        <v>2716</v>
      </c>
    </row>
    <row r="1643" spans="1:1" x14ac:dyDescent="0.2">
      <c r="A1643" t="s">
        <v>2721</v>
      </c>
    </row>
    <row r="1644" spans="1:1" x14ac:dyDescent="0.2">
      <c r="A1644" t="s">
        <v>351</v>
      </c>
    </row>
    <row r="1645" spans="1:1" x14ac:dyDescent="0.2">
      <c r="A1645" t="s">
        <v>350</v>
      </c>
    </row>
    <row r="1646" spans="1:1" x14ac:dyDescent="0.2">
      <c r="A1646" t="s">
        <v>2719</v>
      </c>
    </row>
    <row r="1647" spans="1:1" x14ac:dyDescent="0.2">
      <c r="A1647" t="s">
        <v>2722</v>
      </c>
    </row>
    <row r="1648" spans="1:1" x14ac:dyDescent="0.2">
      <c r="A1648" t="s">
        <v>334</v>
      </c>
    </row>
    <row r="1649" spans="1:1" x14ac:dyDescent="0.2">
      <c r="A1649" t="s">
        <v>333</v>
      </c>
    </row>
    <row r="1650" spans="1:1" x14ac:dyDescent="0.2">
      <c r="A1650" t="s">
        <v>2714</v>
      </c>
    </row>
    <row r="1651" spans="1:1" x14ac:dyDescent="0.2">
      <c r="A1651" t="s">
        <v>456</v>
      </c>
    </row>
    <row r="1652" spans="1:1" x14ac:dyDescent="0.2">
      <c r="A1652" t="s">
        <v>2392</v>
      </c>
    </row>
    <row r="1653" spans="1:1" x14ac:dyDescent="0.2">
      <c r="A1653" t="s">
        <v>332</v>
      </c>
    </row>
    <row r="1654" spans="1:1" x14ac:dyDescent="0.2">
      <c r="A1654" t="s">
        <v>99</v>
      </c>
    </row>
    <row r="1655" spans="1:1" x14ac:dyDescent="0.2">
      <c r="A1655" t="s">
        <v>2717</v>
      </c>
    </row>
    <row r="1656" spans="1:1" x14ac:dyDescent="0.2">
      <c r="A1656" t="s">
        <v>98</v>
      </c>
    </row>
    <row r="1657" spans="1:1" x14ac:dyDescent="0.2">
      <c r="A1657" t="s">
        <v>2393</v>
      </c>
    </row>
    <row r="1658" spans="1:1" x14ac:dyDescent="0.2">
      <c r="A1658" t="s">
        <v>2394</v>
      </c>
    </row>
    <row r="1659" spans="1:1" x14ac:dyDescent="0.2">
      <c r="A1659" t="s">
        <v>606</v>
      </c>
    </row>
    <row r="1660" spans="1:1" x14ac:dyDescent="0.2">
      <c r="A1660" t="s">
        <v>2573</v>
      </c>
    </row>
    <row r="1661" spans="1:1" x14ac:dyDescent="0.2">
      <c r="A1661" t="s">
        <v>612</v>
      </c>
    </row>
    <row r="1662" spans="1:1" x14ac:dyDescent="0.2">
      <c r="A1662" t="s">
        <v>610</v>
      </c>
    </row>
    <row r="1663" spans="1:1" x14ac:dyDescent="0.2">
      <c r="A1663" t="s">
        <v>607</v>
      </c>
    </row>
    <row r="1664" spans="1:1" x14ac:dyDescent="0.2">
      <c r="A1664" t="s">
        <v>2395</v>
      </c>
    </row>
    <row r="1665" spans="1:1" x14ac:dyDescent="0.2">
      <c r="A1665" t="s">
        <v>113</v>
      </c>
    </row>
    <row r="1666" spans="1:1" x14ac:dyDescent="0.2">
      <c r="A1666" t="s">
        <v>62</v>
      </c>
    </row>
    <row r="1667" spans="1:1" x14ac:dyDescent="0.2">
      <c r="A1667" t="s">
        <v>257</v>
      </c>
    </row>
    <row r="1668" spans="1:1" x14ac:dyDescent="0.2">
      <c r="A1668" t="s">
        <v>135</v>
      </c>
    </row>
    <row r="1669" spans="1:1" x14ac:dyDescent="0.2">
      <c r="A1669" t="s">
        <v>556</v>
      </c>
    </row>
    <row r="1670" spans="1:1" x14ac:dyDescent="0.2">
      <c r="A1670" t="s">
        <v>485</v>
      </c>
    </row>
    <row r="1671" spans="1:1" x14ac:dyDescent="0.2">
      <c r="A1671" t="s">
        <v>484</v>
      </c>
    </row>
    <row r="1672" spans="1:1" x14ac:dyDescent="0.2">
      <c r="A1672" t="s">
        <v>1677</v>
      </c>
    </row>
    <row r="1673" spans="1:1" x14ac:dyDescent="0.2">
      <c r="A1673" t="s">
        <v>114</v>
      </c>
    </row>
    <row r="1674" spans="1:1" x14ac:dyDescent="0.2">
      <c r="A1674" t="s">
        <v>2374</v>
      </c>
    </row>
    <row r="1675" spans="1:1" x14ac:dyDescent="0.2">
      <c r="A1675" t="s">
        <v>1232</v>
      </c>
    </row>
    <row r="1676" spans="1:1" x14ac:dyDescent="0.2">
      <c r="A1676" t="s">
        <v>56</v>
      </c>
    </row>
    <row r="1677" spans="1:1" x14ac:dyDescent="0.2">
      <c r="A1677" t="s">
        <v>2448</v>
      </c>
    </row>
    <row r="1678" spans="1:1" x14ac:dyDescent="0.2">
      <c r="A1678" t="s">
        <v>1688</v>
      </c>
    </row>
    <row r="1679" spans="1:1" x14ac:dyDescent="0.2">
      <c r="A1679" t="s">
        <v>1687</v>
      </c>
    </row>
    <row r="1680" spans="1:1" x14ac:dyDescent="0.2">
      <c r="A1680" t="s">
        <v>1756</v>
      </c>
    </row>
    <row r="1681" spans="1:1" x14ac:dyDescent="0.2">
      <c r="A1681" t="s">
        <v>63</v>
      </c>
    </row>
    <row r="1682" spans="1:1" x14ac:dyDescent="0.2">
      <c r="A1682" t="s">
        <v>79</v>
      </c>
    </row>
    <row r="1683" spans="1:1" x14ac:dyDescent="0.2">
      <c r="A1683" t="s">
        <v>80</v>
      </c>
    </row>
    <row r="1684" spans="1:1" x14ac:dyDescent="0.2">
      <c r="A1684" t="s">
        <v>81</v>
      </c>
    </row>
    <row r="1685" spans="1:1" x14ac:dyDescent="0.2">
      <c r="A1685" t="s">
        <v>1872</v>
      </c>
    </row>
    <row r="1686" spans="1:1" x14ac:dyDescent="0.2">
      <c r="A1686" t="s">
        <v>1873</v>
      </c>
    </row>
    <row r="1687" spans="1:1" x14ac:dyDescent="0.2">
      <c r="A1687" t="s">
        <v>1874</v>
      </c>
    </row>
    <row r="1688" spans="1:1" x14ac:dyDescent="0.2">
      <c r="A1688" t="s">
        <v>1875</v>
      </c>
    </row>
    <row r="1689" spans="1:1" x14ac:dyDescent="0.2">
      <c r="A1689" t="s">
        <v>1876</v>
      </c>
    </row>
    <row r="1690" spans="1:1" x14ac:dyDescent="0.2">
      <c r="A1690" t="s">
        <v>1877</v>
      </c>
    </row>
    <row r="1691" spans="1:1" x14ac:dyDescent="0.2">
      <c r="A1691" t="s">
        <v>1878</v>
      </c>
    </row>
    <row r="1692" spans="1:1" x14ac:dyDescent="0.2">
      <c r="A1692" t="s">
        <v>1879</v>
      </c>
    </row>
    <row r="1693" spans="1:1" x14ac:dyDescent="0.2">
      <c r="A1693" t="s">
        <v>1880</v>
      </c>
    </row>
    <row r="1694" spans="1:1" x14ac:dyDescent="0.2">
      <c r="A1694" t="s">
        <v>1881</v>
      </c>
    </row>
    <row r="1695" spans="1:1" x14ac:dyDescent="0.2">
      <c r="A1695" t="s">
        <v>1882</v>
      </c>
    </row>
    <row r="1696" spans="1:1" x14ac:dyDescent="0.2">
      <c r="A1696" t="s">
        <v>1883</v>
      </c>
    </row>
    <row r="1697" spans="1:1" x14ac:dyDescent="0.2">
      <c r="A1697" t="s">
        <v>1884</v>
      </c>
    </row>
    <row r="1698" spans="1:1" x14ac:dyDescent="0.2">
      <c r="A1698" t="s">
        <v>1885</v>
      </c>
    </row>
    <row r="1699" spans="1:1" x14ac:dyDescent="0.2">
      <c r="A1699" t="s">
        <v>1886</v>
      </c>
    </row>
    <row r="1700" spans="1:1" x14ac:dyDescent="0.2">
      <c r="A1700" t="s">
        <v>1887</v>
      </c>
    </row>
    <row r="1701" spans="1:1" x14ac:dyDescent="0.2">
      <c r="A1701" t="s">
        <v>1888</v>
      </c>
    </row>
    <row r="1702" spans="1:1" x14ac:dyDescent="0.2">
      <c r="A1702" t="s">
        <v>1889</v>
      </c>
    </row>
    <row r="1703" spans="1:1" x14ac:dyDescent="0.2">
      <c r="A1703" t="s">
        <v>1890</v>
      </c>
    </row>
    <row r="1704" spans="1:1" x14ac:dyDescent="0.2">
      <c r="A1704" t="s">
        <v>1891</v>
      </c>
    </row>
    <row r="1705" spans="1:1" x14ac:dyDescent="0.2">
      <c r="A1705" t="s">
        <v>1892</v>
      </c>
    </row>
    <row r="1706" spans="1:1" x14ac:dyDescent="0.2">
      <c r="A1706" t="s">
        <v>1893</v>
      </c>
    </row>
    <row r="1707" spans="1:1" x14ac:dyDescent="0.2">
      <c r="A1707" t="s">
        <v>1894</v>
      </c>
    </row>
    <row r="1708" spans="1:1" x14ac:dyDescent="0.2">
      <c r="A1708" t="s">
        <v>1895</v>
      </c>
    </row>
    <row r="1709" spans="1:1" x14ac:dyDescent="0.2">
      <c r="A1709" t="s">
        <v>1896</v>
      </c>
    </row>
    <row r="1710" spans="1:1" x14ac:dyDescent="0.2">
      <c r="A1710" t="s">
        <v>1897</v>
      </c>
    </row>
    <row r="1711" spans="1:1" x14ac:dyDescent="0.2">
      <c r="A1711" t="s">
        <v>1898</v>
      </c>
    </row>
    <row r="1712" spans="1:1" x14ac:dyDescent="0.2">
      <c r="A1712" t="s">
        <v>1899</v>
      </c>
    </row>
    <row r="1713" spans="1:1" x14ac:dyDescent="0.2">
      <c r="A1713" t="s">
        <v>1900</v>
      </c>
    </row>
    <row r="1714" spans="1:1" x14ac:dyDescent="0.2">
      <c r="A1714" t="s">
        <v>1901</v>
      </c>
    </row>
    <row r="1715" spans="1:1" x14ac:dyDescent="0.2">
      <c r="A1715" t="s">
        <v>1902</v>
      </c>
    </row>
    <row r="1716" spans="1:1" x14ac:dyDescent="0.2">
      <c r="A1716" t="s">
        <v>1903</v>
      </c>
    </row>
    <row r="1717" spans="1:1" x14ac:dyDescent="0.2">
      <c r="A1717" t="s">
        <v>1904</v>
      </c>
    </row>
    <row r="1718" spans="1:1" x14ac:dyDescent="0.2">
      <c r="A1718" t="s">
        <v>1905</v>
      </c>
    </row>
    <row r="1719" spans="1:1" x14ac:dyDescent="0.2">
      <c r="A1719" t="s">
        <v>1906</v>
      </c>
    </row>
    <row r="1720" spans="1:1" x14ac:dyDescent="0.2">
      <c r="A1720" t="s">
        <v>1907</v>
      </c>
    </row>
    <row r="1721" spans="1:1" x14ac:dyDescent="0.2">
      <c r="A1721" t="s">
        <v>1908</v>
      </c>
    </row>
    <row r="1722" spans="1:1" x14ac:dyDescent="0.2">
      <c r="A1722" t="s">
        <v>1909</v>
      </c>
    </row>
    <row r="1723" spans="1:1" x14ac:dyDescent="0.2">
      <c r="A1723" t="s">
        <v>1910</v>
      </c>
    </row>
    <row r="1724" spans="1:1" x14ac:dyDescent="0.2">
      <c r="A1724" t="s">
        <v>1911</v>
      </c>
    </row>
    <row r="1725" spans="1:1" x14ac:dyDescent="0.2">
      <c r="A1725" t="s">
        <v>1912</v>
      </c>
    </row>
    <row r="1726" spans="1:1" x14ac:dyDescent="0.2">
      <c r="A1726" t="s">
        <v>1913</v>
      </c>
    </row>
    <row r="1727" spans="1:1" x14ac:dyDescent="0.2">
      <c r="A1727" t="s">
        <v>1914</v>
      </c>
    </row>
    <row r="1728" spans="1:1" x14ac:dyDescent="0.2">
      <c r="A1728" t="s">
        <v>1915</v>
      </c>
    </row>
    <row r="1729" spans="1:1" x14ac:dyDescent="0.2">
      <c r="A1729" t="s">
        <v>1916</v>
      </c>
    </row>
    <row r="1730" spans="1:1" x14ac:dyDescent="0.2">
      <c r="A1730" t="s">
        <v>1917</v>
      </c>
    </row>
    <row r="1731" spans="1:1" x14ac:dyDescent="0.2">
      <c r="A1731" t="s">
        <v>1918</v>
      </c>
    </row>
    <row r="1732" spans="1:1" x14ac:dyDescent="0.2">
      <c r="A1732" t="s">
        <v>1964</v>
      </c>
    </row>
    <row r="1733" spans="1:1" x14ac:dyDescent="0.2">
      <c r="A1733" t="s">
        <v>1965</v>
      </c>
    </row>
    <row r="1734" spans="1:1" x14ac:dyDescent="0.2">
      <c r="A1734" t="s">
        <v>1966</v>
      </c>
    </row>
    <row r="1735" spans="1:1" x14ac:dyDescent="0.2">
      <c r="A1735" t="s">
        <v>1967</v>
      </c>
    </row>
    <row r="1736" spans="1:1" x14ac:dyDescent="0.2">
      <c r="A1736" t="s">
        <v>1968</v>
      </c>
    </row>
    <row r="1737" spans="1:1" x14ac:dyDescent="0.2">
      <c r="A1737" t="s">
        <v>1969</v>
      </c>
    </row>
    <row r="1738" spans="1:1" x14ac:dyDescent="0.2">
      <c r="A1738" t="s">
        <v>1970</v>
      </c>
    </row>
    <row r="1739" spans="1:1" x14ac:dyDescent="0.2">
      <c r="A1739" t="s">
        <v>1971</v>
      </c>
    </row>
    <row r="1740" spans="1:1" x14ac:dyDescent="0.2">
      <c r="A1740" t="s">
        <v>1972</v>
      </c>
    </row>
    <row r="1741" spans="1:1" x14ac:dyDescent="0.2">
      <c r="A1741" t="s">
        <v>1973</v>
      </c>
    </row>
    <row r="1742" spans="1:1" x14ac:dyDescent="0.2">
      <c r="A1742" t="s">
        <v>1974</v>
      </c>
    </row>
    <row r="1743" spans="1:1" x14ac:dyDescent="0.2">
      <c r="A1743" t="s">
        <v>1975</v>
      </c>
    </row>
    <row r="1744" spans="1:1" x14ac:dyDescent="0.2">
      <c r="A1744" t="s">
        <v>1976</v>
      </c>
    </row>
    <row r="1745" spans="1:1" x14ac:dyDescent="0.2">
      <c r="A1745" t="s">
        <v>1977</v>
      </c>
    </row>
    <row r="1746" spans="1:1" x14ac:dyDescent="0.2">
      <c r="A1746" t="s">
        <v>1978</v>
      </c>
    </row>
    <row r="1747" spans="1:1" x14ac:dyDescent="0.2">
      <c r="A1747" t="s">
        <v>1979</v>
      </c>
    </row>
    <row r="1748" spans="1:1" x14ac:dyDescent="0.2">
      <c r="A1748" t="s">
        <v>1980</v>
      </c>
    </row>
    <row r="1749" spans="1:1" x14ac:dyDescent="0.2">
      <c r="A1749" t="s">
        <v>1981</v>
      </c>
    </row>
    <row r="1750" spans="1:1" x14ac:dyDescent="0.2">
      <c r="A1750" t="s">
        <v>1982</v>
      </c>
    </row>
    <row r="1751" spans="1:1" x14ac:dyDescent="0.2">
      <c r="A1751" t="s">
        <v>1983</v>
      </c>
    </row>
    <row r="1752" spans="1:1" x14ac:dyDescent="0.2">
      <c r="A1752" t="s">
        <v>1984</v>
      </c>
    </row>
    <row r="1753" spans="1:1" x14ac:dyDescent="0.2">
      <c r="A1753" t="s">
        <v>1985</v>
      </c>
    </row>
    <row r="1754" spans="1:1" x14ac:dyDescent="0.2">
      <c r="A1754" t="s">
        <v>1986</v>
      </c>
    </row>
    <row r="1755" spans="1:1" x14ac:dyDescent="0.2">
      <c r="A1755" t="s">
        <v>1987</v>
      </c>
    </row>
    <row r="1756" spans="1:1" x14ac:dyDescent="0.2">
      <c r="A1756" t="s">
        <v>1988</v>
      </c>
    </row>
    <row r="1757" spans="1:1" x14ac:dyDescent="0.2">
      <c r="A1757" t="s">
        <v>1989</v>
      </c>
    </row>
    <row r="1758" spans="1:1" x14ac:dyDescent="0.2">
      <c r="A1758" t="s">
        <v>1990</v>
      </c>
    </row>
    <row r="1759" spans="1:1" x14ac:dyDescent="0.2">
      <c r="A1759" t="s">
        <v>1991</v>
      </c>
    </row>
    <row r="1760" spans="1:1" x14ac:dyDescent="0.2">
      <c r="A1760" t="s">
        <v>1992</v>
      </c>
    </row>
    <row r="1761" spans="1:1" x14ac:dyDescent="0.2">
      <c r="A1761" t="s">
        <v>1993</v>
      </c>
    </row>
    <row r="1762" spans="1:1" x14ac:dyDescent="0.2">
      <c r="A1762" t="s">
        <v>1994</v>
      </c>
    </row>
    <row r="1763" spans="1:1" x14ac:dyDescent="0.2">
      <c r="A1763" t="s">
        <v>1995</v>
      </c>
    </row>
    <row r="1764" spans="1:1" x14ac:dyDescent="0.2">
      <c r="A1764" t="s">
        <v>1996</v>
      </c>
    </row>
    <row r="1765" spans="1:1" x14ac:dyDescent="0.2">
      <c r="A1765" t="s">
        <v>1997</v>
      </c>
    </row>
    <row r="1766" spans="1:1" x14ac:dyDescent="0.2">
      <c r="A1766" t="s">
        <v>1998</v>
      </c>
    </row>
    <row r="1767" spans="1:1" x14ac:dyDescent="0.2">
      <c r="A1767" t="s">
        <v>1999</v>
      </c>
    </row>
    <row r="1768" spans="1:1" x14ac:dyDescent="0.2">
      <c r="A1768" t="s">
        <v>2000</v>
      </c>
    </row>
    <row r="1769" spans="1:1" x14ac:dyDescent="0.2">
      <c r="A1769" t="s">
        <v>2001</v>
      </c>
    </row>
    <row r="1770" spans="1:1" x14ac:dyDescent="0.2">
      <c r="A1770" t="s">
        <v>2002</v>
      </c>
    </row>
    <row r="1771" spans="1:1" x14ac:dyDescent="0.2">
      <c r="A1771" t="s">
        <v>2003</v>
      </c>
    </row>
    <row r="1772" spans="1:1" x14ac:dyDescent="0.2">
      <c r="A1772" t="s">
        <v>2004</v>
      </c>
    </row>
    <row r="1773" spans="1:1" x14ac:dyDescent="0.2">
      <c r="A1773" t="s">
        <v>2005</v>
      </c>
    </row>
    <row r="1774" spans="1:1" x14ac:dyDescent="0.2">
      <c r="A1774" t="s">
        <v>2006</v>
      </c>
    </row>
    <row r="1775" spans="1:1" x14ac:dyDescent="0.2">
      <c r="A1775" t="s">
        <v>2007</v>
      </c>
    </row>
    <row r="1776" spans="1:1" x14ac:dyDescent="0.2">
      <c r="A1776" t="s">
        <v>2008</v>
      </c>
    </row>
    <row r="1777" spans="1:1" x14ac:dyDescent="0.2">
      <c r="A1777" t="s">
        <v>2009</v>
      </c>
    </row>
    <row r="1778" spans="1:1" x14ac:dyDescent="0.2">
      <c r="A1778" t="s">
        <v>2010</v>
      </c>
    </row>
    <row r="1779" spans="1:1" x14ac:dyDescent="0.2">
      <c r="A1779" t="s">
        <v>2011</v>
      </c>
    </row>
    <row r="1780" spans="1:1" x14ac:dyDescent="0.2">
      <c r="A1780" t="s">
        <v>2012</v>
      </c>
    </row>
    <row r="1781" spans="1:1" x14ac:dyDescent="0.2">
      <c r="A1781" t="s">
        <v>2013</v>
      </c>
    </row>
    <row r="1782" spans="1:1" x14ac:dyDescent="0.2">
      <c r="A1782" t="s">
        <v>2050</v>
      </c>
    </row>
    <row r="1783" spans="1:1" x14ac:dyDescent="0.2">
      <c r="A1783" t="s">
        <v>2051</v>
      </c>
    </row>
    <row r="1784" spans="1:1" x14ac:dyDescent="0.2">
      <c r="A1784" t="s">
        <v>2052</v>
      </c>
    </row>
    <row r="1785" spans="1:1" x14ac:dyDescent="0.2">
      <c r="A1785" t="s">
        <v>2053</v>
      </c>
    </row>
    <row r="1786" spans="1:1" x14ac:dyDescent="0.2">
      <c r="A1786" t="s">
        <v>2054</v>
      </c>
    </row>
    <row r="1787" spans="1:1" x14ac:dyDescent="0.2">
      <c r="A1787" t="s">
        <v>2055</v>
      </c>
    </row>
    <row r="1788" spans="1:1" x14ac:dyDescent="0.2">
      <c r="A1788" t="s">
        <v>2056</v>
      </c>
    </row>
    <row r="1789" spans="1:1" x14ac:dyDescent="0.2">
      <c r="A1789" t="s">
        <v>2057</v>
      </c>
    </row>
    <row r="1790" spans="1:1" x14ac:dyDescent="0.2">
      <c r="A1790" t="s">
        <v>2058</v>
      </c>
    </row>
    <row r="1791" spans="1:1" x14ac:dyDescent="0.2">
      <c r="A1791" t="s">
        <v>2059</v>
      </c>
    </row>
    <row r="1792" spans="1:1" x14ac:dyDescent="0.2">
      <c r="A1792" t="s">
        <v>2060</v>
      </c>
    </row>
    <row r="1793" spans="1:1" x14ac:dyDescent="0.2">
      <c r="A1793" t="s">
        <v>2061</v>
      </c>
    </row>
    <row r="1794" spans="1:1" x14ac:dyDescent="0.2">
      <c r="A1794" t="s">
        <v>2062</v>
      </c>
    </row>
    <row r="1795" spans="1:1" x14ac:dyDescent="0.2">
      <c r="A1795" t="s">
        <v>2063</v>
      </c>
    </row>
    <row r="1796" spans="1:1" x14ac:dyDescent="0.2">
      <c r="A1796" t="s">
        <v>2064</v>
      </c>
    </row>
    <row r="1797" spans="1:1" x14ac:dyDescent="0.2">
      <c r="A1797" t="s">
        <v>2065</v>
      </c>
    </row>
    <row r="1798" spans="1:1" x14ac:dyDescent="0.2">
      <c r="A1798" t="s">
        <v>2066</v>
      </c>
    </row>
    <row r="1799" spans="1:1" x14ac:dyDescent="0.2">
      <c r="A1799" t="s">
        <v>2067</v>
      </c>
    </row>
    <row r="1800" spans="1:1" x14ac:dyDescent="0.2">
      <c r="A1800" t="s">
        <v>2068</v>
      </c>
    </row>
    <row r="1801" spans="1:1" x14ac:dyDescent="0.2">
      <c r="A1801" t="s">
        <v>2069</v>
      </c>
    </row>
    <row r="1802" spans="1:1" x14ac:dyDescent="0.2">
      <c r="A1802" t="s">
        <v>2070</v>
      </c>
    </row>
    <row r="1803" spans="1:1" x14ac:dyDescent="0.2">
      <c r="A1803" t="s">
        <v>2071</v>
      </c>
    </row>
    <row r="1804" spans="1:1" x14ac:dyDescent="0.2">
      <c r="A1804" t="s">
        <v>2072</v>
      </c>
    </row>
    <row r="1805" spans="1:1" x14ac:dyDescent="0.2">
      <c r="A1805" t="s">
        <v>2073</v>
      </c>
    </row>
    <row r="1806" spans="1:1" x14ac:dyDescent="0.2">
      <c r="A1806" t="s">
        <v>2074</v>
      </c>
    </row>
    <row r="1807" spans="1:1" x14ac:dyDescent="0.2">
      <c r="A1807" t="s">
        <v>2075</v>
      </c>
    </row>
    <row r="1808" spans="1:1" x14ac:dyDescent="0.2">
      <c r="A1808" t="s">
        <v>2076</v>
      </c>
    </row>
    <row r="1809" spans="1:1" x14ac:dyDescent="0.2">
      <c r="A1809" t="s">
        <v>2077</v>
      </c>
    </row>
    <row r="1810" spans="1:1" x14ac:dyDescent="0.2">
      <c r="A1810" t="s">
        <v>2078</v>
      </c>
    </row>
    <row r="1811" spans="1:1" x14ac:dyDescent="0.2">
      <c r="A1811" t="s">
        <v>2079</v>
      </c>
    </row>
    <row r="1812" spans="1:1" x14ac:dyDescent="0.2">
      <c r="A1812" t="s">
        <v>2080</v>
      </c>
    </row>
    <row r="1813" spans="1:1" x14ac:dyDescent="0.2">
      <c r="A1813" t="s">
        <v>2081</v>
      </c>
    </row>
    <row r="1814" spans="1:1" x14ac:dyDescent="0.2">
      <c r="A1814" t="s">
        <v>2082</v>
      </c>
    </row>
    <row r="1815" spans="1:1" x14ac:dyDescent="0.2">
      <c r="A1815" t="s">
        <v>2083</v>
      </c>
    </row>
    <row r="1816" spans="1:1" x14ac:dyDescent="0.2">
      <c r="A1816" t="s">
        <v>2084</v>
      </c>
    </row>
    <row r="1817" spans="1:1" x14ac:dyDescent="0.2">
      <c r="A1817" t="s">
        <v>2085</v>
      </c>
    </row>
    <row r="1818" spans="1:1" x14ac:dyDescent="0.2">
      <c r="A1818" t="s">
        <v>2086</v>
      </c>
    </row>
    <row r="1819" spans="1:1" x14ac:dyDescent="0.2">
      <c r="A1819" t="s">
        <v>2087</v>
      </c>
    </row>
    <row r="1820" spans="1:1" x14ac:dyDescent="0.2">
      <c r="A1820" t="s">
        <v>2088</v>
      </c>
    </row>
    <row r="1821" spans="1:1" x14ac:dyDescent="0.2">
      <c r="A1821" t="s">
        <v>2089</v>
      </c>
    </row>
    <row r="1822" spans="1:1" x14ac:dyDescent="0.2">
      <c r="A1822" t="s">
        <v>2090</v>
      </c>
    </row>
    <row r="1823" spans="1:1" x14ac:dyDescent="0.2">
      <c r="A1823" t="s">
        <v>2091</v>
      </c>
    </row>
    <row r="1824" spans="1:1" x14ac:dyDescent="0.2">
      <c r="A1824" t="s">
        <v>2092</v>
      </c>
    </row>
    <row r="1825" spans="1:1" x14ac:dyDescent="0.2">
      <c r="A1825" t="s">
        <v>2093</v>
      </c>
    </row>
    <row r="1826" spans="1:1" x14ac:dyDescent="0.2">
      <c r="A1826" t="s">
        <v>2094</v>
      </c>
    </row>
    <row r="1827" spans="1:1" x14ac:dyDescent="0.2">
      <c r="A1827" t="s">
        <v>2095</v>
      </c>
    </row>
    <row r="1828" spans="1:1" x14ac:dyDescent="0.2">
      <c r="A1828" t="s">
        <v>2096</v>
      </c>
    </row>
    <row r="1829" spans="1:1" x14ac:dyDescent="0.2">
      <c r="A1829" t="s">
        <v>2097</v>
      </c>
    </row>
    <row r="1830" spans="1:1" x14ac:dyDescent="0.2">
      <c r="A1830" t="s">
        <v>2098</v>
      </c>
    </row>
    <row r="1831" spans="1:1" x14ac:dyDescent="0.2">
      <c r="A1831" t="s">
        <v>2099</v>
      </c>
    </row>
    <row r="1832" spans="1:1" x14ac:dyDescent="0.2">
      <c r="A1832" t="s">
        <v>2120</v>
      </c>
    </row>
    <row r="1833" spans="1:1" x14ac:dyDescent="0.2">
      <c r="A1833" t="s">
        <v>2121</v>
      </c>
    </row>
    <row r="1834" spans="1:1" x14ac:dyDescent="0.2">
      <c r="A1834" t="s">
        <v>2122</v>
      </c>
    </row>
    <row r="1835" spans="1:1" x14ac:dyDescent="0.2">
      <c r="A1835" t="s">
        <v>2123</v>
      </c>
    </row>
    <row r="1836" spans="1:1" x14ac:dyDescent="0.2">
      <c r="A1836" t="s">
        <v>2124</v>
      </c>
    </row>
    <row r="1837" spans="1:1" x14ac:dyDescent="0.2">
      <c r="A1837" t="s">
        <v>2125</v>
      </c>
    </row>
    <row r="1838" spans="1:1" x14ac:dyDescent="0.2">
      <c r="A1838" t="s">
        <v>2126</v>
      </c>
    </row>
    <row r="1839" spans="1:1" x14ac:dyDescent="0.2">
      <c r="A1839" t="s">
        <v>2127</v>
      </c>
    </row>
    <row r="1840" spans="1:1" x14ac:dyDescent="0.2">
      <c r="A1840" t="s">
        <v>2128</v>
      </c>
    </row>
    <row r="1841" spans="1:1" x14ac:dyDescent="0.2">
      <c r="A1841" t="s">
        <v>2129</v>
      </c>
    </row>
    <row r="1842" spans="1:1" x14ac:dyDescent="0.2">
      <c r="A1842" t="s">
        <v>2130</v>
      </c>
    </row>
    <row r="1843" spans="1:1" x14ac:dyDescent="0.2">
      <c r="A1843" t="s">
        <v>2131</v>
      </c>
    </row>
    <row r="1844" spans="1:1" x14ac:dyDescent="0.2">
      <c r="A1844" t="s">
        <v>2132</v>
      </c>
    </row>
    <row r="1845" spans="1:1" x14ac:dyDescent="0.2">
      <c r="A1845" t="s">
        <v>2133</v>
      </c>
    </row>
    <row r="1846" spans="1:1" x14ac:dyDescent="0.2">
      <c r="A1846" t="s">
        <v>2134</v>
      </c>
    </row>
    <row r="1847" spans="1:1" x14ac:dyDescent="0.2">
      <c r="A1847" t="s">
        <v>2135</v>
      </c>
    </row>
    <row r="1848" spans="1:1" x14ac:dyDescent="0.2">
      <c r="A1848" t="s">
        <v>2136</v>
      </c>
    </row>
    <row r="1849" spans="1:1" x14ac:dyDescent="0.2">
      <c r="A1849" t="s">
        <v>2137</v>
      </c>
    </row>
    <row r="1850" spans="1:1" x14ac:dyDescent="0.2">
      <c r="A1850" t="s">
        <v>2138</v>
      </c>
    </row>
    <row r="1851" spans="1:1" x14ac:dyDescent="0.2">
      <c r="A1851" t="s">
        <v>2139</v>
      </c>
    </row>
    <row r="1852" spans="1:1" x14ac:dyDescent="0.2">
      <c r="A1852" t="s">
        <v>2140</v>
      </c>
    </row>
    <row r="1853" spans="1:1" x14ac:dyDescent="0.2">
      <c r="A1853" t="s">
        <v>2141</v>
      </c>
    </row>
    <row r="1854" spans="1:1" x14ac:dyDescent="0.2">
      <c r="A1854" t="s">
        <v>2142</v>
      </c>
    </row>
    <row r="1855" spans="1:1" x14ac:dyDescent="0.2">
      <c r="A1855" t="s">
        <v>2143</v>
      </c>
    </row>
    <row r="1856" spans="1:1" x14ac:dyDescent="0.2">
      <c r="A1856" t="s">
        <v>2144</v>
      </c>
    </row>
    <row r="1857" spans="1:1" x14ac:dyDescent="0.2">
      <c r="A1857" t="s">
        <v>2145</v>
      </c>
    </row>
    <row r="1858" spans="1:1" x14ac:dyDescent="0.2">
      <c r="A1858" t="s">
        <v>2146</v>
      </c>
    </row>
    <row r="1859" spans="1:1" x14ac:dyDescent="0.2">
      <c r="A1859" t="s">
        <v>2147</v>
      </c>
    </row>
    <row r="1860" spans="1:1" x14ac:dyDescent="0.2">
      <c r="A1860" t="s">
        <v>2148</v>
      </c>
    </row>
    <row r="1861" spans="1:1" x14ac:dyDescent="0.2">
      <c r="A1861" t="s">
        <v>2149</v>
      </c>
    </row>
    <row r="1862" spans="1:1" x14ac:dyDescent="0.2">
      <c r="A1862" t="s">
        <v>2150</v>
      </c>
    </row>
    <row r="1863" spans="1:1" x14ac:dyDescent="0.2">
      <c r="A1863" t="s">
        <v>2151</v>
      </c>
    </row>
    <row r="1864" spans="1:1" x14ac:dyDescent="0.2">
      <c r="A1864" t="s">
        <v>2152</v>
      </c>
    </row>
    <row r="1865" spans="1:1" x14ac:dyDescent="0.2">
      <c r="A1865" t="s">
        <v>2153</v>
      </c>
    </row>
    <row r="1866" spans="1:1" x14ac:dyDescent="0.2">
      <c r="A1866" t="s">
        <v>2154</v>
      </c>
    </row>
    <row r="1867" spans="1:1" x14ac:dyDescent="0.2">
      <c r="A1867" t="s">
        <v>2155</v>
      </c>
    </row>
    <row r="1868" spans="1:1" x14ac:dyDescent="0.2">
      <c r="A1868" t="s">
        <v>2156</v>
      </c>
    </row>
    <row r="1869" spans="1:1" x14ac:dyDescent="0.2">
      <c r="A1869" t="s">
        <v>2157</v>
      </c>
    </row>
    <row r="1870" spans="1:1" x14ac:dyDescent="0.2">
      <c r="A1870" t="s">
        <v>2158</v>
      </c>
    </row>
    <row r="1871" spans="1:1" x14ac:dyDescent="0.2">
      <c r="A1871" t="s">
        <v>2159</v>
      </c>
    </row>
    <row r="1872" spans="1:1" x14ac:dyDescent="0.2">
      <c r="A1872" t="s">
        <v>2160</v>
      </c>
    </row>
    <row r="1873" spans="1:1" x14ac:dyDescent="0.2">
      <c r="A1873" t="s">
        <v>2161</v>
      </c>
    </row>
    <row r="1874" spans="1:1" x14ac:dyDescent="0.2">
      <c r="A1874" t="s">
        <v>2162</v>
      </c>
    </row>
    <row r="1875" spans="1:1" x14ac:dyDescent="0.2">
      <c r="A1875" t="s">
        <v>2163</v>
      </c>
    </row>
    <row r="1876" spans="1:1" x14ac:dyDescent="0.2">
      <c r="A1876" t="s">
        <v>2164</v>
      </c>
    </row>
    <row r="1877" spans="1:1" x14ac:dyDescent="0.2">
      <c r="A1877" t="s">
        <v>2165</v>
      </c>
    </row>
    <row r="1878" spans="1:1" x14ac:dyDescent="0.2">
      <c r="A1878" t="s">
        <v>2166</v>
      </c>
    </row>
    <row r="1879" spans="1:1" x14ac:dyDescent="0.2">
      <c r="A1879" t="s">
        <v>2167</v>
      </c>
    </row>
    <row r="1880" spans="1:1" x14ac:dyDescent="0.2">
      <c r="A1880" t="s">
        <v>2168</v>
      </c>
    </row>
    <row r="1881" spans="1:1" x14ac:dyDescent="0.2">
      <c r="A1881" t="s">
        <v>2169</v>
      </c>
    </row>
    <row r="1882" spans="1:1" x14ac:dyDescent="0.2">
      <c r="A1882" t="s">
        <v>2321</v>
      </c>
    </row>
    <row r="1883" spans="1:1" x14ac:dyDescent="0.2">
      <c r="A1883" t="s">
        <v>2322</v>
      </c>
    </row>
    <row r="1884" spans="1:1" x14ac:dyDescent="0.2">
      <c r="A1884" t="s">
        <v>2323</v>
      </c>
    </row>
    <row r="1885" spans="1:1" x14ac:dyDescent="0.2">
      <c r="A1885" t="s">
        <v>2324</v>
      </c>
    </row>
    <row r="1886" spans="1:1" x14ac:dyDescent="0.2">
      <c r="A1886" t="s">
        <v>2325</v>
      </c>
    </row>
    <row r="1887" spans="1:1" x14ac:dyDescent="0.2">
      <c r="A1887" t="s">
        <v>2326</v>
      </c>
    </row>
    <row r="1888" spans="1:1" x14ac:dyDescent="0.2">
      <c r="A1888" t="s">
        <v>2327</v>
      </c>
    </row>
    <row r="1889" spans="1:1" x14ac:dyDescent="0.2">
      <c r="A1889" t="s">
        <v>2328</v>
      </c>
    </row>
    <row r="1890" spans="1:1" x14ac:dyDescent="0.2">
      <c r="A1890" t="s">
        <v>2329</v>
      </c>
    </row>
    <row r="1891" spans="1:1" x14ac:dyDescent="0.2">
      <c r="A1891" t="s">
        <v>2330</v>
      </c>
    </row>
    <row r="1892" spans="1:1" x14ac:dyDescent="0.2">
      <c r="A1892" t="s">
        <v>2331</v>
      </c>
    </row>
    <row r="1893" spans="1:1" x14ac:dyDescent="0.2">
      <c r="A1893" t="s">
        <v>2332</v>
      </c>
    </row>
    <row r="1894" spans="1:1" x14ac:dyDescent="0.2">
      <c r="A1894" t="s">
        <v>2333</v>
      </c>
    </row>
    <row r="1895" spans="1:1" x14ac:dyDescent="0.2">
      <c r="A1895" t="s">
        <v>2334</v>
      </c>
    </row>
    <row r="1896" spans="1:1" x14ac:dyDescent="0.2">
      <c r="A1896" t="s">
        <v>2335</v>
      </c>
    </row>
    <row r="1897" spans="1:1" x14ac:dyDescent="0.2">
      <c r="A1897" t="s">
        <v>2336</v>
      </c>
    </row>
    <row r="1898" spans="1:1" x14ac:dyDescent="0.2">
      <c r="A1898" t="s">
        <v>2337</v>
      </c>
    </row>
    <row r="1899" spans="1:1" x14ac:dyDescent="0.2">
      <c r="A1899" t="s">
        <v>2338</v>
      </c>
    </row>
    <row r="1900" spans="1:1" x14ac:dyDescent="0.2">
      <c r="A1900" t="s">
        <v>2339</v>
      </c>
    </row>
    <row r="1901" spans="1:1" x14ac:dyDescent="0.2">
      <c r="A1901" t="s">
        <v>2340</v>
      </c>
    </row>
    <row r="1902" spans="1:1" x14ac:dyDescent="0.2">
      <c r="A1902" t="s">
        <v>2341</v>
      </c>
    </row>
    <row r="1903" spans="1:1" x14ac:dyDescent="0.2">
      <c r="A1903" t="s">
        <v>2342</v>
      </c>
    </row>
    <row r="1904" spans="1:1" x14ac:dyDescent="0.2">
      <c r="A1904" t="s">
        <v>2343</v>
      </c>
    </row>
    <row r="1905" spans="1:1" x14ac:dyDescent="0.2">
      <c r="A1905" t="s">
        <v>2344</v>
      </c>
    </row>
    <row r="1906" spans="1:1" x14ac:dyDescent="0.2">
      <c r="A1906" t="s">
        <v>2345</v>
      </c>
    </row>
    <row r="1907" spans="1:1" x14ac:dyDescent="0.2">
      <c r="A1907" t="s">
        <v>2346</v>
      </c>
    </row>
    <row r="1908" spans="1:1" x14ac:dyDescent="0.2">
      <c r="A1908" t="s">
        <v>2347</v>
      </c>
    </row>
    <row r="1909" spans="1:1" x14ac:dyDescent="0.2">
      <c r="A1909" t="s">
        <v>2348</v>
      </c>
    </row>
    <row r="1910" spans="1:1" x14ac:dyDescent="0.2">
      <c r="A1910" t="s">
        <v>2349</v>
      </c>
    </row>
    <row r="1911" spans="1:1" x14ac:dyDescent="0.2">
      <c r="A1911" t="s">
        <v>2350</v>
      </c>
    </row>
    <row r="1912" spans="1:1" x14ac:dyDescent="0.2">
      <c r="A1912" t="s">
        <v>2351</v>
      </c>
    </row>
    <row r="1913" spans="1:1" x14ac:dyDescent="0.2">
      <c r="A1913" t="s">
        <v>2352</v>
      </c>
    </row>
    <row r="1914" spans="1:1" x14ac:dyDescent="0.2">
      <c r="A1914" t="s">
        <v>2353</v>
      </c>
    </row>
    <row r="1915" spans="1:1" x14ac:dyDescent="0.2">
      <c r="A1915" t="s">
        <v>2354</v>
      </c>
    </row>
    <row r="1916" spans="1:1" x14ac:dyDescent="0.2">
      <c r="A1916" t="s">
        <v>2355</v>
      </c>
    </row>
    <row r="1917" spans="1:1" x14ac:dyDescent="0.2">
      <c r="A1917" t="s">
        <v>2356</v>
      </c>
    </row>
    <row r="1918" spans="1:1" x14ac:dyDescent="0.2">
      <c r="A1918" t="s">
        <v>2357</v>
      </c>
    </row>
    <row r="1919" spans="1:1" x14ac:dyDescent="0.2">
      <c r="A1919" t="s">
        <v>2358</v>
      </c>
    </row>
    <row r="1920" spans="1:1" x14ac:dyDescent="0.2">
      <c r="A1920" t="s">
        <v>2359</v>
      </c>
    </row>
    <row r="1921" spans="1:1" x14ac:dyDescent="0.2">
      <c r="A1921" t="s">
        <v>2360</v>
      </c>
    </row>
    <row r="1922" spans="1:1" x14ac:dyDescent="0.2">
      <c r="A1922" t="s">
        <v>2361</v>
      </c>
    </row>
    <row r="1923" spans="1:1" x14ac:dyDescent="0.2">
      <c r="A1923" t="s">
        <v>2362</v>
      </c>
    </row>
    <row r="1924" spans="1:1" x14ac:dyDescent="0.2">
      <c r="A1924" t="s">
        <v>2363</v>
      </c>
    </row>
    <row r="1925" spans="1:1" x14ac:dyDescent="0.2">
      <c r="A1925" t="s">
        <v>2364</v>
      </c>
    </row>
    <row r="1926" spans="1:1" x14ac:dyDescent="0.2">
      <c r="A1926" t="s">
        <v>2365</v>
      </c>
    </row>
    <row r="1927" spans="1:1" x14ac:dyDescent="0.2">
      <c r="A1927" t="s">
        <v>2366</v>
      </c>
    </row>
    <row r="1928" spans="1:1" x14ac:dyDescent="0.2">
      <c r="A1928" t="s">
        <v>2367</v>
      </c>
    </row>
    <row r="1929" spans="1:1" x14ac:dyDescent="0.2">
      <c r="A1929" t="s">
        <v>2368</v>
      </c>
    </row>
    <row r="1930" spans="1:1" x14ac:dyDescent="0.2">
      <c r="A1930" t="s">
        <v>2369</v>
      </c>
    </row>
    <row r="1931" spans="1:1" x14ac:dyDescent="0.2">
      <c r="A1931" t="s">
        <v>2370</v>
      </c>
    </row>
    <row r="1932" spans="1:1" x14ac:dyDescent="0.2">
      <c r="A1932" t="s">
        <v>2557</v>
      </c>
    </row>
    <row r="1933" spans="1:1" x14ac:dyDescent="0.2">
      <c r="A1933" t="s">
        <v>2558</v>
      </c>
    </row>
    <row r="1934" spans="1:1" x14ac:dyDescent="0.2">
      <c r="A1934" t="s">
        <v>2556</v>
      </c>
    </row>
    <row r="1935" spans="1:1" x14ac:dyDescent="0.2">
      <c r="A1935" t="s">
        <v>2559</v>
      </c>
    </row>
    <row r="1936" spans="1:1" x14ac:dyDescent="0.2">
      <c r="A1936" t="s">
        <v>2553</v>
      </c>
    </row>
    <row r="1937" spans="1:1" x14ac:dyDescent="0.2">
      <c r="A1937" t="s">
        <v>2554</v>
      </c>
    </row>
    <row r="1938" spans="1:1" x14ac:dyDescent="0.2">
      <c r="A1938" t="s">
        <v>2555</v>
      </c>
    </row>
    <row r="1939" spans="1:1" x14ac:dyDescent="0.2">
      <c r="A1939" t="s">
        <v>2443</v>
      </c>
    </row>
    <row r="1940" spans="1:1" x14ac:dyDescent="0.2">
      <c r="A1940" t="s">
        <v>2476</v>
      </c>
    </row>
    <row r="1941" spans="1:1" x14ac:dyDescent="0.2">
      <c r="A1941" t="s">
        <v>2477</v>
      </c>
    </row>
    <row r="1942" spans="1:1" x14ac:dyDescent="0.2">
      <c r="A1942" t="s">
        <v>2475</v>
      </c>
    </row>
    <row r="1943" spans="1:1" x14ac:dyDescent="0.2">
      <c r="A1943" t="s">
        <v>2478</v>
      </c>
    </row>
    <row r="1944" spans="1:1" x14ac:dyDescent="0.2">
      <c r="A1944" t="s">
        <v>2472</v>
      </c>
    </row>
    <row r="1945" spans="1:1" x14ac:dyDescent="0.2">
      <c r="A1945" t="s">
        <v>2473</v>
      </c>
    </row>
    <row r="1946" spans="1:1" x14ac:dyDescent="0.2">
      <c r="A1946" t="s">
        <v>2474</v>
      </c>
    </row>
    <row r="1947" spans="1:1" x14ac:dyDescent="0.2">
      <c r="A1947" t="s">
        <v>2442</v>
      </c>
    </row>
    <row r="1948" spans="1:1" x14ac:dyDescent="0.2">
      <c r="A1948" t="s">
        <v>2378</v>
      </c>
    </row>
    <row r="1949" spans="1:1" x14ac:dyDescent="0.2">
      <c r="A1949" t="s">
        <v>45</v>
      </c>
    </row>
    <row r="1950" spans="1:1" x14ac:dyDescent="0.2">
      <c r="A1950" t="s">
        <v>1871</v>
      </c>
    </row>
    <row r="1951" spans="1:1" x14ac:dyDescent="0.2">
      <c r="A1951" t="s">
        <v>35</v>
      </c>
    </row>
    <row r="1952" spans="1:1" x14ac:dyDescent="0.2">
      <c r="A1952" t="s">
        <v>382</v>
      </c>
    </row>
    <row r="1953" spans="1:1" x14ac:dyDescent="0.2">
      <c r="A1953" t="s">
        <v>383</v>
      </c>
    </row>
    <row r="1954" spans="1:1" x14ac:dyDescent="0.2">
      <c r="A1954" t="s">
        <v>68</v>
      </c>
    </row>
    <row r="1955" spans="1:1" x14ac:dyDescent="0.2">
      <c r="A1955" t="s">
        <v>66</v>
      </c>
    </row>
    <row r="1956" spans="1:1" x14ac:dyDescent="0.2">
      <c r="A1956" t="s">
        <v>208</v>
      </c>
    </row>
    <row r="1957" spans="1:1" x14ac:dyDescent="0.2">
      <c r="A1957" t="s">
        <v>2570</v>
      </c>
    </row>
    <row r="1958" spans="1:1" x14ac:dyDescent="0.2">
      <c r="A1958" t="s">
        <v>2568</v>
      </c>
    </row>
    <row r="1959" spans="1:1" x14ac:dyDescent="0.2">
      <c r="A1959" t="s">
        <v>2572</v>
      </c>
    </row>
    <row r="1960" spans="1:1" x14ac:dyDescent="0.2">
      <c r="A1960" t="s">
        <v>2441</v>
      </c>
    </row>
    <row r="1961" spans="1:1" x14ac:dyDescent="0.2">
      <c r="A1961" t="s">
        <v>2550</v>
      </c>
    </row>
    <row r="1962" spans="1:1" x14ac:dyDescent="0.2">
      <c r="A1962" t="s">
        <v>2551</v>
      </c>
    </row>
    <row r="1963" spans="1:1" x14ac:dyDescent="0.2">
      <c r="A1963" t="s">
        <v>2552</v>
      </c>
    </row>
    <row r="1964" spans="1:1" x14ac:dyDescent="0.2">
      <c r="A1964" t="s">
        <v>7</v>
      </c>
    </row>
    <row r="1965" spans="1:1" x14ac:dyDescent="0.2">
      <c r="A1965" t="s">
        <v>145</v>
      </c>
    </row>
    <row r="1966" spans="1:1" x14ac:dyDescent="0.2">
      <c r="A1966" t="s">
        <v>108</v>
      </c>
    </row>
    <row r="1967" spans="1:1" x14ac:dyDescent="0.2">
      <c r="A1967" t="s">
        <v>2373</v>
      </c>
    </row>
    <row r="1968" spans="1:1" x14ac:dyDescent="0.2">
      <c r="A1968" t="s">
        <v>2625</v>
      </c>
    </row>
    <row r="1969" spans="1:1" x14ac:dyDescent="0.2">
      <c r="A1969" t="s">
        <v>72</v>
      </c>
    </row>
    <row r="1970" spans="1:1" x14ac:dyDescent="0.2">
      <c r="A1970" t="s">
        <v>2375</v>
      </c>
    </row>
    <row r="1971" spans="1:1" x14ac:dyDescent="0.2">
      <c r="A1971" t="s">
        <v>76</v>
      </c>
    </row>
    <row r="1972" spans="1:1" x14ac:dyDescent="0.2">
      <c r="A1972" t="s">
        <v>73</v>
      </c>
    </row>
    <row r="1973" spans="1:1" x14ac:dyDescent="0.2">
      <c r="A1973" t="s">
        <v>2372</v>
      </c>
    </row>
    <row r="1974" spans="1:1" x14ac:dyDescent="0.2">
      <c r="A1974" t="s">
        <v>384</v>
      </c>
    </row>
    <row r="1975" spans="1:1" x14ac:dyDescent="0.2">
      <c r="A1975" t="s">
        <v>2377</v>
      </c>
    </row>
    <row r="1976" spans="1:1" x14ac:dyDescent="0.2">
      <c r="A1976" t="s">
        <v>2376</v>
      </c>
    </row>
    <row r="1977" spans="1:1" x14ac:dyDescent="0.2">
      <c r="A1977" t="s">
        <v>101</v>
      </c>
    </row>
    <row r="1978" spans="1:1" x14ac:dyDescent="0.2">
      <c r="A1978" t="s">
        <v>477</v>
      </c>
    </row>
    <row r="1979" spans="1:1" x14ac:dyDescent="0.2">
      <c r="A1979" t="s">
        <v>507</v>
      </c>
    </row>
    <row r="1980" spans="1:1" x14ac:dyDescent="0.2">
      <c r="A1980" t="s">
        <v>32</v>
      </c>
    </row>
    <row r="1981" spans="1:1" x14ac:dyDescent="0.2">
      <c r="A1981" t="s">
        <v>27</v>
      </c>
    </row>
    <row r="1982" spans="1:1" x14ac:dyDescent="0.2">
      <c r="A1982" t="s">
        <v>26</v>
      </c>
    </row>
    <row r="1983" spans="1:1" x14ac:dyDescent="0.2">
      <c r="A1983" t="s">
        <v>2605</v>
      </c>
    </row>
    <row r="1984" spans="1:1" x14ac:dyDescent="0.2">
      <c r="A1984" t="s">
        <v>2604</v>
      </c>
    </row>
    <row r="1985" spans="1:1" x14ac:dyDescent="0.2">
      <c r="A1985" t="s">
        <v>2607</v>
      </c>
    </row>
    <row r="1986" spans="1:1" x14ac:dyDescent="0.2">
      <c r="A1986" t="s">
        <v>2606</v>
      </c>
    </row>
    <row r="1987" spans="1:1" x14ac:dyDescent="0.2">
      <c r="A1987" t="s">
        <v>2609</v>
      </c>
    </row>
    <row r="1988" spans="1:1" x14ac:dyDescent="0.2">
      <c r="A1988" t="s">
        <v>2608</v>
      </c>
    </row>
    <row r="1989" spans="1:1" x14ac:dyDescent="0.2">
      <c r="A1989" t="s">
        <v>2611</v>
      </c>
    </row>
    <row r="1990" spans="1:1" x14ac:dyDescent="0.2">
      <c r="A1990" t="s">
        <v>2610</v>
      </c>
    </row>
    <row r="1991" spans="1:1" x14ac:dyDescent="0.2">
      <c r="A1991" t="s">
        <v>2613</v>
      </c>
    </row>
    <row r="1992" spans="1:1" x14ac:dyDescent="0.2">
      <c r="A1992" t="s">
        <v>2612</v>
      </c>
    </row>
    <row r="1993" spans="1:1" x14ac:dyDescent="0.2">
      <c r="A1993" t="s">
        <v>261</v>
      </c>
    </row>
    <row r="1994" spans="1:1" x14ac:dyDescent="0.2">
      <c r="A1994" t="s">
        <v>2626</v>
      </c>
    </row>
    <row r="1995" spans="1:1" x14ac:dyDescent="0.2">
      <c r="A1995" t="s">
        <v>9</v>
      </c>
    </row>
    <row r="1996" spans="1:1" x14ac:dyDescent="0.2">
      <c r="A1996" t="s">
        <v>77</v>
      </c>
    </row>
    <row r="1997" spans="1:1" x14ac:dyDescent="0.2">
      <c r="A1997" t="s">
        <v>71</v>
      </c>
    </row>
    <row r="1998" spans="1:1" x14ac:dyDescent="0.2">
      <c r="A1998" t="s">
        <v>2617</v>
      </c>
    </row>
    <row r="1999" spans="1:1" x14ac:dyDescent="0.2">
      <c r="A1999" t="s">
        <v>2618</v>
      </c>
    </row>
    <row r="2000" spans="1:1" x14ac:dyDescent="0.2">
      <c r="A2000" t="s">
        <v>2619</v>
      </c>
    </row>
    <row r="2001" spans="1:1" x14ac:dyDescent="0.2">
      <c r="A2001" t="s">
        <v>44</v>
      </c>
    </row>
    <row r="2002" spans="1:1" x14ac:dyDescent="0.2">
      <c r="A2002" t="s">
        <v>115</v>
      </c>
    </row>
    <row r="2003" spans="1:1" x14ac:dyDescent="0.2">
      <c r="A2003" t="s">
        <v>703</v>
      </c>
    </row>
    <row r="2004" spans="1:1" x14ac:dyDescent="0.2">
      <c r="A2004" t="s">
        <v>498</v>
      </c>
    </row>
    <row r="2005" spans="1:1" x14ac:dyDescent="0.2">
      <c r="A2005" t="s">
        <v>499</v>
      </c>
    </row>
    <row r="2006" spans="1:1" x14ac:dyDescent="0.2">
      <c r="A2006" t="s">
        <v>500</v>
      </c>
    </row>
    <row r="2007" spans="1:1" x14ac:dyDescent="0.2">
      <c r="A2007" t="s">
        <v>501</v>
      </c>
    </row>
    <row r="2008" spans="1:1" x14ac:dyDescent="0.2">
      <c r="A2008" t="s">
        <v>807</v>
      </c>
    </row>
    <row r="2009" spans="1:1" x14ac:dyDescent="0.2">
      <c r="A2009" t="s">
        <v>864</v>
      </c>
    </row>
    <row r="2010" spans="1:1" x14ac:dyDescent="0.2">
      <c r="A2010" t="s">
        <v>866</v>
      </c>
    </row>
    <row r="2011" spans="1:1" x14ac:dyDescent="0.2">
      <c r="A2011" t="s">
        <v>1018</v>
      </c>
    </row>
    <row r="2012" spans="1:1" x14ac:dyDescent="0.2">
      <c r="A2012" t="s">
        <v>250</v>
      </c>
    </row>
    <row r="2013" spans="1:1" x14ac:dyDescent="0.2">
      <c r="A2013" t="s">
        <v>206</v>
      </c>
    </row>
    <row r="2014" spans="1:1" x14ac:dyDescent="0.2">
      <c r="A2014" t="s">
        <v>207</v>
      </c>
    </row>
    <row r="2015" spans="1:1" x14ac:dyDescent="0.2">
      <c r="A2015" t="s">
        <v>1536</v>
      </c>
    </row>
    <row r="2016" spans="1:1" x14ac:dyDescent="0.2">
      <c r="A2016" t="s">
        <v>493</v>
      </c>
    </row>
    <row r="2017" spans="1:1" x14ac:dyDescent="0.2">
      <c r="A2017" t="s">
        <v>800</v>
      </c>
    </row>
    <row r="2018" spans="1:1" x14ac:dyDescent="0.2">
      <c r="A2018" t="s">
        <v>801</v>
      </c>
    </row>
    <row r="2019" spans="1:1" x14ac:dyDescent="0.2">
      <c r="A2019" t="s">
        <v>802</v>
      </c>
    </row>
    <row r="2020" spans="1:1" x14ac:dyDescent="0.2">
      <c r="A2020" t="s">
        <v>803</v>
      </c>
    </row>
    <row r="2021" spans="1:1" x14ac:dyDescent="0.2">
      <c r="A2021" t="s">
        <v>804</v>
      </c>
    </row>
    <row r="2022" spans="1:1" x14ac:dyDescent="0.2">
      <c r="A2022" t="s">
        <v>805</v>
      </c>
    </row>
    <row r="2023" spans="1:1" x14ac:dyDescent="0.2">
      <c r="A2023" t="s">
        <v>806</v>
      </c>
    </row>
    <row r="2024" spans="1:1" x14ac:dyDescent="0.2">
      <c r="A2024" t="s">
        <v>846</v>
      </c>
    </row>
    <row r="2025" spans="1:1" x14ac:dyDescent="0.2">
      <c r="A2025" t="s">
        <v>883</v>
      </c>
    </row>
    <row r="2026" spans="1:1" x14ac:dyDescent="0.2">
      <c r="A2026" t="s">
        <v>884</v>
      </c>
    </row>
    <row r="2027" spans="1:1" x14ac:dyDescent="0.2">
      <c r="A2027" t="s">
        <v>1532</v>
      </c>
    </row>
    <row r="2028" spans="1:1" x14ac:dyDescent="0.2">
      <c r="A2028" t="s">
        <v>1076</v>
      </c>
    </row>
    <row r="2029" spans="1:1" x14ac:dyDescent="0.2">
      <c r="A2029" t="s">
        <v>276</v>
      </c>
    </row>
    <row r="2030" spans="1:1" x14ac:dyDescent="0.2">
      <c r="A2030" t="s">
        <v>1593</v>
      </c>
    </row>
    <row r="2031" spans="1:1" x14ac:dyDescent="0.2">
      <c r="A2031" t="s">
        <v>1963</v>
      </c>
    </row>
    <row r="2032" spans="1:1" x14ac:dyDescent="0.2">
      <c r="A2032" t="s">
        <v>1218</v>
      </c>
    </row>
    <row r="2033" spans="1:1" x14ac:dyDescent="0.2">
      <c r="A2033" t="s">
        <v>1219</v>
      </c>
    </row>
    <row r="2034" spans="1:1" x14ac:dyDescent="0.2">
      <c r="A2034" t="s">
        <v>1220</v>
      </c>
    </row>
    <row r="2035" spans="1:1" x14ac:dyDescent="0.2">
      <c r="A2035" t="s">
        <v>1644</v>
      </c>
    </row>
    <row r="2036" spans="1:1" x14ac:dyDescent="0.2">
      <c r="A2036" t="s">
        <v>1250</v>
      </c>
    </row>
    <row r="2037" spans="1:1" x14ac:dyDescent="0.2">
      <c r="A2037" t="s">
        <v>1100</v>
      </c>
    </row>
    <row r="2038" spans="1:1" x14ac:dyDescent="0.2">
      <c r="A2038" t="s">
        <v>1101</v>
      </c>
    </row>
    <row r="2039" spans="1:1" x14ac:dyDescent="0.2">
      <c r="A2039" t="s">
        <v>1102</v>
      </c>
    </row>
    <row r="2040" spans="1:1" x14ac:dyDescent="0.2">
      <c r="A2040" t="s">
        <v>1103</v>
      </c>
    </row>
    <row r="2041" spans="1:1" x14ac:dyDescent="0.2">
      <c r="A2041" t="s">
        <v>1104</v>
      </c>
    </row>
    <row r="2042" spans="1:1" x14ac:dyDescent="0.2">
      <c r="A2042" t="s">
        <v>1105</v>
      </c>
    </row>
    <row r="2043" spans="1:1" x14ac:dyDescent="0.2">
      <c r="A2043" t="s">
        <v>1106</v>
      </c>
    </row>
    <row r="2044" spans="1:1" x14ac:dyDescent="0.2">
      <c r="A2044" t="s">
        <v>1107</v>
      </c>
    </row>
    <row r="2045" spans="1:1" x14ac:dyDescent="0.2">
      <c r="A2045" t="s">
        <v>1112</v>
      </c>
    </row>
    <row r="2046" spans="1:1" x14ac:dyDescent="0.2">
      <c r="A2046" t="s">
        <v>1514</v>
      </c>
    </row>
    <row r="2047" spans="1:1" x14ac:dyDescent="0.2">
      <c r="A2047" t="s">
        <v>1551</v>
      </c>
    </row>
    <row r="2048" spans="1:1" x14ac:dyDescent="0.2">
      <c r="A2048" t="s">
        <v>1565</v>
      </c>
    </row>
    <row r="2049" spans="1:1" x14ac:dyDescent="0.2">
      <c r="A2049" t="s">
        <v>1566</v>
      </c>
    </row>
    <row r="2050" spans="1:1" x14ac:dyDescent="0.2">
      <c r="A2050" t="s">
        <v>1122</v>
      </c>
    </row>
    <row r="2051" spans="1:1" x14ac:dyDescent="0.2">
      <c r="A2051" t="s">
        <v>1567</v>
      </c>
    </row>
    <row r="2052" spans="1:1" x14ac:dyDescent="0.2">
      <c r="A2052" t="s">
        <v>1568</v>
      </c>
    </row>
    <row r="2053" spans="1:1" x14ac:dyDescent="0.2">
      <c r="A2053" t="s">
        <v>1651</v>
      </c>
    </row>
    <row r="2054" spans="1:1" x14ac:dyDescent="0.2">
      <c r="A2054" t="s">
        <v>1663</v>
      </c>
    </row>
    <row r="2055" spans="1:1" x14ac:dyDescent="0.2">
      <c r="A2055" t="s">
        <v>1673</v>
      </c>
    </row>
    <row r="2056" spans="1:1" x14ac:dyDescent="0.2">
      <c r="A2056" t="s">
        <v>1689</v>
      </c>
    </row>
    <row r="2057" spans="1:1" x14ac:dyDescent="0.2">
      <c r="A2057" t="s">
        <v>1757</v>
      </c>
    </row>
    <row r="2058" spans="1:1" x14ac:dyDescent="0.2">
      <c r="A2058" t="s">
        <v>1264</v>
      </c>
    </row>
    <row r="2059" spans="1:1" x14ac:dyDescent="0.2">
      <c r="A2059" t="s">
        <v>1652</v>
      </c>
    </row>
    <row r="2060" spans="1:1" x14ac:dyDescent="0.2">
      <c r="A2060" t="s">
        <v>1664</v>
      </c>
    </row>
    <row r="2061" spans="1:1" x14ac:dyDescent="0.2">
      <c r="A2061" t="s">
        <v>1674</v>
      </c>
    </row>
    <row r="2062" spans="1:1" x14ac:dyDescent="0.2">
      <c r="A2062" t="s">
        <v>1690</v>
      </c>
    </row>
    <row r="2063" spans="1:1" x14ac:dyDescent="0.2">
      <c r="A2063" t="s">
        <v>1758</v>
      </c>
    </row>
    <row r="2064" spans="1:1" x14ac:dyDescent="0.2">
      <c r="A2064" t="s">
        <v>1265</v>
      </c>
    </row>
    <row r="2065" spans="1:1" x14ac:dyDescent="0.2">
      <c r="A2065" t="s">
        <v>1653</v>
      </c>
    </row>
    <row r="2066" spans="1:1" x14ac:dyDescent="0.2">
      <c r="A2066" t="s">
        <v>1665</v>
      </c>
    </row>
    <row r="2067" spans="1:1" x14ac:dyDescent="0.2">
      <c r="A2067" t="s">
        <v>1675</v>
      </c>
    </row>
    <row r="2068" spans="1:1" x14ac:dyDescent="0.2">
      <c r="A2068" t="s">
        <v>1691</v>
      </c>
    </row>
    <row r="2069" spans="1:1" x14ac:dyDescent="0.2">
      <c r="A2069" t="s">
        <v>1759</v>
      </c>
    </row>
    <row r="2070" spans="1:1" x14ac:dyDescent="0.2">
      <c r="A2070" t="s">
        <v>1266</v>
      </c>
    </row>
    <row r="2071" spans="1:1" x14ac:dyDescent="0.2">
      <c r="A2071" t="s">
        <v>1654</v>
      </c>
    </row>
    <row r="2072" spans="1:1" x14ac:dyDescent="0.2">
      <c r="A2072" t="s">
        <v>1666</v>
      </c>
    </row>
    <row r="2073" spans="1:1" x14ac:dyDescent="0.2">
      <c r="A2073" t="s">
        <v>1676</v>
      </c>
    </row>
    <row r="2074" spans="1:1" x14ac:dyDescent="0.2">
      <c r="A2074" t="s">
        <v>1692</v>
      </c>
    </row>
    <row r="2075" spans="1:1" x14ac:dyDescent="0.2">
      <c r="A2075" t="s">
        <v>1267</v>
      </c>
    </row>
    <row r="2076" spans="1:1" x14ac:dyDescent="0.2">
      <c r="A2076" t="s">
        <v>1177</v>
      </c>
    </row>
    <row r="2077" spans="1:1" x14ac:dyDescent="0.2">
      <c r="A2077" t="s">
        <v>1190</v>
      </c>
    </row>
    <row r="2078" spans="1:1" x14ac:dyDescent="0.2">
      <c r="A2078" t="s">
        <v>1658</v>
      </c>
    </row>
    <row r="2079" spans="1:1" x14ac:dyDescent="0.2">
      <c r="A2079" t="s">
        <v>1670</v>
      </c>
    </row>
    <row r="2080" spans="1:1" x14ac:dyDescent="0.2">
      <c r="A2080" t="s">
        <v>1221</v>
      </c>
    </row>
    <row r="2081" spans="1:1" x14ac:dyDescent="0.2">
      <c r="A2081" t="s">
        <v>1222</v>
      </c>
    </row>
    <row r="2082" spans="1:1" x14ac:dyDescent="0.2">
      <c r="A2082" t="s">
        <v>1659</v>
      </c>
    </row>
    <row r="2083" spans="1:1" x14ac:dyDescent="0.2">
      <c r="A2083" t="s">
        <v>1671</v>
      </c>
    </row>
    <row r="2084" spans="1:1" x14ac:dyDescent="0.2">
      <c r="A2084" t="s">
        <v>1223</v>
      </c>
    </row>
    <row r="2085" spans="1:1" x14ac:dyDescent="0.2">
      <c r="A2085" t="s">
        <v>1727</v>
      </c>
    </row>
    <row r="2086" spans="1:1" x14ac:dyDescent="0.2">
      <c r="A2086" t="s">
        <v>1719</v>
      </c>
    </row>
    <row r="2087" spans="1:1" x14ac:dyDescent="0.2">
      <c r="A2087" t="s">
        <v>1768</v>
      </c>
    </row>
    <row r="2088" spans="1:1" x14ac:dyDescent="0.2">
      <c r="A2088" t="s">
        <v>1769</v>
      </c>
    </row>
    <row r="2089" spans="1:1" x14ac:dyDescent="0.2">
      <c r="A2089" t="s">
        <v>1770</v>
      </c>
    </row>
    <row r="2090" spans="1:1" x14ac:dyDescent="0.2">
      <c r="A2090" t="s">
        <v>1779</v>
      </c>
    </row>
    <row r="2091" spans="1:1" x14ac:dyDescent="0.2">
      <c r="A2091" t="s">
        <v>1780</v>
      </c>
    </row>
    <row r="2092" spans="1:1" x14ac:dyDescent="0.2">
      <c r="A2092" t="s">
        <v>1804</v>
      </c>
    </row>
    <row r="2093" spans="1:1" x14ac:dyDescent="0.2">
      <c r="A2093" t="s">
        <v>1805</v>
      </c>
    </row>
    <row r="2094" spans="1:1" x14ac:dyDescent="0.2">
      <c r="A2094" t="s">
        <v>1807</v>
      </c>
    </row>
    <row r="2095" spans="1:1" x14ac:dyDescent="0.2">
      <c r="A2095" t="s">
        <v>1818</v>
      </c>
    </row>
    <row r="2096" spans="1:1" x14ac:dyDescent="0.2">
      <c r="A2096" t="s">
        <v>2315</v>
      </c>
    </row>
    <row r="2097" spans="1:1" x14ac:dyDescent="0.2">
      <c r="A2097" t="s">
        <v>2316</v>
      </c>
    </row>
    <row r="2098" spans="1:1" x14ac:dyDescent="0.2">
      <c r="A2098" t="s">
        <v>2317</v>
      </c>
    </row>
    <row r="2099" spans="1:1" x14ac:dyDescent="0.2">
      <c r="A2099" t="s">
        <v>2318</v>
      </c>
    </row>
    <row r="2100" spans="1:1" x14ac:dyDescent="0.2">
      <c r="A2100" t="s">
        <v>2319</v>
      </c>
    </row>
    <row r="2101" spans="1:1" x14ac:dyDescent="0.2">
      <c r="A2101" t="s">
        <v>2320</v>
      </c>
    </row>
    <row r="2102" spans="1:1" x14ac:dyDescent="0.2">
      <c r="A2102" t="s">
        <v>2594</v>
      </c>
    </row>
    <row r="2103" spans="1:1" x14ac:dyDescent="0.2">
      <c r="A2103" t="s">
        <v>2595</v>
      </c>
    </row>
    <row r="2104" spans="1:1" x14ac:dyDescent="0.2">
      <c r="A2104" t="s">
        <v>598</v>
      </c>
    </row>
    <row r="2105" spans="1:1" x14ac:dyDescent="0.2">
      <c r="A2105" t="s">
        <v>2728</v>
      </c>
    </row>
    <row r="2106" spans="1:1" x14ac:dyDescent="0.2">
      <c r="A2106" t="s">
        <v>54</v>
      </c>
    </row>
    <row r="2107" spans="1:1" x14ac:dyDescent="0.2">
      <c r="A2107" t="s">
        <v>55</v>
      </c>
    </row>
    <row r="2108" spans="1:1" x14ac:dyDescent="0.2">
      <c r="A2108" t="s">
        <v>61</v>
      </c>
    </row>
    <row r="2109" spans="1:1" x14ac:dyDescent="0.2">
      <c r="A2109" t="s">
        <v>583</v>
      </c>
    </row>
    <row r="2110" spans="1:1" x14ac:dyDescent="0.2">
      <c r="A2110" t="s">
        <v>448</v>
      </c>
    </row>
    <row r="2111" spans="1:1" x14ac:dyDescent="0.2">
      <c r="A2111" t="s">
        <v>447</v>
      </c>
    </row>
    <row r="2112" spans="1:1" x14ac:dyDescent="0.2">
      <c r="A2112" t="s">
        <v>446</v>
      </c>
    </row>
    <row r="2113" spans="1:1" x14ac:dyDescent="0.2">
      <c r="A2113" t="s">
        <v>116</v>
      </c>
    </row>
    <row r="2114" spans="1:1" x14ac:dyDescent="0.2">
      <c r="A2114" t="s">
        <v>2457</v>
      </c>
    </row>
    <row r="2115" spans="1:1" x14ac:dyDescent="0.2">
      <c r="A2115" t="s">
        <v>125</v>
      </c>
    </row>
    <row r="2116" spans="1:1" x14ac:dyDescent="0.2">
      <c r="A2116" t="s">
        <v>2454</v>
      </c>
    </row>
    <row r="2117" spans="1:1" x14ac:dyDescent="0.2">
      <c r="A2117" t="s">
        <v>2436</v>
      </c>
    </row>
    <row r="2118" spans="1:1" x14ac:dyDescent="0.2">
      <c r="A2118" t="s">
        <v>2642</v>
      </c>
    </row>
    <row r="2119" spans="1:1" x14ac:dyDescent="0.2">
      <c r="A2119" t="s">
        <v>112</v>
      </c>
    </row>
    <row r="2120" spans="1:1" x14ac:dyDescent="0.2">
      <c r="A2120" t="s">
        <v>455</v>
      </c>
    </row>
    <row r="2121" spans="1:1" x14ac:dyDescent="0.2">
      <c r="A2121" t="s">
        <v>454</v>
      </c>
    </row>
    <row r="2122" spans="1:1" x14ac:dyDescent="0.2">
      <c r="A2122" t="s">
        <v>453</v>
      </c>
    </row>
    <row r="2123" spans="1:1" x14ac:dyDescent="0.2">
      <c r="A2123" t="s">
        <v>2724</v>
      </c>
    </row>
    <row r="2124" spans="1:1" x14ac:dyDescent="0.2">
      <c r="A2124" t="s">
        <v>2434</v>
      </c>
    </row>
    <row r="2125" spans="1:1" x14ac:dyDescent="0.2">
      <c r="A2125" t="s">
        <v>2574</v>
      </c>
    </row>
    <row r="2126" spans="1:1" x14ac:dyDescent="0.2">
      <c r="A2126" t="s">
        <v>2592</v>
      </c>
    </row>
    <row r="2127" spans="1:1" x14ac:dyDescent="0.2">
      <c r="A2127" t="s">
        <v>2576</v>
      </c>
    </row>
    <row r="2128" spans="1:1" x14ac:dyDescent="0.2">
      <c r="A2128" t="s">
        <v>2578</v>
      </c>
    </row>
    <row r="2129" spans="1:1" x14ac:dyDescent="0.2">
      <c r="A2129" t="s">
        <v>2580</v>
      </c>
    </row>
    <row r="2130" spans="1:1" x14ac:dyDescent="0.2">
      <c r="A2130" t="s">
        <v>2582</v>
      </c>
    </row>
    <row r="2131" spans="1:1" x14ac:dyDescent="0.2">
      <c r="A2131" t="s">
        <v>2584</v>
      </c>
    </row>
    <row r="2132" spans="1:1" x14ac:dyDescent="0.2">
      <c r="A2132" t="s">
        <v>2586</v>
      </c>
    </row>
    <row r="2133" spans="1:1" x14ac:dyDescent="0.2">
      <c r="A2133" t="s">
        <v>2588</v>
      </c>
    </row>
    <row r="2134" spans="1:1" x14ac:dyDescent="0.2">
      <c r="A2134" t="s">
        <v>2590</v>
      </c>
    </row>
    <row r="2135" spans="1:1" x14ac:dyDescent="0.2">
      <c r="A2135" t="s">
        <v>2575</v>
      </c>
    </row>
    <row r="2136" spans="1:1" x14ac:dyDescent="0.2">
      <c r="A2136" t="s">
        <v>2593</v>
      </c>
    </row>
    <row r="2137" spans="1:1" x14ac:dyDescent="0.2">
      <c r="A2137" t="s">
        <v>2577</v>
      </c>
    </row>
    <row r="2138" spans="1:1" x14ac:dyDescent="0.2">
      <c r="A2138" t="s">
        <v>2579</v>
      </c>
    </row>
    <row r="2139" spans="1:1" x14ac:dyDescent="0.2">
      <c r="A2139" t="s">
        <v>2581</v>
      </c>
    </row>
    <row r="2140" spans="1:1" x14ac:dyDescent="0.2">
      <c r="A2140" t="s">
        <v>2583</v>
      </c>
    </row>
    <row r="2141" spans="1:1" x14ac:dyDescent="0.2">
      <c r="A2141" t="s">
        <v>2585</v>
      </c>
    </row>
    <row r="2142" spans="1:1" x14ac:dyDescent="0.2">
      <c r="A2142" t="s">
        <v>2587</v>
      </c>
    </row>
    <row r="2143" spans="1:1" x14ac:dyDescent="0.2">
      <c r="A2143" t="s">
        <v>2589</v>
      </c>
    </row>
    <row r="2144" spans="1:1" x14ac:dyDescent="0.2">
      <c r="A2144" t="s">
        <v>2591</v>
      </c>
    </row>
    <row r="2145" spans="1:1" x14ac:dyDescent="0.2">
      <c r="A2145" t="s">
        <v>2389</v>
      </c>
    </row>
    <row r="2146" spans="1:1" x14ac:dyDescent="0.2">
      <c r="A2146" t="s">
        <v>2560</v>
      </c>
    </row>
    <row r="2147" spans="1:1" x14ac:dyDescent="0.2">
      <c r="A2147" t="s">
        <v>2561</v>
      </c>
    </row>
    <row r="2148" spans="1:1" x14ac:dyDescent="0.2">
      <c r="A2148" t="s">
        <v>2562</v>
      </c>
    </row>
    <row r="2149" spans="1:1" x14ac:dyDescent="0.2">
      <c r="A2149" t="s">
        <v>19</v>
      </c>
    </row>
    <row r="2150" spans="1:1" x14ac:dyDescent="0.2">
      <c r="A2150" t="s">
        <v>65</v>
      </c>
    </row>
    <row r="2151" spans="1:1" x14ac:dyDescent="0.2">
      <c r="A2151" t="s">
        <v>432</v>
      </c>
    </row>
    <row r="2152" spans="1:1" x14ac:dyDescent="0.2">
      <c r="A2152" t="s">
        <v>2479</v>
      </c>
    </row>
    <row r="2153" spans="1:1" x14ac:dyDescent="0.2">
      <c r="A2153" t="s">
        <v>2480</v>
      </c>
    </row>
    <row r="2154" spans="1:1" x14ac:dyDescent="0.2">
      <c r="A2154" t="s">
        <v>70</v>
      </c>
    </row>
    <row r="2155" spans="1:1" x14ac:dyDescent="0.2">
      <c r="A2155" t="s">
        <v>2444</v>
      </c>
    </row>
    <row r="2156" spans="1:1" x14ac:dyDescent="0.2">
      <c r="A2156" t="s">
        <v>2385</v>
      </c>
    </row>
    <row r="2157" spans="1:1" x14ac:dyDescent="0.2">
      <c r="A2157" t="s">
        <v>2386</v>
      </c>
    </row>
    <row r="2158" spans="1:1" x14ac:dyDescent="0.2">
      <c r="A2158" t="s">
        <v>2384</v>
      </c>
    </row>
    <row r="2159" spans="1:1" x14ac:dyDescent="0.2">
      <c r="A2159" t="s">
        <v>69</v>
      </c>
    </row>
    <row r="2160" spans="1:1" x14ac:dyDescent="0.2">
      <c r="A2160" t="s">
        <v>259</v>
      </c>
    </row>
    <row r="2161" spans="1:1" x14ac:dyDescent="0.2">
      <c r="A2161" t="s">
        <v>42</v>
      </c>
    </row>
    <row r="2162" spans="1:1" x14ac:dyDescent="0.2">
      <c r="A2162" t="s">
        <v>43</v>
      </c>
    </row>
    <row r="2163" spans="1:1" x14ac:dyDescent="0.2">
      <c r="A2163" t="s">
        <v>2490</v>
      </c>
    </row>
    <row r="2164" spans="1:1" x14ac:dyDescent="0.2">
      <c r="A2164" t="s">
        <v>2495</v>
      </c>
    </row>
    <row r="2165" spans="1:1" x14ac:dyDescent="0.2">
      <c r="A2165" t="s">
        <v>2486</v>
      </c>
    </row>
    <row r="2166" spans="1:1" x14ac:dyDescent="0.2">
      <c r="A2166" t="s">
        <v>2491</v>
      </c>
    </row>
    <row r="2167" spans="1:1" x14ac:dyDescent="0.2">
      <c r="A2167" t="s">
        <v>2496</v>
      </c>
    </row>
    <row r="2168" spans="1:1" x14ac:dyDescent="0.2">
      <c r="A2168" t="s">
        <v>2487</v>
      </c>
    </row>
    <row r="2169" spans="1:1" x14ac:dyDescent="0.2">
      <c r="A2169" t="s">
        <v>78</v>
      </c>
    </row>
    <row r="2170" spans="1:1" x14ac:dyDescent="0.2">
      <c r="A2170" t="s">
        <v>2452</v>
      </c>
    </row>
    <row r="2171" spans="1:1" x14ac:dyDescent="0.2">
      <c r="A2171" t="s">
        <v>100</v>
      </c>
    </row>
    <row r="2172" spans="1:1" x14ac:dyDescent="0.2">
      <c r="A2172" t="s">
        <v>575</v>
      </c>
    </row>
    <row r="2173" spans="1:1" x14ac:dyDescent="0.2">
      <c r="A2173" t="s">
        <v>2456</v>
      </c>
    </row>
    <row r="2174" spans="1:1" x14ac:dyDescent="0.2">
      <c r="A2174" t="s">
        <v>50</v>
      </c>
    </row>
    <row r="2175" spans="1:1" x14ac:dyDescent="0.2">
      <c r="A2175" t="s">
        <v>2453</v>
      </c>
    </row>
    <row r="2176" spans="1:1" x14ac:dyDescent="0.2">
      <c r="A2176" t="s">
        <v>82</v>
      </c>
    </row>
    <row r="2177" spans="1:1" x14ac:dyDescent="0.2">
      <c r="A2177" t="s">
        <v>2451</v>
      </c>
    </row>
    <row r="2178" spans="1:1" x14ac:dyDescent="0.2">
      <c r="A2178" t="s">
        <v>552</v>
      </c>
    </row>
    <row r="2179" spans="1:1" x14ac:dyDescent="0.2">
      <c r="A2179" t="s">
        <v>2492</v>
      </c>
    </row>
    <row r="2180" spans="1:1" x14ac:dyDescent="0.2">
      <c r="A2180" t="s">
        <v>349</v>
      </c>
    </row>
    <row r="2181" spans="1:1" x14ac:dyDescent="0.2">
      <c r="A2181" t="s">
        <v>337</v>
      </c>
    </row>
    <row r="2182" spans="1:1" x14ac:dyDescent="0.2">
      <c r="A2182" t="s">
        <v>348</v>
      </c>
    </row>
    <row r="2183" spans="1:1" x14ac:dyDescent="0.2">
      <c r="A2183" t="s">
        <v>226</v>
      </c>
    </row>
    <row r="2184" spans="1:1" x14ac:dyDescent="0.2">
      <c r="A2184" t="s">
        <v>97</v>
      </c>
    </row>
    <row r="2185" spans="1:1" x14ac:dyDescent="0.2">
      <c r="A2185" t="s">
        <v>2450</v>
      </c>
    </row>
    <row r="2186" spans="1:1" x14ac:dyDescent="0.2">
      <c r="A2186" t="s">
        <v>553</v>
      </c>
    </row>
    <row r="2187" spans="1:1" x14ac:dyDescent="0.2">
      <c r="A2187" t="s">
        <v>574</v>
      </c>
    </row>
    <row r="2188" spans="1:1" x14ac:dyDescent="0.2">
      <c r="A2188" t="s">
        <v>228</v>
      </c>
    </row>
    <row r="2189" spans="1:1" x14ac:dyDescent="0.2">
      <c r="A2189" t="s">
        <v>2488</v>
      </c>
    </row>
    <row r="2190" spans="1:1" x14ac:dyDescent="0.2">
      <c r="A2190" t="s">
        <v>2493</v>
      </c>
    </row>
    <row r="2191" spans="1:1" x14ac:dyDescent="0.2">
      <c r="A2191" t="s">
        <v>2484</v>
      </c>
    </row>
    <row r="2192" spans="1:1" x14ac:dyDescent="0.2">
      <c r="A2192" t="s">
        <v>2489</v>
      </c>
    </row>
    <row r="2193" spans="1:1" x14ac:dyDescent="0.2">
      <c r="A2193" t="s">
        <v>2494</v>
      </c>
    </row>
    <row r="2194" spans="1:1" x14ac:dyDescent="0.2">
      <c r="A2194" t="s">
        <v>2485</v>
      </c>
    </row>
    <row r="2195" spans="1:1" x14ac:dyDescent="0.2">
      <c r="A2195" t="s">
        <v>111</v>
      </c>
    </row>
    <row r="2196" spans="1:1" x14ac:dyDescent="0.2">
      <c r="A2196" t="s">
        <v>2455</v>
      </c>
    </row>
    <row r="2197" spans="1:1" x14ac:dyDescent="0.2">
      <c r="A2197" t="s">
        <v>2390</v>
      </c>
    </row>
  </sheetData>
  <sortState xmlns:xlrd2="http://schemas.microsoft.com/office/spreadsheetml/2017/richdata2" ref="A1:A540">
    <sortCondition ref="A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45C301ADDC0554BBABF6A377B9D6EBB" ma:contentTypeVersion="2" ma:contentTypeDescription="Create a new document." ma:contentTypeScope="" ma:versionID="a4064559b5306ab64847e7f85a8cd2fd">
  <xsd:schema xmlns:xsd="http://www.w3.org/2001/XMLSchema" xmlns:xs="http://www.w3.org/2001/XMLSchema" xmlns:p="http://schemas.microsoft.com/office/2006/metadata/properties" xmlns:ns2="5f5d77ac-af37-43cc-8efa-424968d3ec53" xmlns:ns3="f1b5aad8-6d07-48d6-bc03-b6aeaadc9317" xmlns:ns4="42a8a83a-5e27-410c-a1fc-7c5ac4e503f4" targetNamespace="http://schemas.microsoft.com/office/2006/metadata/properties" ma:root="true" ma:fieldsID="a48023602f69587a661418f1f0b5d0ae" ns2:_="" ns3:_="" ns4:_="">
    <xsd:import namespace="5f5d77ac-af37-43cc-8efa-424968d3ec53"/>
    <xsd:import namespace="f1b5aad8-6d07-48d6-bc03-b6aeaadc9317"/>
    <xsd:import namespace="42a8a83a-5e27-410c-a1fc-7c5ac4e503f4"/>
    <xsd:element name="properties">
      <xsd:complexType>
        <xsd:sequence>
          <xsd:element name="documentManagement">
            <xsd:complexType>
              <xsd:all>
                <xsd:element ref="ns2:GroupName" minOccurs="0"/>
                <xsd:element ref="ns2:CaseNumber" minOccurs="0"/>
                <xsd:element ref="ns2:DatabaseID" minOccurs="0"/>
                <xsd:element ref="ns3:TaxKeywordTaxHTField" minOccurs="0"/>
                <xsd:element ref="ns4:TaxCatchAll" minOccurs="0"/>
                <xsd:element ref="ns2:CaseName" minOccurs="0"/>
                <xsd:element ref="ns2:MediaServiceMetadata" minOccurs="0"/>
                <xsd:element ref="ns2:MediaServiceFastMetadata" minOccurs="0"/>
                <xsd:element ref="ns2:ProgramID" minOccurs="0"/>
                <xsd:element ref="ns2:Flag" minOccurs="0"/>
                <xsd:element ref="ns2:CheckInDoc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5d77ac-af37-43cc-8efa-424968d3ec53" elementFormDefault="qualified">
    <xsd:import namespace="http://schemas.microsoft.com/office/2006/documentManagement/types"/>
    <xsd:import namespace="http://schemas.microsoft.com/office/infopath/2007/PartnerControls"/>
    <xsd:element name="GroupName" ma:index="2" nillable="true" ma:displayName="Group Name" ma:description="BSRS/BET Program Group Name" ma:format="Dropdown" ma:indexed="true" ma:internalName="GroupName">
      <xsd:simpleType>
        <xsd:restriction base="dms:Text">
          <xsd:maxLength value="255"/>
        </xsd:restriction>
      </xsd:simpleType>
    </xsd:element>
    <xsd:element name="CaseNumber" ma:index="3" nillable="true" ma:displayName="Case Number" ma:description="PBGC Case Number" ma:format="Dropdown" ma:indexed="true" ma:internalName="CaseNumber">
      <xsd:simpleType>
        <xsd:restriction base="dms:Text">
          <xsd:maxLength value="255"/>
        </xsd:restriction>
      </xsd:simpleType>
    </xsd:element>
    <xsd:element name="DatabaseID" ma:index="4" nillable="true" ma:displayName="Database ID" ma:description="The Database ID for the records in the Oracle database for this BSRS/BET Program" ma:format="Dropdown" ma:indexed="true" ma:internalName="DatabaseID">
      <xsd:simpleType>
        <xsd:restriction base="dms:Text">
          <xsd:maxLength value="255"/>
        </xsd:restriction>
      </xsd:simpleType>
    </xsd:element>
    <xsd:element name="CaseName" ma:index="14" nillable="true" ma:displayName="Case Name" ma:description="Pension Plan Name for this BSRS/BET Program" ma:format="Dropdown" ma:indexed="true" ma:internalName="CaseName">
      <xsd:simpleType>
        <xsd:restriction base="dms:Text">
          <xsd:maxLength value="255"/>
        </xsd:restriction>
      </xsd:simpleType>
    </xsd:element>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ProgramID" ma:index="17" nillable="true" ma:displayName="Program ID" ma:description="Published BSRS/BET Program ID" ma:format="Dropdown" ma:internalName="ProgramID">
      <xsd:simpleType>
        <xsd:restriction base="dms:Text">
          <xsd:maxLength value="255"/>
        </xsd:restriction>
      </xsd:simpleType>
    </xsd:element>
    <xsd:element name="Flag" ma:index="18" nillable="true" ma:displayName="Flag" ma:description="Use to trigger a workflow." ma:internalName="Flag">
      <xsd:simpleType>
        <xsd:restriction base="dms:Text">
          <xsd:maxLength value="255"/>
        </xsd:restriction>
      </xsd:simpleType>
    </xsd:element>
    <xsd:element name="CheckInDocs" ma:index="19" nillable="true" ma:displayName="CheckInDocs" ma:internalName="CheckInDoc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b5aad8-6d07-48d6-bc03-b6aeaadc9317" elementFormDefault="qualified">
    <xsd:import namespace="http://schemas.microsoft.com/office/2006/documentManagement/types"/>
    <xsd:import namespace="http://schemas.microsoft.com/office/infopath/2007/PartnerControls"/>
    <xsd:element name="TaxKeywordTaxHTField" ma:index="9" nillable="true" ma:displayName="TaxKeywordTaxHTField" ma:hidden="true" ma:internalName="TaxKeywordTaxHTField">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a8a83a-5e27-410c-a1fc-7c5ac4e503f4"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62218d3-a5b1-464b-a2d8-e6199964ecb4}" ma:internalName="TaxCatchAll" ma:showField="CatchAllData" ma:web="f1b5aad8-6d07-48d6-bc03-b6aeaadc93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2a8a83a-5e27-410c-a1fc-7c5ac4e503f4" xsi:nil="true"/>
    <CaseNumber xmlns="5f5d77ac-af37-43cc-8efa-424968d3ec53">22386400</CaseNumber>
    <Flag xmlns="5f5d77ac-af37-43cc-8efa-424968d3ec53" xsi:nil="true"/>
    <TaxKeywordTaxHTField xmlns="f1b5aad8-6d07-48d6-bc03-b6aeaadc9317" xsi:nil="true"/>
    <GroupName xmlns="5f5d77ac-af37-43cc-8efa-424968d3ec53"> BSRS PROGRAM </GroupName>
    <CheckInDocs xmlns="5f5d77ac-af37-43cc-8efa-424968d3ec53">
      <Url xsi:nil="true"/>
      <Description xsi:nil="true"/>
    </CheckInDocs>
    <CaseName xmlns="5f5d77ac-af37-43cc-8efa-424968d3ec53">THEIS PRECISION STEEL CORPORATION PENSION PLAN</CaseName>
    <DatabaseID xmlns="5f5d77ac-af37-43cc-8efa-424968d3ec53">3683</DatabaseID>
    <ProgramID xmlns="5f5d77ac-af37-43cc-8efa-424968d3ec53">3471</ProgramID>
  </documentManagement>
</p:properties>
</file>

<file path=customXml/itemProps1.xml><?xml version="1.0" encoding="utf-8"?>
<ds:datastoreItem xmlns:ds="http://schemas.openxmlformats.org/officeDocument/2006/customXml" ds:itemID="{6AA022C6-A70C-4096-9D5E-B4A9FD1EAD2F}">
  <ds:schemaRefs>
    <ds:schemaRef ds:uri="http://schemas.microsoft.com/sharepoint/v3/contenttype/forms"/>
  </ds:schemaRefs>
</ds:datastoreItem>
</file>

<file path=customXml/itemProps2.xml><?xml version="1.0" encoding="utf-8"?>
<ds:datastoreItem xmlns:ds="http://schemas.openxmlformats.org/officeDocument/2006/customXml" ds:itemID="{9A6AEA97-93D6-4BC5-B517-0332727F22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5d77ac-af37-43cc-8efa-424968d3ec53"/>
    <ds:schemaRef ds:uri="f1b5aad8-6d07-48d6-bc03-b6aeaadc9317"/>
    <ds:schemaRef ds:uri="42a8a83a-5e27-410c-a1fc-7c5ac4e503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4AE1D1-64C4-49E8-A075-8B36770963EA}">
  <ds:schemaRefs>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42a8a83a-5e27-410c-a1fc-7c5ac4e503f4"/>
    <ds:schemaRef ds:uri="http://www.w3.org/XML/1998/namespace"/>
    <ds:schemaRef ds:uri="http://purl.org/dc/dcmitype/"/>
    <ds:schemaRef ds:uri="e75fa069-13d2-47d8-b169-e2ebdb70f745"/>
    <ds:schemaRef ds:uri="f1b5aad8-6d07-48d6-bc03-b6aeaadc9317"/>
    <ds:schemaRef ds:uri="5f5d77ac-af37-43cc-8efa-424968d3ec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25</vt:i4>
      </vt:variant>
    </vt:vector>
  </HeadingPairs>
  <TitlesOfParts>
    <vt:vector size="34" baseType="lpstr">
      <vt:lpstr>Retirees</vt:lpstr>
      <vt:lpstr>Disabled Retirees (No Election)</vt:lpstr>
      <vt:lpstr>Disabled Retirees (NRD &gt; DOPT)</vt:lpstr>
      <vt:lpstr>Beneficiaries</vt:lpstr>
      <vt:lpstr>Benes of Dis Ret</vt:lpstr>
      <vt:lpstr>All Vesteds</vt:lpstr>
      <vt:lpstr>QDROs</vt:lpstr>
      <vt:lpstr>V1Useful</vt:lpstr>
      <vt:lpstr>mySort</vt:lpstr>
      <vt:lpstr>AgeDiffFactor</vt:lpstr>
      <vt:lpstr>bfcfpbgc</vt:lpstr>
      <vt:lpstr>CS</vt:lpstr>
      <vt:lpstr>DOBF</vt:lpstr>
      <vt:lpstr>DOPT</vt:lpstr>
      <vt:lpstr>DOPT2</vt:lpstr>
      <vt:lpstr>DOPT3</vt:lpstr>
      <vt:lpstr>DOPT4</vt:lpstr>
      <vt:lpstr>erftable1</vt:lpstr>
      <vt:lpstr>erftable2</vt:lpstr>
      <vt:lpstr>FMORT</vt:lpstr>
      <vt:lpstr>GROWIN</vt:lpstr>
      <vt:lpstr>LOADING</vt:lpstr>
      <vt:lpstr>Medicare</vt:lpstr>
      <vt:lpstr>MMORT</vt:lpstr>
      <vt:lpstr>monthsadd</vt:lpstr>
      <vt:lpstr>PBGCMAX</vt:lpstr>
      <vt:lpstr>PBGCOptionalFormRate</vt:lpstr>
      <vt:lpstr>PC34022CAR</vt:lpstr>
      <vt:lpstr>PC34044AR</vt:lpstr>
      <vt:lpstr>PC54044AR</vt:lpstr>
      <vt:lpstr>PC5AAR</vt:lpstr>
      <vt:lpstr>SPARR</vt:lpstr>
      <vt:lpstr>STALE</vt:lpstr>
      <vt:lpstr>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Andrew Grahn</dc:creator>
  <cp:keywords/>
  <dc:description/>
  <cp:lastModifiedBy>Lopez Herick</cp:lastModifiedBy>
  <cp:lastPrinted>2019-10-11T16:56:23Z</cp:lastPrinted>
  <dcterms:created xsi:type="dcterms:W3CDTF">2005-02-28T21:56:57Z</dcterms:created>
  <dcterms:modified xsi:type="dcterms:W3CDTF">2026-07-16T13:46:28Z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934979061</vt:i4>
  </property>
  <property fmtid="{D5CDD505-2E9C-101B-9397-08002B2CF9AE}" pid="3" name="_EmailSubject">
    <vt:lpwstr>Frye Copysystems</vt:lpwstr>
  </property>
  <property fmtid="{D5CDD505-2E9C-101B-9397-08002B2CF9AE}" pid="4" name="_AuthorEmail">
    <vt:lpwstr>Owens.Elizabeth@PBGC.GOV</vt:lpwstr>
  </property>
  <property fmtid="{D5CDD505-2E9C-101B-9397-08002B2CF9AE}" pid="5" name="_AuthorEmailDisplayName">
    <vt:lpwstr>Owens Elizabeth</vt:lpwstr>
  </property>
  <property fmtid="{D5CDD505-2E9C-101B-9397-08002B2CF9AE}" pid="6" name="_ReviewingToolsShownOnce">
    <vt:lpwstr/>
  </property>
  <property fmtid="{D5CDD505-2E9C-101B-9397-08002B2CF9AE}" pid="7" name="ContentTypeId">
    <vt:lpwstr>0x010100F45C301ADDC0554BBABF6A377B9D6EBB</vt:lpwstr>
  </property>
  <property fmtid="{D5CDD505-2E9C-101B-9397-08002B2CF9AE}" pid="8" name="OBA Document Type">
    <vt:lpwstr/>
  </property>
  <property fmtid="{D5CDD505-2E9C-101B-9397-08002B2CF9AE}" pid="9" name="OBA_Document_Status">
    <vt:lpwstr/>
  </property>
  <property fmtid="{D5CDD505-2E9C-101B-9397-08002B2CF9AE}" pid="10" name="TaxKeyword">
    <vt:lpwstr/>
  </property>
  <property fmtid="{D5CDD505-2E9C-101B-9397-08002B2CF9AE}" pid="11" name="BISDDocumentType">
    <vt:lpwstr/>
  </property>
  <property fmtid="{D5CDD505-2E9C-101B-9397-08002B2CF9AE}" pid="12" name="CaseNumber">
    <vt:lpwstr>22386400</vt:lpwstr>
  </property>
  <property fmtid="{D5CDD505-2E9C-101B-9397-08002B2CF9AE}" pid="13" name="BISDFiscalYear">
    <vt:lpwstr/>
  </property>
  <property fmtid="{D5CDD505-2E9C-101B-9397-08002B2CF9AE}" pid="14" name="GroupName">
    <vt:lpwstr> BSRS PROGRAM </vt:lpwstr>
  </property>
  <property fmtid="{D5CDD505-2E9C-101B-9397-08002B2CF9AE}" pid="15" name="CheckInDocs">
    <vt:lpwstr>, </vt:lpwstr>
  </property>
  <property fmtid="{D5CDD505-2E9C-101B-9397-08002B2CF9AE}" pid="16" name="BISD_Document_Status">
    <vt:lpwstr/>
  </property>
  <property fmtid="{D5CDD505-2E9C-101B-9397-08002B2CF9AE}" pid="17" name="BISDRelease">
    <vt:lpwstr/>
  </property>
  <property fmtid="{D5CDD505-2E9C-101B-9397-08002B2CF9AE}" pid="18" name="_ExtendedDescription">
    <vt:lpwstr/>
  </property>
  <property fmtid="{D5CDD505-2E9C-101B-9397-08002B2CF9AE}" pid="19" name="CaseName">
    <vt:lpwstr>THEIS PRECISION STEEL CORPORATION PENSION PLAN</vt:lpwstr>
  </property>
  <property fmtid="{D5CDD505-2E9C-101B-9397-08002B2CF9AE}" pid="20" name="DatabaseID">
    <vt:lpwstr>3683</vt:lpwstr>
  </property>
  <property fmtid="{D5CDD505-2E9C-101B-9397-08002B2CF9AE}" pid="21" name="BISDProgram">
    <vt:lpwstr/>
  </property>
  <property fmtid="{D5CDD505-2E9C-101B-9397-08002B2CF9AE}" pid="22" name="ProgramID">
    <vt:lpwstr>3471</vt:lpwstr>
  </property>
  <property fmtid="{D5CDD505-2E9C-101B-9397-08002B2CF9AE}" pid="23" name="MoveField">
    <vt:lpwstr>0</vt:lpwstr>
  </property>
  <property fmtid="{D5CDD505-2E9C-101B-9397-08002B2CF9AE}" pid="24" name="CUIReviewer">
    <vt:lpwstr/>
  </property>
  <property fmtid="{D5CDD505-2E9C-101B-9397-08002B2CF9AE}" pid="25" name="CUIFalsePositive">
    <vt:lpwstr>Unreviewed</vt:lpwstr>
  </property>
  <property fmtid="{D5CDD505-2E9C-101B-9397-08002B2CF9AE}" pid="26" name="xd_ProgID">
    <vt:lpwstr/>
  </property>
  <property fmtid="{D5CDD505-2E9C-101B-9397-08002B2CF9AE}" pid="27" name="ComplianceAssetId">
    <vt:lpwstr/>
  </property>
  <property fmtid="{D5CDD505-2E9C-101B-9397-08002B2CF9AE}" pid="28" name="TemplateUrl">
    <vt:lpwstr/>
  </property>
  <property fmtid="{D5CDD505-2E9C-101B-9397-08002B2CF9AE}" pid="29" name="TriggerFlowInfo">
    <vt:lpwstr/>
  </property>
  <property fmtid="{D5CDD505-2E9C-101B-9397-08002B2CF9AE}" pid="30" name="xd_Signature">
    <vt:bool>false</vt:bool>
  </property>
</Properties>
</file>